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6.xml" ContentType="application/vnd.openxmlformats-officedocument.spreadsheetml.comments+xml"/>
  <Override PartName="/xl/pivotTables/pivotTable3.xml" ContentType="application/vnd.openxmlformats-officedocument.spreadsheetml.pivotTable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hidePivotFieldList="1" autoCompressPictures="0"/>
  <mc:AlternateContent xmlns:mc="http://schemas.openxmlformats.org/markup-compatibility/2006">
    <mc:Choice Requires="x15">
      <x15ac:absPath xmlns:x15ac="http://schemas.microsoft.com/office/spreadsheetml/2010/11/ac" url="C:\Users\robert.aycock\Documents\"/>
    </mc:Choice>
  </mc:AlternateContent>
  <xr:revisionPtr revIDLastSave="0" documentId="13_ncr:1_{0006C5D0-2703-40F9-8E54-7DFA70D1526E}" xr6:coauthVersionLast="47" xr6:coauthVersionMax="47" xr10:uidLastSave="{00000000-0000-0000-0000-000000000000}"/>
  <bookViews>
    <workbookView xWindow="-120" yWindow="-16320" windowWidth="29040" windowHeight="15840" firstSheet="5" activeTab="9" xr2:uid="{00000000-000D-0000-FFFF-FFFF00000000}"/>
  </bookViews>
  <sheets>
    <sheet name="113. NEW Distrib by purp sum" sheetId="24" r:id="rId1"/>
    <sheet name="OLD Distrib by purpose sum" sheetId="23" r:id="rId2"/>
    <sheet name="114. NEW Distrib by purpose" sheetId="22" r:id="rId3"/>
    <sheet name="OLD Distrib by purpose" sheetId="21" r:id="rId4"/>
    <sheet name="115. NEW Distrib by source" sheetId="20" r:id="rId5"/>
    <sheet name="OLD Distrib by source" sheetId="19" r:id="rId6"/>
    <sheet name="116-131b NEW Amounts per FTE" sheetId="18" r:id="rId7"/>
    <sheet name="OLD Amounts per FTE" sheetId="17" r:id="rId8"/>
    <sheet name="06Funding" sheetId="8" r:id="rId9"/>
    <sheet name="Amounts Pivot Table" sheetId="16" r:id="rId10"/>
    <sheet name="Distrib pivot table" sheetId="15" r:id="rId11"/>
    <sheet name="SFA Data for Highlights" sheetId="14" r:id="rId12"/>
    <sheet name="Amounts Pivot Table Fact Book" sheetId="13" r:id="rId13"/>
    <sheet name="Sheet1" sheetId="25" state="hidden" r:id="rId14"/>
    <sheet name="Format Amounts" sheetId="12" r:id="rId15"/>
    <sheet name="Format Dist" sheetId="11" r:id="rId16"/>
  </sheets>
  <externalReferences>
    <externalReference r:id="rId17"/>
  </externalReferences>
  <definedNames>
    <definedName name="\a">#N/A</definedName>
    <definedName name="\c">#N/A</definedName>
    <definedName name="\s">#N/A</definedName>
    <definedName name="\x">#N/A</definedName>
    <definedName name="\z">#N/A</definedName>
    <definedName name="_xlnm._FilterDatabase" localSheetId="8" hidden="1">'06Funding'!$A$9:$AK$3684</definedName>
    <definedName name="NEWYEAR" localSheetId="7">#REF!</definedName>
    <definedName name="NEWYEAR" localSheetId="3">#REF!</definedName>
    <definedName name="NEWYEAR" localSheetId="1">#REF!</definedName>
    <definedName name="NEWYEAR" localSheetId="5">#REF!</definedName>
    <definedName name="_xlnm.Print_Area" localSheetId="0">'113. NEW Distrib by purp sum'!$A$1:$T$24</definedName>
    <definedName name="_xlnm.Print_Area" localSheetId="2">'114. NEW Distrib by purpose'!$A$7:$T$61</definedName>
    <definedName name="_xlnm.Print_Area" localSheetId="4">'115. NEW Distrib by source'!$R$1:$AG$36</definedName>
    <definedName name="_xlnm.Print_Area" localSheetId="6">'116-131b NEW Amounts per FTE'!$A$1:$K$517</definedName>
    <definedName name="_xlnm.Print_Area" localSheetId="10">'Distrib pivot table'!$E$4:$T$139</definedName>
    <definedName name="_xlnm.Print_Area" localSheetId="7">'OLD Amounts per FTE'!$A$1:$K$503</definedName>
    <definedName name="_xlnm.Print_Area" localSheetId="3">'OLD Distrib by purpose'!$A$5:$T$58</definedName>
    <definedName name="_xlnm.Print_Area" localSheetId="1">'OLD Distrib by purpose sum'!$A$1:$T$22</definedName>
    <definedName name="_xlnm.Print_Area" localSheetId="5">'OLD Distrib by source'!$R$1:$AG$34</definedName>
    <definedName name="_xlnm.Print_Area" localSheetId="11">'SFA Data for Highlights'!$A$1:$T$140</definedName>
    <definedName name="_xlnm.Print_Titles" localSheetId="2">'114. NEW Distrib by purpose'!$1:$6</definedName>
    <definedName name="_xlnm.Print_Titles" localSheetId="10">'Distrib pivot table'!$A:$D,'Distrib pivot table'!$1:$3</definedName>
    <definedName name="_xlnm.Print_Titles" localSheetId="3">'OLD Distrib by purpose'!$1:$4</definedName>
  </definedNames>
  <calcPr calcId="191029"/>
  <pivotCaches>
    <pivotCache cacheId="12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32" i="8" l="1"/>
  <c r="AI32" i="8"/>
  <c r="AB32" i="8"/>
  <c r="Y32" i="8"/>
  <c r="T32" i="8"/>
  <c r="S32" i="8"/>
  <c r="R32" i="8"/>
  <c r="O32" i="8"/>
  <c r="AJ31" i="8"/>
  <c r="AB31" i="8"/>
  <c r="Y31" i="8"/>
  <c r="T31" i="8"/>
  <c r="S31" i="8"/>
  <c r="AI31" i="8" s="1"/>
  <c r="R31" i="8"/>
  <c r="O31" i="8"/>
  <c r="AJ30" i="8"/>
  <c r="AI30" i="8"/>
  <c r="AB30" i="8"/>
  <c r="Y30" i="8"/>
  <c r="T30" i="8"/>
  <c r="S30" i="8"/>
  <c r="R30" i="8"/>
  <c r="O30" i="8"/>
  <c r="AJ29" i="8"/>
  <c r="AI29" i="8"/>
  <c r="AB29" i="8"/>
  <c r="Y29" i="8"/>
  <c r="T29" i="8"/>
  <c r="S29" i="8"/>
  <c r="R29" i="8"/>
  <c r="O29" i="8"/>
  <c r="AJ28" i="8"/>
  <c r="AI28" i="8"/>
  <c r="AB28" i="8"/>
  <c r="Y28" i="8"/>
  <c r="T28" i="8"/>
  <c r="S28" i="8"/>
  <c r="R28" i="8"/>
  <c r="O28" i="8"/>
  <c r="AJ27" i="8"/>
  <c r="AI27" i="8"/>
  <c r="AB27" i="8"/>
  <c r="Y27" i="8"/>
  <c r="T27" i="8"/>
  <c r="S27" i="8"/>
  <c r="R27" i="8"/>
  <c r="O27" i="8"/>
  <c r="AJ26" i="8"/>
  <c r="AI26" i="8"/>
  <c r="AB26" i="8"/>
  <c r="Y26" i="8"/>
  <c r="T26" i="8"/>
  <c r="S26" i="8"/>
  <c r="R26" i="8"/>
  <c r="O26" i="8"/>
  <c r="AI11" i="8"/>
  <c r="AJ11" i="8"/>
  <c r="AI12" i="8"/>
  <c r="AJ12" i="8"/>
  <c r="AI13" i="8"/>
  <c r="AJ13" i="8"/>
  <c r="AI14" i="8"/>
  <c r="AJ14" i="8"/>
  <c r="AI15" i="8"/>
  <c r="AJ15" i="8"/>
  <c r="AI16" i="8"/>
  <c r="AJ16" i="8"/>
  <c r="AI17" i="8"/>
  <c r="AJ17" i="8"/>
  <c r="AI18" i="8"/>
  <c r="AJ18" i="8"/>
  <c r="AI19" i="8"/>
  <c r="AJ19" i="8"/>
  <c r="AI20" i="8"/>
  <c r="AJ20" i="8"/>
  <c r="AI21" i="8"/>
  <c r="AJ21" i="8"/>
  <c r="AI22" i="8"/>
  <c r="AJ22" i="8"/>
  <c r="AI23" i="8"/>
  <c r="AJ23" i="8"/>
  <c r="AI24" i="8"/>
  <c r="AJ24" i="8"/>
  <c r="AI25" i="8"/>
  <c r="AJ25" i="8"/>
  <c r="AI33" i="8"/>
  <c r="AJ33" i="8"/>
  <c r="AI34" i="8"/>
  <c r="AJ34" i="8"/>
  <c r="AI35" i="8"/>
  <c r="AJ35" i="8"/>
  <c r="AI36" i="8"/>
  <c r="AJ36" i="8"/>
  <c r="AI37" i="8"/>
  <c r="AJ37" i="8"/>
  <c r="AI38" i="8"/>
  <c r="AJ38" i="8"/>
  <c r="AI39" i="8"/>
  <c r="AJ39" i="8"/>
  <c r="AI40" i="8"/>
  <c r="AJ40" i="8"/>
  <c r="AI41" i="8"/>
  <c r="AJ41" i="8"/>
  <c r="AI42" i="8"/>
  <c r="AJ42" i="8"/>
  <c r="AI43" i="8"/>
  <c r="AJ43" i="8"/>
  <c r="AI44" i="8"/>
  <c r="AJ44" i="8"/>
  <c r="AI45" i="8"/>
  <c r="AJ45" i="8"/>
  <c r="AI46" i="8"/>
  <c r="AJ46" i="8"/>
  <c r="AI47" i="8"/>
  <c r="AJ47" i="8"/>
  <c r="AI48" i="8"/>
  <c r="AJ48" i="8"/>
  <c r="AI49" i="8"/>
  <c r="AJ49" i="8"/>
  <c r="AI50" i="8"/>
  <c r="AJ50" i="8"/>
  <c r="AI51" i="8"/>
  <c r="AJ51" i="8"/>
  <c r="AI52" i="8"/>
  <c r="AJ52" i="8"/>
  <c r="AI53" i="8"/>
  <c r="AJ53" i="8"/>
  <c r="AI54" i="8"/>
  <c r="AJ54" i="8"/>
  <c r="AI55" i="8"/>
  <c r="AJ55" i="8"/>
  <c r="AI56" i="8"/>
  <c r="AJ56" i="8"/>
  <c r="AI57" i="8"/>
  <c r="AJ57" i="8"/>
  <c r="AI58" i="8"/>
  <c r="AJ58" i="8"/>
  <c r="AI59" i="8"/>
  <c r="AJ59" i="8"/>
  <c r="AI60" i="8"/>
  <c r="AJ60" i="8"/>
  <c r="AI61" i="8"/>
  <c r="AJ61" i="8"/>
  <c r="AI62" i="8"/>
  <c r="AJ62" i="8"/>
  <c r="AI63" i="8"/>
  <c r="AJ63" i="8"/>
  <c r="AI64" i="8"/>
  <c r="AJ64" i="8"/>
  <c r="AI65" i="8"/>
  <c r="AJ65" i="8"/>
  <c r="AI66" i="8"/>
  <c r="AJ66" i="8"/>
  <c r="AI67" i="8"/>
  <c r="AJ67" i="8"/>
  <c r="AI68" i="8"/>
  <c r="AJ68" i="8"/>
  <c r="AI69" i="8"/>
  <c r="AJ69" i="8"/>
  <c r="AI70" i="8"/>
  <c r="AJ70" i="8"/>
  <c r="AI71" i="8"/>
  <c r="AJ71" i="8"/>
  <c r="AI72" i="8"/>
  <c r="AJ72" i="8"/>
  <c r="AI73" i="8"/>
  <c r="AJ73" i="8"/>
  <c r="AI74" i="8"/>
  <c r="AJ74" i="8"/>
  <c r="AI75" i="8"/>
  <c r="AJ75" i="8"/>
  <c r="AI76" i="8"/>
  <c r="AJ76" i="8"/>
  <c r="AI77" i="8"/>
  <c r="AJ77" i="8"/>
  <c r="AI78" i="8"/>
  <c r="AJ78" i="8"/>
  <c r="AI79" i="8"/>
  <c r="AJ79" i="8"/>
  <c r="AI80" i="8"/>
  <c r="AJ80" i="8"/>
  <c r="AI81" i="8"/>
  <c r="AJ81" i="8"/>
  <c r="AI82" i="8"/>
  <c r="AJ82" i="8"/>
  <c r="AI83" i="8"/>
  <c r="AJ83" i="8"/>
  <c r="AI84" i="8"/>
  <c r="AJ84" i="8"/>
  <c r="AI85" i="8"/>
  <c r="AJ85" i="8"/>
  <c r="AI86" i="8"/>
  <c r="AJ86" i="8"/>
  <c r="AI87" i="8"/>
  <c r="AJ87" i="8"/>
  <c r="AI88" i="8"/>
  <c r="AJ88" i="8"/>
  <c r="AI89" i="8"/>
  <c r="AJ89" i="8"/>
  <c r="AI90" i="8"/>
  <c r="AJ90" i="8"/>
  <c r="AI91" i="8"/>
  <c r="AJ91" i="8"/>
  <c r="AI92" i="8"/>
  <c r="AJ92" i="8"/>
  <c r="AI93" i="8"/>
  <c r="AJ93" i="8"/>
  <c r="AI94" i="8"/>
  <c r="AJ94" i="8"/>
  <c r="AI95" i="8"/>
  <c r="AJ95" i="8"/>
  <c r="AI96" i="8"/>
  <c r="AJ96" i="8"/>
  <c r="AI97" i="8"/>
  <c r="AJ97" i="8"/>
  <c r="AI98" i="8"/>
  <c r="AJ98" i="8"/>
  <c r="AI99" i="8"/>
  <c r="AJ99" i="8"/>
  <c r="AI100" i="8"/>
  <c r="AJ100" i="8"/>
  <c r="AI101" i="8"/>
  <c r="AJ101" i="8"/>
  <c r="AI102" i="8"/>
  <c r="AJ102" i="8"/>
  <c r="AI103" i="8"/>
  <c r="AJ103" i="8"/>
  <c r="AI104" i="8"/>
  <c r="AJ104" i="8"/>
  <c r="AI105" i="8"/>
  <c r="AJ105" i="8"/>
  <c r="AI106" i="8"/>
  <c r="AJ106" i="8"/>
  <c r="AI107" i="8"/>
  <c r="AJ107" i="8"/>
  <c r="AI108" i="8"/>
  <c r="AJ108" i="8"/>
  <c r="AI109" i="8"/>
  <c r="AJ109" i="8"/>
  <c r="AI110" i="8"/>
  <c r="AJ110" i="8"/>
  <c r="AI111" i="8"/>
  <c r="AJ111" i="8"/>
  <c r="AI112" i="8"/>
  <c r="AJ112" i="8"/>
  <c r="AI113" i="8"/>
  <c r="AJ113" i="8"/>
  <c r="AI114" i="8"/>
  <c r="AJ114" i="8"/>
  <c r="AI115" i="8"/>
  <c r="AJ115" i="8"/>
  <c r="AI116" i="8"/>
  <c r="AJ116" i="8"/>
  <c r="AI117" i="8"/>
  <c r="AJ117" i="8"/>
  <c r="AI118" i="8"/>
  <c r="AJ118" i="8"/>
  <c r="AI119" i="8"/>
  <c r="AJ119" i="8"/>
  <c r="AI120" i="8"/>
  <c r="AJ120" i="8"/>
  <c r="AI121" i="8"/>
  <c r="AJ121" i="8"/>
  <c r="AI122" i="8"/>
  <c r="AJ122" i="8"/>
  <c r="AI123" i="8"/>
  <c r="AJ123" i="8"/>
  <c r="AI124" i="8"/>
  <c r="AJ124" i="8"/>
  <c r="AI125" i="8"/>
  <c r="AJ125" i="8"/>
  <c r="AI126" i="8"/>
  <c r="AJ126" i="8"/>
  <c r="AI127" i="8"/>
  <c r="AJ127" i="8"/>
  <c r="AI128" i="8"/>
  <c r="AJ128" i="8"/>
  <c r="AI129" i="8"/>
  <c r="AJ129" i="8"/>
  <c r="AI130" i="8"/>
  <c r="AJ130" i="8"/>
  <c r="AI131" i="8"/>
  <c r="AJ131" i="8"/>
  <c r="AI132" i="8"/>
  <c r="AJ132" i="8"/>
  <c r="AI133" i="8"/>
  <c r="AJ133" i="8"/>
  <c r="AI134" i="8"/>
  <c r="AJ134" i="8"/>
  <c r="AI135" i="8"/>
  <c r="AJ135" i="8"/>
  <c r="AI136" i="8"/>
  <c r="AJ136" i="8"/>
  <c r="AI137" i="8"/>
  <c r="AJ137" i="8"/>
  <c r="AI138" i="8"/>
  <c r="AJ138" i="8"/>
  <c r="AI139" i="8"/>
  <c r="AJ139" i="8"/>
  <c r="AI140" i="8"/>
  <c r="AJ140" i="8"/>
  <c r="AI141" i="8"/>
  <c r="AJ141" i="8"/>
  <c r="AI142" i="8"/>
  <c r="AJ142" i="8"/>
  <c r="AI143" i="8"/>
  <c r="AJ143" i="8"/>
  <c r="AI144" i="8"/>
  <c r="AJ144" i="8"/>
  <c r="AI145" i="8"/>
  <c r="AJ145" i="8"/>
  <c r="AI146" i="8"/>
  <c r="AJ146" i="8"/>
  <c r="AI147" i="8"/>
  <c r="AJ147" i="8"/>
  <c r="AI148" i="8"/>
  <c r="AJ148" i="8"/>
  <c r="AI149" i="8"/>
  <c r="AJ149" i="8"/>
  <c r="AI150" i="8"/>
  <c r="AJ150" i="8"/>
  <c r="AI151" i="8"/>
  <c r="AJ151" i="8"/>
  <c r="AI152" i="8"/>
  <c r="AJ152" i="8"/>
  <c r="AI153" i="8"/>
  <c r="AJ153" i="8"/>
  <c r="AI154" i="8"/>
  <c r="AJ154" i="8"/>
  <c r="AI155" i="8"/>
  <c r="AJ155" i="8"/>
  <c r="AI156" i="8"/>
  <c r="AJ156" i="8"/>
  <c r="AI157" i="8"/>
  <c r="AJ157" i="8"/>
  <c r="AI158" i="8"/>
  <c r="AJ158" i="8"/>
  <c r="AI159" i="8"/>
  <c r="AJ159" i="8"/>
  <c r="AI160" i="8"/>
  <c r="AJ160" i="8"/>
  <c r="AI161" i="8"/>
  <c r="AJ161" i="8"/>
  <c r="AI162" i="8"/>
  <c r="AJ162" i="8"/>
  <c r="AI163" i="8"/>
  <c r="AJ163" i="8"/>
  <c r="AI164" i="8"/>
  <c r="AJ164" i="8"/>
  <c r="AI165" i="8"/>
  <c r="AJ165" i="8"/>
  <c r="AI166" i="8"/>
  <c r="AJ166" i="8"/>
  <c r="AI167" i="8"/>
  <c r="AJ167" i="8"/>
  <c r="AI168" i="8"/>
  <c r="AJ168" i="8"/>
  <c r="AI169" i="8"/>
  <c r="AJ169" i="8"/>
  <c r="AI170" i="8"/>
  <c r="AJ170" i="8"/>
  <c r="AI171" i="8"/>
  <c r="AJ171" i="8"/>
  <c r="AI172" i="8"/>
  <c r="AJ172" i="8"/>
  <c r="AI173" i="8"/>
  <c r="AJ173" i="8"/>
  <c r="AI174" i="8"/>
  <c r="AJ174" i="8"/>
  <c r="AI175" i="8"/>
  <c r="AJ175" i="8"/>
  <c r="AI176" i="8"/>
  <c r="AJ176" i="8"/>
  <c r="AI177" i="8"/>
  <c r="AJ177" i="8"/>
  <c r="AI178" i="8"/>
  <c r="AJ178" i="8"/>
  <c r="AI179" i="8"/>
  <c r="AJ179" i="8"/>
  <c r="AI180" i="8"/>
  <c r="AJ180" i="8"/>
  <c r="AI181" i="8"/>
  <c r="AJ181" i="8"/>
  <c r="AI182" i="8"/>
  <c r="AJ182" i="8"/>
  <c r="AI183" i="8"/>
  <c r="AJ183" i="8"/>
  <c r="AI184" i="8"/>
  <c r="AJ184" i="8"/>
  <c r="AI185" i="8"/>
  <c r="AJ185" i="8"/>
  <c r="AI186" i="8"/>
  <c r="AJ186" i="8"/>
  <c r="AI187" i="8"/>
  <c r="AJ187" i="8"/>
  <c r="AI188" i="8"/>
  <c r="AJ188" i="8"/>
  <c r="AI189" i="8"/>
  <c r="AJ189" i="8"/>
  <c r="AI190" i="8"/>
  <c r="AJ190" i="8"/>
  <c r="AI191" i="8"/>
  <c r="AJ191" i="8"/>
  <c r="AI192" i="8"/>
  <c r="AJ192" i="8"/>
  <c r="AI193" i="8"/>
  <c r="AJ193" i="8"/>
  <c r="AI194" i="8"/>
  <c r="AJ194" i="8"/>
  <c r="AI195" i="8"/>
  <c r="AJ195" i="8"/>
  <c r="AI196" i="8"/>
  <c r="AJ196" i="8"/>
  <c r="AI197" i="8"/>
  <c r="AJ197" i="8"/>
  <c r="AI198" i="8"/>
  <c r="AJ198" i="8"/>
  <c r="AI199" i="8"/>
  <c r="AJ199" i="8"/>
  <c r="AI200" i="8"/>
  <c r="AJ200" i="8"/>
  <c r="AI201" i="8"/>
  <c r="AJ201" i="8"/>
  <c r="AI202" i="8"/>
  <c r="AJ202" i="8"/>
  <c r="AI203" i="8"/>
  <c r="AJ203" i="8"/>
  <c r="AI204" i="8"/>
  <c r="AJ204" i="8"/>
  <c r="AI205" i="8"/>
  <c r="AJ205" i="8"/>
  <c r="AI206" i="8"/>
  <c r="AJ206" i="8"/>
  <c r="AI207" i="8"/>
  <c r="AJ207" i="8"/>
  <c r="AI208" i="8"/>
  <c r="AJ208" i="8"/>
  <c r="AI209" i="8"/>
  <c r="AJ209" i="8"/>
  <c r="AI210" i="8"/>
  <c r="AJ210" i="8"/>
  <c r="AI211" i="8"/>
  <c r="AJ211" i="8"/>
  <c r="AI212" i="8"/>
  <c r="AJ212" i="8"/>
  <c r="AI213" i="8"/>
  <c r="AJ213" i="8"/>
  <c r="AI214" i="8"/>
  <c r="AJ214" i="8"/>
  <c r="AI215" i="8"/>
  <c r="AJ215" i="8"/>
  <c r="AI216" i="8"/>
  <c r="AJ216" i="8"/>
  <c r="AI217" i="8"/>
  <c r="AJ217" i="8"/>
  <c r="AI218" i="8"/>
  <c r="AJ218" i="8"/>
  <c r="AI219" i="8"/>
  <c r="AJ219" i="8"/>
  <c r="AI220" i="8"/>
  <c r="AJ220" i="8"/>
  <c r="AI221" i="8"/>
  <c r="AJ221" i="8"/>
  <c r="AI222" i="8"/>
  <c r="AJ222" i="8"/>
  <c r="AI223" i="8"/>
  <c r="AJ223" i="8"/>
  <c r="AI224" i="8"/>
  <c r="AJ224" i="8"/>
  <c r="AI225" i="8"/>
  <c r="AJ225" i="8"/>
  <c r="AI226" i="8"/>
  <c r="AJ226" i="8"/>
  <c r="AI227" i="8"/>
  <c r="AJ227" i="8"/>
  <c r="AI228" i="8"/>
  <c r="AJ228" i="8"/>
  <c r="AI229" i="8"/>
  <c r="AJ229" i="8"/>
  <c r="AI230" i="8"/>
  <c r="AJ230" i="8"/>
  <c r="AI231" i="8"/>
  <c r="AJ231" i="8"/>
  <c r="AI232" i="8"/>
  <c r="AJ232" i="8"/>
  <c r="AI233" i="8"/>
  <c r="AJ233" i="8"/>
  <c r="AI234" i="8"/>
  <c r="AJ234" i="8"/>
  <c r="AI235" i="8"/>
  <c r="AJ235" i="8"/>
  <c r="AI236" i="8"/>
  <c r="AJ236" i="8"/>
  <c r="AI237" i="8"/>
  <c r="AJ237" i="8"/>
  <c r="AI238" i="8"/>
  <c r="AJ238" i="8"/>
  <c r="AI239" i="8"/>
  <c r="AJ239" i="8"/>
  <c r="AI240" i="8"/>
  <c r="AJ240" i="8"/>
  <c r="AI241" i="8"/>
  <c r="AJ241" i="8"/>
  <c r="AI242" i="8"/>
  <c r="AJ242" i="8"/>
  <c r="AI243" i="8"/>
  <c r="AJ243" i="8"/>
  <c r="AI244" i="8"/>
  <c r="AJ244" i="8"/>
  <c r="AI245" i="8"/>
  <c r="AJ245" i="8"/>
  <c r="AI246" i="8"/>
  <c r="AJ246" i="8"/>
  <c r="AI247" i="8"/>
  <c r="AJ247" i="8"/>
  <c r="AI248" i="8"/>
  <c r="AJ248" i="8"/>
  <c r="AI249" i="8"/>
  <c r="AJ249" i="8"/>
  <c r="AI250" i="8"/>
  <c r="AJ250" i="8"/>
  <c r="AI251" i="8"/>
  <c r="AJ251" i="8"/>
  <c r="AI252" i="8"/>
  <c r="AJ252" i="8"/>
  <c r="AI253" i="8"/>
  <c r="AJ253" i="8"/>
  <c r="AI254" i="8"/>
  <c r="AJ254" i="8"/>
  <c r="AI255" i="8"/>
  <c r="AJ255" i="8"/>
  <c r="AI256" i="8"/>
  <c r="AJ256" i="8"/>
  <c r="AI257" i="8"/>
  <c r="AJ257" i="8"/>
  <c r="AI258" i="8"/>
  <c r="AJ258" i="8"/>
  <c r="AI259" i="8"/>
  <c r="AJ259" i="8"/>
  <c r="AI260" i="8"/>
  <c r="AJ260" i="8"/>
  <c r="AI261" i="8"/>
  <c r="AJ261" i="8"/>
  <c r="AI262" i="8"/>
  <c r="AJ262" i="8"/>
  <c r="AI263" i="8"/>
  <c r="AJ263" i="8"/>
  <c r="AI264" i="8"/>
  <c r="AJ264" i="8"/>
  <c r="AI265" i="8"/>
  <c r="AJ265" i="8"/>
  <c r="AI266" i="8"/>
  <c r="AJ266" i="8"/>
  <c r="AI267" i="8"/>
  <c r="AJ267" i="8"/>
  <c r="AI268" i="8"/>
  <c r="AJ268" i="8"/>
  <c r="AI269" i="8"/>
  <c r="AJ269" i="8"/>
  <c r="AI270" i="8"/>
  <c r="AJ270" i="8"/>
  <c r="AI271" i="8"/>
  <c r="AJ271" i="8"/>
  <c r="AI272" i="8"/>
  <c r="AJ272" i="8"/>
  <c r="AI273" i="8"/>
  <c r="AJ273" i="8"/>
  <c r="AI274" i="8"/>
  <c r="AJ274" i="8"/>
  <c r="AI275" i="8"/>
  <c r="AJ275" i="8"/>
  <c r="AI276" i="8"/>
  <c r="AJ276" i="8"/>
  <c r="AI277" i="8"/>
  <c r="AJ277" i="8"/>
  <c r="AI278" i="8"/>
  <c r="AJ278" i="8"/>
  <c r="AI279" i="8"/>
  <c r="AJ279" i="8"/>
  <c r="AI280" i="8"/>
  <c r="AJ280" i="8"/>
  <c r="AI281" i="8"/>
  <c r="AJ281" i="8"/>
  <c r="AI282" i="8"/>
  <c r="AJ282" i="8"/>
  <c r="AI283" i="8"/>
  <c r="AJ283" i="8"/>
  <c r="AI284" i="8"/>
  <c r="AJ284" i="8"/>
  <c r="AI285" i="8"/>
  <c r="AJ285" i="8"/>
  <c r="AI286" i="8"/>
  <c r="AJ286" i="8"/>
  <c r="AI287" i="8"/>
  <c r="AJ287" i="8"/>
  <c r="AI288" i="8"/>
  <c r="AJ288" i="8"/>
  <c r="AI289" i="8"/>
  <c r="AJ289" i="8"/>
  <c r="AI290" i="8"/>
  <c r="AJ290" i="8"/>
  <c r="AI291" i="8"/>
  <c r="AJ291" i="8"/>
  <c r="AI292" i="8"/>
  <c r="AJ292" i="8"/>
  <c r="AI293" i="8"/>
  <c r="AJ293" i="8"/>
  <c r="AI294" i="8"/>
  <c r="AJ294" i="8"/>
  <c r="AI295" i="8"/>
  <c r="AJ295" i="8"/>
  <c r="AI296" i="8"/>
  <c r="AJ296" i="8"/>
  <c r="AI297" i="8"/>
  <c r="AJ297" i="8"/>
  <c r="AI298" i="8"/>
  <c r="AJ298" i="8"/>
  <c r="AI299" i="8"/>
  <c r="AJ299" i="8"/>
  <c r="AI300" i="8"/>
  <c r="AJ300" i="8"/>
  <c r="AI301" i="8"/>
  <c r="AJ301" i="8"/>
  <c r="AI302" i="8"/>
  <c r="AJ302" i="8"/>
  <c r="AI303" i="8"/>
  <c r="AJ303" i="8"/>
  <c r="AI304" i="8"/>
  <c r="AJ304" i="8"/>
  <c r="AI305" i="8"/>
  <c r="AJ305" i="8"/>
  <c r="AI306" i="8"/>
  <c r="AJ306" i="8"/>
  <c r="AI307" i="8"/>
  <c r="AJ307" i="8"/>
  <c r="AI308" i="8"/>
  <c r="AJ308" i="8"/>
  <c r="AI309" i="8"/>
  <c r="AJ309" i="8"/>
  <c r="AI310" i="8"/>
  <c r="AJ310" i="8"/>
  <c r="AI311" i="8"/>
  <c r="AJ311" i="8"/>
  <c r="AI312" i="8"/>
  <c r="AJ312" i="8"/>
  <c r="AI313" i="8"/>
  <c r="AJ313" i="8"/>
  <c r="AI314" i="8"/>
  <c r="AJ314" i="8"/>
  <c r="AI315" i="8"/>
  <c r="AJ315" i="8"/>
  <c r="AI316" i="8"/>
  <c r="AJ316" i="8"/>
  <c r="AI317" i="8"/>
  <c r="AJ317" i="8"/>
  <c r="AI318" i="8"/>
  <c r="AJ318" i="8"/>
  <c r="AI319" i="8"/>
  <c r="AJ319" i="8"/>
  <c r="AI320" i="8"/>
  <c r="AJ320" i="8"/>
  <c r="AI321" i="8"/>
  <c r="AJ321" i="8"/>
  <c r="AI322" i="8"/>
  <c r="AJ322" i="8"/>
  <c r="AI323" i="8"/>
  <c r="AJ323" i="8"/>
  <c r="AI324" i="8"/>
  <c r="AJ324" i="8"/>
  <c r="AI325" i="8"/>
  <c r="AJ325" i="8"/>
  <c r="AI326" i="8"/>
  <c r="AJ326" i="8"/>
  <c r="AI327" i="8"/>
  <c r="AJ327" i="8"/>
  <c r="AI328" i="8"/>
  <c r="AJ328" i="8"/>
  <c r="AI329" i="8"/>
  <c r="AJ329" i="8"/>
  <c r="AI330" i="8"/>
  <c r="AJ330" i="8"/>
  <c r="AI331" i="8"/>
  <c r="AJ331" i="8"/>
  <c r="AI332" i="8"/>
  <c r="AJ332" i="8"/>
  <c r="AI333" i="8"/>
  <c r="AJ333" i="8"/>
  <c r="AI334" i="8"/>
  <c r="AJ334" i="8"/>
  <c r="AI335" i="8"/>
  <c r="AJ335" i="8"/>
  <c r="AI336" i="8"/>
  <c r="AJ336" i="8"/>
  <c r="AI337" i="8"/>
  <c r="AJ337" i="8"/>
  <c r="AI338" i="8"/>
  <c r="AJ338" i="8"/>
  <c r="AI339" i="8"/>
  <c r="AJ339" i="8"/>
  <c r="AI340" i="8"/>
  <c r="AJ340" i="8"/>
  <c r="AI341" i="8"/>
  <c r="AJ341" i="8"/>
  <c r="AI342" i="8"/>
  <c r="AJ342" i="8"/>
  <c r="AI343" i="8"/>
  <c r="AJ343" i="8"/>
  <c r="AI344" i="8"/>
  <c r="AJ344" i="8"/>
  <c r="AI345" i="8"/>
  <c r="AJ345" i="8"/>
  <c r="AI346" i="8"/>
  <c r="AJ346" i="8"/>
  <c r="AI347" i="8"/>
  <c r="AJ347" i="8"/>
  <c r="AI348" i="8"/>
  <c r="AJ348" i="8"/>
  <c r="AI349" i="8"/>
  <c r="AJ349" i="8"/>
  <c r="AI350" i="8"/>
  <c r="AJ350" i="8"/>
  <c r="AI351" i="8"/>
  <c r="AJ351" i="8"/>
  <c r="AI352" i="8"/>
  <c r="AJ352" i="8"/>
  <c r="AI353" i="8"/>
  <c r="AJ353" i="8"/>
  <c r="AI354" i="8"/>
  <c r="AJ354" i="8"/>
  <c r="AI355" i="8"/>
  <c r="AJ355" i="8"/>
  <c r="AI356" i="8"/>
  <c r="AJ356" i="8"/>
  <c r="AI357" i="8"/>
  <c r="AJ357" i="8"/>
  <c r="AI358" i="8"/>
  <c r="AJ358" i="8"/>
  <c r="AI359" i="8"/>
  <c r="AJ359" i="8"/>
  <c r="AI360" i="8"/>
  <c r="AJ360" i="8"/>
  <c r="AI361" i="8"/>
  <c r="AJ361" i="8"/>
  <c r="AI362" i="8"/>
  <c r="AJ362" i="8"/>
  <c r="AI363" i="8"/>
  <c r="AJ363" i="8"/>
  <c r="AI364" i="8"/>
  <c r="AJ364" i="8"/>
  <c r="AI365" i="8"/>
  <c r="AJ365" i="8"/>
  <c r="AI366" i="8"/>
  <c r="AJ366" i="8"/>
  <c r="AI367" i="8"/>
  <c r="AJ367" i="8"/>
  <c r="AI368" i="8"/>
  <c r="AJ368" i="8"/>
  <c r="AI369" i="8"/>
  <c r="AJ369" i="8"/>
  <c r="AI370" i="8"/>
  <c r="AJ370" i="8"/>
  <c r="AI371" i="8"/>
  <c r="AJ371" i="8"/>
  <c r="AI372" i="8"/>
  <c r="AJ372" i="8"/>
  <c r="AI373" i="8"/>
  <c r="AJ373" i="8"/>
  <c r="AI374" i="8"/>
  <c r="AJ374" i="8"/>
  <c r="AI375" i="8"/>
  <c r="AJ375" i="8"/>
  <c r="AI376" i="8"/>
  <c r="AJ376" i="8"/>
  <c r="AI377" i="8"/>
  <c r="AJ377" i="8"/>
  <c r="AI378" i="8"/>
  <c r="AJ378" i="8"/>
  <c r="AI379" i="8"/>
  <c r="AJ379" i="8"/>
  <c r="AI380" i="8"/>
  <c r="AJ380" i="8"/>
  <c r="AI381" i="8"/>
  <c r="AJ381" i="8"/>
  <c r="AI382" i="8"/>
  <c r="AJ382" i="8"/>
  <c r="AI383" i="8"/>
  <c r="AJ383" i="8"/>
  <c r="AI384" i="8"/>
  <c r="AJ384" i="8"/>
  <c r="AI385" i="8"/>
  <c r="AJ385" i="8"/>
  <c r="AI386" i="8"/>
  <c r="AJ386" i="8"/>
  <c r="AI387" i="8"/>
  <c r="AJ387" i="8"/>
  <c r="AI388" i="8"/>
  <c r="AJ388" i="8"/>
  <c r="AI389" i="8"/>
  <c r="AJ389" i="8"/>
  <c r="AI390" i="8"/>
  <c r="AJ390" i="8"/>
  <c r="AI391" i="8"/>
  <c r="AJ391" i="8"/>
  <c r="AI392" i="8"/>
  <c r="AJ392" i="8"/>
  <c r="AI393" i="8"/>
  <c r="AJ393" i="8"/>
  <c r="AI394" i="8"/>
  <c r="AJ394" i="8"/>
  <c r="AI395" i="8"/>
  <c r="AJ395" i="8"/>
  <c r="AI396" i="8"/>
  <c r="AJ396" i="8"/>
  <c r="AI397" i="8"/>
  <c r="AJ397" i="8"/>
  <c r="AI398" i="8"/>
  <c r="AJ398" i="8"/>
  <c r="AI399" i="8"/>
  <c r="AJ399" i="8"/>
  <c r="AI400" i="8"/>
  <c r="AJ400" i="8"/>
  <c r="AI401" i="8"/>
  <c r="AJ401" i="8"/>
  <c r="AI402" i="8"/>
  <c r="AJ402" i="8"/>
  <c r="AI403" i="8"/>
  <c r="AJ403" i="8"/>
  <c r="AI404" i="8"/>
  <c r="AJ404" i="8"/>
  <c r="AI405" i="8"/>
  <c r="AJ405" i="8"/>
  <c r="AI406" i="8"/>
  <c r="AJ406" i="8"/>
  <c r="AI407" i="8"/>
  <c r="AJ407" i="8"/>
  <c r="AI408" i="8"/>
  <c r="AJ408" i="8"/>
  <c r="AI409" i="8"/>
  <c r="AJ409" i="8"/>
  <c r="AI410" i="8"/>
  <c r="AJ410" i="8"/>
  <c r="AI411" i="8"/>
  <c r="AJ411" i="8"/>
  <c r="AI412" i="8"/>
  <c r="AJ412" i="8"/>
  <c r="AI413" i="8"/>
  <c r="AJ413" i="8"/>
  <c r="AI414" i="8"/>
  <c r="AJ414" i="8"/>
  <c r="AI415" i="8"/>
  <c r="AJ415" i="8"/>
  <c r="AI416" i="8"/>
  <c r="AJ416" i="8"/>
  <c r="AI417" i="8"/>
  <c r="AJ417" i="8"/>
  <c r="AI418" i="8"/>
  <c r="AJ418" i="8"/>
  <c r="AI419" i="8"/>
  <c r="AJ419" i="8"/>
  <c r="AI420" i="8"/>
  <c r="AJ420" i="8"/>
  <c r="AI421" i="8"/>
  <c r="AJ421" i="8"/>
  <c r="AI422" i="8"/>
  <c r="AJ422" i="8"/>
  <c r="AI423" i="8"/>
  <c r="AJ423" i="8"/>
  <c r="AI424" i="8"/>
  <c r="AJ424" i="8"/>
  <c r="AI425" i="8"/>
  <c r="AJ425" i="8"/>
  <c r="AI426" i="8"/>
  <c r="AJ426" i="8"/>
  <c r="AI427" i="8"/>
  <c r="AJ427" i="8"/>
  <c r="AI428" i="8"/>
  <c r="AJ428" i="8"/>
  <c r="AI429" i="8"/>
  <c r="AJ429" i="8"/>
  <c r="AI430" i="8"/>
  <c r="AJ430" i="8"/>
  <c r="AI431" i="8"/>
  <c r="AJ431" i="8"/>
  <c r="AI432" i="8"/>
  <c r="AJ432" i="8"/>
  <c r="AI433" i="8"/>
  <c r="AJ433" i="8"/>
  <c r="AI434" i="8"/>
  <c r="AJ434" i="8"/>
  <c r="AI435" i="8"/>
  <c r="AJ435" i="8"/>
  <c r="AI436" i="8"/>
  <c r="AJ436" i="8"/>
  <c r="AI437" i="8"/>
  <c r="AJ437" i="8"/>
  <c r="AI438" i="8"/>
  <c r="AJ438" i="8"/>
  <c r="AI439" i="8"/>
  <c r="AJ439" i="8"/>
  <c r="AI440" i="8"/>
  <c r="AJ440" i="8"/>
  <c r="AI441" i="8"/>
  <c r="AJ441" i="8"/>
  <c r="AI442" i="8"/>
  <c r="AJ442" i="8"/>
  <c r="AI443" i="8"/>
  <c r="AJ443" i="8"/>
  <c r="AI444" i="8"/>
  <c r="AJ444" i="8"/>
  <c r="AI445" i="8"/>
  <c r="AJ445" i="8"/>
  <c r="AI446" i="8"/>
  <c r="AJ446" i="8"/>
  <c r="AI447" i="8"/>
  <c r="AJ447" i="8"/>
  <c r="AI448" i="8"/>
  <c r="AJ448" i="8"/>
  <c r="AI449" i="8"/>
  <c r="AJ449" i="8"/>
  <c r="AI450" i="8"/>
  <c r="AJ450" i="8"/>
  <c r="AI451" i="8"/>
  <c r="AJ451" i="8"/>
  <c r="AI452" i="8"/>
  <c r="AJ452" i="8"/>
  <c r="AI453" i="8"/>
  <c r="AJ453" i="8"/>
  <c r="AI454" i="8"/>
  <c r="AJ454" i="8"/>
  <c r="AI455" i="8"/>
  <c r="AJ455" i="8"/>
  <c r="AI456" i="8"/>
  <c r="AJ456" i="8"/>
  <c r="AI457" i="8"/>
  <c r="AJ457" i="8"/>
  <c r="AI458" i="8"/>
  <c r="AJ458" i="8"/>
  <c r="AI459" i="8"/>
  <c r="AJ459" i="8"/>
  <c r="AI460" i="8"/>
  <c r="AJ460" i="8"/>
  <c r="AI461" i="8"/>
  <c r="AJ461" i="8"/>
  <c r="AI462" i="8"/>
  <c r="AJ462" i="8"/>
  <c r="AI463" i="8"/>
  <c r="AJ463" i="8"/>
  <c r="AI464" i="8"/>
  <c r="AJ464" i="8"/>
  <c r="AI465" i="8"/>
  <c r="AJ465" i="8"/>
  <c r="AI466" i="8"/>
  <c r="AJ466" i="8"/>
  <c r="AI467" i="8"/>
  <c r="AJ467" i="8"/>
  <c r="AI468" i="8"/>
  <c r="AJ468" i="8"/>
  <c r="AI469" i="8"/>
  <c r="AJ469" i="8"/>
  <c r="AI470" i="8"/>
  <c r="AJ470" i="8"/>
  <c r="AI471" i="8"/>
  <c r="AJ471" i="8"/>
  <c r="AI472" i="8"/>
  <c r="AJ472" i="8"/>
  <c r="AI473" i="8"/>
  <c r="AJ473" i="8"/>
  <c r="AI474" i="8"/>
  <c r="AJ474" i="8"/>
  <c r="AI475" i="8"/>
  <c r="AJ475" i="8"/>
  <c r="AI476" i="8"/>
  <c r="AJ476" i="8"/>
  <c r="AI477" i="8"/>
  <c r="AJ477" i="8"/>
  <c r="AI478" i="8"/>
  <c r="AJ478" i="8"/>
  <c r="AI479" i="8"/>
  <c r="AJ479" i="8"/>
  <c r="AI480" i="8"/>
  <c r="AJ480" i="8"/>
  <c r="AI481" i="8"/>
  <c r="AJ481" i="8"/>
  <c r="AI482" i="8"/>
  <c r="AJ482" i="8"/>
  <c r="AI483" i="8"/>
  <c r="AJ483" i="8"/>
  <c r="AI484" i="8"/>
  <c r="AJ484" i="8"/>
  <c r="AI485" i="8"/>
  <c r="AJ485" i="8"/>
  <c r="AI486" i="8"/>
  <c r="AJ486" i="8"/>
  <c r="AI487" i="8"/>
  <c r="AJ487" i="8"/>
  <c r="AI488" i="8"/>
  <c r="AJ488" i="8"/>
  <c r="AI489" i="8"/>
  <c r="AJ489" i="8"/>
  <c r="AI490" i="8"/>
  <c r="AJ490" i="8"/>
  <c r="AI491" i="8"/>
  <c r="AJ491" i="8"/>
  <c r="AI492" i="8"/>
  <c r="AJ492" i="8"/>
  <c r="AI493" i="8"/>
  <c r="AJ493" i="8"/>
  <c r="AI494" i="8"/>
  <c r="AJ494" i="8"/>
  <c r="AI495" i="8"/>
  <c r="AJ495" i="8"/>
  <c r="AI496" i="8"/>
  <c r="AJ496" i="8"/>
  <c r="AI497" i="8"/>
  <c r="AJ497" i="8"/>
  <c r="AI498" i="8"/>
  <c r="AJ498" i="8"/>
  <c r="AI499" i="8"/>
  <c r="AJ499" i="8"/>
  <c r="AI500" i="8"/>
  <c r="AJ500" i="8"/>
  <c r="AI501" i="8"/>
  <c r="AJ501" i="8"/>
  <c r="AI502" i="8"/>
  <c r="AJ502" i="8"/>
  <c r="AI503" i="8"/>
  <c r="AJ503" i="8"/>
  <c r="AI504" i="8"/>
  <c r="AJ504" i="8"/>
  <c r="AI505" i="8"/>
  <c r="AJ505" i="8"/>
  <c r="AI506" i="8"/>
  <c r="AJ506" i="8"/>
  <c r="AI507" i="8"/>
  <c r="AJ507" i="8"/>
  <c r="AI508" i="8"/>
  <c r="AJ508" i="8"/>
  <c r="AI509" i="8"/>
  <c r="AJ509" i="8"/>
  <c r="AI510" i="8"/>
  <c r="AJ510" i="8"/>
  <c r="AI511" i="8"/>
  <c r="AJ511" i="8"/>
  <c r="AI512" i="8"/>
  <c r="AJ512" i="8"/>
  <c r="AI513" i="8"/>
  <c r="AJ513" i="8"/>
  <c r="AI514" i="8"/>
  <c r="AJ514" i="8"/>
  <c r="AI515" i="8"/>
  <c r="AJ515" i="8"/>
  <c r="AI516" i="8"/>
  <c r="AJ516" i="8"/>
  <c r="AI517" i="8"/>
  <c r="AJ517" i="8"/>
  <c r="AI518" i="8"/>
  <c r="AJ518" i="8"/>
  <c r="AI519" i="8"/>
  <c r="AJ519" i="8"/>
  <c r="AI520" i="8"/>
  <c r="AJ520" i="8"/>
  <c r="AI521" i="8"/>
  <c r="AJ521" i="8"/>
  <c r="AI522" i="8"/>
  <c r="AJ522" i="8"/>
  <c r="AI523" i="8"/>
  <c r="AJ523" i="8"/>
  <c r="AI524" i="8"/>
  <c r="AJ524" i="8"/>
  <c r="AI525" i="8"/>
  <c r="AJ525" i="8"/>
  <c r="AI526" i="8"/>
  <c r="AJ526" i="8"/>
  <c r="AI527" i="8"/>
  <c r="AJ527" i="8"/>
  <c r="AI528" i="8"/>
  <c r="AJ528" i="8"/>
  <c r="AI529" i="8"/>
  <c r="AJ529" i="8"/>
  <c r="AI530" i="8"/>
  <c r="AJ530" i="8"/>
  <c r="AI531" i="8"/>
  <c r="AJ531" i="8"/>
  <c r="AI532" i="8"/>
  <c r="AJ532" i="8"/>
  <c r="AI533" i="8"/>
  <c r="AJ533" i="8"/>
  <c r="AI534" i="8"/>
  <c r="AJ534" i="8"/>
  <c r="AI535" i="8"/>
  <c r="AJ535" i="8"/>
  <c r="AI536" i="8"/>
  <c r="AJ536" i="8"/>
  <c r="AI537" i="8"/>
  <c r="AJ537" i="8"/>
  <c r="AI538" i="8"/>
  <c r="AJ538" i="8"/>
  <c r="AI539" i="8"/>
  <c r="AJ539" i="8"/>
  <c r="AI540" i="8"/>
  <c r="AJ540" i="8"/>
  <c r="AI541" i="8"/>
  <c r="AJ541" i="8"/>
  <c r="AI542" i="8"/>
  <c r="AJ542" i="8"/>
  <c r="AI543" i="8"/>
  <c r="AJ543" i="8"/>
  <c r="AI544" i="8"/>
  <c r="AJ544" i="8"/>
  <c r="AI545" i="8"/>
  <c r="AJ545" i="8"/>
  <c r="AI546" i="8"/>
  <c r="AJ546" i="8"/>
  <c r="AI547" i="8"/>
  <c r="AJ547" i="8"/>
  <c r="AI548" i="8"/>
  <c r="AJ548" i="8"/>
  <c r="AI549" i="8"/>
  <c r="AJ549" i="8"/>
  <c r="AI550" i="8"/>
  <c r="AJ550" i="8"/>
  <c r="AI551" i="8"/>
  <c r="AJ551" i="8"/>
  <c r="AI552" i="8"/>
  <c r="AJ552" i="8"/>
  <c r="AI553" i="8"/>
  <c r="AJ553" i="8"/>
  <c r="AI554" i="8"/>
  <c r="AJ554" i="8"/>
  <c r="AI555" i="8"/>
  <c r="AJ555" i="8"/>
  <c r="AI556" i="8"/>
  <c r="AJ556" i="8"/>
  <c r="AI557" i="8"/>
  <c r="AJ557" i="8"/>
  <c r="AI558" i="8"/>
  <c r="AJ558" i="8"/>
  <c r="AI559" i="8"/>
  <c r="AJ559" i="8"/>
  <c r="AI560" i="8"/>
  <c r="AJ560" i="8"/>
  <c r="AI561" i="8"/>
  <c r="AJ561" i="8"/>
  <c r="AI562" i="8"/>
  <c r="AJ562" i="8"/>
  <c r="AI563" i="8"/>
  <c r="AJ563" i="8"/>
  <c r="AI564" i="8"/>
  <c r="AJ564" i="8"/>
  <c r="AI565" i="8"/>
  <c r="AJ565" i="8"/>
  <c r="AI566" i="8"/>
  <c r="AJ566" i="8"/>
  <c r="AI567" i="8"/>
  <c r="AJ567" i="8"/>
  <c r="AI568" i="8"/>
  <c r="AJ568" i="8"/>
  <c r="AI569" i="8"/>
  <c r="AJ569" i="8"/>
  <c r="AI570" i="8"/>
  <c r="AJ570" i="8"/>
  <c r="AI571" i="8"/>
  <c r="AJ571" i="8"/>
  <c r="AI572" i="8"/>
  <c r="AJ572" i="8"/>
  <c r="AI573" i="8"/>
  <c r="AJ573" i="8"/>
  <c r="AI574" i="8"/>
  <c r="AJ574" i="8"/>
  <c r="AI575" i="8"/>
  <c r="AJ575" i="8"/>
  <c r="AI576" i="8"/>
  <c r="AJ576" i="8"/>
  <c r="AI577" i="8"/>
  <c r="AJ577" i="8"/>
  <c r="AI578" i="8"/>
  <c r="AJ578" i="8"/>
  <c r="AI579" i="8"/>
  <c r="AJ579" i="8"/>
  <c r="AI580" i="8"/>
  <c r="AJ580" i="8"/>
  <c r="AI581" i="8"/>
  <c r="AJ581" i="8"/>
  <c r="AI582" i="8"/>
  <c r="AJ582" i="8"/>
  <c r="AI583" i="8"/>
  <c r="AJ583" i="8"/>
  <c r="AI584" i="8"/>
  <c r="AJ584" i="8"/>
  <c r="AI585" i="8"/>
  <c r="AJ585" i="8"/>
  <c r="AI586" i="8"/>
  <c r="AJ586" i="8"/>
  <c r="AI587" i="8"/>
  <c r="AJ587" i="8"/>
  <c r="AI588" i="8"/>
  <c r="AJ588" i="8"/>
  <c r="AI589" i="8"/>
  <c r="AJ589" i="8"/>
  <c r="AI590" i="8"/>
  <c r="AJ590" i="8"/>
  <c r="AI591" i="8"/>
  <c r="AJ591" i="8"/>
  <c r="AI592" i="8"/>
  <c r="AJ592" i="8"/>
  <c r="AI593" i="8"/>
  <c r="AJ593" i="8"/>
  <c r="AI594" i="8"/>
  <c r="AJ594" i="8"/>
  <c r="AI595" i="8"/>
  <c r="AJ595" i="8"/>
  <c r="AI596" i="8"/>
  <c r="AJ596" i="8"/>
  <c r="AI597" i="8"/>
  <c r="AJ597" i="8"/>
  <c r="AI598" i="8"/>
  <c r="AJ598" i="8"/>
  <c r="AI599" i="8"/>
  <c r="AJ599" i="8"/>
  <c r="AI600" i="8"/>
  <c r="AJ600" i="8"/>
  <c r="AI601" i="8"/>
  <c r="AJ601" i="8"/>
  <c r="AI602" i="8"/>
  <c r="AJ602" i="8"/>
  <c r="AI603" i="8"/>
  <c r="AJ603" i="8"/>
  <c r="AI604" i="8"/>
  <c r="AJ604" i="8"/>
  <c r="AI605" i="8"/>
  <c r="AJ605" i="8"/>
  <c r="AI606" i="8"/>
  <c r="AJ606" i="8"/>
  <c r="AI607" i="8"/>
  <c r="AJ607" i="8"/>
  <c r="AI608" i="8"/>
  <c r="AJ608" i="8"/>
  <c r="AI609" i="8"/>
  <c r="AJ609" i="8"/>
  <c r="AI610" i="8"/>
  <c r="AJ610" i="8"/>
  <c r="AI611" i="8"/>
  <c r="AJ611" i="8"/>
  <c r="AI612" i="8"/>
  <c r="AJ612" i="8"/>
  <c r="AI613" i="8"/>
  <c r="AJ613" i="8"/>
  <c r="AI614" i="8"/>
  <c r="AJ614" i="8"/>
  <c r="AI615" i="8"/>
  <c r="AJ615" i="8"/>
  <c r="AI616" i="8"/>
  <c r="AJ616" i="8"/>
  <c r="AI617" i="8"/>
  <c r="AJ617" i="8"/>
  <c r="AI618" i="8"/>
  <c r="AJ618" i="8"/>
  <c r="AI619" i="8"/>
  <c r="AJ619" i="8"/>
  <c r="AI620" i="8"/>
  <c r="AJ620" i="8"/>
  <c r="AI621" i="8"/>
  <c r="AJ621" i="8"/>
  <c r="AI622" i="8"/>
  <c r="AJ622" i="8"/>
  <c r="AI623" i="8"/>
  <c r="AJ623" i="8"/>
  <c r="AI624" i="8"/>
  <c r="AJ624" i="8"/>
  <c r="AI625" i="8"/>
  <c r="AJ625" i="8"/>
  <c r="AI626" i="8"/>
  <c r="AJ626" i="8"/>
  <c r="AI627" i="8"/>
  <c r="AJ627" i="8"/>
  <c r="AI628" i="8"/>
  <c r="AJ628" i="8"/>
  <c r="AI629" i="8"/>
  <c r="AJ629" i="8"/>
  <c r="AI630" i="8"/>
  <c r="AJ630" i="8"/>
  <c r="AI631" i="8"/>
  <c r="AJ631" i="8"/>
  <c r="AI632" i="8"/>
  <c r="AJ632" i="8"/>
  <c r="AI633" i="8"/>
  <c r="AJ633" i="8"/>
  <c r="AI634" i="8"/>
  <c r="AJ634" i="8"/>
  <c r="AI635" i="8"/>
  <c r="AJ635" i="8"/>
  <c r="AI636" i="8"/>
  <c r="AJ636" i="8"/>
  <c r="AI637" i="8"/>
  <c r="AJ637" i="8"/>
  <c r="AI638" i="8"/>
  <c r="AJ638" i="8"/>
  <c r="AI639" i="8"/>
  <c r="AJ639" i="8"/>
  <c r="AI640" i="8"/>
  <c r="AJ640" i="8"/>
  <c r="AI641" i="8"/>
  <c r="AJ641" i="8"/>
  <c r="AI642" i="8"/>
  <c r="AJ642" i="8"/>
  <c r="AI643" i="8"/>
  <c r="AJ643" i="8"/>
  <c r="AI644" i="8"/>
  <c r="AJ644" i="8"/>
  <c r="AI645" i="8"/>
  <c r="AJ645" i="8"/>
  <c r="AI646" i="8"/>
  <c r="AJ646" i="8"/>
  <c r="AI647" i="8"/>
  <c r="AJ647" i="8"/>
  <c r="AI648" i="8"/>
  <c r="AJ648" i="8"/>
  <c r="AI649" i="8"/>
  <c r="AJ649" i="8"/>
  <c r="AI650" i="8"/>
  <c r="AJ650" i="8"/>
  <c r="AI651" i="8"/>
  <c r="AJ651" i="8"/>
  <c r="AI652" i="8"/>
  <c r="AJ652" i="8"/>
  <c r="AI653" i="8"/>
  <c r="AJ653" i="8"/>
  <c r="AI654" i="8"/>
  <c r="AJ654" i="8"/>
  <c r="AI655" i="8"/>
  <c r="AJ655" i="8"/>
  <c r="AI656" i="8"/>
  <c r="AJ656" i="8"/>
  <c r="AI657" i="8"/>
  <c r="AJ657" i="8"/>
  <c r="AI658" i="8"/>
  <c r="AJ658" i="8"/>
  <c r="AI659" i="8"/>
  <c r="AJ659" i="8"/>
  <c r="AI660" i="8"/>
  <c r="AJ660" i="8"/>
  <c r="AI661" i="8"/>
  <c r="AJ661" i="8"/>
  <c r="AI662" i="8"/>
  <c r="AJ662" i="8"/>
  <c r="AI663" i="8"/>
  <c r="AJ663" i="8"/>
  <c r="AI664" i="8"/>
  <c r="AJ664" i="8"/>
  <c r="AI665" i="8"/>
  <c r="AJ665" i="8"/>
  <c r="AI666" i="8"/>
  <c r="AJ666" i="8"/>
  <c r="AI667" i="8"/>
  <c r="AJ667" i="8"/>
  <c r="AI668" i="8"/>
  <c r="AJ668" i="8"/>
  <c r="AI669" i="8"/>
  <c r="AJ669" i="8"/>
  <c r="AI670" i="8"/>
  <c r="AJ670" i="8"/>
  <c r="AI671" i="8"/>
  <c r="AJ671" i="8"/>
  <c r="AI672" i="8"/>
  <c r="AJ672" i="8"/>
  <c r="AI673" i="8"/>
  <c r="AJ673" i="8"/>
  <c r="AI674" i="8"/>
  <c r="AJ674" i="8"/>
  <c r="AI675" i="8"/>
  <c r="AJ675" i="8"/>
  <c r="AI676" i="8"/>
  <c r="AJ676" i="8"/>
  <c r="AI677" i="8"/>
  <c r="AJ677" i="8"/>
  <c r="AI678" i="8"/>
  <c r="AJ678" i="8"/>
  <c r="AI679" i="8"/>
  <c r="AJ679" i="8"/>
  <c r="AI680" i="8"/>
  <c r="AJ680" i="8"/>
  <c r="AI681" i="8"/>
  <c r="AJ681" i="8"/>
  <c r="AI682" i="8"/>
  <c r="AJ682" i="8"/>
  <c r="AI683" i="8"/>
  <c r="AJ683" i="8"/>
  <c r="AI684" i="8"/>
  <c r="AJ684" i="8"/>
  <c r="AI685" i="8"/>
  <c r="AJ685" i="8"/>
  <c r="AI686" i="8"/>
  <c r="AJ686" i="8"/>
  <c r="AI687" i="8"/>
  <c r="AJ687" i="8"/>
  <c r="AI688" i="8"/>
  <c r="AJ688" i="8"/>
  <c r="AI689" i="8"/>
  <c r="AJ689" i="8"/>
  <c r="AI690" i="8"/>
  <c r="AJ690" i="8"/>
  <c r="AI691" i="8"/>
  <c r="AJ691" i="8"/>
  <c r="AI692" i="8"/>
  <c r="AJ692" i="8"/>
  <c r="AI693" i="8"/>
  <c r="AJ693" i="8"/>
  <c r="AI694" i="8"/>
  <c r="AJ694" i="8"/>
  <c r="AI695" i="8"/>
  <c r="AJ695" i="8"/>
  <c r="AI696" i="8"/>
  <c r="AJ696" i="8"/>
  <c r="AI697" i="8"/>
  <c r="AJ697" i="8"/>
  <c r="AI698" i="8"/>
  <c r="AJ698" i="8"/>
  <c r="AI699" i="8"/>
  <c r="AJ699" i="8"/>
  <c r="AI700" i="8"/>
  <c r="AJ700" i="8"/>
  <c r="AI701" i="8"/>
  <c r="AJ701" i="8"/>
  <c r="AI702" i="8"/>
  <c r="AJ702" i="8"/>
  <c r="AI703" i="8"/>
  <c r="AJ703" i="8"/>
  <c r="AI704" i="8"/>
  <c r="AJ704" i="8"/>
  <c r="AI705" i="8"/>
  <c r="AJ705" i="8"/>
  <c r="AI706" i="8"/>
  <c r="AJ706" i="8"/>
  <c r="AI707" i="8"/>
  <c r="AJ707" i="8"/>
  <c r="AI708" i="8"/>
  <c r="AJ708" i="8"/>
  <c r="AI709" i="8"/>
  <c r="AJ709" i="8"/>
  <c r="AI710" i="8"/>
  <c r="AJ710" i="8"/>
  <c r="AI711" i="8"/>
  <c r="AJ711" i="8"/>
  <c r="AI712" i="8"/>
  <c r="AJ712" i="8"/>
  <c r="AI713" i="8"/>
  <c r="AJ713" i="8"/>
  <c r="AI714" i="8"/>
  <c r="AJ714" i="8"/>
  <c r="AI715" i="8"/>
  <c r="AJ715" i="8"/>
  <c r="AI716" i="8"/>
  <c r="AJ716" i="8"/>
  <c r="AI717" i="8"/>
  <c r="AJ717" i="8"/>
  <c r="AI718" i="8"/>
  <c r="AJ718" i="8"/>
  <c r="AI719" i="8"/>
  <c r="AJ719" i="8"/>
  <c r="AI720" i="8"/>
  <c r="AJ720" i="8"/>
  <c r="AI721" i="8"/>
  <c r="AJ721" i="8"/>
  <c r="AI722" i="8"/>
  <c r="AJ722" i="8"/>
  <c r="AI723" i="8"/>
  <c r="AJ723" i="8"/>
  <c r="AI724" i="8"/>
  <c r="AJ724" i="8"/>
  <c r="AI725" i="8"/>
  <c r="AJ725" i="8"/>
  <c r="AI726" i="8"/>
  <c r="AJ726" i="8"/>
  <c r="AI727" i="8"/>
  <c r="AJ727" i="8"/>
  <c r="AI728" i="8"/>
  <c r="AJ728" i="8"/>
  <c r="AI729" i="8"/>
  <c r="AJ729" i="8"/>
  <c r="AI730" i="8"/>
  <c r="AJ730" i="8"/>
  <c r="AI731" i="8"/>
  <c r="AJ731" i="8"/>
  <c r="AI732" i="8"/>
  <c r="AJ732" i="8"/>
  <c r="AI733" i="8"/>
  <c r="AJ733" i="8"/>
  <c r="AI734" i="8"/>
  <c r="AJ734" i="8"/>
  <c r="AI735" i="8"/>
  <c r="AJ735" i="8"/>
  <c r="AI736" i="8"/>
  <c r="AJ736" i="8"/>
  <c r="AI737" i="8"/>
  <c r="AJ737" i="8"/>
  <c r="AI738" i="8"/>
  <c r="AJ738" i="8"/>
  <c r="AI739" i="8"/>
  <c r="AJ739" i="8"/>
  <c r="AI740" i="8"/>
  <c r="AJ740" i="8"/>
  <c r="AI741" i="8"/>
  <c r="AJ741" i="8"/>
  <c r="AI742" i="8"/>
  <c r="AJ742" i="8"/>
  <c r="AI743" i="8"/>
  <c r="AJ743" i="8"/>
  <c r="AI744" i="8"/>
  <c r="AJ744" i="8"/>
  <c r="AI745" i="8"/>
  <c r="AJ745" i="8"/>
  <c r="AI746" i="8"/>
  <c r="AJ746" i="8"/>
  <c r="AI747" i="8"/>
  <c r="AJ747" i="8"/>
  <c r="AI748" i="8"/>
  <c r="AJ748" i="8"/>
  <c r="AI749" i="8"/>
  <c r="AJ749" i="8"/>
  <c r="AI750" i="8"/>
  <c r="AJ750" i="8"/>
  <c r="AI751" i="8"/>
  <c r="AJ751" i="8"/>
  <c r="AI752" i="8"/>
  <c r="AJ752" i="8"/>
  <c r="AI753" i="8"/>
  <c r="AJ753" i="8"/>
  <c r="AI754" i="8"/>
  <c r="AJ754" i="8"/>
  <c r="AI755" i="8"/>
  <c r="AJ755" i="8"/>
  <c r="AI756" i="8"/>
  <c r="AJ756" i="8"/>
  <c r="AI757" i="8"/>
  <c r="AJ757" i="8"/>
  <c r="AI758" i="8"/>
  <c r="AJ758" i="8"/>
  <c r="AI759" i="8"/>
  <c r="AJ759" i="8"/>
  <c r="AI760" i="8"/>
  <c r="AJ760" i="8"/>
  <c r="AI761" i="8"/>
  <c r="AJ761" i="8"/>
  <c r="AI762" i="8"/>
  <c r="AJ762" i="8"/>
  <c r="AI763" i="8"/>
  <c r="AJ763" i="8"/>
  <c r="AI764" i="8"/>
  <c r="AJ764" i="8"/>
  <c r="AI765" i="8"/>
  <c r="AJ765" i="8"/>
  <c r="AI766" i="8"/>
  <c r="AJ766" i="8"/>
  <c r="AI767" i="8"/>
  <c r="AJ767" i="8"/>
  <c r="AI768" i="8"/>
  <c r="AJ768" i="8"/>
  <c r="AI769" i="8"/>
  <c r="AJ769" i="8"/>
  <c r="AI770" i="8"/>
  <c r="AJ770" i="8"/>
  <c r="AI771" i="8"/>
  <c r="AJ771" i="8"/>
  <c r="AI772" i="8"/>
  <c r="AJ772" i="8"/>
  <c r="AI773" i="8"/>
  <c r="AJ773" i="8"/>
  <c r="AI774" i="8"/>
  <c r="AJ774" i="8"/>
  <c r="AI775" i="8"/>
  <c r="AJ775" i="8"/>
  <c r="AI776" i="8"/>
  <c r="AJ776" i="8"/>
  <c r="AI777" i="8"/>
  <c r="AJ777" i="8"/>
  <c r="AI778" i="8"/>
  <c r="AJ778" i="8"/>
  <c r="AI779" i="8"/>
  <c r="AJ779" i="8"/>
  <c r="AI780" i="8"/>
  <c r="AJ780" i="8"/>
  <c r="AI781" i="8"/>
  <c r="AJ781" i="8"/>
  <c r="AI782" i="8"/>
  <c r="AJ782" i="8"/>
  <c r="AI783" i="8"/>
  <c r="AJ783" i="8"/>
  <c r="AI784" i="8"/>
  <c r="AJ784" i="8"/>
  <c r="AI785" i="8"/>
  <c r="AJ785" i="8"/>
  <c r="AI786" i="8"/>
  <c r="AJ786" i="8"/>
  <c r="AI787" i="8"/>
  <c r="AJ787" i="8"/>
  <c r="AI788" i="8"/>
  <c r="AJ788" i="8"/>
  <c r="AI789" i="8"/>
  <c r="AJ789" i="8"/>
  <c r="AI790" i="8"/>
  <c r="AJ790" i="8"/>
  <c r="AI791" i="8"/>
  <c r="AJ791" i="8"/>
  <c r="AI792" i="8"/>
  <c r="AJ792" i="8"/>
  <c r="AI793" i="8"/>
  <c r="AJ793" i="8"/>
  <c r="AI794" i="8"/>
  <c r="AJ794" i="8"/>
  <c r="AI795" i="8"/>
  <c r="AJ795" i="8"/>
  <c r="AI796" i="8"/>
  <c r="AJ796" i="8"/>
  <c r="AI797" i="8"/>
  <c r="AJ797" i="8"/>
  <c r="AI798" i="8"/>
  <c r="AJ798" i="8"/>
  <c r="AI799" i="8"/>
  <c r="AJ799" i="8"/>
  <c r="AI800" i="8"/>
  <c r="AJ800" i="8"/>
  <c r="AI801" i="8"/>
  <c r="AJ801" i="8"/>
  <c r="AI802" i="8"/>
  <c r="AJ802" i="8"/>
  <c r="AI803" i="8"/>
  <c r="AJ803" i="8"/>
  <c r="AI804" i="8"/>
  <c r="AJ804" i="8"/>
  <c r="AI805" i="8"/>
  <c r="AJ805" i="8"/>
  <c r="AI806" i="8"/>
  <c r="AJ806" i="8"/>
  <c r="AI807" i="8"/>
  <c r="AJ807" i="8"/>
  <c r="AI808" i="8"/>
  <c r="AJ808" i="8"/>
  <c r="AI809" i="8"/>
  <c r="AJ809" i="8"/>
  <c r="AI810" i="8"/>
  <c r="AJ810" i="8"/>
  <c r="AI811" i="8"/>
  <c r="AJ811" i="8"/>
  <c r="AI812" i="8"/>
  <c r="AJ812" i="8"/>
  <c r="AI813" i="8"/>
  <c r="AJ813" i="8"/>
  <c r="AI814" i="8"/>
  <c r="AJ814" i="8"/>
  <c r="AI815" i="8"/>
  <c r="AJ815" i="8"/>
  <c r="AI816" i="8"/>
  <c r="AJ816" i="8"/>
  <c r="AI817" i="8"/>
  <c r="AJ817" i="8"/>
  <c r="AI818" i="8"/>
  <c r="AJ818" i="8"/>
  <c r="AI819" i="8"/>
  <c r="AJ819" i="8"/>
  <c r="AI820" i="8"/>
  <c r="AJ820" i="8"/>
  <c r="AI821" i="8"/>
  <c r="AJ821" i="8"/>
  <c r="AI822" i="8"/>
  <c r="AJ822" i="8"/>
  <c r="AI823" i="8"/>
  <c r="AJ823" i="8"/>
  <c r="AI824" i="8"/>
  <c r="AJ824" i="8"/>
  <c r="AI825" i="8"/>
  <c r="AJ825" i="8"/>
  <c r="AI826" i="8"/>
  <c r="AJ826" i="8"/>
  <c r="AI827" i="8"/>
  <c r="AJ827" i="8"/>
  <c r="AI828" i="8"/>
  <c r="AJ828" i="8"/>
  <c r="AI829" i="8"/>
  <c r="AJ829" i="8"/>
  <c r="AI830" i="8"/>
  <c r="AJ830" i="8"/>
  <c r="AI831" i="8"/>
  <c r="AJ831" i="8"/>
  <c r="AI832" i="8"/>
  <c r="AJ832" i="8"/>
  <c r="AI833" i="8"/>
  <c r="AJ833" i="8"/>
  <c r="AI834" i="8"/>
  <c r="AJ834" i="8"/>
  <c r="AI835" i="8"/>
  <c r="AJ835" i="8"/>
  <c r="AI836" i="8"/>
  <c r="AJ836" i="8"/>
  <c r="AI837" i="8"/>
  <c r="AJ837" i="8"/>
  <c r="AI838" i="8"/>
  <c r="AJ838" i="8"/>
  <c r="AI839" i="8"/>
  <c r="AJ839" i="8"/>
  <c r="AI840" i="8"/>
  <c r="AJ840" i="8"/>
  <c r="AI841" i="8"/>
  <c r="AJ841" i="8"/>
  <c r="AI842" i="8"/>
  <c r="AJ842" i="8"/>
  <c r="AI843" i="8"/>
  <c r="AJ843" i="8"/>
  <c r="AI844" i="8"/>
  <c r="AJ844" i="8"/>
  <c r="AI845" i="8"/>
  <c r="AJ845" i="8"/>
  <c r="AI846" i="8"/>
  <c r="AJ846" i="8"/>
  <c r="AI847" i="8"/>
  <c r="AJ847" i="8"/>
  <c r="AI848" i="8"/>
  <c r="AJ848" i="8"/>
  <c r="AI849" i="8"/>
  <c r="AJ849" i="8"/>
  <c r="AI850" i="8"/>
  <c r="AJ850" i="8"/>
  <c r="AI851" i="8"/>
  <c r="AJ851" i="8"/>
  <c r="AI852" i="8"/>
  <c r="AJ852" i="8"/>
  <c r="AI853" i="8"/>
  <c r="AJ853" i="8"/>
  <c r="AI854" i="8"/>
  <c r="AJ854" i="8"/>
  <c r="AI855" i="8"/>
  <c r="AJ855" i="8"/>
  <c r="AI856" i="8"/>
  <c r="AJ856" i="8"/>
  <c r="AI857" i="8"/>
  <c r="AJ857" i="8"/>
  <c r="AI858" i="8"/>
  <c r="AJ858" i="8"/>
  <c r="AI859" i="8"/>
  <c r="AJ859" i="8"/>
  <c r="AI860" i="8"/>
  <c r="AJ860" i="8"/>
  <c r="AI861" i="8"/>
  <c r="AJ861" i="8"/>
  <c r="AI862" i="8"/>
  <c r="AJ862" i="8"/>
  <c r="AI863" i="8"/>
  <c r="AJ863" i="8"/>
  <c r="AI864" i="8"/>
  <c r="AJ864" i="8"/>
  <c r="AI865" i="8"/>
  <c r="AJ865" i="8"/>
  <c r="AI866" i="8"/>
  <c r="AJ866" i="8"/>
  <c r="AI867" i="8"/>
  <c r="AJ867" i="8"/>
  <c r="AI868" i="8"/>
  <c r="AJ868" i="8"/>
  <c r="AI869" i="8"/>
  <c r="AJ869" i="8"/>
  <c r="AI870" i="8"/>
  <c r="AJ870" i="8"/>
  <c r="AI871" i="8"/>
  <c r="AJ871" i="8"/>
  <c r="AI872" i="8"/>
  <c r="AJ872" i="8"/>
  <c r="AI873" i="8"/>
  <c r="AJ873" i="8"/>
  <c r="AI874" i="8"/>
  <c r="AJ874" i="8"/>
  <c r="AI875" i="8"/>
  <c r="AJ875" i="8"/>
  <c r="AI876" i="8"/>
  <c r="AJ876" i="8"/>
  <c r="AI877" i="8"/>
  <c r="AJ877" i="8"/>
  <c r="AI878" i="8"/>
  <c r="AJ878" i="8"/>
  <c r="AI879" i="8"/>
  <c r="AJ879" i="8"/>
  <c r="AI880" i="8"/>
  <c r="AJ880" i="8"/>
  <c r="AI881" i="8"/>
  <c r="AJ881" i="8"/>
  <c r="AI882" i="8"/>
  <c r="AJ882" i="8"/>
  <c r="AI883" i="8"/>
  <c r="AJ883" i="8"/>
  <c r="AI884" i="8"/>
  <c r="AJ884" i="8"/>
  <c r="AI885" i="8"/>
  <c r="AJ885" i="8"/>
  <c r="AI886" i="8"/>
  <c r="AJ886" i="8"/>
  <c r="AI887" i="8"/>
  <c r="AJ887" i="8"/>
  <c r="AI888" i="8"/>
  <c r="AJ888" i="8"/>
  <c r="AI889" i="8"/>
  <c r="AJ889" i="8"/>
  <c r="AI890" i="8"/>
  <c r="AJ890" i="8"/>
  <c r="AI891" i="8"/>
  <c r="AJ891" i="8"/>
  <c r="AI892" i="8"/>
  <c r="AJ892" i="8"/>
  <c r="AI893" i="8"/>
  <c r="AJ893" i="8"/>
  <c r="AI894" i="8"/>
  <c r="AJ894" i="8"/>
  <c r="AI895" i="8"/>
  <c r="AJ895" i="8"/>
  <c r="AI896" i="8"/>
  <c r="AJ896" i="8"/>
  <c r="AI897" i="8"/>
  <c r="AJ897" i="8"/>
  <c r="AI898" i="8"/>
  <c r="AJ898" i="8"/>
  <c r="AI899" i="8"/>
  <c r="AJ899" i="8"/>
  <c r="AI900" i="8"/>
  <c r="AJ900" i="8"/>
  <c r="AI901" i="8"/>
  <c r="AJ901" i="8"/>
  <c r="AI902" i="8"/>
  <c r="AJ902" i="8"/>
  <c r="AI903" i="8"/>
  <c r="AJ903" i="8"/>
  <c r="AI904" i="8"/>
  <c r="AJ904" i="8"/>
  <c r="AI905" i="8"/>
  <c r="AJ905" i="8"/>
  <c r="AI906" i="8"/>
  <c r="AJ906" i="8"/>
  <c r="AI907" i="8"/>
  <c r="AJ907" i="8"/>
  <c r="AI908" i="8"/>
  <c r="AJ908" i="8"/>
  <c r="AI909" i="8"/>
  <c r="AJ909" i="8"/>
  <c r="AI910" i="8"/>
  <c r="AJ910" i="8"/>
  <c r="AI911" i="8"/>
  <c r="AJ911" i="8"/>
  <c r="AI912" i="8"/>
  <c r="AJ912" i="8"/>
  <c r="AI913" i="8"/>
  <c r="AJ913" i="8"/>
  <c r="AI914" i="8"/>
  <c r="AJ914" i="8"/>
  <c r="AI915" i="8"/>
  <c r="AJ915" i="8"/>
  <c r="AI916" i="8"/>
  <c r="AJ916" i="8"/>
  <c r="AI917" i="8"/>
  <c r="AJ917" i="8"/>
  <c r="AI918" i="8"/>
  <c r="AJ918" i="8"/>
  <c r="AI919" i="8"/>
  <c r="AJ919" i="8"/>
  <c r="AI920" i="8"/>
  <c r="AJ920" i="8"/>
  <c r="AI921" i="8"/>
  <c r="AJ921" i="8"/>
  <c r="AI922" i="8"/>
  <c r="AJ922" i="8"/>
  <c r="AI923" i="8"/>
  <c r="AJ923" i="8"/>
  <c r="AI924" i="8"/>
  <c r="AJ924" i="8"/>
  <c r="AI925" i="8"/>
  <c r="AJ925" i="8"/>
  <c r="AI926" i="8"/>
  <c r="AJ926" i="8"/>
  <c r="AI927" i="8"/>
  <c r="AJ927" i="8"/>
  <c r="AI928" i="8"/>
  <c r="AJ928" i="8"/>
  <c r="AI929" i="8"/>
  <c r="AJ929" i="8"/>
  <c r="AI930" i="8"/>
  <c r="AJ930" i="8"/>
  <c r="AI931" i="8"/>
  <c r="AJ931" i="8"/>
  <c r="AI932" i="8"/>
  <c r="AJ932" i="8"/>
  <c r="AI933" i="8"/>
  <c r="AJ933" i="8"/>
  <c r="AI934" i="8"/>
  <c r="AJ934" i="8"/>
  <c r="AI935" i="8"/>
  <c r="AJ935" i="8"/>
  <c r="AI936" i="8"/>
  <c r="AJ936" i="8"/>
  <c r="AI937" i="8"/>
  <c r="AJ937" i="8"/>
  <c r="AI938" i="8"/>
  <c r="AJ938" i="8"/>
  <c r="AI939" i="8"/>
  <c r="AJ939" i="8"/>
  <c r="AI940" i="8"/>
  <c r="AJ940" i="8"/>
  <c r="AI941" i="8"/>
  <c r="AJ941" i="8"/>
  <c r="AI942" i="8"/>
  <c r="AJ942" i="8"/>
  <c r="AI943" i="8"/>
  <c r="AJ943" i="8"/>
  <c r="AI944" i="8"/>
  <c r="AJ944" i="8"/>
  <c r="AI945" i="8"/>
  <c r="AJ945" i="8"/>
  <c r="AI946" i="8"/>
  <c r="AJ946" i="8"/>
  <c r="AI947" i="8"/>
  <c r="AJ947" i="8"/>
  <c r="AI948" i="8"/>
  <c r="AJ948" i="8"/>
  <c r="AI949" i="8"/>
  <c r="AJ949" i="8"/>
  <c r="AI950" i="8"/>
  <c r="AJ950" i="8"/>
  <c r="AI951" i="8"/>
  <c r="AJ951" i="8"/>
  <c r="AI952" i="8"/>
  <c r="AJ952" i="8"/>
  <c r="AI953" i="8"/>
  <c r="AJ953" i="8"/>
  <c r="AI954" i="8"/>
  <c r="AJ954" i="8"/>
  <c r="AI955" i="8"/>
  <c r="AJ955" i="8"/>
  <c r="AI956" i="8"/>
  <c r="AJ956" i="8"/>
  <c r="AI957" i="8"/>
  <c r="AJ957" i="8"/>
  <c r="AI958" i="8"/>
  <c r="AJ958" i="8"/>
  <c r="AI959" i="8"/>
  <c r="AJ959" i="8"/>
  <c r="AI960" i="8"/>
  <c r="AJ960" i="8"/>
  <c r="AI961" i="8"/>
  <c r="AJ961" i="8"/>
  <c r="AI962" i="8"/>
  <c r="AJ962" i="8"/>
  <c r="AI963" i="8"/>
  <c r="AJ963" i="8"/>
  <c r="AI964" i="8"/>
  <c r="AJ964" i="8"/>
  <c r="AI965" i="8"/>
  <c r="AJ965" i="8"/>
  <c r="AI966" i="8"/>
  <c r="AJ966" i="8"/>
  <c r="AI967" i="8"/>
  <c r="AJ967" i="8"/>
  <c r="AI968" i="8"/>
  <c r="AJ968" i="8"/>
  <c r="AI969" i="8"/>
  <c r="AJ969" i="8"/>
  <c r="AI970" i="8"/>
  <c r="AJ970" i="8"/>
  <c r="AI971" i="8"/>
  <c r="AJ971" i="8"/>
  <c r="AI972" i="8"/>
  <c r="AJ972" i="8"/>
  <c r="AI973" i="8"/>
  <c r="AJ973" i="8"/>
  <c r="AI974" i="8"/>
  <c r="AJ974" i="8"/>
  <c r="AI975" i="8"/>
  <c r="AJ975" i="8"/>
  <c r="AI976" i="8"/>
  <c r="AJ976" i="8"/>
  <c r="AI977" i="8"/>
  <c r="AJ977" i="8"/>
  <c r="AI978" i="8"/>
  <c r="AJ978" i="8"/>
  <c r="AI979" i="8"/>
  <c r="AJ979" i="8"/>
  <c r="AI980" i="8"/>
  <c r="AJ980" i="8"/>
  <c r="AI981" i="8"/>
  <c r="AJ981" i="8"/>
  <c r="AI982" i="8"/>
  <c r="AJ982" i="8"/>
  <c r="AI983" i="8"/>
  <c r="AJ983" i="8"/>
  <c r="AI984" i="8"/>
  <c r="AJ984" i="8"/>
  <c r="AI985" i="8"/>
  <c r="AJ985" i="8"/>
  <c r="AI986" i="8"/>
  <c r="AJ986" i="8"/>
  <c r="AI987" i="8"/>
  <c r="AJ987" i="8"/>
  <c r="AI988" i="8"/>
  <c r="AJ988" i="8"/>
  <c r="AI989" i="8"/>
  <c r="AJ989" i="8"/>
  <c r="AI990" i="8"/>
  <c r="AJ990" i="8"/>
  <c r="AI991" i="8"/>
  <c r="AJ991" i="8"/>
  <c r="AI992" i="8"/>
  <c r="AJ992" i="8"/>
  <c r="AI993" i="8"/>
  <c r="AJ993" i="8"/>
  <c r="AI994" i="8"/>
  <c r="AJ994" i="8"/>
  <c r="AI995" i="8"/>
  <c r="AJ995" i="8"/>
  <c r="AI996" i="8"/>
  <c r="AJ996" i="8"/>
  <c r="AI997" i="8"/>
  <c r="AJ997" i="8"/>
  <c r="AI998" i="8"/>
  <c r="AJ998" i="8"/>
  <c r="AI999" i="8"/>
  <c r="AJ999" i="8"/>
  <c r="AI1000" i="8"/>
  <c r="AJ1000" i="8"/>
  <c r="AI1001" i="8"/>
  <c r="AJ1001" i="8"/>
  <c r="AI1002" i="8"/>
  <c r="AJ1002" i="8"/>
  <c r="AI1003" i="8"/>
  <c r="AJ1003" i="8"/>
  <c r="AI1004" i="8"/>
  <c r="AJ1004" i="8"/>
  <c r="AI1005" i="8"/>
  <c r="AJ1005" i="8"/>
  <c r="AI1006" i="8"/>
  <c r="AJ1006" i="8"/>
  <c r="AI1007" i="8"/>
  <c r="AJ1007" i="8"/>
  <c r="AI1008" i="8"/>
  <c r="AJ1008" i="8"/>
  <c r="AI1009" i="8"/>
  <c r="AJ1009" i="8"/>
  <c r="AI1010" i="8"/>
  <c r="AJ1010" i="8"/>
  <c r="AI1011" i="8"/>
  <c r="AJ1011" i="8"/>
  <c r="AI1012" i="8"/>
  <c r="AJ1012" i="8"/>
  <c r="AI1013" i="8"/>
  <c r="AJ1013" i="8"/>
  <c r="AI1014" i="8"/>
  <c r="AJ1014" i="8"/>
  <c r="AI1015" i="8"/>
  <c r="AJ1015" i="8"/>
  <c r="AI1016" i="8"/>
  <c r="AJ1016" i="8"/>
  <c r="AI1017" i="8"/>
  <c r="AJ1017" i="8"/>
  <c r="AI1018" i="8"/>
  <c r="AJ1018" i="8"/>
  <c r="AI1019" i="8"/>
  <c r="AJ1019" i="8"/>
  <c r="AI1020" i="8"/>
  <c r="AJ1020" i="8"/>
  <c r="AI1021" i="8"/>
  <c r="AJ1021" i="8"/>
  <c r="AI1022" i="8"/>
  <c r="AJ1022" i="8"/>
  <c r="AI1023" i="8"/>
  <c r="AJ1023" i="8"/>
  <c r="AI1024" i="8"/>
  <c r="AJ1024" i="8"/>
  <c r="AI1025" i="8"/>
  <c r="AJ1025" i="8"/>
  <c r="AI1026" i="8"/>
  <c r="AJ1026" i="8"/>
  <c r="AI1027" i="8"/>
  <c r="AJ1027" i="8"/>
  <c r="AI1028" i="8"/>
  <c r="AJ1028" i="8"/>
  <c r="AI1029" i="8"/>
  <c r="AJ1029" i="8"/>
  <c r="AI1030" i="8"/>
  <c r="AJ1030" i="8"/>
  <c r="AI1031" i="8"/>
  <c r="AJ1031" i="8"/>
  <c r="AI1032" i="8"/>
  <c r="AJ1032" i="8"/>
  <c r="AI1033" i="8"/>
  <c r="AJ1033" i="8"/>
  <c r="AI1034" i="8"/>
  <c r="AJ1034" i="8"/>
  <c r="AI1035" i="8"/>
  <c r="AJ1035" i="8"/>
  <c r="AI1036" i="8"/>
  <c r="AJ1036" i="8"/>
  <c r="AI1037" i="8"/>
  <c r="AJ1037" i="8"/>
  <c r="AI1038" i="8"/>
  <c r="AJ1038" i="8"/>
  <c r="AI1039" i="8"/>
  <c r="AJ1039" i="8"/>
  <c r="AI1040" i="8"/>
  <c r="AJ1040" i="8"/>
  <c r="AI1041" i="8"/>
  <c r="AJ1041" i="8"/>
  <c r="AI1042" i="8"/>
  <c r="AJ1042" i="8"/>
  <c r="AI1043" i="8"/>
  <c r="AJ1043" i="8"/>
  <c r="AI1044" i="8"/>
  <c r="AJ1044" i="8"/>
  <c r="AI1045" i="8"/>
  <c r="AJ1045" i="8"/>
  <c r="AI1046" i="8"/>
  <c r="AJ1046" i="8"/>
  <c r="AI1047" i="8"/>
  <c r="AJ1047" i="8"/>
  <c r="AI1048" i="8"/>
  <c r="AJ1048" i="8"/>
  <c r="AI1049" i="8"/>
  <c r="AJ1049" i="8"/>
  <c r="AI1050" i="8"/>
  <c r="AJ1050" i="8"/>
  <c r="AI1051" i="8"/>
  <c r="AJ1051" i="8"/>
  <c r="AI1052" i="8"/>
  <c r="AJ1052" i="8"/>
  <c r="AI1053" i="8"/>
  <c r="AJ1053" i="8"/>
  <c r="AI1054" i="8"/>
  <c r="AJ1054" i="8"/>
  <c r="AI1055" i="8"/>
  <c r="AJ1055" i="8"/>
  <c r="AI1056" i="8"/>
  <c r="AJ1056" i="8"/>
  <c r="AI1057" i="8"/>
  <c r="AJ1057" i="8"/>
  <c r="AI1058" i="8"/>
  <c r="AJ1058" i="8"/>
  <c r="AI1059" i="8"/>
  <c r="AJ1059" i="8"/>
  <c r="AI1060" i="8"/>
  <c r="AJ1060" i="8"/>
  <c r="AI1061" i="8"/>
  <c r="AJ1061" i="8"/>
  <c r="AI1062" i="8"/>
  <c r="AJ1062" i="8"/>
  <c r="AI1063" i="8"/>
  <c r="AJ1063" i="8"/>
  <c r="AI1064" i="8"/>
  <c r="AJ1064" i="8"/>
  <c r="AI1065" i="8"/>
  <c r="AJ1065" i="8"/>
  <c r="AI1066" i="8"/>
  <c r="AJ1066" i="8"/>
  <c r="AI1067" i="8"/>
  <c r="AJ1067" i="8"/>
  <c r="AI1068" i="8"/>
  <c r="AJ1068" i="8"/>
  <c r="AI1069" i="8"/>
  <c r="AJ1069" i="8"/>
  <c r="AI1070" i="8"/>
  <c r="AJ1070" i="8"/>
  <c r="AI1071" i="8"/>
  <c r="AJ1071" i="8"/>
  <c r="AI1072" i="8"/>
  <c r="AJ1072" i="8"/>
  <c r="AI1073" i="8"/>
  <c r="AJ1073" i="8"/>
  <c r="AI1074" i="8"/>
  <c r="AJ1074" i="8"/>
  <c r="AI1075" i="8"/>
  <c r="AJ1075" i="8"/>
  <c r="AI1076" i="8"/>
  <c r="AJ1076" i="8"/>
  <c r="AI1077" i="8"/>
  <c r="AJ1077" i="8"/>
  <c r="AI1078" i="8"/>
  <c r="AJ1078" i="8"/>
  <c r="AI1079" i="8"/>
  <c r="AJ1079" i="8"/>
  <c r="AI1080" i="8"/>
  <c r="AJ1080" i="8"/>
  <c r="AI1081" i="8"/>
  <c r="AJ1081" i="8"/>
  <c r="AI1082" i="8"/>
  <c r="AJ1082" i="8"/>
  <c r="AI1083" i="8"/>
  <c r="AJ1083" i="8"/>
  <c r="AI1084" i="8"/>
  <c r="AJ1084" i="8"/>
  <c r="AI1085" i="8"/>
  <c r="AJ1085" i="8"/>
  <c r="AI1086" i="8"/>
  <c r="AJ1086" i="8"/>
  <c r="AI1087" i="8"/>
  <c r="AJ1087" i="8"/>
  <c r="AI1088" i="8"/>
  <c r="AJ1088" i="8"/>
  <c r="AI1089" i="8"/>
  <c r="AJ1089" i="8"/>
  <c r="AI1090" i="8"/>
  <c r="AJ1090" i="8"/>
  <c r="AI1091" i="8"/>
  <c r="AJ1091" i="8"/>
  <c r="AI1092" i="8"/>
  <c r="AJ1092" i="8"/>
  <c r="AI1093" i="8"/>
  <c r="AJ1093" i="8"/>
  <c r="AI1094" i="8"/>
  <c r="AJ1094" i="8"/>
  <c r="AI1095" i="8"/>
  <c r="AJ1095" i="8"/>
  <c r="AI1096" i="8"/>
  <c r="AJ1096" i="8"/>
  <c r="AI1097" i="8"/>
  <c r="AJ1097" i="8"/>
  <c r="AI1098" i="8"/>
  <c r="AJ1098" i="8"/>
  <c r="AI1099" i="8"/>
  <c r="AJ1099" i="8"/>
  <c r="AI1100" i="8"/>
  <c r="AJ1100" i="8"/>
  <c r="AI1101" i="8"/>
  <c r="AJ1101" i="8"/>
  <c r="AI1102" i="8"/>
  <c r="AJ1102" i="8"/>
  <c r="AI1103" i="8"/>
  <c r="AJ1103" i="8"/>
  <c r="AI1104" i="8"/>
  <c r="AJ1104" i="8"/>
  <c r="AI1105" i="8"/>
  <c r="AJ1105" i="8"/>
  <c r="AI1106" i="8"/>
  <c r="AJ1106" i="8"/>
  <c r="AI1107" i="8"/>
  <c r="AJ1107" i="8"/>
  <c r="AI1108" i="8"/>
  <c r="AJ1108" i="8"/>
  <c r="AI1109" i="8"/>
  <c r="AJ1109" i="8"/>
  <c r="AI1110" i="8"/>
  <c r="AJ1110" i="8"/>
  <c r="AI1111" i="8"/>
  <c r="AJ1111" i="8"/>
  <c r="AI1112" i="8"/>
  <c r="AJ1112" i="8"/>
  <c r="AI1113" i="8"/>
  <c r="AJ1113" i="8"/>
  <c r="AI1114" i="8"/>
  <c r="AJ1114" i="8"/>
  <c r="AI1115" i="8"/>
  <c r="AJ1115" i="8"/>
  <c r="AI1116" i="8"/>
  <c r="AJ1116" i="8"/>
  <c r="AI1117" i="8"/>
  <c r="AJ1117" i="8"/>
  <c r="AI1118" i="8"/>
  <c r="AJ1118" i="8"/>
  <c r="AI1119" i="8"/>
  <c r="AJ1119" i="8"/>
  <c r="AI1120" i="8"/>
  <c r="AJ1120" i="8"/>
  <c r="AI1121" i="8"/>
  <c r="AJ1121" i="8"/>
  <c r="AI1122" i="8"/>
  <c r="AJ1122" i="8"/>
  <c r="AI1123" i="8"/>
  <c r="AJ1123" i="8"/>
  <c r="AI1124" i="8"/>
  <c r="AJ1124" i="8"/>
  <c r="AI1125" i="8"/>
  <c r="AJ1125" i="8"/>
  <c r="AI1126" i="8"/>
  <c r="AJ1126" i="8"/>
  <c r="AI1127" i="8"/>
  <c r="AJ1127" i="8"/>
  <c r="AI1128" i="8"/>
  <c r="AJ1128" i="8"/>
  <c r="AI1129" i="8"/>
  <c r="AJ1129" i="8"/>
  <c r="AI1130" i="8"/>
  <c r="AJ1130" i="8"/>
  <c r="AI1131" i="8"/>
  <c r="AJ1131" i="8"/>
  <c r="AI1132" i="8"/>
  <c r="AJ1132" i="8"/>
  <c r="AI1133" i="8"/>
  <c r="AJ1133" i="8"/>
  <c r="AI1134" i="8"/>
  <c r="AJ1134" i="8"/>
  <c r="AI1135" i="8"/>
  <c r="AJ1135" i="8"/>
  <c r="AI1136" i="8"/>
  <c r="AJ1136" i="8"/>
  <c r="AI1137" i="8"/>
  <c r="AJ1137" i="8"/>
  <c r="AI1138" i="8"/>
  <c r="AJ1138" i="8"/>
  <c r="AI1139" i="8"/>
  <c r="AJ1139" i="8"/>
  <c r="AI1140" i="8"/>
  <c r="AJ1140" i="8"/>
  <c r="AI1141" i="8"/>
  <c r="AJ1141" i="8"/>
  <c r="AI1142" i="8"/>
  <c r="AJ1142" i="8"/>
  <c r="AI1143" i="8"/>
  <c r="AJ1143" i="8"/>
  <c r="AI1144" i="8"/>
  <c r="AJ1144" i="8"/>
  <c r="AI1145" i="8"/>
  <c r="AJ1145" i="8"/>
  <c r="AI1146" i="8"/>
  <c r="AJ1146" i="8"/>
  <c r="AI1147" i="8"/>
  <c r="AJ1147" i="8"/>
  <c r="AI1148" i="8"/>
  <c r="AJ1148" i="8"/>
  <c r="AI1149" i="8"/>
  <c r="AJ1149" i="8"/>
  <c r="AI1150" i="8"/>
  <c r="AJ1150" i="8"/>
  <c r="AI1151" i="8"/>
  <c r="AJ1151" i="8"/>
  <c r="AI1152" i="8"/>
  <c r="AJ1152" i="8"/>
  <c r="AI1153" i="8"/>
  <c r="AJ1153" i="8"/>
  <c r="AI1154" i="8"/>
  <c r="AJ1154" i="8"/>
  <c r="AI1155" i="8"/>
  <c r="AJ1155" i="8"/>
  <c r="AI1156" i="8"/>
  <c r="AJ1156" i="8"/>
  <c r="AI1157" i="8"/>
  <c r="AJ1157" i="8"/>
  <c r="AI1158" i="8"/>
  <c r="AJ1158" i="8"/>
  <c r="AI1159" i="8"/>
  <c r="AJ1159" i="8"/>
  <c r="AI1160" i="8"/>
  <c r="AJ1160" i="8"/>
  <c r="AI1161" i="8"/>
  <c r="AJ1161" i="8"/>
  <c r="AI1162" i="8"/>
  <c r="AJ1162" i="8"/>
  <c r="AI1163" i="8"/>
  <c r="AJ1163" i="8"/>
  <c r="AI1164" i="8"/>
  <c r="AJ1164" i="8"/>
  <c r="AI1165" i="8"/>
  <c r="AJ1165" i="8"/>
  <c r="AI1166" i="8"/>
  <c r="AJ1166" i="8"/>
  <c r="AI1167" i="8"/>
  <c r="AJ1167" i="8"/>
  <c r="AI1168" i="8"/>
  <c r="AJ1168" i="8"/>
  <c r="AI1169" i="8"/>
  <c r="AJ1169" i="8"/>
  <c r="AI1170" i="8"/>
  <c r="AJ1170" i="8"/>
  <c r="AI1171" i="8"/>
  <c r="AJ1171" i="8"/>
  <c r="AI1172" i="8"/>
  <c r="AJ1172" i="8"/>
  <c r="AI1173" i="8"/>
  <c r="AJ1173" i="8"/>
  <c r="AI1174" i="8"/>
  <c r="AJ1174" i="8"/>
  <c r="AI1175" i="8"/>
  <c r="AJ1175" i="8"/>
  <c r="AI1176" i="8"/>
  <c r="AJ1176" i="8"/>
  <c r="AI1177" i="8"/>
  <c r="AJ1177" i="8"/>
  <c r="AI1178" i="8"/>
  <c r="AJ1178" i="8"/>
  <c r="AI1179" i="8"/>
  <c r="AJ1179" i="8"/>
  <c r="AI1180" i="8"/>
  <c r="AJ1180" i="8"/>
  <c r="AI1181" i="8"/>
  <c r="AJ1181" i="8"/>
  <c r="AI1182" i="8"/>
  <c r="AJ1182" i="8"/>
  <c r="AI1183" i="8"/>
  <c r="AJ1183" i="8"/>
  <c r="AI1184" i="8"/>
  <c r="AJ1184" i="8"/>
  <c r="AI1185" i="8"/>
  <c r="AJ1185" i="8"/>
  <c r="AI1186" i="8"/>
  <c r="AJ1186" i="8"/>
  <c r="AI1187" i="8"/>
  <c r="AJ1187" i="8"/>
  <c r="AI1188" i="8"/>
  <c r="AJ1188" i="8"/>
  <c r="AI1189" i="8"/>
  <c r="AJ1189" i="8"/>
  <c r="AI1190" i="8"/>
  <c r="AJ1190" i="8"/>
  <c r="AI1191" i="8"/>
  <c r="AJ1191" i="8"/>
  <c r="AI1192" i="8"/>
  <c r="AJ1192" i="8"/>
  <c r="AI1193" i="8"/>
  <c r="AJ1193" i="8"/>
  <c r="AI1194" i="8"/>
  <c r="AJ1194" i="8"/>
  <c r="AI1195" i="8"/>
  <c r="AJ1195" i="8"/>
  <c r="AI1196" i="8"/>
  <c r="AJ1196" i="8"/>
  <c r="AI1197" i="8"/>
  <c r="AJ1197" i="8"/>
  <c r="AI1198" i="8"/>
  <c r="AJ1198" i="8"/>
  <c r="AI1199" i="8"/>
  <c r="AJ1199" i="8"/>
  <c r="AI1200" i="8"/>
  <c r="AJ1200" i="8"/>
  <c r="AI1201" i="8"/>
  <c r="AJ1201" i="8"/>
  <c r="AI1202" i="8"/>
  <c r="AJ1202" i="8"/>
  <c r="AI1203" i="8"/>
  <c r="AJ1203" i="8"/>
  <c r="AI1204" i="8"/>
  <c r="AJ1204" i="8"/>
  <c r="AI1205" i="8"/>
  <c r="AJ1205" i="8"/>
  <c r="AI1206" i="8"/>
  <c r="AJ1206" i="8"/>
  <c r="AI1207" i="8"/>
  <c r="AJ1207" i="8"/>
  <c r="AI1208" i="8"/>
  <c r="AJ1208" i="8"/>
  <c r="AI1209" i="8"/>
  <c r="AJ1209" i="8"/>
  <c r="AI1210" i="8"/>
  <c r="AJ1210" i="8"/>
  <c r="AI1211" i="8"/>
  <c r="AJ1211" i="8"/>
  <c r="AI1212" i="8"/>
  <c r="AJ1212" i="8"/>
  <c r="AI1213" i="8"/>
  <c r="AJ1213" i="8"/>
  <c r="AI1214" i="8"/>
  <c r="AJ1214" i="8"/>
  <c r="AI1215" i="8"/>
  <c r="AJ1215" i="8"/>
  <c r="AI1216" i="8"/>
  <c r="AJ1216" i="8"/>
  <c r="AI1217" i="8"/>
  <c r="AJ1217" i="8"/>
  <c r="AI1218" i="8"/>
  <c r="AJ1218" i="8"/>
  <c r="AI1219" i="8"/>
  <c r="AJ1219" i="8"/>
  <c r="AI1220" i="8"/>
  <c r="AJ1220" i="8"/>
  <c r="AI1221" i="8"/>
  <c r="AJ1221" i="8"/>
  <c r="AI1222" i="8"/>
  <c r="AJ1222" i="8"/>
  <c r="AI1223" i="8"/>
  <c r="AJ1223" i="8"/>
  <c r="AI1224" i="8"/>
  <c r="AJ1224" i="8"/>
  <c r="AI1225" i="8"/>
  <c r="AJ1225" i="8"/>
  <c r="AI1226" i="8"/>
  <c r="AJ1226" i="8"/>
  <c r="AI1227" i="8"/>
  <c r="AJ1227" i="8"/>
  <c r="AI1228" i="8"/>
  <c r="AJ1228" i="8"/>
  <c r="AI1229" i="8"/>
  <c r="AJ1229" i="8"/>
  <c r="AI1230" i="8"/>
  <c r="AJ1230" i="8"/>
  <c r="AI1231" i="8"/>
  <c r="AJ1231" i="8"/>
  <c r="AI1232" i="8"/>
  <c r="AJ1232" i="8"/>
  <c r="AI1233" i="8"/>
  <c r="AJ1233" i="8"/>
  <c r="AI1234" i="8"/>
  <c r="AJ1234" i="8"/>
  <c r="AI1235" i="8"/>
  <c r="AJ1235" i="8"/>
  <c r="AI1236" i="8"/>
  <c r="AJ1236" i="8"/>
  <c r="AI1237" i="8"/>
  <c r="AJ1237" i="8"/>
  <c r="AI1238" i="8"/>
  <c r="AJ1238" i="8"/>
  <c r="AI1239" i="8"/>
  <c r="AJ1239" i="8"/>
  <c r="AI1240" i="8"/>
  <c r="AJ1240" i="8"/>
  <c r="AI1241" i="8"/>
  <c r="AJ1241" i="8"/>
  <c r="AI1242" i="8"/>
  <c r="AJ1242" i="8"/>
  <c r="AI1243" i="8"/>
  <c r="AJ1243" i="8"/>
  <c r="AI1244" i="8"/>
  <c r="AJ1244" i="8"/>
  <c r="AI1245" i="8"/>
  <c r="AJ1245" i="8"/>
  <c r="AI1246" i="8"/>
  <c r="AJ1246" i="8"/>
  <c r="AI1247" i="8"/>
  <c r="AJ1247" i="8"/>
  <c r="AI1248" i="8"/>
  <c r="AJ1248" i="8"/>
  <c r="AI1249" i="8"/>
  <c r="AJ1249" i="8"/>
  <c r="AI1250" i="8"/>
  <c r="AJ1250" i="8"/>
  <c r="AI1251" i="8"/>
  <c r="AJ1251" i="8"/>
  <c r="AI1252" i="8"/>
  <c r="AJ1252" i="8"/>
  <c r="AI1253" i="8"/>
  <c r="AJ1253" i="8"/>
  <c r="AI1254" i="8"/>
  <c r="AJ1254" i="8"/>
  <c r="AI1255" i="8"/>
  <c r="AJ1255" i="8"/>
  <c r="AI1256" i="8"/>
  <c r="AJ1256" i="8"/>
  <c r="AI1257" i="8"/>
  <c r="AJ1257" i="8"/>
  <c r="AI1258" i="8"/>
  <c r="AJ1258" i="8"/>
  <c r="AI1259" i="8"/>
  <c r="AJ1259" i="8"/>
  <c r="AI1260" i="8"/>
  <c r="AJ1260" i="8"/>
  <c r="AI1261" i="8"/>
  <c r="AJ1261" i="8"/>
  <c r="AI1262" i="8"/>
  <c r="AJ1262" i="8"/>
  <c r="AI1263" i="8"/>
  <c r="AJ1263" i="8"/>
  <c r="AI1264" i="8"/>
  <c r="AJ1264" i="8"/>
  <c r="AI1265" i="8"/>
  <c r="AJ1265" i="8"/>
  <c r="AI1266" i="8"/>
  <c r="AJ1266" i="8"/>
  <c r="AI1267" i="8"/>
  <c r="AJ1267" i="8"/>
  <c r="AI1268" i="8"/>
  <c r="AJ1268" i="8"/>
  <c r="AI1269" i="8"/>
  <c r="AJ1269" i="8"/>
  <c r="AI1270" i="8"/>
  <c r="AJ1270" i="8"/>
  <c r="AI1271" i="8"/>
  <c r="AJ1271" i="8"/>
  <c r="AI1272" i="8"/>
  <c r="AJ1272" i="8"/>
  <c r="AI1273" i="8"/>
  <c r="AJ1273" i="8"/>
  <c r="AI1274" i="8"/>
  <c r="AJ1274" i="8"/>
  <c r="AI1275" i="8"/>
  <c r="AJ1275" i="8"/>
  <c r="AI1276" i="8"/>
  <c r="AJ1276" i="8"/>
  <c r="AI1277" i="8"/>
  <c r="AJ1277" i="8"/>
  <c r="AI1278" i="8"/>
  <c r="AJ1278" i="8"/>
  <c r="AI1279" i="8"/>
  <c r="AJ1279" i="8"/>
  <c r="AI1280" i="8"/>
  <c r="AJ1280" i="8"/>
  <c r="AI1281" i="8"/>
  <c r="AJ1281" i="8"/>
  <c r="AI1282" i="8"/>
  <c r="AJ1282" i="8"/>
  <c r="AI1283" i="8"/>
  <c r="AJ1283" i="8"/>
  <c r="AI1284" i="8"/>
  <c r="AJ1284" i="8"/>
  <c r="AI1285" i="8"/>
  <c r="AJ1285" i="8"/>
  <c r="AI1286" i="8"/>
  <c r="AJ1286" i="8"/>
  <c r="AI1287" i="8"/>
  <c r="AJ1287" i="8"/>
  <c r="AI1288" i="8"/>
  <c r="AJ1288" i="8"/>
  <c r="AI1289" i="8"/>
  <c r="AJ1289" i="8"/>
  <c r="AI1290" i="8"/>
  <c r="AJ1290" i="8"/>
  <c r="AI1291" i="8"/>
  <c r="AJ1291" i="8"/>
  <c r="AI1292" i="8"/>
  <c r="AJ1292" i="8"/>
  <c r="AI1293" i="8"/>
  <c r="AJ1293" i="8"/>
  <c r="AI1294" i="8"/>
  <c r="AJ1294" i="8"/>
  <c r="AI1295" i="8"/>
  <c r="AJ1295" i="8"/>
  <c r="AI1296" i="8"/>
  <c r="AJ1296" i="8"/>
  <c r="AI1297" i="8"/>
  <c r="AJ1297" i="8"/>
  <c r="AI1298" i="8"/>
  <c r="AJ1298" i="8"/>
  <c r="AI1299" i="8"/>
  <c r="AJ1299" i="8"/>
  <c r="AI1300" i="8"/>
  <c r="AJ1300" i="8"/>
  <c r="AI1301" i="8"/>
  <c r="AJ1301" i="8"/>
  <c r="AI1302" i="8"/>
  <c r="AJ1302" i="8"/>
  <c r="AI1303" i="8"/>
  <c r="AJ1303" i="8"/>
  <c r="AI1304" i="8"/>
  <c r="AJ1304" i="8"/>
  <c r="AI1305" i="8"/>
  <c r="AJ1305" i="8"/>
  <c r="AI1306" i="8"/>
  <c r="AJ1306" i="8"/>
  <c r="AI1307" i="8"/>
  <c r="AJ1307" i="8"/>
  <c r="AI1308" i="8"/>
  <c r="AJ1308" i="8"/>
  <c r="AI1309" i="8"/>
  <c r="AJ1309" i="8"/>
  <c r="AI1310" i="8"/>
  <c r="AJ1310" i="8"/>
  <c r="AI1311" i="8"/>
  <c r="AJ1311" i="8"/>
  <c r="AI1312" i="8"/>
  <c r="AJ1312" i="8"/>
  <c r="AI1313" i="8"/>
  <c r="AJ1313" i="8"/>
  <c r="AI1314" i="8"/>
  <c r="AJ1314" i="8"/>
  <c r="AI1315" i="8"/>
  <c r="AJ1315" i="8"/>
  <c r="AI1316" i="8"/>
  <c r="AJ1316" i="8"/>
  <c r="AI1317" i="8"/>
  <c r="AJ1317" i="8"/>
  <c r="AI1318" i="8"/>
  <c r="AJ1318" i="8"/>
  <c r="AI1319" i="8"/>
  <c r="AJ1319" i="8"/>
  <c r="AI1320" i="8"/>
  <c r="AJ1320" i="8"/>
  <c r="AI1321" i="8"/>
  <c r="AJ1321" i="8"/>
  <c r="AI1322" i="8"/>
  <c r="AJ1322" i="8"/>
  <c r="AI1323" i="8"/>
  <c r="AJ1323" i="8"/>
  <c r="AI1324" i="8"/>
  <c r="AJ1324" i="8"/>
  <c r="AI1325" i="8"/>
  <c r="AJ1325" i="8"/>
  <c r="AI1326" i="8"/>
  <c r="AJ1326" i="8"/>
  <c r="AI1327" i="8"/>
  <c r="AJ1327" i="8"/>
  <c r="AI1328" i="8"/>
  <c r="AJ1328" i="8"/>
  <c r="AI1329" i="8"/>
  <c r="AJ1329" i="8"/>
  <c r="AI1330" i="8"/>
  <c r="AJ1330" i="8"/>
  <c r="AI1331" i="8"/>
  <c r="AJ1331" i="8"/>
  <c r="AI1332" i="8"/>
  <c r="AJ1332" i="8"/>
  <c r="AI1333" i="8"/>
  <c r="AJ1333" i="8"/>
  <c r="AI1334" i="8"/>
  <c r="AJ1334" i="8"/>
  <c r="AI1335" i="8"/>
  <c r="AJ1335" i="8"/>
  <c r="AI1336" i="8"/>
  <c r="AJ1336" i="8"/>
  <c r="AI1337" i="8"/>
  <c r="AJ1337" i="8"/>
  <c r="AI1338" i="8"/>
  <c r="AJ1338" i="8"/>
  <c r="AI1339" i="8"/>
  <c r="AJ1339" i="8"/>
  <c r="AI1340" i="8"/>
  <c r="AJ1340" i="8"/>
  <c r="AI1341" i="8"/>
  <c r="AJ1341" i="8"/>
  <c r="AI1342" i="8"/>
  <c r="AJ1342" i="8"/>
  <c r="AI1343" i="8"/>
  <c r="AJ1343" i="8"/>
  <c r="AI1344" i="8"/>
  <c r="AJ1344" i="8"/>
  <c r="AI1345" i="8"/>
  <c r="AJ1345" i="8"/>
  <c r="AI1346" i="8"/>
  <c r="AJ1346" i="8"/>
  <c r="AI1347" i="8"/>
  <c r="AJ1347" i="8"/>
  <c r="AI1348" i="8"/>
  <c r="AJ1348" i="8"/>
  <c r="AI1349" i="8"/>
  <c r="AJ1349" i="8"/>
  <c r="AI1350" i="8"/>
  <c r="AJ1350" i="8"/>
  <c r="AI1351" i="8"/>
  <c r="AJ1351" i="8"/>
  <c r="AI1352" i="8"/>
  <c r="AJ1352" i="8"/>
  <c r="AI1353" i="8"/>
  <c r="AJ1353" i="8"/>
  <c r="AI1354" i="8"/>
  <c r="AJ1354" i="8"/>
  <c r="AI1355" i="8"/>
  <c r="AJ1355" i="8"/>
  <c r="AI1356" i="8"/>
  <c r="AJ1356" i="8"/>
  <c r="AI1357" i="8"/>
  <c r="AJ1357" i="8"/>
  <c r="AI1358" i="8"/>
  <c r="AJ1358" i="8"/>
  <c r="AI1359" i="8"/>
  <c r="AJ1359" i="8"/>
  <c r="AI1360" i="8"/>
  <c r="AJ1360" i="8"/>
  <c r="AI1361" i="8"/>
  <c r="AJ1361" i="8"/>
  <c r="AI1362" i="8"/>
  <c r="AJ1362" i="8"/>
  <c r="AI1363" i="8"/>
  <c r="AJ1363" i="8"/>
  <c r="AI1364" i="8"/>
  <c r="AJ1364" i="8"/>
  <c r="AI1365" i="8"/>
  <c r="AJ1365" i="8"/>
  <c r="AI1366" i="8"/>
  <c r="AJ1366" i="8"/>
  <c r="AI1367" i="8"/>
  <c r="AJ1367" i="8"/>
  <c r="AI1368" i="8"/>
  <c r="AJ1368" i="8"/>
  <c r="AI1369" i="8"/>
  <c r="AJ1369" i="8"/>
  <c r="AI1370" i="8"/>
  <c r="AJ1370" i="8"/>
  <c r="AI1371" i="8"/>
  <c r="AJ1371" i="8"/>
  <c r="AI1372" i="8"/>
  <c r="AJ1372" i="8"/>
  <c r="AI1373" i="8"/>
  <c r="AJ1373" i="8"/>
  <c r="AI1374" i="8"/>
  <c r="AJ1374" i="8"/>
  <c r="AI1375" i="8"/>
  <c r="AJ1375" i="8"/>
  <c r="AI1376" i="8"/>
  <c r="AJ1376" i="8"/>
  <c r="AI1377" i="8"/>
  <c r="AJ1377" i="8"/>
  <c r="AI1378" i="8"/>
  <c r="AJ1378" i="8"/>
  <c r="AI1379" i="8"/>
  <c r="AJ1379" i="8"/>
  <c r="AI1380" i="8"/>
  <c r="AJ1380" i="8"/>
  <c r="AI1381" i="8"/>
  <c r="AJ1381" i="8"/>
  <c r="AI1382" i="8"/>
  <c r="AJ1382" i="8"/>
  <c r="AI1383" i="8"/>
  <c r="AJ1383" i="8"/>
  <c r="AI1384" i="8"/>
  <c r="AJ1384" i="8"/>
  <c r="AI1385" i="8"/>
  <c r="AJ1385" i="8"/>
  <c r="AI1386" i="8"/>
  <c r="AJ1386" i="8"/>
  <c r="AI1387" i="8"/>
  <c r="AJ1387" i="8"/>
  <c r="AI1388" i="8"/>
  <c r="AJ1388" i="8"/>
  <c r="AI1389" i="8"/>
  <c r="AJ1389" i="8"/>
  <c r="AI1390" i="8"/>
  <c r="AJ1390" i="8"/>
  <c r="AI1391" i="8"/>
  <c r="AJ1391" i="8"/>
  <c r="AI1392" i="8"/>
  <c r="AJ1392" i="8"/>
  <c r="AI1393" i="8"/>
  <c r="AJ1393" i="8"/>
  <c r="AI1394" i="8"/>
  <c r="AJ1394" i="8"/>
  <c r="AI1395" i="8"/>
  <c r="AJ1395" i="8"/>
  <c r="AI1396" i="8"/>
  <c r="AJ1396" i="8"/>
  <c r="AI1397" i="8"/>
  <c r="AJ1397" i="8"/>
  <c r="AI1398" i="8"/>
  <c r="AJ1398" i="8"/>
  <c r="AI1399" i="8"/>
  <c r="AJ1399" i="8"/>
  <c r="AI1400" i="8"/>
  <c r="AJ1400" i="8"/>
  <c r="AI1401" i="8"/>
  <c r="AJ1401" i="8"/>
  <c r="AI1402" i="8"/>
  <c r="AJ1402" i="8"/>
  <c r="AI1403" i="8"/>
  <c r="AJ1403" i="8"/>
  <c r="AI1404" i="8"/>
  <c r="AJ1404" i="8"/>
  <c r="AI1405" i="8"/>
  <c r="AJ1405" i="8"/>
  <c r="AI1406" i="8"/>
  <c r="AJ1406" i="8"/>
  <c r="AI1407" i="8"/>
  <c r="AJ1407" i="8"/>
  <c r="AI1408" i="8"/>
  <c r="AJ1408" i="8"/>
  <c r="AI1409" i="8"/>
  <c r="AJ1409" i="8"/>
  <c r="AI1410" i="8"/>
  <c r="AJ1410" i="8"/>
  <c r="AI1411" i="8"/>
  <c r="AJ1411" i="8"/>
  <c r="AI1412" i="8"/>
  <c r="AJ1412" i="8"/>
  <c r="AI1413" i="8"/>
  <c r="AJ1413" i="8"/>
  <c r="AI1414" i="8"/>
  <c r="AJ1414" i="8"/>
  <c r="AI1415" i="8"/>
  <c r="AJ1415" i="8"/>
  <c r="AI1416" i="8"/>
  <c r="AJ1416" i="8"/>
  <c r="AI1417" i="8"/>
  <c r="AJ1417" i="8"/>
  <c r="AI1418" i="8"/>
  <c r="AJ1418" i="8"/>
  <c r="AI1419" i="8"/>
  <c r="AJ1419" i="8"/>
  <c r="AI1420" i="8"/>
  <c r="AJ1420" i="8"/>
  <c r="AI1421" i="8"/>
  <c r="AJ1421" i="8"/>
  <c r="AI1422" i="8"/>
  <c r="AJ1422" i="8"/>
  <c r="AI1423" i="8"/>
  <c r="AJ1423" i="8"/>
  <c r="AI1424" i="8"/>
  <c r="AJ1424" i="8"/>
  <c r="AI1425" i="8"/>
  <c r="AJ1425" i="8"/>
  <c r="AI1426" i="8"/>
  <c r="AJ1426" i="8"/>
  <c r="AI1427" i="8"/>
  <c r="AJ1427" i="8"/>
  <c r="AI1428" i="8"/>
  <c r="AJ1428" i="8"/>
  <c r="AI1429" i="8"/>
  <c r="AJ1429" i="8"/>
  <c r="AI1430" i="8"/>
  <c r="AJ1430" i="8"/>
  <c r="AI1431" i="8"/>
  <c r="AJ1431" i="8"/>
  <c r="AI1432" i="8"/>
  <c r="AJ1432" i="8"/>
  <c r="AI1433" i="8"/>
  <c r="AJ1433" i="8"/>
  <c r="AI1434" i="8"/>
  <c r="AJ1434" i="8"/>
  <c r="AI1435" i="8"/>
  <c r="AJ1435" i="8"/>
  <c r="AI1436" i="8"/>
  <c r="AJ1436" i="8"/>
  <c r="AI1437" i="8"/>
  <c r="AJ1437" i="8"/>
  <c r="AI1438" i="8"/>
  <c r="AJ1438" i="8"/>
  <c r="AI1439" i="8"/>
  <c r="AJ1439" i="8"/>
  <c r="AI1440" i="8"/>
  <c r="AJ1440" i="8"/>
  <c r="AI1441" i="8"/>
  <c r="AJ1441" i="8"/>
  <c r="AI1442" i="8"/>
  <c r="AJ1442" i="8"/>
  <c r="AI1443" i="8"/>
  <c r="AJ1443" i="8"/>
  <c r="AI1444" i="8"/>
  <c r="AJ1444" i="8"/>
  <c r="AI1445" i="8"/>
  <c r="AJ1445" i="8"/>
  <c r="AI1446" i="8"/>
  <c r="AJ1446" i="8"/>
  <c r="AI1447" i="8"/>
  <c r="AJ1447" i="8"/>
  <c r="AI1448" i="8"/>
  <c r="AJ1448" i="8"/>
  <c r="AI1449" i="8"/>
  <c r="AJ1449" i="8"/>
  <c r="AI1450" i="8"/>
  <c r="AJ1450" i="8"/>
  <c r="AI1451" i="8"/>
  <c r="AJ1451" i="8"/>
  <c r="AI1452" i="8"/>
  <c r="AJ1452" i="8"/>
  <c r="AI1453" i="8"/>
  <c r="AJ1453" i="8"/>
  <c r="AI1454" i="8"/>
  <c r="AJ1454" i="8"/>
  <c r="AI1455" i="8"/>
  <c r="AJ1455" i="8"/>
  <c r="AI1456" i="8"/>
  <c r="AJ1456" i="8"/>
  <c r="AI1457" i="8"/>
  <c r="AJ1457" i="8"/>
  <c r="AI1458" i="8"/>
  <c r="AJ1458" i="8"/>
  <c r="AI1459" i="8"/>
  <c r="AJ1459" i="8"/>
  <c r="AI1460" i="8"/>
  <c r="AJ1460" i="8"/>
  <c r="AI1461" i="8"/>
  <c r="AJ1461" i="8"/>
  <c r="AI1462" i="8"/>
  <c r="AJ1462" i="8"/>
  <c r="AI1463" i="8"/>
  <c r="AJ1463" i="8"/>
  <c r="AI1464" i="8"/>
  <c r="AJ1464" i="8"/>
  <c r="AI1465" i="8"/>
  <c r="AJ1465" i="8"/>
  <c r="AI1466" i="8"/>
  <c r="AJ1466" i="8"/>
  <c r="AI1467" i="8"/>
  <c r="AJ1467" i="8"/>
  <c r="AI1468" i="8"/>
  <c r="AJ1468" i="8"/>
  <c r="AI1469" i="8"/>
  <c r="AJ1469" i="8"/>
  <c r="AI1470" i="8"/>
  <c r="AJ1470" i="8"/>
  <c r="AI1471" i="8"/>
  <c r="AJ1471" i="8"/>
  <c r="AI1472" i="8"/>
  <c r="AJ1472" i="8"/>
  <c r="AI1473" i="8"/>
  <c r="AJ1473" i="8"/>
  <c r="AI1474" i="8"/>
  <c r="AJ1474" i="8"/>
  <c r="AI1475" i="8"/>
  <c r="AJ1475" i="8"/>
  <c r="AI1476" i="8"/>
  <c r="AJ1476" i="8"/>
  <c r="AI1477" i="8"/>
  <c r="AJ1477" i="8"/>
  <c r="AI1478" i="8"/>
  <c r="AJ1478" i="8"/>
  <c r="AI1479" i="8"/>
  <c r="AJ1479" i="8"/>
  <c r="AI1480" i="8"/>
  <c r="AJ1480" i="8"/>
  <c r="AI1481" i="8"/>
  <c r="AJ1481" i="8"/>
  <c r="AI1482" i="8"/>
  <c r="AJ1482" i="8"/>
  <c r="AI1483" i="8"/>
  <c r="AJ1483" i="8"/>
  <c r="AI1484" i="8"/>
  <c r="AJ1484" i="8"/>
  <c r="AI1485" i="8"/>
  <c r="AJ1485" i="8"/>
  <c r="AI1486" i="8"/>
  <c r="AJ1486" i="8"/>
  <c r="AI1487" i="8"/>
  <c r="AJ1487" i="8"/>
  <c r="AI1488" i="8"/>
  <c r="AJ1488" i="8"/>
  <c r="AI1489" i="8"/>
  <c r="AJ1489" i="8"/>
  <c r="AI1490" i="8"/>
  <c r="AJ1490" i="8"/>
  <c r="AI1491" i="8"/>
  <c r="AJ1491" i="8"/>
  <c r="AI1492" i="8"/>
  <c r="AJ1492" i="8"/>
  <c r="AI1493" i="8"/>
  <c r="AJ1493" i="8"/>
  <c r="AI1494" i="8"/>
  <c r="AJ1494" i="8"/>
  <c r="AI1495" i="8"/>
  <c r="AJ1495" i="8"/>
  <c r="AI1496" i="8"/>
  <c r="AJ1496" i="8"/>
  <c r="AI1497" i="8"/>
  <c r="AJ1497" i="8"/>
  <c r="AI1498" i="8"/>
  <c r="AJ1498" i="8"/>
  <c r="AI1499" i="8"/>
  <c r="AJ1499" i="8"/>
  <c r="AI1500" i="8"/>
  <c r="AJ1500" i="8"/>
  <c r="AI1501" i="8"/>
  <c r="AJ1501" i="8"/>
  <c r="AI1502" i="8"/>
  <c r="AJ1502" i="8"/>
  <c r="AI1503" i="8"/>
  <c r="AJ1503" i="8"/>
  <c r="AI1504" i="8"/>
  <c r="AJ1504" i="8"/>
  <c r="AI1505" i="8"/>
  <c r="AJ1505" i="8"/>
  <c r="AI1506" i="8"/>
  <c r="AJ1506" i="8"/>
  <c r="AI1507" i="8"/>
  <c r="AJ1507" i="8"/>
  <c r="AI1508" i="8"/>
  <c r="AJ1508" i="8"/>
  <c r="AI1509" i="8"/>
  <c r="AJ1509" i="8"/>
  <c r="AI1510" i="8"/>
  <c r="AJ1510" i="8"/>
  <c r="AI1511" i="8"/>
  <c r="AJ1511" i="8"/>
  <c r="AI1512" i="8"/>
  <c r="AJ1512" i="8"/>
  <c r="AI1513" i="8"/>
  <c r="AJ1513" i="8"/>
  <c r="AI1514" i="8"/>
  <c r="AJ1514" i="8"/>
  <c r="AI1515" i="8"/>
  <c r="AJ1515" i="8"/>
  <c r="AI1516" i="8"/>
  <c r="AJ1516" i="8"/>
  <c r="AI1517" i="8"/>
  <c r="AJ1517" i="8"/>
  <c r="AI1518" i="8"/>
  <c r="AJ1518" i="8"/>
  <c r="AI1519" i="8"/>
  <c r="AJ1519" i="8"/>
  <c r="AI1520" i="8"/>
  <c r="AJ1520" i="8"/>
  <c r="AI1521" i="8"/>
  <c r="AJ1521" i="8"/>
  <c r="AI1522" i="8"/>
  <c r="AJ1522" i="8"/>
  <c r="AI1523" i="8"/>
  <c r="AJ1523" i="8"/>
  <c r="AI1524" i="8"/>
  <c r="AJ1524" i="8"/>
  <c r="AI1525" i="8"/>
  <c r="AJ1525" i="8"/>
  <c r="AI1526" i="8"/>
  <c r="AJ1526" i="8"/>
  <c r="AI1527" i="8"/>
  <c r="AJ1527" i="8"/>
  <c r="AI1528" i="8"/>
  <c r="AJ1528" i="8"/>
  <c r="AI1529" i="8"/>
  <c r="AJ1529" i="8"/>
  <c r="AI1530" i="8"/>
  <c r="AJ1530" i="8"/>
  <c r="AI1531" i="8"/>
  <c r="AJ1531" i="8"/>
  <c r="AI1532" i="8"/>
  <c r="AJ1532" i="8"/>
  <c r="AI1533" i="8"/>
  <c r="AJ1533" i="8"/>
  <c r="AI1534" i="8"/>
  <c r="AJ1534" i="8"/>
  <c r="AI1535" i="8"/>
  <c r="AJ1535" i="8"/>
  <c r="AI1536" i="8"/>
  <c r="AJ1536" i="8"/>
  <c r="AI1537" i="8"/>
  <c r="AJ1537" i="8"/>
  <c r="AI1538" i="8"/>
  <c r="AJ1538" i="8"/>
  <c r="AI1539" i="8"/>
  <c r="AJ1539" i="8"/>
  <c r="AI1540" i="8"/>
  <c r="AJ1540" i="8"/>
  <c r="AI1541" i="8"/>
  <c r="AJ1541" i="8"/>
  <c r="AI1542" i="8"/>
  <c r="AJ1542" i="8"/>
  <c r="AI1543" i="8"/>
  <c r="AJ1543" i="8"/>
  <c r="AI1544" i="8"/>
  <c r="AJ1544" i="8"/>
  <c r="AI1545" i="8"/>
  <c r="AJ1545" i="8"/>
  <c r="AI1546" i="8"/>
  <c r="AJ1546" i="8"/>
  <c r="AI1547" i="8"/>
  <c r="AJ1547" i="8"/>
  <c r="AI1548" i="8"/>
  <c r="AJ1548" i="8"/>
  <c r="AI1549" i="8"/>
  <c r="AJ1549" i="8"/>
  <c r="AI1550" i="8"/>
  <c r="AJ1550" i="8"/>
  <c r="AI1551" i="8"/>
  <c r="AJ1551" i="8"/>
  <c r="AI1552" i="8"/>
  <c r="AJ1552" i="8"/>
  <c r="AI1553" i="8"/>
  <c r="AJ1553" i="8"/>
  <c r="AI1554" i="8"/>
  <c r="AJ1554" i="8"/>
  <c r="AI1555" i="8"/>
  <c r="AJ1555" i="8"/>
  <c r="AI1556" i="8"/>
  <c r="AJ1556" i="8"/>
  <c r="AI1557" i="8"/>
  <c r="AJ1557" i="8"/>
  <c r="AI1558" i="8"/>
  <c r="AJ1558" i="8"/>
  <c r="AI1559" i="8"/>
  <c r="AJ1559" i="8"/>
  <c r="AI1560" i="8"/>
  <c r="AJ1560" i="8"/>
  <c r="AI1561" i="8"/>
  <c r="AJ1561" i="8"/>
  <c r="AI1562" i="8"/>
  <c r="AJ1562" i="8"/>
  <c r="AI1563" i="8"/>
  <c r="AJ1563" i="8"/>
  <c r="AI1564" i="8"/>
  <c r="AJ1564" i="8"/>
  <c r="AI1565" i="8"/>
  <c r="AJ1565" i="8"/>
  <c r="AI1566" i="8"/>
  <c r="AJ1566" i="8"/>
  <c r="AI1567" i="8"/>
  <c r="AJ1567" i="8"/>
  <c r="AI1568" i="8"/>
  <c r="AJ1568" i="8"/>
  <c r="AI1569" i="8"/>
  <c r="AJ1569" i="8"/>
  <c r="AI1570" i="8"/>
  <c r="AJ1570" i="8"/>
  <c r="AI1571" i="8"/>
  <c r="AJ1571" i="8"/>
  <c r="AI1572" i="8"/>
  <c r="AJ1572" i="8"/>
  <c r="AI1573" i="8"/>
  <c r="AJ1573" i="8"/>
  <c r="AI1574" i="8"/>
  <c r="AJ1574" i="8"/>
  <c r="AI1575" i="8"/>
  <c r="AJ1575" i="8"/>
  <c r="AI1576" i="8"/>
  <c r="AJ1576" i="8"/>
  <c r="AI1577" i="8"/>
  <c r="AJ1577" i="8"/>
  <c r="AI1578" i="8"/>
  <c r="AJ1578" i="8"/>
  <c r="AI1579" i="8"/>
  <c r="AJ1579" i="8"/>
  <c r="AI1580" i="8"/>
  <c r="AJ1580" i="8"/>
  <c r="AI1581" i="8"/>
  <c r="AJ1581" i="8"/>
  <c r="AI1582" i="8"/>
  <c r="AJ1582" i="8"/>
  <c r="AI1583" i="8"/>
  <c r="AJ1583" i="8"/>
  <c r="AI1584" i="8"/>
  <c r="AJ1584" i="8"/>
  <c r="AI1585" i="8"/>
  <c r="AJ1585" i="8"/>
  <c r="AI1586" i="8"/>
  <c r="AJ1586" i="8"/>
  <c r="AI1587" i="8"/>
  <c r="AJ1587" i="8"/>
  <c r="AI1588" i="8"/>
  <c r="AJ1588" i="8"/>
  <c r="AI1589" i="8"/>
  <c r="AJ1589" i="8"/>
  <c r="AI1590" i="8"/>
  <c r="AJ1590" i="8"/>
  <c r="AI1591" i="8"/>
  <c r="AJ1591" i="8"/>
  <c r="AI1592" i="8"/>
  <c r="AJ1592" i="8"/>
  <c r="AI1593" i="8"/>
  <c r="AJ1593" i="8"/>
  <c r="AI1594" i="8"/>
  <c r="AJ1594" i="8"/>
  <c r="AI1595" i="8"/>
  <c r="AJ1595" i="8"/>
  <c r="AI1596" i="8"/>
  <c r="AJ1596" i="8"/>
  <c r="AI1597" i="8"/>
  <c r="AJ1597" i="8"/>
  <c r="AI1598" i="8"/>
  <c r="AJ1598" i="8"/>
  <c r="AI1599" i="8"/>
  <c r="AJ1599" i="8"/>
  <c r="AI1600" i="8"/>
  <c r="AJ1600" i="8"/>
  <c r="AI1601" i="8"/>
  <c r="AJ1601" i="8"/>
  <c r="AI1602" i="8"/>
  <c r="AJ1602" i="8"/>
  <c r="AI1603" i="8"/>
  <c r="AJ1603" i="8"/>
  <c r="AI1604" i="8"/>
  <c r="AJ1604" i="8"/>
  <c r="AI1605" i="8"/>
  <c r="AJ1605" i="8"/>
  <c r="AI1606" i="8"/>
  <c r="AJ1606" i="8"/>
  <c r="AI1607" i="8"/>
  <c r="AJ1607" i="8"/>
  <c r="AI1608" i="8"/>
  <c r="AJ1608" i="8"/>
  <c r="AI1609" i="8"/>
  <c r="AJ1609" i="8"/>
  <c r="AI1610" i="8"/>
  <c r="AJ1610" i="8"/>
  <c r="AI1611" i="8"/>
  <c r="AJ1611" i="8"/>
  <c r="AI1612" i="8"/>
  <c r="AJ1612" i="8"/>
  <c r="AI1613" i="8"/>
  <c r="AJ1613" i="8"/>
  <c r="AI1614" i="8"/>
  <c r="AJ1614" i="8"/>
  <c r="AI1615" i="8"/>
  <c r="AJ1615" i="8"/>
  <c r="AI1616" i="8"/>
  <c r="AJ1616" i="8"/>
  <c r="AI1617" i="8"/>
  <c r="AJ1617" i="8"/>
  <c r="AI1618" i="8"/>
  <c r="AJ1618" i="8"/>
  <c r="AI1619" i="8"/>
  <c r="AJ1619" i="8"/>
  <c r="AI1620" i="8"/>
  <c r="AJ1620" i="8"/>
  <c r="AI1621" i="8"/>
  <c r="AJ1621" i="8"/>
  <c r="AI1622" i="8"/>
  <c r="AJ1622" i="8"/>
  <c r="AI1623" i="8"/>
  <c r="AJ1623" i="8"/>
  <c r="AI1624" i="8"/>
  <c r="AJ1624" i="8"/>
  <c r="AI1625" i="8"/>
  <c r="AJ1625" i="8"/>
  <c r="AI1626" i="8"/>
  <c r="AJ1626" i="8"/>
  <c r="AI1627" i="8"/>
  <c r="AJ1627" i="8"/>
  <c r="AI1628" i="8"/>
  <c r="AJ1628" i="8"/>
  <c r="AI1629" i="8"/>
  <c r="AJ1629" i="8"/>
  <c r="AI1630" i="8"/>
  <c r="AJ1630" i="8"/>
  <c r="AI1631" i="8"/>
  <c r="AJ1631" i="8"/>
  <c r="AI1632" i="8"/>
  <c r="AJ1632" i="8"/>
  <c r="AI1633" i="8"/>
  <c r="AJ1633" i="8"/>
  <c r="AI1634" i="8"/>
  <c r="AJ1634" i="8"/>
  <c r="AI1635" i="8"/>
  <c r="AJ1635" i="8"/>
  <c r="AI1636" i="8"/>
  <c r="AJ1636" i="8"/>
  <c r="AI1637" i="8"/>
  <c r="AJ1637" i="8"/>
  <c r="AI1638" i="8"/>
  <c r="AJ1638" i="8"/>
  <c r="AI1639" i="8"/>
  <c r="AJ1639" i="8"/>
  <c r="AI1640" i="8"/>
  <c r="AJ1640" i="8"/>
  <c r="AI1641" i="8"/>
  <c r="AJ1641" i="8"/>
  <c r="AI1642" i="8"/>
  <c r="AJ1642" i="8"/>
  <c r="AI1643" i="8"/>
  <c r="AJ1643" i="8"/>
  <c r="AI1644" i="8"/>
  <c r="AJ1644" i="8"/>
  <c r="AI1645" i="8"/>
  <c r="AJ1645" i="8"/>
  <c r="AI1646" i="8"/>
  <c r="AJ1646" i="8"/>
  <c r="AI1647" i="8"/>
  <c r="AJ1647" i="8"/>
  <c r="AI1648" i="8"/>
  <c r="AJ1648" i="8"/>
  <c r="AI1649" i="8"/>
  <c r="AJ1649" i="8"/>
  <c r="AI1650" i="8"/>
  <c r="AJ1650" i="8"/>
  <c r="AI1651" i="8"/>
  <c r="AJ1651" i="8"/>
  <c r="AI1652" i="8"/>
  <c r="AJ1652" i="8"/>
  <c r="AI1653" i="8"/>
  <c r="AJ1653" i="8"/>
  <c r="AI1654" i="8"/>
  <c r="AJ1654" i="8"/>
  <c r="AI1655" i="8"/>
  <c r="AJ1655" i="8"/>
  <c r="AI1656" i="8"/>
  <c r="AJ1656" i="8"/>
  <c r="AI1657" i="8"/>
  <c r="AJ1657" i="8"/>
  <c r="AI1658" i="8"/>
  <c r="AJ1658" i="8"/>
  <c r="AI1659" i="8"/>
  <c r="AJ1659" i="8"/>
  <c r="AI1660" i="8"/>
  <c r="AJ1660" i="8"/>
  <c r="AI1661" i="8"/>
  <c r="AJ1661" i="8"/>
  <c r="AI1662" i="8"/>
  <c r="AJ1662" i="8"/>
  <c r="AI1663" i="8"/>
  <c r="AJ1663" i="8"/>
  <c r="AI1664" i="8"/>
  <c r="AJ1664" i="8"/>
  <c r="AI1665" i="8"/>
  <c r="AJ1665" i="8"/>
  <c r="AI1666" i="8"/>
  <c r="AJ1666" i="8"/>
  <c r="AI1667" i="8"/>
  <c r="AJ1667" i="8"/>
  <c r="AI1668" i="8"/>
  <c r="AJ1668" i="8"/>
  <c r="AI1669" i="8"/>
  <c r="AJ1669" i="8"/>
  <c r="AI1670" i="8"/>
  <c r="AJ1670" i="8"/>
  <c r="AI1671" i="8"/>
  <c r="AJ1671" i="8"/>
  <c r="AI1672" i="8"/>
  <c r="AJ1672" i="8"/>
  <c r="AI1673" i="8"/>
  <c r="AJ1673" i="8"/>
  <c r="AI1674" i="8"/>
  <c r="AJ1674" i="8"/>
  <c r="AI1675" i="8"/>
  <c r="AJ1675" i="8"/>
  <c r="AI1676" i="8"/>
  <c r="AJ1676" i="8"/>
  <c r="AI1677" i="8"/>
  <c r="AJ1677" i="8"/>
  <c r="AI1678" i="8"/>
  <c r="AJ1678" i="8"/>
  <c r="AI1679" i="8"/>
  <c r="AJ1679" i="8"/>
  <c r="AI1680" i="8"/>
  <c r="AJ1680" i="8"/>
  <c r="AI1681" i="8"/>
  <c r="AJ1681" i="8"/>
  <c r="AI1682" i="8"/>
  <c r="AJ1682" i="8"/>
  <c r="AI1683" i="8"/>
  <c r="AJ1683" i="8"/>
  <c r="AI1684" i="8"/>
  <c r="AJ1684" i="8"/>
  <c r="AI1685" i="8"/>
  <c r="AJ1685" i="8"/>
  <c r="AI1686" i="8"/>
  <c r="AJ1686" i="8"/>
  <c r="AI1687" i="8"/>
  <c r="AJ1687" i="8"/>
  <c r="AI1688" i="8"/>
  <c r="AJ1688" i="8"/>
  <c r="AI1689" i="8"/>
  <c r="AJ1689" i="8"/>
  <c r="AI1690" i="8"/>
  <c r="AJ1690" i="8"/>
  <c r="AI1691" i="8"/>
  <c r="AJ1691" i="8"/>
  <c r="AI1692" i="8"/>
  <c r="AJ1692" i="8"/>
  <c r="AI1693" i="8"/>
  <c r="AJ1693" i="8"/>
  <c r="AI1694" i="8"/>
  <c r="AJ1694" i="8"/>
  <c r="AI1695" i="8"/>
  <c r="AJ1695" i="8"/>
  <c r="AI1696" i="8"/>
  <c r="AJ1696" i="8"/>
  <c r="AI1697" i="8"/>
  <c r="AJ1697" i="8"/>
  <c r="AI1698" i="8"/>
  <c r="AJ1698" i="8"/>
  <c r="AI1699" i="8"/>
  <c r="AJ1699" i="8"/>
  <c r="AI1700" i="8"/>
  <c r="AJ1700" i="8"/>
  <c r="AI1701" i="8"/>
  <c r="AJ1701" i="8"/>
  <c r="AI1702" i="8"/>
  <c r="AJ1702" i="8"/>
  <c r="AI1703" i="8"/>
  <c r="AJ1703" i="8"/>
  <c r="AI1704" i="8"/>
  <c r="AJ1704" i="8"/>
  <c r="AI1705" i="8"/>
  <c r="AJ1705" i="8"/>
  <c r="AI1706" i="8"/>
  <c r="AJ1706" i="8"/>
  <c r="AI1707" i="8"/>
  <c r="AJ1707" i="8"/>
  <c r="AI1708" i="8"/>
  <c r="AJ1708" i="8"/>
  <c r="AI1709" i="8"/>
  <c r="AJ1709" i="8"/>
  <c r="AI1710" i="8"/>
  <c r="AJ1710" i="8"/>
  <c r="AI1711" i="8"/>
  <c r="AJ1711" i="8"/>
  <c r="AI1712" i="8"/>
  <c r="AJ1712" i="8"/>
  <c r="AI1713" i="8"/>
  <c r="AJ1713" i="8"/>
  <c r="AI1714" i="8"/>
  <c r="AJ1714" i="8"/>
  <c r="AI1715" i="8"/>
  <c r="AJ1715" i="8"/>
  <c r="AI1716" i="8"/>
  <c r="AJ1716" i="8"/>
  <c r="AI1717" i="8"/>
  <c r="AJ1717" i="8"/>
  <c r="AI1718" i="8"/>
  <c r="AJ1718" i="8"/>
  <c r="AI1719" i="8"/>
  <c r="AJ1719" i="8"/>
  <c r="AI1720" i="8"/>
  <c r="AJ1720" i="8"/>
  <c r="AI1721" i="8"/>
  <c r="AJ1721" i="8"/>
  <c r="AI1722" i="8"/>
  <c r="AJ1722" i="8"/>
  <c r="AI1723" i="8"/>
  <c r="AJ1723" i="8"/>
  <c r="AI1724" i="8"/>
  <c r="AJ1724" i="8"/>
  <c r="AI1725" i="8"/>
  <c r="AJ1725" i="8"/>
  <c r="AI1726" i="8"/>
  <c r="AJ1726" i="8"/>
  <c r="AI1727" i="8"/>
  <c r="AJ1727" i="8"/>
  <c r="AI1728" i="8"/>
  <c r="AJ1728" i="8"/>
  <c r="AI1729" i="8"/>
  <c r="AJ1729" i="8"/>
  <c r="AI1730" i="8"/>
  <c r="AJ1730" i="8"/>
  <c r="AI1731" i="8"/>
  <c r="AJ1731" i="8"/>
  <c r="AI1732" i="8"/>
  <c r="AJ1732" i="8"/>
  <c r="AI1733" i="8"/>
  <c r="AJ1733" i="8"/>
  <c r="AI1734" i="8"/>
  <c r="AJ1734" i="8"/>
  <c r="AI1735" i="8"/>
  <c r="AJ1735" i="8"/>
  <c r="AI1736" i="8"/>
  <c r="AJ1736" i="8"/>
  <c r="AI1737" i="8"/>
  <c r="AJ1737" i="8"/>
  <c r="AI1738" i="8"/>
  <c r="AJ1738" i="8"/>
  <c r="AI1739" i="8"/>
  <c r="AJ1739" i="8"/>
  <c r="AI1740" i="8"/>
  <c r="AJ1740" i="8"/>
  <c r="AI1741" i="8"/>
  <c r="AJ1741" i="8"/>
  <c r="AI1742" i="8"/>
  <c r="AJ1742" i="8"/>
  <c r="AI1743" i="8"/>
  <c r="AJ1743" i="8"/>
  <c r="AI1744" i="8"/>
  <c r="AJ1744" i="8"/>
  <c r="AI1745" i="8"/>
  <c r="AJ1745" i="8"/>
  <c r="AI1746" i="8"/>
  <c r="AJ1746" i="8"/>
  <c r="AI1747" i="8"/>
  <c r="AJ1747" i="8"/>
  <c r="AI1748" i="8"/>
  <c r="AJ1748" i="8"/>
  <c r="AI1749" i="8"/>
  <c r="AJ1749" i="8"/>
  <c r="AI1750" i="8"/>
  <c r="AJ1750" i="8"/>
  <c r="AI1751" i="8"/>
  <c r="AJ1751" i="8"/>
  <c r="AI1752" i="8"/>
  <c r="AJ1752" i="8"/>
  <c r="AI1753" i="8"/>
  <c r="AJ1753" i="8"/>
  <c r="AI1754" i="8"/>
  <c r="AJ1754" i="8"/>
  <c r="AI1755" i="8"/>
  <c r="AJ1755" i="8"/>
  <c r="AI1756" i="8"/>
  <c r="AJ1756" i="8"/>
  <c r="AI1757" i="8"/>
  <c r="AJ1757" i="8"/>
  <c r="AI1758" i="8"/>
  <c r="AJ1758" i="8"/>
  <c r="AI1759" i="8"/>
  <c r="AJ1759" i="8"/>
  <c r="AI1760" i="8"/>
  <c r="AJ1760" i="8"/>
  <c r="AI1761" i="8"/>
  <c r="AJ1761" i="8"/>
  <c r="AI1762" i="8"/>
  <c r="AJ1762" i="8"/>
  <c r="AI1763" i="8"/>
  <c r="AJ1763" i="8"/>
  <c r="AI1764" i="8"/>
  <c r="AJ1764" i="8"/>
  <c r="AI1765" i="8"/>
  <c r="AJ1765" i="8"/>
  <c r="AI1766" i="8"/>
  <c r="AJ1766" i="8"/>
  <c r="AI1767" i="8"/>
  <c r="AJ1767" i="8"/>
  <c r="AI1768" i="8"/>
  <c r="AJ1768" i="8"/>
  <c r="AI1769" i="8"/>
  <c r="AJ1769" i="8"/>
  <c r="AI1770" i="8"/>
  <c r="AJ1770" i="8"/>
  <c r="AI1771" i="8"/>
  <c r="AJ1771" i="8"/>
  <c r="AI1772" i="8"/>
  <c r="AJ1772" i="8"/>
  <c r="AI1773" i="8"/>
  <c r="AJ1773" i="8"/>
  <c r="AI1774" i="8"/>
  <c r="AJ1774" i="8"/>
  <c r="AI1775" i="8"/>
  <c r="AJ1775" i="8"/>
  <c r="AI1776" i="8"/>
  <c r="AJ1776" i="8"/>
  <c r="AI1777" i="8"/>
  <c r="AJ1777" i="8"/>
  <c r="AI1778" i="8"/>
  <c r="AJ1778" i="8"/>
  <c r="AI1779" i="8"/>
  <c r="AJ1779" i="8"/>
  <c r="AI1780" i="8"/>
  <c r="AJ1780" i="8"/>
  <c r="AI1781" i="8"/>
  <c r="AJ1781" i="8"/>
  <c r="AI1782" i="8"/>
  <c r="AJ1782" i="8"/>
  <c r="AI1783" i="8"/>
  <c r="AJ1783" i="8"/>
  <c r="AI1784" i="8"/>
  <c r="AJ1784" i="8"/>
  <c r="AI1785" i="8"/>
  <c r="AJ1785" i="8"/>
  <c r="AI1786" i="8"/>
  <c r="AJ1786" i="8"/>
  <c r="AI1787" i="8"/>
  <c r="AJ1787" i="8"/>
  <c r="AI1788" i="8"/>
  <c r="AJ1788" i="8"/>
  <c r="AI1789" i="8"/>
  <c r="AJ1789" i="8"/>
  <c r="AI1790" i="8"/>
  <c r="AJ1790" i="8"/>
  <c r="AI1791" i="8"/>
  <c r="AJ1791" i="8"/>
  <c r="AI1792" i="8"/>
  <c r="AJ1792" i="8"/>
  <c r="AI1793" i="8"/>
  <c r="AJ1793" i="8"/>
  <c r="AI1794" i="8"/>
  <c r="AJ1794" i="8"/>
  <c r="AI1795" i="8"/>
  <c r="AJ1795" i="8"/>
  <c r="AI1796" i="8"/>
  <c r="AJ1796" i="8"/>
  <c r="AI1797" i="8"/>
  <c r="AJ1797" i="8"/>
  <c r="AI1798" i="8"/>
  <c r="AJ1798" i="8"/>
  <c r="AI1799" i="8"/>
  <c r="AJ1799" i="8"/>
  <c r="AI1800" i="8"/>
  <c r="AJ1800" i="8"/>
  <c r="AI1801" i="8"/>
  <c r="AJ1801" i="8"/>
  <c r="AI1802" i="8"/>
  <c r="AJ1802" i="8"/>
  <c r="AI1803" i="8"/>
  <c r="AJ1803" i="8"/>
  <c r="AI1804" i="8"/>
  <c r="AJ1804" i="8"/>
  <c r="AI1805" i="8"/>
  <c r="AJ1805" i="8"/>
  <c r="AI1806" i="8"/>
  <c r="AJ1806" i="8"/>
  <c r="AI1807" i="8"/>
  <c r="AJ1807" i="8"/>
  <c r="AI1808" i="8"/>
  <c r="AJ1808" i="8"/>
  <c r="AI1809" i="8"/>
  <c r="AJ1809" i="8"/>
  <c r="AI1810" i="8"/>
  <c r="AJ1810" i="8"/>
  <c r="AI1811" i="8"/>
  <c r="AJ1811" i="8"/>
  <c r="AI1812" i="8"/>
  <c r="AJ1812" i="8"/>
  <c r="AI1813" i="8"/>
  <c r="AJ1813" i="8"/>
  <c r="AI1814" i="8"/>
  <c r="AJ1814" i="8"/>
  <c r="AI1815" i="8"/>
  <c r="AJ1815" i="8"/>
  <c r="AI1816" i="8"/>
  <c r="AJ1816" i="8"/>
  <c r="AI1817" i="8"/>
  <c r="AJ1817" i="8"/>
  <c r="AI1818" i="8"/>
  <c r="AJ1818" i="8"/>
  <c r="AI1819" i="8"/>
  <c r="AJ1819" i="8"/>
  <c r="AI1820" i="8"/>
  <c r="AJ1820" i="8"/>
  <c r="AI1821" i="8"/>
  <c r="AJ1821" i="8"/>
  <c r="AI1822" i="8"/>
  <c r="AJ1822" i="8"/>
  <c r="AI1823" i="8"/>
  <c r="AJ1823" i="8"/>
  <c r="AI1824" i="8"/>
  <c r="AJ1824" i="8"/>
  <c r="AI1825" i="8"/>
  <c r="AJ1825" i="8"/>
  <c r="AI1826" i="8"/>
  <c r="AJ1826" i="8"/>
  <c r="AI1827" i="8"/>
  <c r="AJ1827" i="8"/>
  <c r="AI1828" i="8"/>
  <c r="AJ1828" i="8"/>
  <c r="AI1829" i="8"/>
  <c r="AJ1829" i="8"/>
  <c r="AI1830" i="8"/>
  <c r="AJ1830" i="8"/>
  <c r="AI1831" i="8"/>
  <c r="AJ1831" i="8"/>
  <c r="AI1832" i="8"/>
  <c r="AJ1832" i="8"/>
  <c r="AI1833" i="8"/>
  <c r="AJ1833" i="8"/>
  <c r="AI1834" i="8"/>
  <c r="AJ1834" i="8"/>
  <c r="AI1835" i="8"/>
  <c r="AJ1835" i="8"/>
  <c r="AI1836" i="8"/>
  <c r="AJ1836" i="8"/>
  <c r="AI1837" i="8"/>
  <c r="AJ1837" i="8"/>
  <c r="AI1838" i="8"/>
  <c r="AJ1838" i="8"/>
  <c r="AI1839" i="8"/>
  <c r="AJ1839" i="8"/>
  <c r="AI1840" i="8"/>
  <c r="AJ1840" i="8"/>
  <c r="AI1841" i="8"/>
  <c r="AJ1841" i="8"/>
  <c r="AI1842" i="8"/>
  <c r="AJ1842" i="8"/>
  <c r="AI1843" i="8"/>
  <c r="AJ1843" i="8"/>
  <c r="AI1844" i="8"/>
  <c r="AJ1844" i="8"/>
  <c r="AI1845" i="8"/>
  <c r="AJ1845" i="8"/>
  <c r="AI1846" i="8"/>
  <c r="AJ1846" i="8"/>
  <c r="AI1847" i="8"/>
  <c r="AJ1847" i="8"/>
  <c r="AI1848" i="8"/>
  <c r="AJ1848" i="8"/>
  <c r="AI1849" i="8"/>
  <c r="AJ1849" i="8"/>
  <c r="AI1850" i="8"/>
  <c r="AJ1850" i="8"/>
  <c r="AI1851" i="8"/>
  <c r="AJ1851" i="8"/>
  <c r="AI1852" i="8"/>
  <c r="AJ1852" i="8"/>
  <c r="AI1853" i="8"/>
  <c r="AJ1853" i="8"/>
  <c r="AI1854" i="8"/>
  <c r="AJ1854" i="8"/>
  <c r="AI1855" i="8"/>
  <c r="AJ1855" i="8"/>
  <c r="AI1856" i="8"/>
  <c r="AJ1856" i="8"/>
  <c r="AI1857" i="8"/>
  <c r="AJ1857" i="8"/>
  <c r="AI1858" i="8"/>
  <c r="AJ1858" i="8"/>
  <c r="AI1859" i="8"/>
  <c r="AJ1859" i="8"/>
  <c r="AI1860" i="8"/>
  <c r="AJ1860" i="8"/>
  <c r="AI1861" i="8"/>
  <c r="AJ1861" i="8"/>
  <c r="AI1862" i="8"/>
  <c r="AJ1862" i="8"/>
  <c r="AI1863" i="8"/>
  <c r="AJ1863" i="8"/>
  <c r="AI1864" i="8"/>
  <c r="AJ1864" i="8"/>
  <c r="AI1865" i="8"/>
  <c r="AJ1865" i="8"/>
  <c r="AI1866" i="8"/>
  <c r="AJ1866" i="8"/>
  <c r="AI1867" i="8"/>
  <c r="AJ1867" i="8"/>
  <c r="AI1868" i="8"/>
  <c r="AJ1868" i="8"/>
  <c r="AI1869" i="8"/>
  <c r="AJ1869" i="8"/>
  <c r="AI1870" i="8"/>
  <c r="AJ1870" i="8"/>
  <c r="AI1871" i="8"/>
  <c r="AJ1871" i="8"/>
  <c r="AI1872" i="8"/>
  <c r="AJ1872" i="8"/>
  <c r="AI1873" i="8"/>
  <c r="AJ1873" i="8"/>
  <c r="AI1874" i="8"/>
  <c r="AJ1874" i="8"/>
  <c r="AI1875" i="8"/>
  <c r="AJ1875" i="8"/>
  <c r="AI1876" i="8"/>
  <c r="AJ1876" i="8"/>
  <c r="AI1877" i="8"/>
  <c r="AJ1877" i="8"/>
  <c r="AI1878" i="8"/>
  <c r="AJ1878" i="8"/>
  <c r="AI1879" i="8"/>
  <c r="AJ1879" i="8"/>
  <c r="AI1880" i="8"/>
  <c r="AJ1880" i="8"/>
  <c r="AI1881" i="8"/>
  <c r="AJ1881" i="8"/>
  <c r="AI1882" i="8"/>
  <c r="AJ1882" i="8"/>
  <c r="AI1883" i="8"/>
  <c r="AJ1883" i="8"/>
  <c r="AI1884" i="8"/>
  <c r="AJ1884" i="8"/>
  <c r="AI1885" i="8"/>
  <c r="AJ1885" i="8"/>
  <c r="AI1886" i="8"/>
  <c r="AJ1886" i="8"/>
  <c r="AI1887" i="8"/>
  <c r="AJ1887" i="8"/>
  <c r="AI1888" i="8"/>
  <c r="AJ1888" i="8"/>
  <c r="AI1889" i="8"/>
  <c r="AJ1889" i="8"/>
  <c r="AI1890" i="8"/>
  <c r="AJ1890" i="8"/>
  <c r="AI1891" i="8"/>
  <c r="AJ1891" i="8"/>
  <c r="AI1892" i="8"/>
  <c r="AJ1892" i="8"/>
  <c r="AI1893" i="8"/>
  <c r="AJ1893" i="8"/>
  <c r="AI1894" i="8"/>
  <c r="AJ1894" i="8"/>
  <c r="AI1895" i="8"/>
  <c r="AJ1895" i="8"/>
  <c r="AI1896" i="8"/>
  <c r="AJ1896" i="8"/>
  <c r="AI1897" i="8"/>
  <c r="AJ1897" i="8"/>
  <c r="AI1898" i="8"/>
  <c r="AJ1898" i="8"/>
  <c r="AI1899" i="8"/>
  <c r="AJ1899" i="8"/>
  <c r="AI1900" i="8"/>
  <c r="AJ1900" i="8"/>
  <c r="AI1901" i="8"/>
  <c r="AJ1901" i="8"/>
  <c r="AI1902" i="8"/>
  <c r="AJ1902" i="8"/>
  <c r="AI1903" i="8"/>
  <c r="AJ1903" i="8"/>
  <c r="AI1904" i="8"/>
  <c r="AJ1904" i="8"/>
  <c r="AI1905" i="8"/>
  <c r="AJ1905" i="8"/>
  <c r="AI1906" i="8"/>
  <c r="AJ1906" i="8"/>
  <c r="AI1907" i="8"/>
  <c r="AJ1907" i="8"/>
  <c r="AI1908" i="8"/>
  <c r="AJ1908" i="8"/>
  <c r="AI1909" i="8"/>
  <c r="AJ1909" i="8"/>
  <c r="AI1910" i="8"/>
  <c r="AJ1910" i="8"/>
  <c r="AI1911" i="8"/>
  <c r="AJ1911" i="8"/>
  <c r="AI1912" i="8"/>
  <c r="AJ1912" i="8"/>
  <c r="AI1913" i="8"/>
  <c r="AJ1913" i="8"/>
  <c r="AI1914" i="8"/>
  <c r="AJ1914" i="8"/>
  <c r="AI1915" i="8"/>
  <c r="AJ1915" i="8"/>
  <c r="AI1916" i="8"/>
  <c r="AJ1916" i="8"/>
  <c r="AI1917" i="8"/>
  <c r="AJ1917" i="8"/>
  <c r="AI1918" i="8"/>
  <c r="AJ1918" i="8"/>
  <c r="AI1919" i="8"/>
  <c r="AJ1919" i="8"/>
  <c r="AI1920" i="8"/>
  <c r="AJ1920" i="8"/>
  <c r="AI1921" i="8"/>
  <c r="AJ1921" i="8"/>
  <c r="AI1922" i="8"/>
  <c r="AJ1922" i="8"/>
  <c r="AI1923" i="8"/>
  <c r="AJ1923" i="8"/>
  <c r="AI1924" i="8"/>
  <c r="AJ1924" i="8"/>
  <c r="AI1925" i="8"/>
  <c r="AJ1925" i="8"/>
  <c r="AI1926" i="8"/>
  <c r="AJ1926" i="8"/>
  <c r="AI1927" i="8"/>
  <c r="AJ1927" i="8"/>
  <c r="AI1928" i="8"/>
  <c r="AJ1928" i="8"/>
  <c r="AI1929" i="8"/>
  <c r="AJ1929" i="8"/>
  <c r="AI1930" i="8"/>
  <c r="AJ1930" i="8"/>
  <c r="AI1931" i="8"/>
  <c r="AJ1931" i="8"/>
  <c r="AI1932" i="8"/>
  <c r="AJ1932" i="8"/>
  <c r="AI1933" i="8"/>
  <c r="AJ1933" i="8"/>
  <c r="AI1934" i="8"/>
  <c r="AJ1934" i="8"/>
  <c r="AI1935" i="8"/>
  <c r="AJ1935" i="8"/>
  <c r="AI1936" i="8"/>
  <c r="AJ1936" i="8"/>
  <c r="AI1937" i="8"/>
  <c r="AJ1937" i="8"/>
  <c r="AI1938" i="8"/>
  <c r="AJ1938" i="8"/>
  <c r="AI1939" i="8"/>
  <c r="AJ1939" i="8"/>
  <c r="AI1940" i="8"/>
  <c r="AJ1940" i="8"/>
  <c r="AI1941" i="8"/>
  <c r="AJ1941" i="8"/>
  <c r="AI1942" i="8"/>
  <c r="AJ1942" i="8"/>
  <c r="AI1943" i="8"/>
  <c r="AJ1943" i="8"/>
  <c r="AI1944" i="8"/>
  <c r="AJ1944" i="8"/>
  <c r="AI1945" i="8"/>
  <c r="AJ1945" i="8"/>
  <c r="AI1946" i="8"/>
  <c r="AJ1946" i="8"/>
  <c r="AI1947" i="8"/>
  <c r="AJ1947" i="8"/>
  <c r="AI1948" i="8"/>
  <c r="AJ1948" i="8"/>
  <c r="AI1949" i="8"/>
  <c r="AJ1949" i="8"/>
  <c r="AI1950" i="8"/>
  <c r="AJ1950" i="8"/>
  <c r="AI1951" i="8"/>
  <c r="AJ1951" i="8"/>
  <c r="AI1952" i="8"/>
  <c r="AJ1952" i="8"/>
  <c r="AI1953" i="8"/>
  <c r="AJ1953" i="8"/>
  <c r="AI1954" i="8"/>
  <c r="AJ1954" i="8"/>
  <c r="AI1955" i="8"/>
  <c r="AJ1955" i="8"/>
  <c r="AI1956" i="8"/>
  <c r="AJ1956" i="8"/>
  <c r="AI1957" i="8"/>
  <c r="AJ1957" i="8"/>
  <c r="AI1958" i="8"/>
  <c r="AJ1958" i="8"/>
  <c r="AI1959" i="8"/>
  <c r="AJ1959" i="8"/>
  <c r="AI1960" i="8"/>
  <c r="AJ1960" i="8"/>
  <c r="AI1961" i="8"/>
  <c r="AJ1961" i="8"/>
  <c r="AI1962" i="8"/>
  <c r="AJ1962" i="8"/>
  <c r="AI1963" i="8"/>
  <c r="AJ1963" i="8"/>
  <c r="AI1964" i="8"/>
  <c r="AJ1964" i="8"/>
  <c r="AI1965" i="8"/>
  <c r="AJ1965" i="8"/>
  <c r="AI1966" i="8"/>
  <c r="AJ1966" i="8"/>
  <c r="AI1967" i="8"/>
  <c r="AJ1967" i="8"/>
  <c r="AI1968" i="8"/>
  <c r="AJ1968" i="8"/>
  <c r="AI1969" i="8"/>
  <c r="AJ1969" i="8"/>
  <c r="AI1970" i="8"/>
  <c r="AJ1970" i="8"/>
  <c r="AI1971" i="8"/>
  <c r="AJ1971" i="8"/>
  <c r="AI1972" i="8"/>
  <c r="AJ1972" i="8"/>
  <c r="AI1973" i="8"/>
  <c r="AJ1973" i="8"/>
  <c r="AI1974" i="8"/>
  <c r="AJ1974" i="8"/>
  <c r="AI1975" i="8"/>
  <c r="AJ1975" i="8"/>
  <c r="AI1976" i="8"/>
  <c r="AJ1976" i="8"/>
  <c r="AI1977" i="8"/>
  <c r="AJ1977" i="8"/>
  <c r="AI1978" i="8"/>
  <c r="AJ1978" i="8"/>
  <c r="AI1979" i="8"/>
  <c r="AJ1979" i="8"/>
  <c r="AI1980" i="8"/>
  <c r="AJ1980" i="8"/>
  <c r="AI1981" i="8"/>
  <c r="AJ1981" i="8"/>
  <c r="AI1982" i="8"/>
  <c r="AJ1982" i="8"/>
  <c r="AI1983" i="8"/>
  <c r="AJ1983" i="8"/>
  <c r="AI1984" i="8"/>
  <c r="AJ1984" i="8"/>
  <c r="AI1985" i="8"/>
  <c r="AJ1985" i="8"/>
  <c r="AI1986" i="8"/>
  <c r="AJ1986" i="8"/>
  <c r="AI1987" i="8"/>
  <c r="AJ1987" i="8"/>
  <c r="AI1988" i="8"/>
  <c r="AJ1988" i="8"/>
  <c r="AI1989" i="8"/>
  <c r="AJ1989" i="8"/>
  <c r="AI1990" i="8"/>
  <c r="AJ1990" i="8"/>
  <c r="AI1991" i="8"/>
  <c r="AJ1991" i="8"/>
  <c r="AI1992" i="8"/>
  <c r="AJ1992" i="8"/>
  <c r="AI1993" i="8"/>
  <c r="AJ1993" i="8"/>
  <c r="AI1994" i="8"/>
  <c r="AJ1994" i="8"/>
  <c r="AI1995" i="8"/>
  <c r="AJ1995" i="8"/>
  <c r="AI1996" i="8"/>
  <c r="AJ1996" i="8"/>
  <c r="AI1997" i="8"/>
  <c r="AJ1997" i="8"/>
  <c r="AI1998" i="8"/>
  <c r="AJ1998" i="8"/>
  <c r="AI1999" i="8"/>
  <c r="AJ1999" i="8"/>
  <c r="AI2000" i="8"/>
  <c r="AJ2000" i="8"/>
  <c r="AI2001" i="8"/>
  <c r="AJ2001" i="8"/>
  <c r="AI2002" i="8"/>
  <c r="AJ2002" i="8"/>
  <c r="AI2003" i="8"/>
  <c r="AJ2003" i="8"/>
  <c r="AI2004" i="8"/>
  <c r="AJ2004" i="8"/>
  <c r="AI2005" i="8"/>
  <c r="AJ2005" i="8"/>
  <c r="AI2006" i="8"/>
  <c r="AJ2006" i="8"/>
  <c r="AI2007" i="8"/>
  <c r="AJ2007" i="8"/>
  <c r="AI2008" i="8"/>
  <c r="AJ2008" i="8"/>
  <c r="AI2009" i="8"/>
  <c r="AJ2009" i="8"/>
  <c r="AI2010" i="8"/>
  <c r="AJ2010" i="8"/>
  <c r="AI2011" i="8"/>
  <c r="AJ2011" i="8"/>
  <c r="AI2012" i="8"/>
  <c r="AJ2012" i="8"/>
  <c r="AI2013" i="8"/>
  <c r="AJ2013" i="8"/>
  <c r="AI2014" i="8"/>
  <c r="AJ2014" i="8"/>
  <c r="AI2015" i="8"/>
  <c r="AJ2015" i="8"/>
  <c r="AI2016" i="8"/>
  <c r="AJ2016" i="8"/>
  <c r="AI2017" i="8"/>
  <c r="AJ2017" i="8"/>
  <c r="AI2018" i="8"/>
  <c r="AJ2018" i="8"/>
  <c r="AI2019" i="8"/>
  <c r="AJ2019" i="8"/>
  <c r="AI2020" i="8"/>
  <c r="AJ2020" i="8"/>
  <c r="AI2021" i="8"/>
  <c r="AJ2021" i="8"/>
  <c r="AI2022" i="8"/>
  <c r="AJ2022" i="8"/>
  <c r="AI2023" i="8"/>
  <c r="AJ2023" i="8"/>
  <c r="AI2024" i="8"/>
  <c r="AJ2024" i="8"/>
  <c r="AI2025" i="8"/>
  <c r="AJ2025" i="8"/>
  <c r="AI2026" i="8"/>
  <c r="AJ2026" i="8"/>
  <c r="AI2027" i="8"/>
  <c r="AJ2027" i="8"/>
  <c r="AI2028" i="8"/>
  <c r="AJ2028" i="8"/>
  <c r="AI2029" i="8"/>
  <c r="AJ2029" i="8"/>
  <c r="AI2030" i="8"/>
  <c r="AJ2030" i="8"/>
  <c r="AI2031" i="8"/>
  <c r="AJ2031" i="8"/>
  <c r="AI2032" i="8"/>
  <c r="AJ2032" i="8"/>
  <c r="AI2033" i="8"/>
  <c r="AJ2033" i="8"/>
  <c r="AI2034" i="8"/>
  <c r="AJ2034" i="8"/>
  <c r="AI2035" i="8"/>
  <c r="AJ2035" i="8"/>
  <c r="AI2036" i="8"/>
  <c r="AJ2036" i="8"/>
  <c r="AI2037" i="8"/>
  <c r="AJ2037" i="8"/>
  <c r="AI2038" i="8"/>
  <c r="AJ2038" i="8"/>
  <c r="AI2039" i="8"/>
  <c r="AJ2039" i="8"/>
  <c r="AI2040" i="8"/>
  <c r="AJ2040" i="8"/>
  <c r="AI2041" i="8"/>
  <c r="AJ2041" i="8"/>
  <c r="AI2042" i="8"/>
  <c r="AJ2042" i="8"/>
  <c r="AI2043" i="8"/>
  <c r="AJ2043" i="8"/>
  <c r="AI2044" i="8"/>
  <c r="AJ2044" i="8"/>
  <c r="AI2045" i="8"/>
  <c r="AJ2045" i="8"/>
  <c r="AI2046" i="8"/>
  <c r="AJ2046" i="8"/>
  <c r="AI2047" i="8"/>
  <c r="AJ2047" i="8"/>
  <c r="AI2048" i="8"/>
  <c r="AJ2048" i="8"/>
  <c r="AI2049" i="8"/>
  <c r="AJ2049" i="8"/>
  <c r="AI2050" i="8"/>
  <c r="AJ2050" i="8"/>
  <c r="AI2051" i="8"/>
  <c r="AJ2051" i="8"/>
  <c r="AI2052" i="8"/>
  <c r="AJ2052" i="8"/>
  <c r="AI2053" i="8"/>
  <c r="AJ2053" i="8"/>
  <c r="AI2054" i="8"/>
  <c r="AJ2054" i="8"/>
  <c r="AI2055" i="8"/>
  <c r="AJ2055" i="8"/>
  <c r="AI2056" i="8"/>
  <c r="AJ2056" i="8"/>
  <c r="AI2057" i="8"/>
  <c r="AJ2057" i="8"/>
  <c r="AI2058" i="8"/>
  <c r="AJ2058" i="8"/>
  <c r="AI2059" i="8"/>
  <c r="AJ2059" i="8"/>
  <c r="AI2060" i="8"/>
  <c r="AJ2060" i="8"/>
  <c r="AI2061" i="8"/>
  <c r="AJ2061" i="8"/>
  <c r="AI2062" i="8"/>
  <c r="AJ2062" i="8"/>
  <c r="AI2063" i="8"/>
  <c r="AJ2063" i="8"/>
  <c r="AI2064" i="8"/>
  <c r="AJ2064" i="8"/>
  <c r="AI2065" i="8"/>
  <c r="AJ2065" i="8"/>
  <c r="AI2066" i="8"/>
  <c r="AJ2066" i="8"/>
  <c r="AI2067" i="8"/>
  <c r="AJ2067" i="8"/>
  <c r="AI2068" i="8"/>
  <c r="AJ2068" i="8"/>
  <c r="AI2069" i="8"/>
  <c r="AJ2069" i="8"/>
  <c r="AI2070" i="8"/>
  <c r="AJ2070" i="8"/>
  <c r="AI2071" i="8"/>
  <c r="AJ2071" i="8"/>
  <c r="AI2072" i="8"/>
  <c r="AJ2072" i="8"/>
  <c r="AI2073" i="8"/>
  <c r="AJ2073" i="8"/>
  <c r="AI2074" i="8"/>
  <c r="AJ2074" i="8"/>
  <c r="AI2075" i="8"/>
  <c r="AJ2075" i="8"/>
  <c r="AI2076" i="8"/>
  <c r="AJ2076" i="8"/>
  <c r="AI2077" i="8"/>
  <c r="AJ2077" i="8"/>
  <c r="AI2078" i="8"/>
  <c r="AJ2078" i="8"/>
  <c r="AI2079" i="8"/>
  <c r="AJ2079" i="8"/>
  <c r="AI2080" i="8"/>
  <c r="AJ2080" i="8"/>
  <c r="AI2081" i="8"/>
  <c r="AJ2081" i="8"/>
  <c r="AI2082" i="8"/>
  <c r="AJ2082" i="8"/>
  <c r="AI2083" i="8"/>
  <c r="AJ2083" i="8"/>
  <c r="AI2084" i="8"/>
  <c r="AJ2084" i="8"/>
  <c r="AI2085" i="8"/>
  <c r="AJ2085" i="8"/>
  <c r="AI2086" i="8"/>
  <c r="AJ2086" i="8"/>
  <c r="AI2087" i="8"/>
  <c r="AJ2087" i="8"/>
  <c r="AI2088" i="8"/>
  <c r="AJ2088" i="8"/>
  <c r="AI2089" i="8"/>
  <c r="AJ2089" i="8"/>
  <c r="AI2090" i="8"/>
  <c r="AJ2090" i="8"/>
  <c r="AI2091" i="8"/>
  <c r="AJ2091" i="8"/>
  <c r="AI2092" i="8"/>
  <c r="AJ2092" i="8"/>
  <c r="AI2093" i="8"/>
  <c r="AJ2093" i="8"/>
  <c r="AI2094" i="8"/>
  <c r="AJ2094" i="8"/>
  <c r="AI2095" i="8"/>
  <c r="AJ2095" i="8"/>
  <c r="AI2096" i="8"/>
  <c r="AJ2096" i="8"/>
  <c r="AI2097" i="8"/>
  <c r="AJ2097" i="8"/>
  <c r="AI2098" i="8"/>
  <c r="AJ2098" i="8"/>
  <c r="AI2099" i="8"/>
  <c r="AJ2099" i="8"/>
  <c r="AI2100" i="8"/>
  <c r="AJ2100" i="8"/>
  <c r="AI2101" i="8"/>
  <c r="AJ2101" i="8"/>
  <c r="AI2102" i="8"/>
  <c r="AJ2102" i="8"/>
  <c r="AI2103" i="8"/>
  <c r="AJ2103" i="8"/>
  <c r="AI2104" i="8"/>
  <c r="AJ2104" i="8"/>
  <c r="AI2105" i="8"/>
  <c r="AJ2105" i="8"/>
  <c r="AI2106" i="8"/>
  <c r="AJ2106" i="8"/>
  <c r="AI2107" i="8"/>
  <c r="AJ2107" i="8"/>
  <c r="AI2108" i="8"/>
  <c r="AJ2108" i="8"/>
  <c r="AI2109" i="8"/>
  <c r="AJ2109" i="8"/>
  <c r="AI2110" i="8"/>
  <c r="AJ2110" i="8"/>
  <c r="AI2111" i="8"/>
  <c r="AJ2111" i="8"/>
  <c r="AI2112" i="8"/>
  <c r="AJ2112" i="8"/>
  <c r="AI2113" i="8"/>
  <c r="AJ2113" i="8"/>
  <c r="AI2114" i="8"/>
  <c r="AJ2114" i="8"/>
  <c r="AI2115" i="8"/>
  <c r="AJ2115" i="8"/>
  <c r="AI2116" i="8"/>
  <c r="AJ2116" i="8"/>
  <c r="AI2117" i="8"/>
  <c r="AJ2117" i="8"/>
  <c r="AI2118" i="8"/>
  <c r="AJ2118" i="8"/>
  <c r="AI2119" i="8"/>
  <c r="AJ2119" i="8"/>
  <c r="AI2120" i="8"/>
  <c r="AJ2120" i="8"/>
  <c r="AI2121" i="8"/>
  <c r="AJ2121" i="8"/>
  <c r="AI2122" i="8"/>
  <c r="AJ2122" i="8"/>
  <c r="AI2123" i="8"/>
  <c r="AJ2123" i="8"/>
  <c r="AI2124" i="8"/>
  <c r="AJ2124" i="8"/>
  <c r="AI2125" i="8"/>
  <c r="AJ2125" i="8"/>
  <c r="AI2126" i="8"/>
  <c r="AJ2126" i="8"/>
  <c r="AI2127" i="8"/>
  <c r="AJ2127" i="8"/>
  <c r="AI2128" i="8"/>
  <c r="AJ2128" i="8"/>
  <c r="AI2129" i="8"/>
  <c r="AJ2129" i="8"/>
  <c r="AI2130" i="8"/>
  <c r="AJ2130" i="8"/>
  <c r="AI2131" i="8"/>
  <c r="AJ2131" i="8"/>
  <c r="AI2132" i="8"/>
  <c r="AJ2132" i="8"/>
  <c r="AI2133" i="8"/>
  <c r="AJ2133" i="8"/>
  <c r="AI2134" i="8"/>
  <c r="AJ2134" i="8"/>
  <c r="AI2135" i="8"/>
  <c r="AJ2135" i="8"/>
  <c r="AI2136" i="8"/>
  <c r="AJ2136" i="8"/>
  <c r="AI2137" i="8"/>
  <c r="AJ2137" i="8"/>
  <c r="AI2138" i="8"/>
  <c r="AJ2138" i="8"/>
  <c r="AI2139" i="8"/>
  <c r="AJ2139" i="8"/>
  <c r="AI2140" i="8"/>
  <c r="AJ2140" i="8"/>
  <c r="AI2141" i="8"/>
  <c r="AJ2141" i="8"/>
  <c r="AI2142" i="8"/>
  <c r="AJ2142" i="8"/>
  <c r="AI2143" i="8"/>
  <c r="AJ2143" i="8"/>
  <c r="AI2144" i="8"/>
  <c r="AJ2144" i="8"/>
  <c r="AI2145" i="8"/>
  <c r="AJ2145" i="8"/>
  <c r="AI2146" i="8"/>
  <c r="AJ2146" i="8"/>
  <c r="AI2147" i="8"/>
  <c r="AJ2147" i="8"/>
  <c r="AI2148" i="8"/>
  <c r="AJ2148" i="8"/>
  <c r="AI2149" i="8"/>
  <c r="AJ2149" i="8"/>
  <c r="AI2150" i="8"/>
  <c r="AJ2150" i="8"/>
  <c r="AI2151" i="8"/>
  <c r="AJ2151" i="8"/>
  <c r="AI2152" i="8"/>
  <c r="AJ2152" i="8"/>
  <c r="AI2153" i="8"/>
  <c r="AJ2153" i="8"/>
  <c r="AI2154" i="8"/>
  <c r="AJ2154" i="8"/>
  <c r="AI2155" i="8"/>
  <c r="AJ2155" i="8"/>
  <c r="AI2156" i="8"/>
  <c r="AJ2156" i="8"/>
  <c r="AI2157" i="8"/>
  <c r="AJ2157" i="8"/>
  <c r="AI2158" i="8"/>
  <c r="AJ2158" i="8"/>
  <c r="AI2159" i="8"/>
  <c r="AJ2159" i="8"/>
  <c r="AI2160" i="8"/>
  <c r="AJ2160" i="8"/>
  <c r="AI2161" i="8"/>
  <c r="AJ2161" i="8"/>
  <c r="AI2162" i="8"/>
  <c r="AJ2162" i="8"/>
  <c r="AI2163" i="8"/>
  <c r="AJ2163" i="8"/>
  <c r="AI2164" i="8"/>
  <c r="AJ2164" i="8"/>
  <c r="AI2165" i="8"/>
  <c r="AJ2165" i="8"/>
  <c r="AI2166" i="8"/>
  <c r="AJ2166" i="8"/>
  <c r="AI2167" i="8"/>
  <c r="AJ2167" i="8"/>
  <c r="AI2168" i="8"/>
  <c r="AJ2168" i="8"/>
  <c r="AI2169" i="8"/>
  <c r="AJ2169" i="8"/>
  <c r="AI2170" i="8"/>
  <c r="AJ2170" i="8"/>
  <c r="AI2171" i="8"/>
  <c r="AJ2171" i="8"/>
  <c r="AI2172" i="8"/>
  <c r="AJ2172" i="8"/>
  <c r="AI2173" i="8"/>
  <c r="AJ2173" i="8"/>
  <c r="AI2174" i="8"/>
  <c r="AJ2174" i="8"/>
  <c r="AI2175" i="8"/>
  <c r="AJ2175" i="8"/>
  <c r="AI2176" i="8"/>
  <c r="AJ2176" i="8"/>
  <c r="AI2177" i="8"/>
  <c r="AJ2177" i="8"/>
  <c r="AI2178" i="8"/>
  <c r="AJ2178" i="8"/>
  <c r="AI2179" i="8"/>
  <c r="AJ2179" i="8"/>
  <c r="AI2180" i="8"/>
  <c r="AJ2180" i="8"/>
  <c r="AI2181" i="8"/>
  <c r="AJ2181" i="8"/>
  <c r="AI2182" i="8"/>
  <c r="AJ2182" i="8"/>
  <c r="AI2183" i="8"/>
  <c r="AJ2183" i="8"/>
  <c r="AI2184" i="8"/>
  <c r="AJ2184" i="8"/>
  <c r="AI2185" i="8"/>
  <c r="AJ2185" i="8"/>
  <c r="AI2186" i="8"/>
  <c r="AJ2186" i="8"/>
  <c r="AI2187" i="8"/>
  <c r="AJ2187" i="8"/>
  <c r="AI2188" i="8"/>
  <c r="AJ2188" i="8"/>
  <c r="AI2189" i="8"/>
  <c r="AJ2189" i="8"/>
  <c r="AI2190" i="8"/>
  <c r="AJ2190" i="8"/>
  <c r="AI2191" i="8"/>
  <c r="AJ2191" i="8"/>
  <c r="AI2192" i="8"/>
  <c r="AJ2192" i="8"/>
  <c r="AI2193" i="8"/>
  <c r="AJ2193" i="8"/>
  <c r="AI2194" i="8"/>
  <c r="AJ2194" i="8"/>
  <c r="AI2195" i="8"/>
  <c r="AJ2195" i="8"/>
  <c r="AI2196" i="8"/>
  <c r="AJ2196" i="8"/>
  <c r="AI2197" i="8"/>
  <c r="AJ2197" i="8"/>
  <c r="AI2198" i="8"/>
  <c r="AJ2198" i="8"/>
  <c r="AI2199" i="8"/>
  <c r="AJ2199" i="8"/>
  <c r="AI2200" i="8"/>
  <c r="AJ2200" i="8"/>
  <c r="AI2201" i="8"/>
  <c r="AJ2201" i="8"/>
  <c r="AI2202" i="8"/>
  <c r="AJ2202" i="8"/>
  <c r="AI2203" i="8"/>
  <c r="AJ2203" i="8"/>
  <c r="AI2204" i="8"/>
  <c r="AJ2204" i="8"/>
  <c r="AI2205" i="8"/>
  <c r="AJ2205" i="8"/>
  <c r="AI2206" i="8"/>
  <c r="AJ2206" i="8"/>
  <c r="AI2207" i="8"/>
  <c r="AJ2207" i="8"/>
  <c r="AI2208" i="8"/>
  <c r="AJ2208" i="8"/>
  <c r="AI2209" i="8"/>
  <c r="AJ2209" i="8"/>
  <c r="AI2210" i="8"/>
  <c r="AJ2210" i="8"/>
  <c r="AI2211" i="8"/>
  <c r="AJ2211" i="8"/>
  <c r="AI2212" i="8"/>
  <c r="AJ2212" i="8"/>
  <c r="AI2213" i="8"/>
  <c r="AJ2213" i="8"/>
  <c r="AI2214" i="8"/>
  <c r="AJ2214" i="8"/>
  <c r="AI2215" i="8"/>
  <c r="AJ2215" i="8"/>
  <c r="AI2216" i="8"/>
  <c r="AJ2216" i="8"/>
  <c r="AI2217" i="8"/>
  <c r="AJ2217" i="8"/>
  <c r="AI2218" i="8"/>
  <c r="AJ2218" i="8"/>
  <c r="AI2219" i="8"/>
  <c r="AJ2219" i="8"/>
  <c r="AI2220" i="8"/>
  <c r="AJ2220" i="8"/>
  <c r="AI2221" i="8"/>
  <c r="AJ2221" i="8"/>
  <c r="AI2222" i="8"/>
  <c r="AJ2222" i="8"/>
  <c r="AI2223" i="8"/>
  <c r="AJ2223" i="8"/>
  <c r="AI2224" i="8"/>
  <c r="AJ2224" i="8"/>
  <c r="AI2225" i="8"/>
  <c r="AJ2225" i="8"/>
  <c r="AI2226" i="8"/>
  <c r="AJ2226" i="8"/>
  <c r="AI2227" i="8"/>
  <c r="AJ2227" i="8"/>
  <c r="AI2228" i="8"/>
  <c r="AJ2228" i="8"/>
  <c r="AI2229" i="8"/>
  <c r="AJ2229" i="8"/>
  <c r="AI2230" i="8"/>
  <c r="AJ2230" i="8"/>
  <c r="AI2231" i="8"/>
  <c r="AJ2231" i="8"/>
  <c r="AI2232" i="8"/>
  <c r="AJ2232" i="8"/>
  <c r="AI2233" i="8"/>
  <c r="AJ2233" i="8"/>
  <c r="AI2234" i="8"/>
  <c r="AJ2234" i="8"/>
  <c r="AI2235" i="8"/>
  <c r="AJ2235" i="8"/>
  <c r="AI2236" i="8"/>
  <c r="AJ2236" i="8"/>
  <c r="AI2237" i="8"/>
  <c r="AJ2237" i="8"/>
  <c r="AI2238" i="8"/>
  <c r="AJ2238" i="8"/>
  <c r="AI2239" i="8"/>
  <c r="AJ2239" i="8"/>
  <c r="AI2240" i="8"/>
  <c r="AJ2240" i="8"/>
  <c r="AI2241" i="8"/>
  <c r="AJ2241" i="8"/>
  <c r="AI2242" i="8"/>
  <c r="AJ2242" i="8"/>
  <c r="AI2243" i="8"/>
  <c r="AJ2243" i="8"/>
  <c r="AI2244" i="8"/>
  <c r="AJ2244" i="8"/>
  <c r="AI2245" i="8"/>
  <c r="AJ2245" i="8"/>
  <c r="AI2246" i="8"/>
  <c r="AJ2246" i="8"/>
  <c r="AI2247" i="8"/>
  <c r="AJ2247" i="8"/>
  <c r="AI2248" i="8"/>
  <c r="AJ2248" i="8"/>
  <c r="AI2249" i="8"/>
  <c r="AJ2249" i="8"/>
  <c r="AI2250" i="8"/>
  <c r="AJ2250" i="8"/>
  <c r="AI2251" i="8"/>
  <c r="AJ2251" i="8"/>
  <c r="AI2252" i="8"/>
  <c r="AJ2252" i="8"/>
  <c r="AI2253" i="8"/>
  <c r="AJ2253" i="8"/>
  <c r="AI2254" i="8"/>
  <c r="AJ2254" i="8"/>
  <c r="AI2255" i="8"/>
  <c r="AJ2255" i="8"/>
  <c r="AI2256" i="8"/>
  <c r="AJ2256" i="8"/>
  <c r="AI2257" i="8"/>
  <c r="AJ2257" i="8"/>
  <c r="AI2258" i="8"/>
  <c r="AJ2258" i="8"/>
  <c r="AI2259" i="8"/>
  <c r="AJ2259" i="8"/>
  <c r="AI2260" i="8"/>
  <c r="AJ2260" i="8"/>
  <c r="AI2261" i="8"/>
  <c r="AJ2261" i="8"/>
  <c r="AI2262" i="8"/>
  <c r="AJ2262" i="8"/>
  <c r="AI2263" i="8"/>
  <c r="AJ2263" i="8"/>
  <c r="AI2264" i="8"/>
  <c r="AJ2264" i="8"/>
  <c r="AI2265" i="8"/>
  <c r="AJ2265" i="8"/>
  <c r="AI2266" i="8"/>
  <c r="AJ2266" i="8"/>
  <c r="AI2267" i="8"/>
  <c r="AJ2267" i="8"/>
  <c r="AI2268" i="8"/>
  <c r="AJ2268" i="8"/>
  <c r="AI2269" i="8"/>
  <c r="AJ2269" i="8"/>
  <c r="AI2270" i="8"/>
  <c r="AJ2270" i="8"/>
  <c r="AI2271" i="8"/>
  <c r="AJ2271" i="8"/>
  <c r="AI2272" i="8"/>
  <c r="AJ2272" i="8"/>
  <c r="AI2273" i="8"/>
  <c r="AJ2273" i="8"/>
  <c r="AI2274" i="8"/>
  <c r="AJ2274" i="8"/>
  <c r="AI2275" i="8"/>
  <c r="AJ2275" i="8"/>
  <c r="AI2276" i="8"/>
  <c r="AJ2276" i="8"/>
  <c r="AI2277" i="8"/>
  <c r="AJ2277" i="8"/>
  <c r="AI2278" i="8"/>
  <c r="AJ2278" i="8"/>
  <c r="AI2279" i="8"/>
  <c r="AJ2279" i="8"/>
  <c r="AI2280" i="8"/>
  <c r="AJ2280" i="8"/>
  <c r="AI2281" i="8"/>
  <c r="AJ2281" i="8"/>
  <c r="AI2282" i="8"/>
  <c r="AJ2282" i="8"/>
  <c r="AI2283" i="8"/>
  <c r="AJ2283" i="8"/>
  <c r="AI2284" i="8"/>
  <c r="AJ2284" i="8"/>
  <c r="AI2285" i="8"/>
  <c r="AJ2285" i="8"/>
  <c r="AI2286" i="8"/>
  <c r="AJ2286" i="8"/>
  <c r="AI2287" i="8"/>
  <c r="AJ2287" i="8"/>
  <c r="AI2288" i="8"/>
  <c r="AJ2288" i="8"/>
  <c r="AI2289" i="8"/>
  <c r="AJ2289" i="8"/>
  <c r="AI2290" i="8"/>
  <c r="AJ2290" i="8"/>
  <c r="AI2291" i="8"/>
  <c r="AJ2291" i="8"/>
  <c r="AI2292" i="8"/>
  <c r="AJ2292" i="8"/>
  <c r="AI2293" i="8"/>
  <c r="AJ2293" i="8"/>
  <c r="AI2294" i="8"/>
  <c r="AJ2294" i="8"/>
  <c r="AI2295" i="8"/>
  <c r="AJ2295" i="8"/>
  <c r="AI2296" i="8"/>
  <c r="AJ2296" i="8"/>
  <c r="AI2297" i="8"/>
  <c r="AJ2297" i="8"/>
  <c r="AI2298" i="8"/>
  <c r="AJ2298" i="8"/>
  <c r="AI2299" i="8"/>
  <c r="AJ2299" i="8"/>
  <c r="AI2300" i="8"/>
  <c r="AJ2300" i="8"/>
  <c r="AI2301" i="8"/>
  <c r="AJ2301" i="8"/>
  <c r="AI2302" i="8"/>
  <c r="AJ2302" i="8"/>
  <c r="AI2303" i="8"/>
  <c r="AJ2303" i="8"/>
  <c r="AI2304" i="8"/>
  <c r="AJ2304" i="8"/>
  <c r="AI2305" i="8"/>
  <c r="AJ2305" i="8"/>
  <c r="AI2306" i="8"/>
  <c r="AJ2306" i="8"/>
  <c r="AI2307" i="8"/>
  <c r="AJ2307" i="8"/>
  <c r="AI2308" i="8"/>
  <c r="AJ2308" i="8"/>
  <c r="AI2309" i="8"/>
  <c r="AJ2309" i="8"/>
  <c r="AI2310" i="8"/>
  <c r="AJ2310" i="8"/>
  <c r="AI2311" i="8"/>
  <c r="AJ2311" i="8"/>
  <c r="AI2312" i="8"/>
  <c r="AJ2312" i="8"/>
  <c r="AI2313" i="8"/>
  <c r="AJ2313" i="8"/>
  <c r="AI2314" i="8"/>
  <c r="AJ2314" i="8"/>
  <c r="AI2315" i="8"/>
  <c r="AJ2315" i="8"/>
  <c r="AI2316" i="8"/>
  <c r="AJ2316" i="8"/>
  <c r="AI2317" i="8"/>
  <c r="AJ2317" i="8"/>
  <c r="AI2318" i="8"/>
  <c r="AJ2318" i="8"/>
  <c r="AI2319" i="8"/>
  <c r="AJ2319" i="8"/>
  <c r="AI2320" i="8"/>
  <c r="AJ2320" i="8"/>
  <c r="AI2321" i="8"/>
  <c r="AJ2321" i="8"/>
  <c r="AI2322" i="8"/>
  <c r="AJ2322" i="8"/>
  <c r="AI2323" i="8"/>
  <c r="AJ2323" i="8"/>
  <c r="AI2324" i="8"/>
  <c r="AJ2324" i="8"/>
  <c r="AI2325" i="8"/>
  <c r="AJ2325" i="8"/>
  <c r="AI2326" i="8"/>
  <c r="AJ2326" i="8"/>
  <c r="AI2327" i="8"/>
  <c r="AJ2327" i="8"/>
  <c r="AI2328" i="8"/>
  <c r="AJ2328" i="8"/>
  <c r="AI2329" i="8"/>
  <c r="AJ2329" i="8"/>
  <c r="AI2330" i="8"/>
  <c r="AJ2330" i="8"/>
  <c r="AI2331" i="8"/>
  <c r="AJ2331" i="8"/>
  <c r="AI2332" i="8"/>
  <c r="AJ2332" i="8"/>
  <c r="AI2333" i="8"/>
  <c r="AJ2333" i="8"/>
  <c r="AI2334" i="8"/>
  <c r="AJ2334" i="8"/>
  <c r="AI2335" i="8"/>
  <c r="AJ2335" i="8"/>
  <c r="AI2336" i="8"/>
  <c r="AJ2336" i="8"/>
  <c r="AI2337" i="8"/>
  <c r="AJ2337" i="8"/>
  <c r="AI2338" i="8"/>
  <c r="AJ2338" i="8"/>
  <c r="AI2339" i="8"/>
  <c r="AJ2339" i="8"/>
  <c r="AI2340" i="8"/>
  <c r="AJ2340" i="8"/>
  <c r="AI2341" i="8"/>
  <c r="AJ2341" i="8"/>
  <c r="AI2342" i="8"/>
  <c r="AJ2342" i="8"/>
  <c r="AI2343" i="8"/>
  <c r="AJ2343" i="8"/>
  <c r="AI2344" i="8"/>
  <c r="AJ2344" i="8"/>
  <c r="AI2345" i="8"/>
  <c r="AJ2345" i="8"/>
  <c r="AI2346" i="8"/>
  <c r="AJ2346" i="8"/>
  <c r="AI2347" i="8"/>
  <c r="AJ2347" i="8"/>
  <c r="AI2348" i="8"/>
  <c r="AJ2348" i="8"/>
  <c r="AI2349" i="8"/>
  <c r="AJ2349" i="8"/>
  <c r="AI2350" i="8"/>
  <c r="AJ2350" i="8"/>
  <c r="AI2351" i="8"/>
  <c r="AJ2351" i="8"/>
  <c r="AI2352" i="8"/>
  <c r="AJ2352" i="8"/>
  <c r="AI2353" i="8"/>
  <c r="AJ2353" i="8"/>
  <c r="AI2354" i="8"/>
  <c r="AJ2354" i="8"/>
  <c r="AI2355" i="8"/>
  <c r="AJ2355" i="8"/>
  <c r="AI2356" i="8"/>
  <c r="AJ2356" i="8"/>
  <c r="AI2357" i="8"/>
  <c r="AJ2357" i="8"/>
  <c r="AI2358" i="8"/>
  <c r="AJ2358" i="8"/>
  <c r="AI2359" i="8"/>
  <c r="AJ2359" i="8"/>
  <c r="AI2360" i="8"/>
  <c r="AJ2360" i="8"/>
  <c r="AI2361" i="8"/>
  <c r="AJ2361" i="8"/>
  <c r="AI2362" i="8"/>
  <c r="AJ2362" i="8"/>
  <c r="AI2363" i="8"/>
  <c r="AJ2363" i="8"/>
  <c r="AI2364" i="8"/>
  <c r="AJ2364" i="8"/>
  <c r="AI2365" i="8"/>
  <c r="AJ2365" i="8"/>
  <c r="AI2366" i="8"/>
  <c r="AJ2366" i="8"/>
  <c r="AI2367" i="8"/>
  <c r="AJ2367" i="8"/>
  <c r="AI2368" i="8"/>
  <c r="AJ2368" i="8"/>
  <c r="AI2369" i="8"/>
  <c r="AJ2369" i="8"/>
  <c r="AI2370" i="8"/>
  <c r="AJ2370" i="8"/>
  <c r="AI2371" i="8"/>
  <c r="AJ2371" i="8"/>
  <c r="AI2372" i="8"/>
  <c r="AJ2372" i="8"/>
  <c r="AI2373" i="8"/>
  <c r="AJ2373" i="8"/>
  <c r="AI2374" i="8"/>
  <c r="AJ2374" i="8"/>
  <c r="AI2375" i="8"/>
  <c r="AJ2375" i="8"/>
  <c r="AI2376" i="8"/>
  <c r="AJ2376" i="8"/>
  <c r="AI2377" i="8"/>
  <c r="AJ2377" i="8"/>
  <c r="AI2378" i="8"/>
  <c r="AJ2378" i="8"/>
  <c r="AI2379" i="8"/>
  <c r="AJ2379" i="8"/>
  <c r="AI2380" i="8"/>
  <c r="AJ2380" i="8"/>
  <c r="AI2381" i="8"/>
  <c r="AJ2381" i="8"/>
  <c r="AI2382" i="8"/>
  <c r="AJ2382" i="8"/>
  <c r="AI2383" i="8"/>
  <c r="AJ2383" i="8"/>
  <c r="AI2384" i="8"/>
  <c r="AJ2384" i="8"/>
  <c r="AI2385" i="8"/>
  <c r="AJ2385" i="8"/>
  <c r="AI2386" i="8"/>
  <c r="AJ2386" i="8"/>
  <c r="AI2387" i="8"/>
  <c r="AJ2387" i="8"/>
  <c r="AI2388" i="8"/>
  <c r="AJ2388" i="8"/>
  <c r="AI2389" i="8"/>
  <c r="AJ2389" i="8"/>
  <c r="AI2390" i="8"/>
  <c r="AJ2390" i="8"/>
  <c r="AI2391" i="8"/>
  <c r="AJ2391" i="8"/>
  <c r="AI2392" i="8"/>
  <c r="AJ2392" i="8"/>
  <c r="AI2393" i="8"/>
  <c r="AJ2393" i="8"/>
  <c r="AI2394" i="8"/>
  <c r="AJ2394" i="8"/>
  <c r="AI2395" i="8"/>
  <c r="AJ2395" i="8"/>
  <c r="AI2396" i="8"/>
  <c r="AJ2396" i="8"/>
  <c r="AI2397" i="8"/>
  <c r="AJ2397" i="8"/>
  <c r="AI2398" i="8"/>
  <c r="AJ2398" i="8"/>
  <c r="AI2399" i="8"/>
  <c r="AJ2399" i="8"/>
  <c r="AI2400" i="8"/>
  <c r="AJ2400" i="8"/>
  <c r="AI2401" i="8"/>
  <c r="AJ2401" i="8"/>
  <c r="AI2402" i="8"/>
  <c r="AJ2402" i="8"/>
  <c r="AI2403" i="8"/>
  <c r="AJ2403" i="8"/>
  <c r="AI2404" i="8"/>
  <c r="AJ2404" i="8"/>
  <c r="AI2405" i="8"/>
  <c r="AJ2405" i="8"/>
  <c r="AI2406" i="8"/>
  <c r="AJ2406" i="8"/>
  <c r="AI2407" i="8"/>
  <c r="AJ2407" i="8"/>
  <c r="AI2408" i="8"/>
  <c r="AJ2408" i="8"/>
  <c r="AI2409" i="8"/>
  <c r="AJ2409" i="8"/>
  <c r="AI2410" i="8"/>
  <c r="AJ2410" i="8"/>
  <c r="AI2411" i="8"/>
  <c r="AJ2411" i="8"/>
  <c r="AI2412" i="8"/>
  <c r="AJ2412" i="8"/>
  <c r="AI2413" i="8"/>
  <c r="AJ2413" i="8"/>
  <c r="AI2414" i="8"/>
  <c r="AJ2414" i="8"/>
  <c r="AI2415" i="8"/>
  <c r="AJ2415" i="8"/>
  <c r="AI2416" i="8"/>
  <c r="AJ2416" i="8"/>
  <c r="AI2417" i="8"/>
  <c r="AJ2417" i="8"/>
  <c r="AI2418" i="8"/>
  <c r="AJ2418" i="8"/>
  <c r="AI2419" i="8"/>
  <c r="AJ2419" i="8"/>
  <c r="AI2420" i="8"/>
  <c r="AJ2420" i="8"/>
  <c r="AI2421" i="8"/>
  <c r="AJ2421" i="8"/>
  <c r="AI2422" i="8"/>
  <c r="AJ2422" i="8"/>
  <c r="AI2423" i="8"/>
  <c r="AJ2423" i="8"/>
  <c r="AI2424" i="8"/>
  <c r="AJ2424" i="8"/>
  <c r="AI2425" i="8"/>
  <c r="AJ2425" i="8"/>
  <c r="AI2426" i="8"/>
  <c r="AJ2426" i="8"/>
  <c r="AI2427" i="8"/>
  <c r="AJ2427" i="8"/>
  <c r="AI2428" i="8"/>
  <c r="AJ2428" i="8"/>
  <c r="AI2429" i="8"/>
  <c r="AJ2429" i="8"/>
  <c r="AI2430" i="8"/>
  <c r="AJ2430" i="8"/>
  <c r="AI2431" i="8"/>
  <c r="AJ2431" i="8"/>
  <c r="AI2432" i="8"/>
  <c r="AJ2432" i="8"/>
  <c r="AI2433" i="8"/>
  <c r="AJ2433" i="8"/>
  <c r="AI2434" i="8"/>
  <c r="AJ2434" i="8"/>
  <c r="AI2435" i="8"/>
  <c r="AJ2435" i="8"/>
  <c r="AI2436" i="8"/>
  <c r="AJ2436" i="8"/>
  <c r="AI2437" i="8"/>
  <c r="AJ2437" i="8"/>
  <c r="AI2438" i="8"/>
  <c r="AJ2438" i="8"/>
  <c r="AI2439" i="8"/>
  <c r="AJ2439" i="8"/>
  <c r="AI2440" i="8"/>
  <c r="AJ2440" i="8"/>
  <c r="AI2441" i="8"/>
  <c r="AJ2441" i="8"/>
  <c r="AI2442" i="8"/>
  <c r="AJ2442" i="8"/>
  <c r="AI2443" i="8"/>
  <c r="AJ2443" i="8"/>
  <c r="AI2444" i="8"/>
  <c r="AJ2444" i="8"/>
  <c r="AI2445" i="8"/>
  <c r="AJ2445" i="8"/>
  <c r="AI2446" i="8"/>
  <c r="AJ2446" i="8"/>
  <c r="AI2447" i="8"/>
  <c r="AJ2447" i="8"/>
  <c r="AI2448" i="8"/>
  <c r="AJ2448" i="8"/>
  <c r="AI2449" i="8"/>
  <c r="AJ2449" i="8"/>
  <c r="AI2450" i="8"/>
  <c r="AJ2450" i="8"/>
  <c r="AI2451" i="8"/>
  <c r="AJ2451" i="8"/>
  <c r="AI2452" i="8"/>
  <c r="AJ2452" i="8"/>
  <c r="AI2453" i="8"/>
  <c r="AJ2453" i="8"/>
  <c r="AI2454" i="8"/>
  <c r="AJ2454" i="8"/>
  <c r="AI2455" i="8"/>
  <c r="AJ2455" i="8"/>
  <c r="AI2456" i="8"/>
  <c r="AJ2456" i="8"/>
  <c r="AI2457" i="8"/>
  <c r="AJ2457" i="8"/>
  <c r="AI2458" i="8"/>
  <c r="AJ2458" i="8"/>
  <c r="AI2459" i="8"/>
  <c r="AJ2459" i="8"/>
  <c r="AI2460" i="8"/>
  <c r="AJ2460" i="8"/>
  <c r="AI2461" i="8"/>
  <c r="AJ2461" i="8"/>
  <c r="AI2462" i="8"/>
  <c r="AJ2462" i="8"/>
  <c r="AI2463" i="8"/>
  <c r="AJ2463" i="8"/>
  <c r="AI2464" i="8"/>
  <c r="AJ2464" i="8"/>
  <c r="AI2465" i="8"/>
  <c r="AJ2465" i="8"/>
  <c r="AI2466" i="8"/>
  <c r="AJ2466" i="8"/>
  <c r="AI2467" i="8"/>
  <c r="AJ2467" i="8"/>
  <c r="AI2468" i="8"/>
  <c r="AJ2468" i="8"/>
  <c r="AI2469" i="8"/>
  <c r="AJ2469" i="8"/>
  <c r="AI2470" i="8"/>
  <c r="AJ2470" i="8"/>
  <c r="AI2471" i="8"/>
  <c r="AJ2471" i="8"/>
  <c r="AI2472" i="8"/>
  <c r="AJ2472" i="8"/>
  <c r="AI2473" i="8"/>
  <c r="AJ2473" i="8"/>
  <c r="AI2474" i="8"/>
  <c r="AJ2474" i="8"/>
  <c r="AI2475" i="8"/>
  <c r="AJ2475" i="8"/>
  <c r="AI2476" i="8"/>
  <c r="AJ2476" i="8"/>
  <c r="AI2477" i="8"/>
  <c r="AJ2477" i="8"/>
  <c r="AI2478" i="8"/>
  <c r="AJ2478" i="8"/>
  <c r="AI2479" i="8"/>
  <c r="AJ2479" i="8"/>
  <c r="AI2480" i="8"/>
  <c r="AJ2480" i="8"/>
  <c r="AI2481" i="8"/>
  <c r="AJ2481" i="8"/>
  <c r="AI2482" i="8"/>
  <c r="AJ2482" i="8"/>
  <c r="AI2483" i="8"/>
  <c r="AJ2483" i="8"/>
  <c r="AI2484" i="8"/>
  <c r="AJ2484" i="8"/>
  <c r="AI2485" i="8"/>
  <c r="AJ2485" i="8"/>
  <c r="AI2486" i="8"/>
  <c r="AJ2486" i="8"/>
  <c r="AI2487" i="8"/>
  <c r="AJ2487" i="8"/>
  <c r="AI2488" i="8"/>
  <c r="AJ2488" i="8"/>
  <c r="AI2489" i="8"/>
  <c r="AJ2489" i="8"/>
  <c r="AI2490" i="8"/>
  <c r="AJ2490" i="8"/>
  <c r="AI2491" i="8"/>
  <c r="AJ2491" i="8"/>
  <c r="AI2492" i="8"/>
  <c r="AJ2492" i="8"/>
  <c r="AI2493" i="8"/>
  <c r="AJ2493" i="8"/>
  <c r="AI2494" i="8"/>
  <c r="AJ2494" i="8"/>
  <c r="AI2495" i="8"/>
  <c r="AJ2495" i="8"/>
  <c r="AI2496" i="8"/>
  <c r="AJ2496" i="8"/>
  <c r="AI2497" i="8"/>
  <c r="AJ2497" i="8"/>
  <c r="AI2498" i="8"/>
  <c r="AJ2498" i="8"/>
  <c r="AI2499" i="8"/>
  <c r="AJ2499" i="8"/>
  <c r="AI2500" i="8"/>
  <c r="AJ2500" i="8"/>
  <c r="AI2501" i="8"/>
  <c r="AJ2501" i="8"/>
  <c r="AI2502" i="8"/>
  <c r="AJ2502" i="8"/>
  <c r="AI2503" i="8"/>
  <c r="AJ2503" i="8"/>
  <c r="AI2504" i="8"/>
  <c r="AJ2504" i="8"/>
  <c r="AI2505" i="8"/>
  <c r="AJ2505" i="8"/>
  <c r="AI2506" i="8"/>
  <c r="AJ2506" i="8"/>
  <c r="AI2507" i="8"/>
  <c r="AJ2507" i="8"/>
  <c r="AI2508" i="8"/>
  <c r="AJ2508" i="8"/>
  <c r="AI2509" i="8"/>
  <c r="AJ2509" i="8"/>
  <c r="AI2510" i="8"/>
  <c r="AJ2510" i="8"/>
  <c r="AI2511" i="8"/>
  <c r="AJ2511" i="8"/>
  <c r="AI2512" i="8"/>
  <c r="AJ2512" i="8"/>
  <c r="AI2513" i="8"/>
  <c r="AJ2513" i="8"/>
  <c r="AI2514" i="8"/>
  <c r="AJ2514" i="8"/>
  <c r="AI2515" i="8"/>
  <c r="AJ2515" i="8"/>
  <c r="AI2516" i="8"/>
  <c r="AJ2516" i="8"/>
  <c r="AI2517" i="8"/>
  <c r="AJ2517" i="8"/>
  <c r="AI2518" i="8"/>
  <c r="AJ2518" i="8"/>
  <c r="AI2519" i="8"/>
  <c r="AJ2519" i="8"/>
  <c r="AI2520" i="8"/>
  <c r="AJ2520" i="8"/>
  <c r="AI2521" i="8"/>
  <c r="AJ2521" i="8"/>
  <c r="AI2522" i="8"/>
  <c r="AJ2522" i="8"/>
  <c r="AI2523" i="8"/>
  <c r="AJ2523" i="8"/>
  <c r="AI2524" i="8"/>
  <c r="AJ2524" i="8"/>
  <c r="AI2525" i="8"/>
  <c r="AJ2525" i="8"/>
  <c r="AI2526" i="8"/>
  <c r="AJ2526" i="8"/>
  <c r="AI2527" i="8"/>
  <c r="AJ2527" i="8"/>
  <c r="AI2528" i="8"/>
  <c r="AJ2528" i="8"/>
  <c r="AI2529" i="8"/>
  <c r="AJ2529" i="8"/>
  <c r="AI2530" i="8"/>
  <c r="AJ2530" i="8"/>
  <c r="AI2531" i="8"/>
  <c r="AJ2531" i="8"/>
  <c r="AI2532" i="8"/>
  <c r="AJ2532" i="8"/>
  <c r="AI2533" i="8"/>
  <c r="AJ2533" i="8"/>
  <c r="AI2534" i="8"/>
  <c r="AJ2534" i="8"/>
  <c r="AI2535" i="8"/>
  <c r="AJ2535" i="8"/>
  <c r="AI2536" i="8"/>
  <c r="AJ2536" i="8"/>
  <c r="AI2537" i="8"/>
  <c r="AJ2537" i="8"/>
  <c r="AI2538" i="8"/>
  <c r="AJ2538" i="8"/>
  <c r="AI2539" i="8"/>
  <c r="AJ2539" i="8"/>
  <c r="AI2540" i="8"/>
  <c r="AJ2540" i="8"/>
  <c r="AI2541" i="8"/>
  <c r="AJ2541" i="8"/>
  <c r="AI2542" i="8"/>
  <c r="AJ2542" i="8"/>
  <c r="AI2543" i="8"/>
  <c r="AJ2543" i="8"/>
  <c r="AI2544" i="8"/>
  <c r="AJ2544" i="8"/>
  <c r="AI2545" i="8"/>
  <c r="AJ2545" i="8"/>
  <c r="AI2546" i="8"/>
  <c r="AJ2546" i="8"/>
  <c r="AI2547" i="8"/>
  <c r="AJ2547" i="8"/>
  <c r="AI2548" i="8"/>
  <c r="AJ2548" i="8"/>
  <c r="AI2549" i="8"/>
  <c r="AJ2549" i="8"/>
  <c r="AI2550" i="8"/>
  <c r="AJ2550" i="8"/>
  <c r="AI2551" i="8"/>
  <c r="AJ2551" i="8"/>
  <c r="AI2552" i="8"/>
  <c r="AJ2552" i="8"/>
  <c r="AI2553" i="8"/>
  <c r="AJ2553" i="8"/>
  <c r="AI2554" i="8"/>
  <c r="AJ2554" i="8"/>
  <c r="AI2555" i="8"/>
  <c r="AJ2555" i="8"/>
  <c r="AI2556" i="8"/>
  <c r="AJ2556" i="8"/>
  <c r="AI2557" i="8"/>
  <c r="AJ2557" i="8"/>
  <c r="AI2558" i="8"/>
  <c r="AJ2558" i="8"/>
  <c r="AI2559" i="8"/>
  <c r="AJ2559" i="8"/>
  <c r="AI2560" i="8"/>
  <c r="AJ2560" i="8"/>
  <c r="AI2561" i="8"/>
  <c r="AJ2561" i="8"/>
  <c r="AI2562" i="8"/>
  <c r="AJ2562" i="8"/>
  <c r="AI2563" i="8"/>
  <c r="AJ2563" i="8"/>
  <c r="AI2564" i="8"/>
  <c r="AJ2564" i="8"/>
  <c r="AI2565" i="8"/>
  <c r="AJ2565" i="8"/>
  <c r="AI2566" i="8"/>
  <c r="AJ2566" i="8"/>
  <c r="AI2567" i="8"/>
  <c r="AJ2567" i="8"/>
  <c r="AI2568" i="8"/>
  <c r="AJ2568" i="8"/>
  <c r="AI2569" i="8"/>
  <c r="AJ2569" i="8"/>
  <c r="AI2570" i="8"/>
  <c r="AJ2570" i="8"/>
  <c r="AI2571" i="8"/>
  <c r="AJ2571" i="8"/>
  <c r="AI2572" i="8"/>
  <c r="AJ2572" i="8"/>
  <c r="AI2573" i="8"/>
  <c r="AJ2573" i="8"/>
  <c r="AI2574" i="8"/>
  <c r="AJ2574" i="8"/>
  <c r="AI2575" i="8"/>
  <c r="AJ2575" i="8"/>
  <c r="AI2576" i="8"/>
  <c r="AJ2576" i="8"/>
  <c r="AI2577" i="8"/>
  <c r="AJ2577" i="8"/>
  <c r="AI2578" i="8"/>
  <c r="AJ2578" i="8"/>
  <c r="AI2579" i="8"/>
  <c r="AJ2579" i="8"/>
  <c r="AI2580" i="8"/>
  <c r="AJ2580" i="8"/>
  <c r="AI2581" i="8"/>
  <c r="AJ2581" i="8"/>
  <c r="AI2582" i="8"/>
  <c r="AJ2582" i="8"/>
  <c r="AI2583" i="8"/>
  <c r="AJ2583" i="8"/>
  <c r="AI2584" i="8"/>
  <c r="AJ2584" i="8"/>
  <c r="AI2585" i="8"/>
  <c r="AJ2585" i="8"/>
  <c r="AI2586" i="8"/>
  <c r="AJ2586" i="8"/>
  <c r="AI2587" i="8"/>
  <c r="AJ2587" i="8"/>
  <c r="AI2588" i="8"/>
  <c r="AJ2588" i="8"/>
  <c r="AI2589" i="8"/>
  <c r="AJ2589" i="8"/>
  <c r="AI2590" i="8"/>
  <c r="AJ2590" i="8"/>
  <c r="AI2591" i="8"/>
  <c r="AJ2591" i="8"/>
  <c r="AI2592" i="8"/>
  <c r="AJ2592" i="8"/>
  <c r="AI2593" i="8"/>
  <c r="AJ2593" i="8"/>
  <c r="AI2594" i="8"/>
  <c r="AJ2594" i="8"/>
  <c r="AI2595" i="8"/>
  <c r="AJ2595" i="8"/>
  <c r="AI2596" i="8"/>
  <c r="AJ2596" i="8"/>
  <c r="AI2597" i="8"/>
  <c r="AJ2597" i="8"/>
  <c r="AI2598" i="8"/>
  <c r="AJ2598" i="8"/>
  <c r="AI2599" i="8"/>
  <c r="AJ2599" i="8"/>
  <c r="AI2600" i="8"/>
  <c r="AJ2600" i="8"/>
  <c r="AI2601" i="8"/>
  <c r="AJ2601" i="8"/>
  <c r="AI2602" i="8"/>
  <c r="AJ2602" i="8"/>
  <c r="AI2603" i="8"/>
  <c r="AJ2603" i="8"/>
  <c r="AI2604" i="8"/>
  <c r="AJ2604" i="8"/>
  <c r="AI2605" i="8"/>
  <c r="AJ2605" i="8"/>
  <c r="AI2606" i="8"/>
  <c r="AJ2606" i="8"/>
  <c r="AI2607" i="8"/>
  <c r="AJ2607" i="8"/>
  <c r="AI2608" i="8"/>
  <c r="AJ2608" i="8"/>
  <c r="AI2609" i="8"/>
  <c r="AJ2609" i="8"/>
  <c r="AI2610" i="8"/>
  <c r="AJ2610" i="8"/>
  <c r="AI2611" i="8"/>
  <c r="AJ2611" i="8"/>
  <c r="AI2612" i="8"/>
  <c r="AJ2612" i="8"/>
  <c r="AI2613" i="8"/>
  <c r="AJ2613" i="8"/>
  <c r="AI2614" i="8"/>
  <c r="AJ2614" i="8"/>
  <c r="AI2615" i="8"/>
  <c r="AJ2615" i="8"/>
  <c r="AI2616" i="8"/>
  <c r="AJ2616" i="8"/>
  <c r="AI2617" i="8"/>
  <c r="AJ2617" i="8"/>
  <c r="AI2618" i="8"/>
  <c r="AJ2618" i="8"/>
  <c r="AI2619" i="8"/>
  <c r="AJ2619" i="8"/>
  <c r="AI2620" i="8"/>
  <c r="AJ2620" i="8"/>
  <c r="AI2621" i="8"/>
  <c r="AJ2621" i="8"/>
  <c r="AI2622" i="8"/>
  <c r="AJ2622" i="8"/>
  <c r="AI2623" i="8"/>
  <c r="AJ2623" i="8"/>
  <c r="AI2624" i="8"/>
  <c r="AJ2624" i="8"/>
  <c r="AI2625" i="8"/>
  <c r="AJ2625" i="8"/>
  <c r="AI2626" i="8"/>
  <c r="AJ2626" i="8"/>
  <c r="AI2627" i="8"/>
  <c r="AJ2627" i="8"/>
  <c r="AI2628" i="8"/>
  <c r="AJ2628" i="8"/>
  <c r="AI2629" i="8"/>
  <c r="AJ2629" i="8"/>
  <c r="AI2630" i="8"/>
  <c r="AJ2630" i="8"/>
  <c r="AI2631" i="8"/>
  <c r="AJ2631" i="8"/>
  <c r="AI2632" i="8"/>
  <c r="AJ2632" i="8"/>
  <c r="AI2633" i="8"/>
  <c r="AJ2633" i="8"/>
  <c r="AI2634" i="8"/>
  <c r="AJ2634" i="8"/>
  <c r="AI2635" i="8"/>
  <c r="AJ2635" i="8"/>
  <c r="AI2636" i="8"/>
  <c r="AJ2636" i="8"/>
  <c r="AI2637" i="8"/>
  <c r="AJ2637" i="8"/>
  <c r="AI2638" i="8"/>
  <c r="AJ2638" i="8"/>
  <c r="AI2639" i="8"/>
  <c r="AJ2639" i="8"/>
  <c r="AI2640" i="8"/>
  <c r="AJ2640" i="8"/>
  <c r="AI2641" i="8"/>
  <c r="AJ2641" i="8"/>
  <c r="AI2642" i="8"/>
  <c r="AJ2642" i="8"/>
  <c r="AI2643" i="8"/>
  <c r="AJ2643" i="8"/>
  <c r="AI2644" i="8"/>
  <c r="AJ2644" i="8"/>
  <c r="AI2645" i="8"/>
  <c r="AJ2645" i="8"/>
  <c r="AI2646" i="8"/>
  <c r="AJ2646" i="8"/>
  <c r="AI2647" i="8"/>
  <c r="AJ2647" i="8"/>
  <c r="AI2648" i="8"/>
  <c r="AJ2648" i="8"/>
  <c r="AI2649" i="8"/>
  <c r="AJ2649" i="8"/>
  <c r="AI2650" i="8"/>
  <c r="AJ2650" i="8"/>
  <c r="AI2651" i="8"/>
  <c r="AJ2651" i="8"/>
  <c r="AI2652" i="8"/>
  <c r="AJ2652" i="8"/>
  <c r="AI2653" i="8"/>
  <c r="AJ2653" i="8"/>
  <c r="AI2654" i="8"/>
  <c r="AJ2654" i="8"/>
  <c r="AI2655" i="8"/>
  <c r="AJ2655" i="8"/>
  <c r="AI2656" i="8"/>
  <c r="AJ2656" i="8"/>
  <c r="AI2657" i="8"/>
  <c r="AJ2657" i="8"/>
  <c r="AI2658" i="8"/>
  <c r="AJ2658" i="8"/>
  <c r="AI2659" i="8"/>
  <c r="AJ2659" i="8"/>
  <c r="AI2660" i="8"/>
  <c r="AJ2660" i="8"/>
  <c r="AI2661" i="8"/>
  <c r="AJ2661" i="8"/>
  <c r="AI2662" i="8"/>
  <c r="AJ2662" i="8"/>
  <c r="AI2663" i="8"/>
  <c r="AJ2663" i="8"/>
  <c r="AI2664" i="8"/>
  <c r="AJ2664" i="8"/>
  <c r="AI2665" i="8"/>
  <c r="AJ2665" i="8"/>
  <c r="AI2666" i="8"/>
  <c r="AJ2666" i="8"/>
  <c r="AI2667" i="8"/>
  <c r="AJ2667" i="8"/>
  <c r="AI2668" i="8"/>
  <c r="AJ2668" i="8"/>
  <c r="AI2669" i="8"/>
  <c r="AJ2669" i="8"/>
  <c r="AI2670" i="8"/>
  <c r="AJ2670" i="8"/>
  <c r="AI2671" i="8"/>
  <c r="AJ2671" i="8"/>
  <c r="AI2672" i="8"/>
  <c r="AJ2672" i="8"/>
  <c r="AI2673" i="8"/>
  <c r="AJ2673" i="8"/>
  <c r="AI2674" i="8"/>
  <c r="AJ2674" i="8"/>
  <c r="AI2675" i="8"/>
  <c r="AJ2675" i="8"/>
  <c r="AI2676" i="8"/>
  <c r="AJ2676" i="8"/>
  <c r="AI2677" i="8"/>
  <c r="AJ2677" i="8"/>
  <c r="AI2678" i="8"/>
  <c r="AJ2678" i="8"/>
  <c r="AI2679" i="8"/>
  <c r="AJ2679" i="8"/>
  <c r="AI2680" i="8"/>
  <c r="AJ2680" i="8"/>
  <c r="AI2681" i="8"/>
  <c r="AJ2681" i="8"/>
  <c r="AI2682" i="8"/>
  <c r="AJ2682" i="8"/>
  <c r="AI2683" i="8"/>
  <c r="AJ2683" i="8"/>
  <c r="AI2684" i="8"/>
  <c r="AJ2684" i="8"/>
  <c r="AI2685" i="8"/>
  <c r="AJ2685" i="8"/>
  <c r="AI2686" i="8"/>
  <c r="AJ2686" i="8"/>
  <c r="AI2687" i="8"/>
  <c r="AJ2687" i="8"/>
  <c r="AI2688" i="8"/>
  <c r="AJ2688" i="8"/>
  <c r="AI2689" i="8"/>
  <c r="AJ2689" i="8"/>
  <c r="AI2690" i="8"/>
  <c r="AJ2690" i="8"/>
  <c r="AI2691" i="8"/>
  <c r="AJ2691" i="8"/>
  <c r="AI2692" i="8"/>
  <c r="AJ2692" i="8"/>
  <c r="AI2693" i="8"/>
  <c r="AJ2693" i="8"/>
  <c r="AI2694" i="8"/>
  <c r="AJ2694" i="8"/>
  <c r="AI2695" i="8"/>
  <c r="AJ2695" i="8"/>
  <c r="AI2696" i="8"/>
  <c r="AJ2696" i="8"/>
  <c r="AI2697" i="8"/>
  <c r="AJ2697" i="8"/>
  <c r="AI2698" i="8"/>
  <c r="AJ2698" i="8"/>
  <c r="AI2699" i="8"/>
  <c r="AJ2699" i="8"/>
  <c r="AI2700" i="8"/>
  <c r="AJ2700" i="8"/>
  <c r="AI2701" i="8"/>
  <c r="AJ2701" i="8"/>
  <c r="AI2702" i="8"/>
  <c r="AJ2702" i="8"/>
  <c r="AI2703" i="8"/>
  <c r="AJ2703" i="8"/>
  <c r="AI2704" i="8"/>
  <c r="AJ2704" i="8"/>
  <c r="AI2705" i="8"/>
  <c r="AJ2705" i="8"/>
  <c r="AI2706" i="8"/>
  <c r="AJ2706" i="8"/>
  <c r="AI2707" i="8"/>
  <c r="AJ2707" i="8"/>
  <c r="AI2708" i="8"/>
  <c r="AJ2708" i="8"/>
  <c r="AI2709" i="8"/>
  <c r="AJ2709" i="8"/>
  <c r="AI2710" i="8"/>
  <c r="AJ2710" i="8"/>
  <c r="AI2711" i="8"/>
  <c r="AJ2711" i="8"/>
  <c r="AI2712" i="8"/>
  <c r="AJ2712" i="8"/>
  <c r="AI2713" i="8"/>
  <c r="AJ2713" i="8"/>
  <c r="AI2714" i="8"/>
  <c r="AJ2714" i="8"/>
  <c r="AI2715" i="8"/>
  <c r="AJ2715" i="8"/>
  <c r="AI2716" i="8"/>
  <c r="AJ2716" i="8"/>
  <c r="AI2717" i="8"/>
  <c r="AJ2717" i="8"/>
  <c r="AI2718" i="8"/>
  <c r="AJ2718" i="8"/>
  <c r="AI2719" i="8"/>
  <c r="AJ2719" i="8"/>
  <c r="AI2720" i="8"/>
  <c r="AJ2720" i="8"/>
  <c r="AI2721" i="8"/>
  <c r="AJ2721" i="8"/>
  <c r="AI2722" i="8"/>
  <c r="AJ2722" i="8"/>
  <c r="AI2723" i="8"/>
  <c r="AJ2723" i="8"/>
  <c r="AI2724" i="8"/>
  <c r="AJ2724" i="8"/>
  <c r="AI2725" i="8"/>
  <c r="AJ2725" i="8"/>
  <c r="AI2726" i="8"/>
  <c r="AJ2726" i="8"/>
  <c r="AI2727" i="8"/>
  <c r="AJ2727" i="8"/>
  <c r="AI2728" i="8"/>
  <c r="AJ2728" i="8"/>
  <c r="AI2729" i="8"/>
  <c r="AJ2729" i="8"/>
  <c r="AI2730" i="8"/>
  <c r="AJ2730" i="8"/>
  <c r="AI2731" i="8"/>
  <c r="AJ2731" i="8"/>
  <c r="AI2732" i="8"/>
  <c r="AJ2732" i="8"/>
  <c r="AI2733" i="8"/>
  <c r="AJ2733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B173" i="8"/>
  <c r="AB174" i="8"/>
  <c r="AB175" i="8"/>
  <c r="AB176" i="8"/>
  <c r="AB177" i="8"/>
  <c r="AB178" i="8"/>
  <c r="AB179" i="8"/>
  <c r="AB180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213" i="8"/>
  <c r="AB214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0" i="8"/>
  <c r="AB261" i="8"/>
  <c r="AB262" i="8"/>
  <c r="AB263" i="8"/>
  <c r="AB264" i="8"/>
  <c r="AB265" i="8"/>
  <c r="AB266" i="8"/>
  <c r="AB267" i="8"/>
  <c r="AB268" i="8"/>
  <c r="AB269" i="8"/>
  <c r="AB270" i="8"/>
  <c r="AB271" i="8"/>
  <c r="AB272" i="8"/>
  <c r="AB273" i="8"/>
  <c r="AB274" i="8"/>
  <c r="AB275" i="8"/>
  <c r="AB276" i="8"/>
  <c r="AB277" i="8"/>
  <c r="AB278" i="8"/>
  <c r="AB279" i="8"/>
  <c r="AB280" i="8"/>
  <c r="AB281" i="8"/>
  <c r="AB282" i="8"/>
  <c r="AB283" i="8"/>
  <c r="AB284" i="8"/>
  <c r="AB285" i="8"/>
  <c r="AB286" i="8"/>
  <c r="AB287" i="8"/>
  <c r="AB288" i="8"/>
  <c r="AB289" i="8"/>
  <c r="AB290" i="8"/>
  <c r="AB291" i="8"/>
  <c r="AB292" i="8"/>
  <c r="AB293" i="8"/>
  <c r="AB294" i="8"/>
  <c r="AB295" i="8"/>
  <c r="AB296" i="8"/>
  <c r="AB297" i="8"/>
  <c r="AB298" i="8"/>
  <c r="AB299" i="8"/>
  <c r="AB300" i="8"/>
  <c r="AB301" i="8"/>
  <c r="AB302" i="8"/>
  <c r="AB303" i="8"/>
  <c r="AB304" i="8"/>
  <c r="AB305" i="8"/>
  <c r="AB306" i="8"/>
  <c r="AB307" i="8"/>
  <c r="AB308" i="8"/>
  <c r="AB309" i="8"/>
  <c r="AB310" i="8"/>
  <c r="AB311" i="8"/>
  <c r="AB312" i="8"/>
  <c r="AB313" i="8"/>
  <c r="AB314" i="8"/>
  <c r="AB315" i="8"/>
  <c r="AB316" i="8"/>
  <c r="AB317" i="8"/>
  <c r="AB318" i="8"/>
  <c r="AB319" i="8"/>
  <c r="AB320" i="8"/>
  <c r="AB321" i="8"/>
  <c r="AB322" i="8"/>
  <c r="AB323" i="8"/>
  <c r="AB324" i="8"/>
  <c r="AB325" i="8"/>
  <c r="AB326" i="8"/>
  <c r="AB327" i="8"/>
  <c r="AB328" i="8"/>
  <c r="AB329" i="8"/>
  <c r="AB330" i="8"/>
  <c r="AB331" i="8"/>
  <c r="AB332" i="8"/>
  <c r="AB333" i="8"/>
  <c r="AB334" i="8"/>
  <c r="AB335" i="8"/>
  <c r="AB336" i="8"/>
  <c r="AB337" i="8"/>
  <c r="AB338" i="8"/>
  <c r="AB339" i="8"/>
  <c r="AB340" i="8"/>
  <c r="AB341" i="8"/>
  <c r="AB342" i="8"/>
  <c r="AB343" i="8"/>
  <c r="AB344" i="8"/>
  <c r="AB345" i="8"/>
  <c r="AB346" i="8"/>
  <c r="AB347" i="8"/>
  <c r="AB348" i="8"/>
  <c r="AB349" i="8"/>
  <c r="AB350" i="8"/>
  <c r="AB351" i="8"/>
  <c r="AB352" i="8"/>
  <c r="AB353" i="8"/>
  <c r="AB354" i="8"/>
  <c r="AB355" i="8"/>
  <c r="AB356" i="8"/>
  <c r="AB357" i="8"/>
  <c r="AB358" i="8"/>
  <c r="AB359" i="8"/>
  <c r="AB360" i="8"/>
  <c r="AB361" i="8"/>
  <c r="AB362" i="8"/>
  <c r="AB363" i="8"/>
  <c r="AB364" i="8"/>
  <c r="AB365" i="8"/>
  <c r="AB366" i="8"/>
  <c r="AB367" i="8"/>
  <c r="AB368" i="8"/>
  <c r="AB369" i="8"/>
  <c r="AB370" i="8"/>
  <c r="AB371" i="8"/>
  <c r="AB372" i="8"/>
  <c r="AB373" i="8"/>
  <c r="AB374" i="8"/>
  <c r="AB375" i="8"/>
  <c r="AB376" i="8"/>
  <c r="AB377" i="8"/>
  <c r="AB378" i="8"/>
  <c r="AB379" i="8"/>
  <c r="AB380" i="8"/>
  <c r="AB381" i="8"/>
  <c r="AB382" i="8"/>
  <c r="AB383" i="8"/>
  <c r="AB384" i="8"/>
  <c r="AB385" i="8"/>
  <c r="AB386" i="8"/>
  <c r="AB387" i="8"/>
  <c r="AB388" i="8"/>
  <c r="AB389" i="8"/>
  <c r="AB390" i="8"/>
  <c r="AB391" i="8"/>
  <c r="AB392" i="8"/>
  <c r="AB393" i="8"/>
  <c r="AB394" i="8"/>
  <c r="AB395" i="8"/>
  <c r="AB396" i="8"/>
  <c r="AB397" i="8"/>
  <c r="AB398" i="8"/>
  <c r="AB399" i="8"/>
  <c r="AB400" i="8"/>
  <c r="AB401" i="8"/>
  <c r="AB402" i="8"/>
  <c r="AB403" i="8"/>
  <c r="AB404" i="8"/>
  <c r="AB405" i="8"/>
  <c r="AB406" i="8"/>
  <c r="AB407" i="8"/>
  <c r="AB408" i="8"/>
  <c r="AB409" i="8"/>
  <c r="AB410" i="8"/>
  <c r="AB411" i="8"/>
  <c r="AB412" i="8"/>
  <c r="AB413" i="8"/>
  <c r="AB414" i="8"/>
  <c r="AB415" i="8"/>
  <c r="AB416" i="8"/>
  <c r="AB417" i="8"/>
  <c r="AB418" i="8"/>
  <c r="AB419" i="8"/>
  <c r="AB420" i="8"/>
  <c r="AB421" i="8"/>
  <c r="AB422" i="8"/>
  <c r="AB423" i="8"/>
  <c r="AB424" i="8"/>
  <c r="AB425" i="8"/>
  <c r="AB426" i="8"/>
  <c r="AB427" i="8"/>
  <c r="AB428" i="8"/>
  <c r="AB429" i="8"/>
  <c r="AB430" i="8"/>
  <c r="AB431" i="8"/>
  <c r="AB432" i="8"/>
  <c r="AB433" i="8"/>
  <c r="AB434" i="8"/>
  <c r="AB435" i="8"/>
  <c r="AB436" i="8"/>
  <c r="AB437" i="8"/>
  <c r="AB438" i="8"/>
  <c r="AB439" i="8"/>
  <c r="AB440" i="8"/>
  <c r="AB441" i="8"/>
  <c r="AB442" i="8"/>
  <c r="AB443" i="8"/>
  <c r="AB444" i="8"/>
  <c r="AB445" i="8"/>
  <c r="AB446" i="8"/>
  <c r="AB447" i="8"/>
  <c r="AB448" i="8"/>
  <c r="AB449" i="8"/>
  <c r="AB450" i="8"/>
  <c r="AB451" i="8"/>
  <c r="AB452" i="8"/>
  <c r="AB453" i="8"/>
  <c r="AB454" i="8"/>
  <c r="AB455" i="8"/>
  <c r="AB456" i="8"/>
  <c r="AB457" i="8"/>
  <c r="AB458" i="8"/>
  <c r="AB459" i="8"/>
  <c r="AB460" i="8"/>
  <c r="AB461" i="8"/>
  <c r="AB462" i="8"/>
  <c r="AB463" i="8"/>
  <c r="AB464" i="8"/>
  <c r="AB465" i="8"/>
  <c r="AB466" i="8"/>
  <c r="AB467" i="8"/>
  <c r="AB468" i="8"/>
  <c r="AB469" i="8"/>
  <c r="AB470" i="8"/>
  <c r="AB471" i="8"/>
  <c r="AB472" i="8"/>
  <c r="AB473" i="8"/>
  <c r="AB474" i="8"/>
  <c r="AB475" i="8"/>
  <c r="AB476" i="8"/>
  <c r="AB477" i="8"/>
  <c r="AB478" i="8"/>
  <c r="AB479" i="8"/>
  <c r="AB480" i="8"/>
  <c r="AB481" i="8"/>
  <c r="AB482" i="8"/>
  <c r="AB483" i="8"/>
  <c r="AB484" i="8"/>
  <c r="AB485" i="8"/>
  <c r="AB486" i="8"/>
  <c r="AB487" i="8"/>
  <c r="AB488" i="8"/>
  <c r="AB489" i="8"/>
  <c r="AB490" i="8"/>
  <c r="AB491" i="8"/>
  <c r="AB492" i="8"/>
  <c r="AB493" i="8"/>
  <c r="AB494" i="8"/>
  <c r="AB495" i="8"/>
  <c r="AB496" i="8"/>
  <c r="AB497" i="8"/>
  <c r="AB498" i="8"/>
  <c r="AB499" i="8"/>
  <c r="AB500" i="8"/>
  <c r="AB501" i="8"/>
  <c r="AB502" i="8"/>
  <c r="AB503" i="8"/>
  <c r="AB504" i="8"/>
  <c r="AB505" i="8"/>
  <c r="AB506" i="8"/>
  <c r="AB507" i="8"/>
  <c r="AB508" i="8"/>
  <c r="AB509" i="8"/>
  <c r="AB510" i="8"/>
  <c r="AB511" i="8"/>
  <c r="AB512" i="8"/>
  <c r="AB513" i="8"/>
  <c r="AB514" i="8"/>
  <c r="AB515" i="8"/>
  <c r="AB516" i="8"/>
  <c r="AB517" i="8"/>
  <c r="AB518" i="8"/>
  <c r="AB519" i="8"/>
  <c r="AB520" i="8"/>
  <c r="AB521" i="8"/>
  <c r="AB522" i="8"/>
  <c r="AB523" i="8"/>
  <c r="AB524" i="8"/>
  <c r="AB525" i="8"/>
  <c r="AB526" i="8"/>
  <c r="AB527" i="8"/>
  <c r="AB528" i="8"/>
  <c r="AB529" i="8"/>
  <c r="AB530" i="8"/>
  <c r="AB531" i="8"/>
  <c r="AB532" i="8"/>
  <c r="AB533" i="8"/>
  <c r="AB534" i="8"/>
  <c r="AB535" i="8"/>
  <c r="AB536" i="8"/>
  <c r="AB537" i="8"/>
  <c r="AB538" i="8"/>
  <c r="AB539" i="8"/>
  <c r="AB540" i="8"/>
  <c r="AB541" i="8"/>
  <c r="AB542" i="8"/>
  <c r="AB543" i="8"/>
  <c r="AB544" i="8"/>
  <c r="AB545" i="8"/>
  <c r="AB546" i="8"/>
  <c r="AB547" i="8"/>
  <c r="AB548" i="8"/>
  <c r="AB549" i="8"/>
  <c r="AB550" i="8"/>
  <c r="AB551" i="8"/>
  <c r="AB552" i="8"/>
  <c r="AB553" i="8"/>
  <c r="AB554" i="8"/>
  <c r="AB555" i="8"/>
  <c r="AB556" i="8"/>
  <c r="AB557" i="8"/>
  <c r="AB558" i="8"/>
  <c r="AB559" i="8"/>
  <c r="AB560" i="8"/>
  <c r="AB561" i="8"/>
  <c r="AB562" i="8"/>
  <c r="AB563" i="8"/>
  <c r="AB564" i="8"/>
  <c r="AB565" i="8"/>
  <c r="AB566" i="8"/>
  <c r="AB567" i="8"/>
  <c r="AB568" i="8"/>
  <c r="AB569" i="8"/>
  <c r="AB570" i="8"/>
  <c r="AB571" i="8"/>
  <c r="AB572" i="8"/>
  <c r="AB573" i="8"/>
  <c r="AB574" i="8"/>
  <c r="AB575" i="8"/>
  <c r="AB576" i="8"/>
  <c r="AB577" i="8"/>
  <c r="AB578" i="8"/>
  <c r="AB579" i="8"/>
  <c r="AB580" i="8"/>
  <c r="AB581" i="8"/>
  <c r="AB582" i="8"/>
  <c r="AB583" i="8"/>
  <c r="AB584" i="8"/>
  <c r="AB585" i="8"/>
  <c r="AB586" i="8"/>
  <c r="AB587" i="8"/>
  <c r="AB588" i="8"/>
  <c r="AB589" i="8"/>
  <c r="AB590" i="8"/>
  <c r="AB591" i="8"/>
  <c r="AB592" i="8"/>
  <c r="AB593" i="8"/>
  <c r="AB594" i="8"/>
  <c r="AB595" i="8"/>
  <c r="AB596" i="8"/>
  <c r="AB597" i="8"/>
  <c r="AB598" i="8"/>
  <c r="AB599" i="8"/>
  <c r="AB600" i="8"/>
  <c r="AB601" i="8"/>
  <c r="AB602" i="8"/>
  <c r="AB603" i="8"/>
  <c r="AB604" i="8"/>
  <c r="AB605" i="8"/>
  <c r="AB606" i="8"/>
  <c r="AB607" i="8"/>
  <c r="AB608" i="8"/>
  <c r="AB609" i="8"/>
  <c r="AB610" i="8"/>
  <c r="AB611" i="8"/>
  <c r="AB612" i="8"/>
  <c r="AB613" i="8"/>
  <c r="AB614" i="8"/>
  <c r="AB615" i="8"/>
  <c r="AB616" i="8"/>
  <c r="AB617" i="8"/>
  <c r="AB618" i="8"/>
  <c r="AB619" i="8"/>
  <c r="AB620" i="8"/>
  <c r="AB621" i="8"/>
  <c r="AB622" i="8"/>
  <c r="AB623" i="8"/>
  <c r="AB624" i="8"/>
  <c r="AB625" i="8"/>
  <c r="AB626" i="8"/>
  <c r="AB627" i="8"/>
  <c r="AB628" i="8"/>
  <c r="AB629" i="8"/>
  <c r="AB630" i="8"/>
  <c r="AB631" i="8"/>
  <c r="AB632" i="8"/>
  <c r="AB633" i="8"/>
  <c r="AB634" i="8"/>
  <c r="AB635" i="8"/>
  <c r="AB636" i="8"/>
  <c r="AB637" i="8"/>
  <c r="AB638" i="8"/>
  <c r="AB639" i="8"/>
  <c r="AB640" i="8"/>
  <c r="AB641" i="8"/>
  <c r="AB642" i="8"/>
  <c r="AB643" i="8"/>
  <c r="AB644" i="8"/>
  <c r="AB645" i="8"/>
  <c r="AB646" i="8"/>
  <c r="AB647" i="8"/>
  <c r="AB648" i="8"/>
  <c r="AB649" i="8"/>
  <c r="AB650" i="8"/>
  <c r="AB651" i="8"/>
  <c r="AB652" i="8"/>
  <c r="AB653" i="8"/>
  <c r="AB654" i="8"/>
  <c r="AB655" i="8"/>
  <c r="AB656" i="8"/>
  <c r="AB657" i="8"/>
  <c r="AB658" i="8"/>
  <c r="AB659" i="8"/>
  <c r="AB660" i="8"/>
  <c r="AB661" i="8"/>
  <c r="AB662" i="8"/>
  <c r="AB663" i="8"/>
  <c r="AB664" i="8"/>
  <c r="AB665" i="8"/>
  <c r="AB666" i="8"/>
  <c r="AB667" i="8"/>
  <c r="AB668" i="8"/>
  <c r="AB669" i="8"/>
  <c r="AB670" i="8"/>
  <c r="AB671" i="8"/>
  <c r="AB672" i="8"/>
  <c r="AB673" i="8"/>
  <c r="AB674" i="8"/>
  <c r="AB675" i="8"/>
  <c r="AB676" i="8"/>
  <c r="AB677" i="8"/>
  <c r="AB678" i="8"/>
  <c r="AB679" i="8"/>
  <c r="AB680" i="8"/>
  <c r="AB681" i="8"/>
  <c r="AB682" i="8"/>
  <c r="AB683" i="8"/>
  <c r="AB684" i="8"/>
  <c r="AB685" i="8"/>
  <c r="AB686" i="8"/>
  <c r="AB687" i="8"/>
  <c r="AB688" i="8"/>
  <c r="AB689" i="8"/>
  <c r="AB690" i="8"/>
  <c r="AB691" i="8"/>
  <c r="AB692" i="8"/>
  <c r="AB693" i="8"/>
  <c r="AB694" i="8"/>
  <c r="AB695" i="8"/>
  <c r="AB696" i="8"/>
  <c r="AB697" i="8"/>
  <c r="AB698" i="8"/>
  <c r="AB699" i="8"/>
  <c r="AB700" i="8"/>
  <c r="AB701" i="8"/>
  <c r="AB702" i="8"/>
  <c r="AB703" i="8"/>
  <c r="AB704" i="8"/>
  <c r="AB705" i="8"/>
  <c r="AB706" i="8"/>
  <c r="AB707" i="8"/>
  <c r="AB708" i="8"/>
  <c r="AB709" i="8"/>
  <c r="AB710" i="8"/>
  <c r="AB711" i="8"/>
  <c r="AB712" i="8"/>
  <c r="AB713" i="8"/>
  <c r="AB714" i="8"/>
  <c r="AB715" i="8"/>
  <c r="AB716" i="8"/>
  <c r="AB717" i="8"/>
  <c r="AB718" i="8"/>
  <c r="AB719" i="8"/>
  <c r="AB720" i="8"/>
  <c r="AB721" i="8"/>
  <c r="AB722" i="8"/>
  <c r="AB723" i="8"/>
  <c r="AB724" i="8"/>
  <c r="AB725" i="8"/>
  <c r="AB726" i="8"/>
  <c r="AB727" i="8"/>
  <c r="AB728" i="8"/>
  <c r="AB729" i="8"/>
  <c r="AB730" i="8"/>
  <c r="AB731" i="8"/>
  <c r="AB732" i="8"/>
  <c r="AB733" i="8"/>
  <c r="AB734" i="8"/>
  <c r="AB735" i="8"/>
  <c r="AB736" i="8"/>
  <c r="AB737" i="8"/>
  <c r="AB738" i="8"/>
  <c r="AB739" i="8"/>
  <c r="AB740" i="8"/>
  <c r="AB741" i="8"/>
  <c r="AB742" i="8"/>
  <c r="AB743" i="8"/>
  <c r="AB744" i="8"/>
  <c r="AB745" i="8"/>
  <c r="AB746" i="8"/>
  <c r="AB747" i="8"/>
  <c r="AB748" i="8"/>
  <c r="AB749" i="8"/>
  <c r="AB750" i="8"/>
  <c r="AB751" i="8"/>
  <c r="AB752" i="8"/>
  <c r="AB753" i="8"/>
  <c r="AB754" i="8"/>
  <c r="AB755" i="8"/>
  <c r="AB756" i="8"/>
  <c r="AB757" i="8"/>
  <c r="AB758" i="8"/>
  <c r="AB759" i="8"/>
  <c r="AB760" i="8"/>
  <c r="AB761" i="8"/>
  <c r="AB762" i="8"/>
  <c r="AB763" i="8"/>
  <c r="AB764" i="8"/>
  <c r="AB765" i="8"/>
  <c r="AB766" i="8"/>
  <c r="AB767" i="8"/>
  <c r="AB768" i="8"/>
  <c r="AB769" i="8"/>
  <c r="AB770" i="8"/>
  <c r="AB771" i="8"/>
  <c r="AB772" i="8"/>
  <c r="AB773" i="8"/>
  <c r="AB774" i="8"/>
  <c r="AB775" i="8"/>
  <c r="AB776" i="8"/>
  <c r="AB777" i="8"/>
  <c r="AB778" i="8"/>
  <c r="AB779" i="8"/>
  <c r="AB780" i="8"/>
  <c r="AB781" i="8"/>
  <c r="AB782" i="8"/>
  <c r="AB783" i="8"/>
  <c r="AB784" i="8"/>
  <c r="AB785" i="8"/>
  <c r="AB786" i="8"/>
  <c r="AB787" i="8"/>
  <c r="AB788" i="8"/>
  <c r="AB789" i="8"/>
  <c r="AB790" i="8"/>
  <c r="AB791" i="8"/>
  <c r="AB792" i="8"/>
  <c r="AB793" i="8"/>
  <c r="AB794" i="8"/>
  <c r="AB795" i="8"/>
  <c r="AB796" i="8"/>
  <c r="AB797" i="8"/>
  <c r="AB798" i="8"/>
  <c r="AB799" i="8"/>
  <c r="AB800" i="8"/>
  <c r="AB801" i="8"/>
  <c r="AB802" i="8"/>
  <c r="AB803" i="8"/>
  <c r="AB804" i="8"/>
  <c r="AB805" i="8"/>
  <c r="AB806" i="8"/>
  <c r="AB807" i="8"/>
  <c r="AB808" i="8"/>
  <c r="AB809" i="8"/>
  <c r="AB810" i="8"/>
  <c r="AB811" i="8"/>
  <c r="AB812" i="8"/>
  <c r="AB813" i="8"/>
  <c r="AB814" i="8"/>
  <c r="AB815" i="8"/>
  <c r="AB816" i="8"/>
  <c r="AB817" i="8"/>
  <c r="AB818" i="8"/>
  <c r="AB819" i="8"/>
  <c r="AB820" i="8"/>
  <c r="AB821" i="8"/>
  <c r="AB822" i="8"/>
  <c r="AB823" i="8"/>
  <c r="AB824" i="8"/>
  <c r="AB825" i="8"/>
  <c r="AB826" i="8"/>
  <c r="AB827" i="8"/>
  <c r="AB828" i="8"/>
  <c r="AB829" i="8"/>
  <c r="AB830" i="8"/>
  <c r="AB831" i="8"/>
  <c r="AB832" i="8"/>
  <c r="AB833" i="8"/>
  <c r="AB834" i="8"/>
  <c r="AB835" i="8"/>
  <c r="AB836" i="8"/>
  <c r="AB837" i="8"/>
  <c r="AB838" i="8"/>
  <c r="AB839" i="8"/>
  <c r="AB840" i="8"/>
  <c r="AB841" i="8"/>
  <c r="AB842" i="8"/>
  <c r="AB843" i="8"/>
  <c r="AB844" i="8"/>
  <c r="AB845" i="8"/>
  <c r="AB846" i="8"/>
  <c r="AB847" i="8"/>
  <c r="AB848" i="8"/>
  <c r="AB849" i="8"/>
  <c r="AB850" i="8"/>
  <c r="AB851" i="8"/>
  <c r="AB852" i="8"/>
  <c r="AB853" i="8"/>
  <c r="AB854" i="8"/>
  <c r="AB855" i="8"/>
  <c r="AB856" i="8"/>
  <c r="AB857" i="8"/>
  <c r="AB858" i="8"/>
  <c r="AB859" i="8"/>
  <c r="AB860" i="8"/>
  <c r="AB861" i="8"/>
  <c r="AB862" i="8"/>
  <c r="AB863" i="8"/>
  <c r="AB864" i="8"/>
  <c r="AB865" i="8"/>
  <c r="AB866" i="8"/>
  <c r="AB867" i="8"/>
  <c r="AB868" i="8"/>
  <c r="AB869" i="8"/>
  <c r="AB870" i="8"/>
  <c r="AB871" i="8"/>
  <c r="AB872" i="8"/>
  <c r="AB873" i="8"/>
  <c r="AB874" i="8"/>
  <c r="AB875" i="8"/>
  <c r="AB876" i="8"/>
  <c r="AB877" i="8"/>
  <c r="AB878" i="8"/>
  <c r="AB879" i="8"/>
  <c r="AB880" i="8"/>
  <c r="AB881" i="8"/>
  <c r="AB882" i="8"/>
  <c r="AB883" i="8"/>
  <c r="AB884" i="8"/>
  <c r="AB885" i="8"/>
  <c r="AB886" i="8"/>
  <c r="AB887" i="8"/>
  <c r="AB888" i="8"/>
  <c r="AB889" i="8"/>
  <c r="AB890" i="8"/>
  <c r="AB891" i="8"/>
  <c r="AB892" i="8"/>
  <c r="AB893" i="8"/>
  <c r="AB894" i="8"/>
  <c r="AB895" i="8"/>
  <c r="AB896" i="8"/>
  <c r="AB897" i="8"/>
  <c r="AB898" i="8"/>
  <c r="AB899" i="8"/>
  <c r="AB900" i="8"/>
  <c r="AB901" i="8"/>
  <c r="AB902" i="8"/>
  <c r="AB903" i="8"/>
  <c r="AB904" i="8"/>
  <c r="AB905" i="8"/>
  <c r="AB906" i="8"/>
  <c r="AB907" i="8"/>
  <c r="AB908" i="8"/>
  <c r="AB909" i="8"/>
  <c r="AB910" i="8"/>
  <c r="AB911" i="8"/>
  <c r="AB912" i="8"/>
  <c r="AB913" i="8"/>
  <c r="AB914" i="8"/>
  <c r="AB915" i="8"/>
  <c r="AB916" i="8"/>
  <c r="AB917" i="8"/>
  <c r="AB918" i="8"/>
  <c r="AB919" i="8"/>
  <c r="AB920" i="8"/>
  <c r="AB921" i="8"/>
  <c r="AB922" i="8"/>
  <c r="AB923" i="8"/>
  <c r="AB924" i="8"/>
  <c r="AB925" i="8"/>
  <c r="AB926" i="8"/>
  <c r="AB927" i="8"/>
  <c r="AB928" i="8"/>
  <c r="AB929" i="8"/>
  <c r="AB930" i="8"/>
  <c r="AB931" i="8"/>
  <c r="AB932" i="8"/>
  <c r="AB933" i="8"/>
  <c r="AB934" i="8"/>
  <c r="AB935" i="8"/>
  <c r="AB936" i="8"/>
  <c r="AB937" i="8"/>
  <c r="AB938" i="8"/>
  <c r="AB939" i="8"/>
  <c r="AB940" i="8"/>
  <c r="AB941" i="8"/>
  <c r="AB942" i="8"/>
  <c r="AB943" i="8"/>
  <c r="AB944" i="8"/>
  <c r="AB945" i="8"/>
  <c r="AB946" i="8"/>
  <c r="AB947" i="8"/>
  <c r="AB948" i="8"/>
  <c r="AB949" i="8"/>
  <c r="AB950" i="8"/>
  <c r="AB951" i="8"/>
  <c r="AB952" i="8"/>
  <c r="AB953" i="8"/>
  <c r="AB954" i="8"/>
  <c r="AB955" i="8"/>
  <c r="AB956" i="8"/>
  <c r="AB957" i="8"/>
  <c r="AB958" i="8"/>
  <c r="AB959" i="8"/>
  <c r="AB960" i="8"/>
  <c r="AB961" i="8"/>
  <c r="AB962" i="8"/>
  <c r="AB963" i="8"/>
  <c r="AB964" i="8"/>
  <c r="AB965" i="8"/>
  <c r="AB966" i="8"/>
  <c r="AB967" i="8"/>
  <c r="AB968" i="8"/>
  <c r="AB969" i="8"/>
  <c r="AB970" i="8"/>
  <c r="AB971" i="8"/>
  <c r="AB972" i="8"/>
  <c r="AB973" i="8"/>
  <c r="AB974" i="8"/>
  <c r="AB975" i="8"/>
  <c r="AB976" i="8"/>
  <c r="AB977" i="8"/>
  <c r="AB978" i="8"/>
  <c r="AB979" i="8"/>
  <c r="AB980" i="8"/>
  <c r="AB981" i="8"/>
  <c r="AB982" i="8"/>
  <c r="AB983" i="8"/>
  <c r="AB984" i="8"/>
  <c r="AB985" i="8"/>
  <c r="AB986" i="8"/>
  <c r="AB987" i="8"/>
  <c r="AB988" i="8"/>
  <c r="AB989" i="8"/>
  <c r="AB990" i="8"/>
  <c r="AB991" i="8"/>
  <c r="AB992" i="8"/>
  <c r="AB993" i="8"/>
  <c r="AB994" i="8"/>
  <c r="AB995" i="8"/>
  <c r="AB996" i="8"/>
  <c r="AB997" i="8"/>
  <c r="AB998" i="8"/>
  <c r="AB999" i="8"/>
  <c r="AB1000" i="8"/>
  <c r="AB1001" i="8"/>
  <c r="AB1002" i="8"/>
  <c r="AB1003" i="8"/>
  <c r="AB1004" i="8"/>
  <c r="AB1005" i="8"/>
  <c r="AB1006" i="8"/>
  <c r="AB1007" i="8"/>
  <c r="AB1008" i="8"/>
  <c r="AB1009" i="8"/>
  <c r="AB1010" i="8"/>
  <c r="AB1011" i="8"/>
  <c r="AB1012" i="8"/>
  <c r="AB1013" i="8"/>
  <c r="AB1014" i="8"/>
  <c r="AB1015" i="8"/>
  <c r="AB1016" i="8"/>
  <c r="AB1017" i="8"/>
  <c r="AB1018" i="8"/>
  <c r="AB1019" i="8"/>
  <c r="AB1020" i="8"/>
  <c r="AB1021" i="8"/>
  <c r="AB1022" i="8"/>
  <c r="AB1023" i="8"/>
  <c r="AB1024" i="8"/>
  <c r="AB1025" i="8"/>
  <c r="AB1026" i="8"/>
  <c r="AB1027" i="8"/>
  <c r="AB1028" i="8"/>
  <c r="AB1029" i="8"/>
  <c r="AB1030" i="8"/>
  <c r="AB1031" i="8"/>
  <c r="AB1032" i="8"/>
  <c r="AB1033" i="8"/>
  <c r="AB1034" i="8"/>
  <c r="AB1035" i="8"/>
  <c r="AB1036" i="8"/>
  <c r="AB1037" i="8"/>
  <c r="AB1038" i="8"/>
  <c r="AB1039" i="8"/>
  <c r="AB1040" i="8"/>
  <c r="AB1041" i="8"/>
  <c r="AB1042" i="8"/>
  <c r="AB1043" i="8"/>
  <c r="AB1044" i="8"/>
  <c r="AB1045" i="8"/>
  <c r="AB1046" i="8"/>
  <c r="AB1047" i="8"/>
  <c r="AB1048" i="8"/>
  <c r="AB1049" i="8"/>
  <c r="AB1050" i="8"/>
  <c r="AB1051" i="8"/>
  <c r="AB1052" i="8"/>
  <c r="AB1053" i="8"/>
  <c r="AB1054" i="8"/>
  <c r="AB1055" i="8"/>
  <c r="AB1056" i="8"/>
  <c r="AB1057" i="8"/>
  <c r="AB1058" i="8"/>
  <c r="AB1059" i="8"/>
  <c r="AB1060" i="8"/>
  <c r="AB1061" i="8"/>
  <c r="AB1062" i="8"/>
  <c r="AB1063" i="8"/>
  <c r="AB1064" i="8"/>
  <c r="AB1065" i="8"/>
  <c r="AB1066" i="8"/>
  <c r="AB1067" i="8"/>
  <c r="AB1068" i="8"/>
  <c r="AB1069" i="8"/>
  <c r="AB1070" i="8"/>
  <c r="AB1071" i="8"/>
  <c r="AB1072" i="8"/>
  <c r="AB1073" i="8"/>
  <c r="AB1074" i="8"/>
  <c r="AB1075" i="8"/>
  <c r="AB1076" i="8"/>
  <c r="AB1077" i="8"/>
  <c r="AB1078" i="8"/>
  <c r="AB1079" i="8"/>
  <c r="AB1080" i="8"/>
  <c r="AB1081" i="8"/>
  <c r="AB1082" i="8"/>
  <c r="AB1083" i="8"/>
  <c r="AB1084" i="8"/>
  <c r="AB1085" i="8"/>
  <c r="AB1086" i="8"/>
  <c r="AB1087" i="8"/>
  <c r="AB1088" i="8"/>
  <c r="AB1089" i="8"/>
  <c r="AB1090" i="8"/>
  <c r="AB1091" i="8"/>
  <c r="AB1092" i="8"/>
  <c r="AB1093" i="8"/>
  <c r="AB1094" i="8"/>
  <c r="AB1095" i="8"/>
  <c r="AB1096" i="8"/>
  <c r="AB1097" i="8"/>
  <c r="AB1098" i="8"/>
  <c r="AB1099" i="8"/>
  <c r="AB1100" i="8"/>
  <c r="AB1101" i="8"/>
  <c r="AB1102" i="8"/>
  <c r="AB1103" i="8"/>
  <c r="AB1104" i="8"/>
  <c r="AB1105" i="8"/>
  <c r="AB1106" i="8"/>
  <c r="AB1107" i="8"/>
  <c r="AB1108" i="8"/>
  <c r="AB1109" i="8"/>
  <c r="AB1110" i="8"/>
  <c r="AB1111" i="8"/>
  <c r="AB1112" i="8"/>
  <c r="AB1113" i="8"/>
  <c r="AB1114" i="8"/>
  <c r="AB1115" i="8"/>
  <c r="AB1116" i="8"/>
  <c r="AB1117" i="8"/>
  <c r="AB1118" i="8"/>
  <c r="AB1119" i="8"/>
  <c r="AB1120" i="8"/>
  <c r="AB1121" i="8"/>
  <c r="AB1122" i="8"/>
  <c r="AB1123" i="8"/>
  <c r="AB1124" i="8"/>
  <c r="AB1125" i="8"/>
  <c r="AB1126" i="8"/>
  <c r="AB1127" i="8"/>
  <c r="AB1128" i="8"/>
  <c r="AB1129" i="8"/>
  <c r="AB1130" i="8"/>
  <c r="AB1131" i="8"/>
  <c r="AB1132" i="8"/>
  <c r="AB1133" i="8"/>
  <c r="AB1134" i="8"/>
  <c r="AB1135" i="8"/>
  <c r="AB1136" i="8"/>
  <c r="AB1137" i="8"/>
  <c r="AB1138" i="8"/>
  <c r="AB1139" i="8"/>
  <c r="AB1140" i="8"/>
  <c r="AB1141" i="8"/>
  <c r="AB1142" i="8"/>
  <c r="AB1143" i="8"/>
  <c r="AB1144" i="8"/>
  <c r="AB1145" i="8"/>
  <c r="AB1146" i="8"/>
  <c r="AB1147" i="8"/>
  <c r="AB1148" i="8"/>
  <c r="AB1149" i="8"/>
  <c r="AB1150" i="8"/>
  <c r="AB1151" i="8"/>
  <c r="AB1152" i="8"/>
  <c r="AB1153" i="8"/>
  <c r="AB1154" i="8"/>
  <c r="AB1155" i="8"/>
  <c r="AB1156" i="8"/>
  <c r="AB1157" i="8"/>
  <c r="AB1158" i="8"/>
  <c r="AB1159" i="8"/>
  <c r="AB1160" i="8"/>
  <c r="AB1161" i="8"/>
  <c r="AB1162" i="8"/>
  <c r="AB1163" i="8"/>
  <c r="AB1164" i="8"/>
  <c r="AB1165" i="8"/>
  <c r="AB1166" i="8"/>
  <c r="AB1167" i="8"/>
  <c r="AB1168" i="8"/>
  <c r="AB1169" i="8"/>
  <c r="AB1170" i="8"/>
  <c r="AB1171" i="8"/>
  <c r="AB1172" i="8"/>
  <c r="AB1173" i="8"/>
  <c r="AB1174" i="8"/>
  <c r="AB1175" i="8"/>
  <c r="AB1176" i="8"/>
  <c r="AB1177" i="8"/>
  <c r="AB1178" i="8"/>
  <c r="AB1179" i="8"/>
  <c r="AB1180" i="8"/>
  <c r="AB1181" i="8"/>
  <c r="AB1182" i="8"/>
  <c r="AB1183" i="8"/>
  <c r="AB1184" i="8"/>
  <c r="AB1185" i="8"/>
  <c r="AB1186" i="8"/>
  <c r="AB1187" i="8"/>
  <c r="AB1188" i="8"/>
  <c r="AB1189" i="8"/>
  <c r="AB1190" i="8"/>
  <c r="AB1191" i="8"/>
  <c r="AB1192" i="8"/>
  <c r="AB1193" i="8"/>
  <c r="AB1194" i="8"/>
  <c r="AB1195" i="8"/>
  <c r="AB1196" i="8"/>
  <c r="AB1197" i="8"/>
  <c r="AB1198" i="8"/>
  <c r="AB1199" i="8"/>
  <c r="AB1200" i="8"/>
  <c r="AB1201" i="8"/>
  <c r="AB1202" i="8"/>
  <c r="AB1203" i="8"/>
  <c r="AB1204" i="8"/>
  <c r="AB1205" i="8"/>
  <c r="AB1206" i="8"/>
  <c r="AB1207" i="8"/>
  <c r="AB1208" i="8"/>
  <c r="AB1209" i="8"/>
  <c r="AB1210" i="8"/>
  <c r="AB1211" i="8"/>
  <c r="AB1212" i="8"/>
  <c r="AB1213" i="8"/>
  <c r="AB1214" i="8"/>
  <c r="AB1215" i="8"/>
  <c r="AB1216" i="8"/>
  <c r="AB1217" i="8"/>
  <c r="AB1218" i="8"/>
  <c r="AB1219" i="8"/>
  <c r="AB1220" i="8"/>
  <c r="AB1221" i="8"/>
  <c r="AB1222" i="8"/>
  <c r="AB1223" i="8"/>
  <c r="AB1224" i="8"/>
  <c r="AB1225" i="8"/>
  <c r="AB1226" i="8"/>
  <c r="AB1227" i="8"/>
  <c r="AB1228" i="8"/>
  <c r="AB1229" i="8"/>
  <c r="AB1230" i="8"/>
  <c r="AB1231" i="8"/>
  <c r="AB1232" i="8"/>
  <c r="AB1233" i="8"/>
  <c r="AB1234" i="8"/>
  <c r="AB1235" i="8"/>
  <c r="AB1236" i="8"/>
  <c r="AB1237" i="8"/>
  <c r="AB1238" i="8"/>
  <c r="AB1239" i="8"/>
  <c r="AB1240" i="8"/>
  <c r="AB1241" i="8"/>
  <c r="AB1242" i="8"/>
  <c r="AB1243" i="8"/>
  <c r="AB1244" i="8"/>
  <c r="AB1245" i="8"/>
  <c r="AB1246" i="8"/>
  <c r="AB1247" i="8"/>
  <c r="AB1248" i="8"/>
  <c r="AB1249" i="8"/>
  <c r="AB1250" i="8"/>
  <c r="AB1251" i="8"/>
  <c r="AB1252" i="8"/>
  <c r="AB1253" i="8"/>
  <c r="AB1254" i="8"/>
  <c r="AB1255" i="8"/>
  <c r="AB1256" i="8"/>
  <c r="AB1257" i="8"/>
  <c r="AB1258" i="8"/>
  <c r="AB1259" i="8"/>
  <c r="AB1260" i="8"/>
  <c r="AB1261" i="8"/>
  <c r="AB1262" i="8"/>
  <c r="AB1263" i="8"/>
  <c r="AB1264" i="8"/>
  <c r="AB1265" i="8"/>
  <c r="AB1266" i="8"/>
  <c r="AB1267" i="8"/>
  <c r="AB1268" i="8"/>
  <c r="AB1269" i="8"/>
  <c r="AB1270" i="8"/>
  <c r="AB1271" i="8"/>
  <c r="AB1272" i="8"/>
  <c r="AB1273" i="8"/>
  <c r="AB1274" i="8"/>
  <c r="AB1275" i="8"/>
  <c r="AB1276" i="8"/>
  <c r="AB1277" i="8"/>
  <c r="AB1278" i="8"/>
  <c r="AB1279" i="8"/>
  <c r="AB1280" i="8"/>
  <c r="AB1281" i="8"/>
  <c r="AB1282" i="8"/>
  <c r="AB1283" i="8"/>
  <c r="AB1284" i="8"/>
  <c r="AB1285" i="8"/>
  <c r="AB1286" i="8"/>
  <c r="AB1287" i="8"/>
  <c r="AB1288" i="8"/>
  <c r="AB1289" i="8"/>
  <c r="AB1290" i="8"/>
  <c r="AB1291" i="8"/>
  <c r="AB1292" i="8"/>
  <c r="AB1293" i="8"/>
  <c r="AB1294" i="8"/>
  <c r="AB1295" i="8"/>
  <c r="AB1296" i="8"/>
  <c r="AB1297" i="8"/>
  <c r="AB1298" i="8"/>
  <c r="AB1299" i="8"/>
  <c r="AB1300" i="8"/>
  <c r="AB1301" i="8"/>
  <c r="AB1302" i="8"/>
  <c r="AB1303" i="8"/>
  <c r="AB1304" i="8"/>
  <c r="AB1305" i="8"/>
  <c r="AB1306" i="8"/>
  <c r="AB1307" i="8"/>
  <c r="AB1308" i="8"/>
  <c r="AB1309" i="8"/>
  <c r="AB1310" i="8"/>
  <c r="AB1311" i="8"/>
  <c r="AB1312" i="8"/>
  <c r="AB1313" i="8"/>
  <c r="AB1314" i="8"/>
  <c r="AB1315" i="8"/>
  <c r="AB1316" i="8"/>
  <c r="AB1317" i="8"/>
  <c r="AB1318" i="8"/>
  <c r="AB1319" i="8"/>
  <c r="AB1320" i="8"/>
  <c r="AB1321" i="8"/>
  <c r="AB1322" i="8"/>
  <c r="AB1323" i="8"/>
  <c r="AB1324" i="8"/>
  <c r="AB1325" i="8"/>
  <c r="AB1326" i="8"/>
  <c r="AB1327" i="8"/>
  <c r="AB1328" i="8"/>
  <c r="AB1329" i="8"/>
  <c r="AB1330" i="8"/>
  <c r="AB1331" i="8"/>
  <c r="AB1332" i="8"/>
  <c r="AB1333" i="8"/>
  <c r="AB1334" i="8"/>
  <c r="AB1335" i="8"/>
  <c r="AB1336" i="8"/>
  <c r="AB1337" i="8"/>
  <c r="AB1338" i="8"/>
  <c r="AB1339" i="8"/>
  <c r="AB1340" i="8"/>
  <c r="AB1341" i="8"/>
  <c r="AB1342" i="8"/>
  <c r="AB1343" i="8"/>
  <c r="AB1344" i="8"/>
  <c r="AB1345" i="8"/>
  <c r="AB1346" i="8"/>
  <c r="AB1347" i="8"/>
  <c r="AB1348" i="8"/>
  <c r="AB1349" i="8"/>
  <c r="AB1350" i="8"/>
  <c r="AB1351" i="8"/>
  <c r="AB1352" i="8"/>
  <c r="AB1353" i="8"/>
  <c r="AB1354" i="8"/>
  <c r="AB1355" i="8"/>
  <c r="AB1356" i="8"/>
  <c r="AB1357" i="8"/>
  <c r="AB1358" i="8"/>
  <c r="AB1359" i="8"/>
  <c r="AB1360" i="8"/>
  <c r="AB1361" i="8"/>
  <c r="AB1362" i="8"/>
  <c r="AB1363" i="8"/>
  <c r="AB1364" i="8"/>
  <c r="AB1365" i="8"/>
  <c r="AB1366" i="8"/>
  <c r="AB1367" i="8"/>
  <c r="AB1368" i="8"/>
  <c r="AB1369" i="8"/>
  <c r="AB1370" i="8"/>
  <c r="AB1371" i="8"/>
  <c r="AB1372" i="8"/>
  <c r="AB1373" i="8"/>
  <c r="AB1374" i="8"/>
  <c r="AB1375" i="8"/>
  <c r="AB1376" i="8"/>
  <c r="AB1377" i="8"/>
  <c r="AB1378" i="8"/>
  <c r="AB1379" i="8"/>
  <c r="AB1380" i="8"/>
  <c r="AB1381" i="8"/>
  <c r="AB1382" i="8"/>
  <c r="AB1383" i="8"/>
  <c r="AB1384" i="8"/>
  <c r="AB1385" i="8"/>
  <c r="AB1386" i="8"/>
  <c r="AB1387" i="8"/>
  <c r="AB1388" i="8"/>
  <c r="AB1389" i="8"/>
  <c r="AB1390" i="8"/>
  <c r="AB1391" i="8"/>
  <c r="AB1392" i="8"/>
  <c r="AB1393" i="8"/>
  <c r="AB1394" i="8"/>
  <c r="AB1395" i="8"/>
  <c r="AB1396" i="8"/>
  <c r="AB1397" i="8"/>
  <c r="AB1398" i="8"/>
  <c r="AB1399" i="8"/>
  <c r="AB1400" i="8"/>
  <c r="AB1401" i="8"/>
  <c r="AB1402" i="8"/>
  <c r="AB1403" i="8"/>
  <c r="AB1404" i="8"/>
  <c r="AB1405" i="8"/>
  <c r="AB1406" i="8"/>
  <c r="AB1407" i="8"/>
  <c r="AB1408" i="8"/>
  <c r="AB1409" i="8"/>
  <c r="AB1410" i="8"/>
  <c r="AB1411" i="8"/>
  <c r="AB1412" i="8"/>
  <c r="AB1413" i="8"/>
  <c r="AB1414" i="8"/>
  <c r="AB1415" i="8"/>
  <c r="AB1416" i="8"/>
  <c r="AB1417" i="8"/>
  <c r="AB1418" i="8"/>
  <c r="AB1419" i="8"/>
  <c r="AB1420" i="8"/>
  <c r="AB1421" i="8"/>
  <c r="AB1422" i="8"/>
  <c r="AB1423" i="8"/>
  <c r="AB1424" i="8"/>
  <c r="AB1425" i="8"/>
  <c r="AB1426" i="8"/>
  <c r="AB1427" i="8"/>
  <c r="AB1428" i="8"/>
  <c r="AB1429" i="8"/>
  <c r="AB1430" i="8"/>
  <c r="AB1431" i="8"/>
  <c r="AB1432" i="8"/>
  <c r="AB1433" i="8"/>
  <c r="AB1434" i="8"/>
  <c r="AB1435" i="8"/>
  <c r="AB1436" i="8"/>
  <c r="AB1437" i="8"/>
  <c r="AB1438" i="8"/>
  <c r="AB1439" i="8"/>
  <c r="AB1440" i="8"/>
  <c r="AB1441" i="8"/>
  <c r="AB1442" i="8"/>
  <c r="AB1443" i="8"/>
  <c r="AB1444" i="8"/>
  <c r="AB1445" i="8"/>
  <c r="AB1446" i="8"/>
  <c r="AB1447" i="8"/>
  <c r="AB1448" i="8"/>
  <c r="AB1449" i="8"/>
  <c r="AB1450" i="8"/>
  <c r="AB1451" i="8"/>
  <c r="AB1452" i="8"/>
  <c r="AB1453" i="8"/>
  <c r="AB1454" i="8"/>
  <c r="AB1455" i="8"/>
  <c r="AB1456" i="8"/>
  <c r="AB1457" i="8"/>
  <c r="AB1458" i="8"/>
  <c r="AB1459" i="8"/>
  <c r="AB1460" i="8"/>
  <c r="AB1461" i="8"/>
  <c r="AB1462" i="8"/>
  <c r="AB1463" i="8"/>
  <c r="AB1464" i="8"/>
  <c r="AB1465" i="8"/>
  <c r="AB1466" i="8"/>
  <c r="AB1467" i="8"/>
  <c r="AB1468" i="8"/>
  <c r="AB1469" i="8"/>
  <c r="AB1470" i="8"/>
  <c r="AB1471" i="8"/>
  <c r="AB1472" i="8"/>
  <c r="AB1473" i="8"/>
  <c r="AB1474" i="8"/>
  <c r="AB1475" i="8"/>
  <c r="AB1476" i="8"/>
  <c r="AB1477" i="8"/>
  <c r="AB1478" i="8"/>
  <c r="AB1479" i="8"/>
  <c r="AB1480" i="8"/>
  <c r="AB1481" i="8"/>
  <c r="AB1482" i="8"/>
  <c r="AB1483" i="8"/>
  <c r="AB1484" i="8"/>
  <c r="AB1485" i="8"/>
  <c r="AB1486" i="8"/>
  <c r="AB1487" i="8"/>
  <c r="AB1488" i="8"/>
  <c r="AB1489" i="8"/>
  <c r="AB1490" i="8"/>
  <c r="AB1491" i="8"/>
  <c r="AB1492" i="8"/>
  <c r="AB1493" i="8"/>
  <c r="AB1494" i="8"/>
  <c r="AB1495" i="8"/>
  <c r="AB1496" i="8"/>
  <c r="AB1497" i="8"/>
  <c r="AB1498" i="8"/>
  <c r="AB1499" i="8"/>
  <c r="AB1500" i="8"/>
  <c r="AB1501" i="8"/>
  <c r="AB1502" i="8"/>
  <c r="AB1503" i="8"/>
  <c r="AB1504" i="8"/>
  <c r="AB1505" i="8"/>
  <c r="AB1506" i="8"/>
  <c r="AB1507" i="8"/>
  <c r="AB1508" i="8"/>
  <c r="AB1509" i="8"/>
  <c r="AB1510" i="8"/>
  <c r="AB1511" i="8"/>
  <c r="AB1512" i="8"/>
  <c r="AB1513" i="8"/>
  <c r="AB1514" i="8"/>
  <c r="AB1515" i="8"/>
  <c r="AB1516" i="8"/>
  <c r="AB1517" i="8"/>
  <c r="AB1518" i="8"/>
  <c r="AB1519" i="8"/>
  <c r="AB1520" i="8"/>
  <c r="AB1521" i="8"/>
  <c r="AB1522" i="8"/>
  <c r="AB1523" i="8"/>
  <c r="AB1524" i="8"/>
  <c r="AB1525" i="8"/>
  <c r="AB1526" i="8"/>
  <c r="AB1527" i="8"/>
  <c r="AB1528" i="8"/>
  <c r="AB1529" i="8"/>
  <c r="AB1530" i="8"/>
  <c r="AB1531" i="8"/>
  <c r="AB1532" i="8"/>
  <c r="AB1533" i="8"/>
  <c r="AB1534" i="8"/>
  <c r="AB1535" i="8"/>
  <c r="AB1536" i="8"/>
  <c r="AB1537" i="8"/>
  <c r="AB1538" i="8"/>
  <c r="AB1539" i="8"/>
  <c r="AB1540" i="8"/>
  <c r="AB1541" i="8"/>
  <c r="AB1542" i="8"/>
  <c r="AB1543" i="8"/>
  <c r="AB1544" i="8"/>
  <c r="AB1545" i="8"/>
  <c r="AB1546" i="8"/>
  <c r="AB1547" i="8"/>
  <c r="AB1548" i="8"/>
  <c r="AB1549" i="8"/>
  <c r="AB1550" i="8"/>
  <c r="AB1551" i="8"/>
  <c r="AB1552" i="8"/>
  <c r="AB1553" i="8"/>
  <c r="AB1554" i="8"/>
  <c r="AB1555" i="8"/>
  <c r="AB1556" i="8"/>
  <c r="AB1557" i="8"/>
  <c r="AB1558" i="8"/>
  <c r="AB1559" i="8"/>
  <c r="AB1560" i="8"/>
  <c r="AB1561" i="8"/>
  <c r="AB1562" i="8"/>
  <c r="AB1563" i="8"/>
  <c r="AB1564" i="8"/>
  <c r="AB1565" i="8"/>
  <c r="AB1566" i="8"/>
  <c r="AB1567" i="8"/>
  <c r="AB1568" i="8"/>
  <c r="AB1569" i="8"/>
  <c r="AB1570" i="8"/>
  <c r="AB1571" i="8"/>
  <c r="AB1572" i="8"/>
  <c r="AB1573" i="8"/>
  <c r="AB1574" i="8"/>
  <c r="AB1575" i="8"/>
  <c r="AB1576" i="8"/>
  <c r="AB1577" i="8"/>
  <c r="AB1578" i="8"/>
  <c r="AB1579" i="8"/>
  <c r="AB1580" i="8"/>
  <c r="AB1581" i="8"/>
  <c r="AB1582" i="8"/>
  <c r="AB1583" i="8"/>
  <c r="AB1584" i="8"/>
  <c r="AB1585" i="8"/>
  <c r="AB1586" i="8"/>
  <c r="AB1587" i="8"/>
  <c r="AB1588" i="8"/>
  <c r="AB1589" i="8"/>
  <c r="AB1590" i="8"/>
  <c r="AB1591" i="8"/>
  <c r="AB1592" i="8"/>
  <c r="AB1593" i="8"/>
  <c r="AB1594" i="8"/>
  <c r="AB1595" i="8"/>
  <c r="AB1596" i="8"/>
  <c r="AB1597" i="8"/>
  <c r="AB1598" i="8"/>
  <c r="AB1599" i="8"/>
  <c r="AB1600" i="8"/>
  <c r="AB1601" i="8"/>
  <c r="AB1602" i="8"/>
  <c r="AB1603" i="8"/>
  <c r="AB1604" i="8"/>
  <c r="AB1605" i="8"/>
  <c r="AB1606" i="8"/>
  <c r="AB1607" i="8"/>
  <c r="AB1608" i="8"/>
  <c r="AB1609" i="8"/>
  <c r="AB1610" i="8"/>
  <c r="AB1611" i="8"/>
  <c r="AB1612" i="8"/>
  <c r="AB1613" i="8"/>
  <c r="AB1614" i="8"/>
  <c r="AB1615" i="8"/>
  <c r="AB1616" i="8"/>
  <c r="AB1617" i="8"/>
  <c r="AB1618" i="8"/>
  <c r="AB1619" i="8"/>
  <c r="AB1620" i="8"/>
  <c r="AB1621" i="8"/>
  <c r="AB1622" i="8"/>
  <c r="AB1623" i="8"/>
  <c r="AB1624" i="8"/>
  <c r="AB1625" i="8"/>
  <c r="AB1626" i="8"/>
  <c r="AB1627" i="8"/>
  <c r="AB1628" i="8"/>
  <c r="AB1629" i="8"/>
  <c r="AB1630" i="8"/>
  <c r="AB1631" i="8"/>
  <c r="AB1632" i="8"/>
  <c r="AB1633" i="8"/>
  <c r="AB1634" i="8"/>
  <c r="AB1635" i="8"/>
  <c r="AB1636" i="8"/>
  <c r="AB1637" i="8"/>
  <c r="AB1638" i="8"/>
  <c r="AB1639" i="8"/>
  <c r="AB1640" i="8"/>
  <c r="AB1641" i="8"/>
  <c r="AB1642" i="8"/>
  <c r="AB1643" i="8"/>
  <c r="AB1644" i="8"/>
  <c r="AB1645" i="8"/>
  <c r="AB1646" i="8"/>
  <c r="AB1647" i="8"/>
  <c r="AB1648" i="8"/>
  <c r="AB1649" i="8"/>
  <c r="AB1650" i="8"/>
  <c r="AB1651" i="8"/>
  <c r="AB1652" i="8"/>
  <c r="AB1653" i="8"/>
  <c r="AB1654" i="8"/>
  <c r="AB1655" i="8"/>
  <c r="AB1656" i="8"/>
  <c r="AB1657" i="8"/>
  <c r="AB1658" i="8"/>
  <c r="AB1659" i="8"/>
  <c r="AB1660" i="8"/>
  <c r="AB1661" i="8"/>
  <c r="AB1662" i="8"/>
  <c r="AB1663" i="8"/>
  <c r="AB1664" i="8"/>
  <c r="AB1665" i="8"/>
  <c r="AB1666" i="8"/>
  <c r="AB1667" i="8"/>
  <c r="AB1668" i="8"/>
  <c r="AB1669" i="8"/>
  <c r="AB1670" i="8"/>
  <c r="AB1671" i="8"/>
  <c r="AB1672" i="8"/>
  <c r="AB1673" i="8"/>
  <c r="AB1674" i="8"/>
  <c r="AB1675" i="8"/>
  <c r="AB1676" i="8"/>
  <c r="AB1677" i="8"/>
  <c r="AB1678" i="8"/>
  <c r="AB1679" i="8"/>
  <c r="AB1680" i="8"/>
  <c r="AB1681" i="8"/>
  <c r="AB1682" i="8"/>
  <c r="AB1683" i="8"/>
  <c r="AB1684" i="8"/>
  <c r="AB1685" i="8"/>
  <c r="AB1686" i="8"/>
  <c r="AB1687" i="8"/>
  <c r="AB1688" i="8"/>
  <c r="AB1689" i="8"/>
  <c r="AB1690" i="8"/>
  <c r="AB1691" i="8"/>
  <c r="AB1692" i="8"/>
  <c r="AB1693" i="8"/>
  <c r="AB1694" i="8"/>
  <c r="AB1695" i="8"/>
  <c r="AB1696" i="8"/>
  <c r="AB1697" i="8"/>
  <c r="AB1698" i="8"/>
  <c r="AB1699" i="8"/>
  <c r="AB1700" i="8"/>
  <c r="AB1701" i="8"/>
  <c r="AB1702" i="8"/>
  <c r="AB1703" i="8"/>
  <c r="AB1704" i="8"/>
  <c r="AB1705" i="8"/>
  <c r="AB1706" i="8"/>
  <c r="AB1707" i="8"/>
  <c r="AB1708" i="8"/>
  <c r="AB1709" i="8"/>
  <c r="AB1710" i="8"/>
  <c r="AB1711" i="8"/>
  <c r="AB1712" i="8"/>
  <c r="AB1713" i="8"/>
  <c r="AB1714" i="8"/>
  <c r="AB1715" i="8"/>
  <c r="AB1716" i="8"/>
  <c r="AB1717" i="8"/>
  <c r="AB1718" i="8"/>
  <c r="AB1719" i="8"/>
  <c r="AB1720" i="8"/>
  <c r="AB1721" i="8"/>
  <c r="AB1722" i="8"/>
  <c r="AB1723" i="8"/>
  <c r="AB1724" i="8"/>
  <c r="AB1725" i="8"/>
  <c r="AB1726" i="8"/>
  <c r="AB1727" i="8"/>
  <c r="AB1728" i="8"/>
  <c r="AB1729" i="8"/>
  <c r="AB1730" i="8"/>
  <c r="AB1731" i="8"/>
  <c r="AB1732" i="8"/>
  <c r="AB1733" i="8"/>
  <c r="AB1734" i="8"/>
  <c r="AB1735" i="8"/>
  <c r="AB1736" i="8"/>
  <c r="AB1737" i="8"/>
  <c r="AB1738" i="8"/>
  <c r="AB1739" i="8"/>
  <c r="AB1740" i="8"/>
  <c r="AB1741" i="8"/>
  <c r="AB1742" i="8"/>
  <c r="AB1743" i="8"/>
  <c r="AB1744" i="8"/>
  <c r="AB1745" i="8"/>
  <c r="AB1746" i="8"/>
  <c r="AB1747" i="8"/>
  <c r="AB1748" i="8"/>
  <c r="AB1749" i="8"/>
  <c r="AB1750" i="8"/>
  <c r="AB1751" i="8"/>
  <c r="AB1752" i="8"/>
  <c r="AB1753" i="8"/>
  <c r="AB1754" i="8"/>
  <c r="AB1755" i="8"/>
  <c r="AB1756" i="8"/>
  <c r="AB1757" i="8"/>
  <c r="AB1758" i="8"/>
  <c r="AB1759" i="8"/>
  <c r="AB1760" i="8"/>
  <c r="AB1761" i="8"/>
  <c r="AB1762" i="8"/>
  <c r="AB1763" i="8"/>
  <c r="AB1764" i="8"/>
  <c r="AB1765" i="8"/>
  <c r="AB1766" i="8"/>
  <c r="AB1767" i="8"/>
  <c r="AB1768" i="8"/>
  <c r="AB1769" i="8"/>
  <c r="AB1770" i="8"/>
  <c r="AB1771" i="8"/>
  <c r="AB1772" i="8"/>
  <c r="AB1773" i="8"/>
  <c r="AB1774" i="8"/>
  <c r="AB1775" i="8"/>
  <c r="AB1776" i="8"/>
  <c r="AB1777" i="8"/>
  <c r="AB1778" i="8"/>
  <c r="AB1779" i="8"/>
  <c r="AB1780" i="8"/>
  <c r="AB1781" i="8"/>
  <c r="AB1782" i="8"/>
  <c r="AB1783" i="8"/>
  <c r="AB1784" i="8"/>
  <c r="AB1785" i="8"/>
  <c r="AB1786" i="8"/>
  <c r="AB1787" i="8"/>
  <c r="AB1788" i="8"/>
  <c r="AB1789" i="8"/>
  <c r="AB1790" i="8"/>
  <c r="AB1791" i="8"/>
  <c r="AB1792" i="8"/>
  <c r="AB1793" i="8"/>
  <c r="AB1794" i="8"/>
  <c r="AB1795" i="8"/>
  <c r="AB1796" i="8"/>
  <c r="AB1797" i="8"/>
  <c r="AB1798" i="8"/>
  <c r="AB1799" i="8"/>
  <c r="AB1800" i="8"/>
  <c r="AB1801" i="8"/>
  <c r="AB1802" i="8"/>
  <c r="AB1803" i="8"/>
  <c r="AB1804" i="8"/>
  <c r="AB1805" i="8"/>
  <c r="AB1806" i="8"/>
  <c r="AB1807" i="8"/>
  <c r="AB1808" i="8"/>
  <c r="AB1809" i="8"/>
  <c r="AB1810" i="8"/>
  <c r="AB1811" i="8"/>
  <c r="AB1812" i="8"/>
  <c r="AB1813" i="8"/>
  <c r="AB1814" i="8"/>
  <c r="AB1815" i="8"/>
  <c r="AB1816" i="8"/>
  <c r="AB1817" i="8"/>
  <c r="AB1818" i="8"/>
  <c r="AB1819" i="8"/>
  <c r="AB1820" i="8"/>
  <c r="AB1821" i="8"/>
  <c r="AB1822" i="8"/>
  <c r="AB1823" i="8"/>
  <c r="AB1824" i="8"/>
  <c r="AB1825" i="8"/>
  <c r="AB1826" i="8"/>
  <c r="AB1827" i="8"/>
  <c r="AB1828" i="8"/>
  <c r="AB1829" i="8"/>
  <c r="AB1830" i="8"/>
  <c r="AB1831" i="8"/>
  <c r="AB1832" i="8"/>
  <c r="AB1833" i="8"/>
  <c r="AB1834" i="8"/>
  <c r="AB1835" i="8"/>
  <c r="AB1836" i="8"/>
  <c r="AB1837" i="8"/>
  <c r="AB1838" i="8"/>
  <c r="AB1839" i="8"/>
  <c r="AB1840" i="8"/>
  <c r="AB1841" i="8"/>
  <c r="AB1842" i="8"/>
  <c r="AB1843" i="8"/>
  <c r="AB1844" i="8"/>
  <c r="AB1845" i="8"/>
  <c r="AB1846" i="8"/>
  <c r="AB1847" i="8"/>
  <c r="AB1848" i="8"/>
  <c r="AB1849" i="8"/>
  <c r="AB1850" i="8"/>
  <c r="AB1851" i="8"/>
  <c r="AB1852" i="8"/>
  <c r="AB1853" i="8"/>
  <c r="AB1854" i="8"/>
  <c r="AB1855" i="8"/>
  <c r="AB1856" i="8"/>
  <c r="AB1857" i="8"/>
  <c r="AB1858" i="8"/>
  <c r="AB1859" i="8"/>
  <c r="AB1860" i="8"/>
  <c r="AB1861" i="8"/>
  <c r="AB1862" i="8"/>
  <c r="AB1863" i="8"/>
  <c r="AB1864" i="8"/>
  <c r="AB1865" i="8"/>
  <c r="AB1866" i="8"/>
  <c r="AB1867" i="8"/>
  <c r="AB1868" i="8"/>
  <c r="AB1869" i="8"/>
  <c r="AB1870" i="8"/>
  <c r="AB1871" i="8"/>
  <c r="AB1872" i="8"/>
  <c r="AB1873" i="8"/>
  <c r="AB1874" i="8"/>
  <c r="AB1875" i="8"/>
  <c r="AB1876" i="8"/>
  <c r="AB1877" i="8"/>
  <c r="AB1878" i="8"/>
  <c r="AB1879" i="8"/>
  <c r="AB1880" i="8"/>
  <c r="AB1881" i="8"/>
  <c r="AB1882" i="8"/>
  <c r="AB1883" i="8"/>
  <c r="AB1884" i="8"/>
  <c r="AB1885" i="8"/>
  <c r="AB1886" i="8"/>
  <c r="AB1887" i="8"/>
  <c r="AB1888" i="8"/>
  <c r="AB1889" i="8"/>
  <c r="AB1890" i="8"/>
  <c r="AB1891" i="8"/>
  <c r="AB1892" i="8"/>
  <c r="AB1893" i="8"/>
  <c r="AB1894" i="8"/>
  <c r="AB1895" i="8"/>
  <c r="AB1896" i="8"/>
  <c r="AB1897" i="8"/>
  <c r="AB1898" i="8"/>
  <c r="AB1899" i="8"/>
  <c r="AB1900" i="8"/>
  <c r="AB1901" i="8"/>
  <c r="AB1902" i="8"/>
  <c r="AB1903" i="8"/>
  <c r="AB1904" i="8"/>
  <c r="AB1905" i="8"/>
  <c r="AB1906" i="8"/>
  <c r="AB1907" i="8"/>
  <c r="AB1908" i="8"/>
  <c r="AB1909" i="8"/>
  <c r="AB1910" i="8"/>
  <c r="AB1911" i="8"/>
  <c r="AB1912" i="8"/>
  <c r="AB1913" i="8"/>
  <c r="AB1914" i="8"/>
  <c r="AB1915" i="8"/>
  <c r="AB1916" i="8"/>
  <c r="AB1917" i="8"/>
  <c r="AB1918" i="8"/>
  <c r="AB1919" i="8"/>
  <c r="AB1920" i="8"/>
  <c r="AB1921" i="8"/>
  <c r="AB1922" i="8"/>
  <c r="AB1923" i="8"/>
  <c r="AB1924" i="8"/>
  <c r="AB1925" i="8"/>
  <c r="AB1926" i="8"/>
  <c r="AB1927" i="8"/>
  <c r="AB1928" i="8"/>
  <c r="AB1929" i="8"/>
  <c r="AB1930" i="8"/>
  <c r="AB1931" i="8"/>
  <c r="AB1932" i="8"/>
  <c r="AB1933" i="8"/>
  <c r="AB1934" i="8"/>
  <c r="AB1935" i="8"/>
  <c r="AB1936" i="8"/>
  <c r="AB1937" i="8"/>
  <c r="AB1938" i="8"/>
  <c r="AB1939" i="8"/>
  <c r="AB1940" i="8"/>
  <c r="AB1941" i="8"/>
  <c r="AB1942" i="8"/>
  <c r="AB1943" i="8"/>
  <c r="AB1944" i="8"/>
  <c r="AB1945" i="8"/>
  <c r="AB1946" i="8"/>
  <c r="AB1947" i="8"/>
  <c r="AB1948" i="8"/>
  <c r="AB1949" i="8"/>
  <c r="AB1950" i="8"/>
  <c r="AB1951" i="8"/>
  <c r="AB1952" i="8"/>
  <c r="AB1953" i="8"/>
  <c r="AB1954" i="8"/>
  <c r="AB1955" i="8"/>
  <c r="AB1956" i="8"/>
  <c r="AB1957" i="8"/>
  <c r="AB1958" i="8"/>
  <c r="AB1959" i="8"/>
  <c r="AB1960" i="8"/>
  <c r="AB1961" i="8"/>
  <c r="AB1962" i="8"/>
  <c r="AB1963" i="8"/>
  <c r="AB1964" i="8"/>
  <c r="AB1965" i="8"/>
  <c r="AB1966" i="8"/>
  <c r="AB1967" i="8"/>
  <c r="AB1968" i="8"/>
  <c r="AB1969" i="8"/>
  <c r="AB1970" i="8"/>
  <c r="AB1971" i="8"/>
  <c r="AB1972" i="8"/>
  <c r="AB1973" i="8"/>
  <c r="AB1974" i="8"/>
  <c r="AB1975" i="8"/>
  <c r="AB1976" i="8"/>
  <c r="AB1977" i="8"/>
  <c r="AB1978" i="8"/>
  <c r="AB1979" i="8"/>
  <c r="AB1980" i="8"/>
  <c r="AB1981" i="8"/>
  <c r="AB1982" i="8"/>
  <c r="AB1983" i="8"/>
  <c r="AB1984" i="8"/>
  <c r="AB1985" i="8"/>
  <c r="AB1986" i="8"/>
  <c r="AB1987" i="8"/>
  <c r="AB1988" i="8"/>
  <c r="AB1989" i="8"/>
  <c r="AB1990" i="8"/>
  <c r="AB1991" i="8"/>
  <c r="AB1992" i="8"/>
  <c r="AB1993" i="8"/>
  <c r="AB1994" i="8"/>
  <c r="AB1995" i="8"/>
  <c r="AB1996" i="8"/>
  <c r="AB1997" i="8"/>
  <c r="AB1998" i="8"/>
  <c r="AB1999" i="8"/>
  <c r="AB2000" i="8"/>
  <c r="AB2001" i="8"/>
  <c r="AB2002" i="8"/>
  <c r="AB2003" i="8"/>
  <c r="AB2004" i="8"/>
  <c r="AB2005" i="8"/>
  <c r="AB2006" i="8"/>
  <c r="AB2007" i="8"/>
  <c r="AB2008" i="8"/>
  <c r="AB2009" i="8"/>
  <c r="AB2010" i="8"/>
  <c r="AB2011" i="8"/>
  <c r="AB2012" i="8"/>
  <c r="AB2013" i="8"/>
  <c r="AB2014" i="8"/>
  <c r="AB2015" i="8"/>
  <c r="AB2016" i="8"/>
  <c r="AB2017" i="8"/>
  <c r="AB2018" i="8"/>
  <c r="AB2019" i="8"/>
  <c r="AB2020" i="8"/>
  <c r="AB2021" i="8"/>
  <c r="AB2022" i="8"/>
  <c r="AB2023" i="8"/>
  <c r="AB2024" i="8"/>
  <c r="AB2025" i="8"/>
  <c r="AB2026" i="8"/>
  <c r="AB2027" i="8"/>
  <c r="AB2028" i="8"/>
  <c r="AB2029" i="8"/>
  <c r="AB2030" i="8"/>
  <c r="AB2031" i="8"/>
  <c r="AB2032" i="8"/>
  <c r="AB2033" i="8"/>
  <c r="AB2034" i="8"/>
  <c r="AB2035" i="8"/>
  <c r="AB2036" i="8"/>
  <c r="AB2037" i="8"/>
  <c r="AB2038" i="8"/>
  <c r="AB2039" i="8"/>
  <c r="AB2040" i="8"/>
  <c r="AB2041" i="8"/>
  <c r="AB2042" i="8"/>
  <c r="AB2043" i="8"/>
  <c r="AB2044" i="8"/>
  <c r="AB2045" i="8"/>
  <c r="AB2046" i="8"/>
  <c r="AB2047" i="8"/>
  <c r="AB2048" i="8"/>
  <c r="AB2049" i="8"/>
  <c r="AB2050" i="8"/>
  <c r="AB2051" i="8"/>
  <c r="AB2052" i="8"/>
  <c r="AB2053" i="8"/>
  <c r="AB2054" i="8"/>
  <c r="AB2055" i="8"/>
  <c r="AB2056" i="8"/>
  <c r="AB2057" i="8"/>
  <c r="AB2058" i="8"/>
  <c r="AB2059" i="8"/>
  <c r="AB2060" i="8"/>
  <c r="AB2061" i="8"/>
  <c r="AB2062" i="8"/>
  <c r="AB2063" i="8"/>
  <c r="AB2064" i="8"/>
  <c r="AB2065" i="8"/>
  <c r="AB2066" i="8"/>
  <c r="AB2067" i="8"/>
  <c r="AB2068" i="8"/>
  <c r="AB2069" i="8"/>
  <c r="AB2070" i="8"/>
  <c r="AB2071" i="8"/>
  <c r="AB2072" i="8"/>
  <c r="AB2073" i="8"/>
  <c r="AB2074" i="8"/>
  <c r="AB2075" i="8"/>
  <c r="AB2076" i="8"/>
  <c r="AB2077" i="8"/>
  <c r="AB2078" i="8"/>
  <c r="AB2079" i="8"/>
  <c r="AB2080" i="8"/>
  <c r="AB2081" i="8"/>
  <c r="AB2082" i="8"/>
  <c r="AB2083" i="8"/>
  <c r="AB2084" i="8"/>
  <c r="AB2085" i="8"/>
  <c r="AB2086" i="8"/>
  <c r="AB2087" i="8"/>
  <c r="AB2088" i="8"/>
  <c r="AB2089" i="8"/>
  <c r="AB2090" i="8"/>
  <c r="AB2091" i="8"/>
  <c r="AB2092" i="8"/>
  <c r="AB2093" i="8"/>
  <c r="AB2094" i="8"/>
  <c r="AB2095" i="8"/>
  <c r="AB2096" i="8"/>
  <c r="AB2097" i="8"/>
  <c r="AB2098" i="8"/>
  <c r="AB2099" i="8"/>
  <c r="AB2100" i="8"/>
  <c r="AB2101" i="8"/>
  <c r="AB2102" i="8"/>
  <c r="AB2103" i="8"/>
  <c r="AB2104" i="8"/>
  <c r="AB2105" i="8"/>
  <c r="AB2106" i="8"/>
  <c r="AB2107" i="8"/>
  <c r="AB2108" i="8"/>
  <c r="AB2109" i="8"/>
  <c r="AB2110" i="8"/>
  <c r="AB2111" i="8"/>
  <c r="AB2112" i="8"/>
  <c r="AB2113" i="8"/>
  <c r="AB2114" i="8"/>
  <c r="AB2115" i="8"/>
  <c r="AB2116" i="8"/>
  <c r="AB2117" i="8"/>
  <c r="AB2118" i="8"/>
  <c r="AB2119" i="8"/>
  <c r="AB2120" i="8"/>
  <c r="AB2121" i="8"/>
  <c r="AB2122" i="8"/>
  <c r="AB2123" i="8"/>
  <c r="AB2124" i="8"/>
  <c r="AB2125" i="8"/>
  <c r="AB2126" i="8"/>
  <c r="AB2127" i="8"/>
  <c r="AB2128" i="8"/>
  <c r="AB2129" i="8"/>
  <c r="AB2130" i="8"/>
  <c r="AB2131" i="8"/>
  <c r="AB2132" i="8"/>
  <c r="AB2133" i="8"/>
  <c r="AB2134" i="8"/>
  <c r="AB2135" i="8"/>
  <c r="AB2136" i="8"/>
  <c r="AB2137" i="8"/>
  <c r="AB2138" i="8"/>
  <c r="AB2139" i="8"/>
  <c r="AB2140" i="8"/>
  <c r="AB2141" i="8"/>
  <c r="AB2142" i="8"/>
  <c r="AB2143" i="8"/>
  <c r="AB2144" i="8"/>
  <c r="AB2145" i="8"/>
  <c r="AB2146" i="8"/>
  <c r="AB2147" i="8"/>
  <c r="AB2148" i="8"/>
  <c r="AB2149" i="8"/>
  <c r="AB2150" i="8"/>
  <c r="AB2151" i="8"/>
  <c r="AB2152" i="8"/>
  <c r="AB2153" i="8"/>
  <c r="AB2154" i="8"/>
  <c r="AB2155" i="8"/>
  <c r="AB2156" i="8"/>
  <c r="AB2157" i="8"/>
  <c r="AB2158" i="8"/>
  <c r="AB2159" i="8"/>
  <c r="AB2160" i="8"/>
  <c r="AB2161" i="8"/>
  <c r="AB2162" i="8"/>
  <c r="AB2163" i="8"/>
  <c r="AB2164" i="8"/>
  <c r="AB2165" i="8"/>
  <c r="AB2166" i="8"/>
  <c r="AB2167" i="8"/>
  <c r="AB2168" i="8"/>
  <c r="AB2169" i="8"/>
  <c r="AB2170" i="8"/>
  <c r="AB2171" i="8"/>
  <c r="AB2172" i="8"/>
  <c r="AB2173" i="8"/>
  <c r="AB2174" i="8"/>
  <c r="AB2175" i="8"/>
  <c r="AB2176" i="8"/>
  <c r="AB2177" i="8"/>
  <c r="AB2178" i="8"/>
  <c r="AB2179" i="8"/>
  <c r="AB2180" i="8"/>
  <c r="AB2181" i="8"/>
  <c r="AB2182" i="8"/>
  <c r="AB2183" i="8"/>
  <c r="AB2184" i="8"/>
  <c r="AB2185" i="8"/>
  <c r="AB2186" i="8"/>
  <c r="AB2187" i="8"/>
  <c r="AB2188" i="8"/>
  <c r="AB2189" i="8"/>
  <c r="AB2190" i="8"/>
  <c r="AB2191" i="8"/>
  <c r="AB2192" i="8"/>
  <c r="AB2193" i="8"/>
  <c r="AB2194" i="8"/>
  <c r="AB2195" i="8"/>
  <c r="AB2196" i="8"/>
  <c r="AB2197" i="8"/>
  <c r="AB2198" i="8"/>
  <c r="AB2199" i="8"/>
  <c r="AB2200" i="8"/>
  <c r="AB2201" i="8"/>
  <c r="AB2202" i="8"/>
  <c r="AB2203" i="8"/>
  <c r="AB2204" i="8"/>
  <c r="AB2205" i="8"/>
  <c r="AB2206" i="8"/>
  <c r="AB2207" i="8"/>
  <c r="AB2208" i="8"/>
  <c r="AB2209" i="8"/>
  <c r="AB2210" i="8"/>
  <c r="AB2211" i="8"/>
  <c r="AB2212" i="8"/>
  <c r="AB2213" i="8"/>
  <c r="AB2214" i="8"/>
  <c r="AB2215" i="8"/>
  <c r="AB2216" i="8"/>
  <c r="AB2217" i="8"/>
  <c r="AB2218" i="8"/>
  <c r="AB2219" i="8"/>
  <c r="AB2220" i="8"/>
  <c r="AB2221" i="8"/>
  <c r="AB2222" i="8"/>
  <c r="AB2223" i="8"/>
  <c r="AB2224" i="8"/>
  <c r="AB2225" i="8"/>
  <c r="AB2226" i="8"/>
  <c r="AB2227" i="8"/>
  <c r="AB2228" i="8"/>
  <c r="AB2229" i="8"/>
  <c r="AB2230" i="8"/>
  <c r="AB2231" i="8"/>
  <c r="AB2232" i="8"/>
  <c r="AB2233" i="8"/>
  <c r="AB2234" i="8"/>
  <c r="AB2235" i="8"/>
  <c r="AB2236" i="8"/>
  <c r="AB2237" i="8"/>
  <c r="AB2238" i="8"/>
  <c r="AB2239" i="8"/>
  <c r="AB2240" i="8"/>
  <c r="AB2241" i="8"/>
  <c r="AB2242" i="8"/>
  <c r="AB2243" i="8"/>
  <c r="AB2244" i="8"/>
  <c r="AB2245" i="8"/>
  <c r="AB2246" i="8"/>
  <c r="AB2247" i="8"/>
  <c r="AB2248" i="8"/>
  <c r="AB2249" i="8"/>
  <c r="AB2250" i="8"/>
  <c r="AB2251" i="8"/>
  <c r="AB2252" i="8"/>
  <c r="AB2253" i="8"/>
  <c r="AB2254" i="8"/>
  <c r="AB2255" i="8"/>
  <c r="AB2256" i="8"/>
  <c r="AB2257" i="8"/>
  <c r="AB2258" i="8"/>
  <c r="AB2259" i="8"/>
  <c r="AB2260" i="8"/>
  <c r="AB2261" i="8"/>
  <c r="AB2262" i="8"/>
  <c r="AB2263" i="8"/>
  <c r="AB2264" i="8"/>
  <c r="AB2265" i="8"/>
  <c r="AB2266" i="8"/>
  <c r="AB2267" i="8"/>
  <c r="AB2268" i="8"/>
  <c r="AB2269" i="8"/>
  <c r="AB2270" i="8"/>
  <c r="AB2271" i="8"/>
  <c r="AB2272" i="8"/>
  <c r="AB2273" i="8"/>
  <c r="AB2274" i="8"/>
  <c r="AB2275" i="8"/>
  <c r="AB2276" i="8"/>
  <c r="AB2277" i="8"/>
  <c r="AB2278" i="8"/>
  <c r="AB2279" i="8"/>
  <c r="AB2280" i="8"/>
  <c r="AB2281" i="8"/>
  <c r="AB2282" i="8"/>
  <c r="AB2283" i="8"/>
  <c r="AB2284" i="8"/>
  <c r="AB2285" i="8"/>
  <c r="AB2286" i="8"/>
  <c r="AB2287" i="8"/>
  <c r="AB2288" i="8"/>
  <c r="AB2289" i="8"/>
  <c r="AB2290" i="8"/>
  <c r="AB2291" i="8"/>
  <c r="AB2292" i="8"/>
  <c r="AB2293" i="8"/>
  <c r="AB2294" i="8"/>
  <c r="AB2295" i="8"/>
  <c r="AB2296" i="8"/>
  <c r="AB2297" i="8"/>
  <c r="AB2298" i="8"/>
  <c r="AB2299" i="8"/>
  <c r="AB2300" i="8"/>
  <c r="AB2301" i="8"/>
  <c r="AB2302" i="8"/>
  <c r="AB2303" i="8"/>
  <c r="AB2304" i="8"/>
  <c r="AB2305" i="8"/>
  <c r="AB2306" i="8"/>
  <c r="AB2307" i="8"/>
  <c r="AB2308" i="8"/>
  <c r="AB2309" i="8"/>
  <c r="AB2310" i="8"/>
  <c r="AB2311" i="8"/>
  <c r="AB2312" i="8"/>
  <c r="AB2313" i="8"/>
  <c r="AB2314" i="8"/>
  <c r="AB2315" i="8"/>
  <c r="AB2316" i="8"/>
  <c r="AB2317" i="8"/>
  <c r="AB2318" i="8"/>
  <c r="AB2319" i="8"/>
  <c r="AB2320" i="8"/>
  <c r="AB2321" i="8"/>
  <c r="AB2322" i="8"/>
  <c r="AB2323" i="8"/>
  <c r="AB2324" i="8"/>
  <c r="AB2325" i="8"/>
  <c r="AB2326" i="8"/>
  <c r="AB2327" i="8"/>
  <c r="AB2328" i="8"/>
  <c r="AB2329" i="8"/>
  <c r="AB2330" i="8"/>
  <c r="AB2331" i="8"/>
  <c r="AB2332" i="8"/>
  <c r="AB2333" i="8"/>
  <c r="AB2334" i="8"/>
  <c r="AB2335" i="8"/>
  <c r="AB2336" i="8"/>
  <c r="AB2337" i="8"/>
  <c r="AB2338" i="8"/>
  <c r="AB2339" i="8"/>
  <c r="AB2340" i="8"/>
  <c r="AB2341" i="8"/>
  <c r="AB2342" i="8"/>
  <c r="AB2343" i="8"/>
  <c r="AB2344" i="8"/>
  <c r="AB2345" i="8"/>
  <c r="AB2346" i="8"/>
  <c r="AB2347" i="8"/>
  <c r="AB2348" i="8"/>
  <c r="AB2349" i="8"/>
  <c r="AB2350" i="8"/>
  <c r="AB2351" i="8"/>
  <c r="AB2352" i="8"/>
  <c r="AB2353" i="8"/>
  <c r="AB2354" i="8"/>
  <c r="AB2355" i="8"/>
  <c r="AB2356" i="8"/>
  <c r="AB2357" i="8"/>
  <c r="AB2358" i="8"/>
  <c r="AB2359" i="8"/>
  <c r="AB2360" i="8"/>
  <c r="AB2361" i="8"/>
  <c r="AB2362" i="8"/>
  <c r="AB2363" i="8"/>
  <c r="AB2364" i="8"/>
  <c r="AB2365" i="8"/>
  <c r="AB2366" i="8"/>
  <c r="AB2367" i="8"/>
  <c r="AB2368" i="8"/>
  <c r="AB2369" i="8"/>
  <c r="AB2370" i="8"/>
  <c r="AB2371" i="8"/>
  <c r="AB2372" i="8"/>
  <c r="AB2373" i="8"/>
  <c r="AB2374" i="8"/>
  <c r="AB2375" i="8"/>
  <c r="AB2376" i="8"/>
  <c r="AB2377" i="8"/>
  <c r="AB2378" i="8"/>
  <c r="AB2379" i="8"/>
  <c r="AB2380" i="8"/>
  <c r="AB2381" i="8"/>
  <c r="AB2382" i="8"/>
  <c r="AB2383" i="8"/>
  <c r="AB2384" i="8"/>
  <c r="AB2385" i="8"/>
  <c r="AB2386" i="8"/>
  <c r="AB2387" i="8"/>
  <c r="AB2388" i="8"/>
  <c r="AB2389" i="8"/>
  <c r="AB2390" i="8"/>
  <c r="AB2391" i="8"/>
  <c r="AB2392" i="8"/>
  <c r="AB2393" i="8"/>
  <c r="AB2394" i="8"/>
  <c r="AB2395" i="8"/>
  <c r="AB2396" i="8"/>
  <c r="AB2397" i="8"/>
  <c r="AB2398" i="8"/>
  <c r="AB2399" i="8"/>
  <c r="AB2400" i="8"/>
  <c r="AB2401" i="8"/>
  <c r="AB2402" i="8"/>
  <c r="AB2403" i="8"/>
  <c r="AB2404" i="8"/>
  <c r="AB2405" i="8"/>
  <c r="AB2406" i="8"/>
  <c r="AB2407" i="8"/>
  <c r="AB2408" i="8"/>
  <c r="AB2409" i="8"/>
  <c r="AB2410" i="8"/>
  <c r="AB2411" i="8"/>
  <c r="AB2412" i="8"/>
  <c r="AB2413" i="8"/>
  <c r="AB2414" i="8"/>
  <c r="AB2415" i="8"/>
  <c r="AB2416" i="8"/>
  <c r="AB2417" i="8"/>
  <c r="AB2418" i="8"/>
  <c r="AB2419" i="8"/>
  <c r="AB2420" i="8"/>
  <c r="AB2421" i="8"/>
  <c r="AB2422" i="8"/>
  <c r="AB2423" i="8"/>
  <c r="AB2424" i="8"/>
  <c r="AB2425" i="8"/>
  <c r="AB2426" i="8"/>
  <c r="AB2427" i="8"/>
  <c r="AB2428" i="8"/>
  <c r="AB2429" i="8"/>
  <c r="AB2430" i="8"/>
  <c r="AB2431" i="8"/>
  <c r="AB2432" i="8"/>
  <c r="AB2433" i="8"/>
  <c r="AB2434" i="8"/>
  <c r="AB2435" i="8"/>
  <c r="AB2436" i="8"/>
  <c r="AB2437" i="8"/>
  <c r="AB2438" i="8"/>
  <c r="AB2439" i="8"/>
  <c r="AB2440" i="8"/>
  <c r="AB2441" i="8"/>
  <c r="AB2442" i="8"/>
  <c r="AB2443" i="8"/>
  <c r="AB2444" i="8"/>
  <c r="AB2445" i="8"/>
  <c r="AB2446" i="8"/>
  <c r="AB2447" i="8"/>
  <c r="AB2448" i="8"/>
  <c r="AB2449" i="8"/>
  <c r="AB2450" i="8"/>
  <c r="AB2451" i="8"/>
  <c r="AB2452" i="8"/>
  <c r="AB2453" i="8"/>
  <c r="AB2454" i="8"/>
  <c r="AB2455" i="8"/>
  <c r="AB2456" i="8"/>
  <c r="AB2457" i="8"/>
  <c r="AB2458" i="8"/>
  <c r="AB2459" i="8"/>
  <c r="AB2460" i="8"/>
  <c r="AB2461" i="8"/>
  <c r="AB2462" i="8"/>
  <c r="AB2463" i="8"/>
  <c r="AB2464" i="8"/>
  <c r="AB2465" i="8"/>
  <c r="AB2466" i="8"/>
  <c r="AB2467" i="8"/>
  <c r="AB2468" i="8"/>
  <c r="AB2469" i="8"/>
  <c r="AB2470" i="8"/>
  <c r="AB2471" i="8"/>
  <c r="AB2472" i="8"/>
  <c r="AB2473" i="8"/>
  <c r="AB2474" i="8"/>
  <c r="AB2475" i="8"/>
  <c r="AB2476" i="8"/>
  <c r="AB2477" i="8"/>
  <c r="AB2478" i="8"/>
  <c r="AB2479" i="8"/>
  <c r="AB2480" i="8"/>
  <c r="AB2481" i="8"/>
  <c r="AB2482" i="8"/>
  <c r="AB2483" i="8"/>
  <c r="AB2484" i="8"/>
  <c r="AB2485" i="8"/>
  <c r="AB2486" i="8"/>
  <c r="AB2487" i="8"/>
  <c r="AB2488" i="8"/>
  <c r="AB2489" i="8"/>
  <c r="AB2490" i="8"/>
  <c r="AB2491" i="8"/>
  <c r="AB2492" i="8"/>
  <c r="AB2493" i="8"/>
  <c r="AB2494" i="8"/>
  <c r="AB2495" i="8"/>
  <c r="AB2496" i="8"/>
  <c r="AB2497" i="8"/>
  <c r="AB2498" i="8"/>
  <c r="AB2499" i="8"/>
  <c r="AB2500" i="8"/>
  <c r="AB2501" i="8"/>
  <c r="AB2502" i="8"/>
  <c r="AB2503" i="8"/>
  <c r="AB2504" i="8"/>
  <c r="AB2505" i="8"/>
  <c r="AB2506" i="8"/>
  <c r="AB2507" i="8"/>
  <c r="AB2508" i="8"/>
  <c r="AB2509" i="8"/>
  <c r="AB2510" i="8"/>
  <c r="AB2511" i="8"/>
  <c r="AB2512" i="8"/>
  <c r="AB2513" i="8"/>
  <c r="AB2514" i="8"/>
  <c r="AB2515" i="8"/>
  <c r="AB2516" i="8"/>
  <c r="AB2517" i="8"/>
  <c r="AB2518" i="8"/>
  <c r="AB2519" i="8"/>
  <c r="AB2520" i="8"/>
  <c r="AB2521" i="8"/>
  <c r="AB2522" i="8"/>
  <c r="AB2523" i="8"/>
  <c r="AB2524" i="8"/>
  <c r="AB2525" i="8"/>
  <c r="AB2526" i="8"/>
  <c r="AB2527" i="8"/>
  <c r="AB2528" i="8"/>
  <c r="AB2529" i="8"/>
  <c r="AB2530" i="8"/>
  <c r="AB2531" i="8"/>
  <c r="AB2532" i="8"/>
  <c r="AB2533" i="8"/>
  <c r="AB2534" i="8"/>
  <c r="AB2535" i="8"/>
  <c r="AB2536" i="8"/>
  <c r="AB2537" i="8"/>
  <c r="AB2538" i="8"/>
  <c r="AB2539" i="8"/>
  <c r="AB2540" i="8"/>
  <c r="AB2541" i="8"/>
  <c r="AB2542" i="8"/>
  <c r="AB2543" i="8"/>
  <c r="AB2544" i="8"/>
  <c r="AB2545" i="8"/>
  <c r="AB2546" i="8"/>
  <c r="AB2547" i="8"/>
  <c r="AB2548" i="8"/>
  <c r="AB2549" i="8"/>
  <c r="AB2550" i="8"/>
  <c r="AB2551" i="8"/>
  <c r="AB2552" i="8"/>
  <c r="AB2553" i="8"/>
  <c r="AB2554" i="8"/>
  <c r="AB2555" i="8"/>
  <c r="AB2556" i="8"/>
  <c r="AB2557" i="8"/>
  <c r="AB2558" i="8"/>
  <c r="AB2559" i="8"/>
  <c r="AB2560" i="8"/>
  <c r="AB2561" i="8"/>
  <c r="AB2562" i="8"/>
  <c r="AB2563" i="8"/>
  <c r="AB2564" i="8"/>
  <c r="AB2565" i="8"/>
  <c r="AB2566" i="8"/>
  <c r="AB2567" i="8"/>
  <c r="AB2568" i="8"/>
  <c r="AB2569" i="8"/>
  <c r="AB2570" i="8"/>
  <c r="AB2571" i="8"/>
  <c r="AB2572" i="8"/>
  <c r="AB2573" i="8"/>
  <c r="AB2574" i="8"/>
  <c r="AB2575" i="8"/>
  <c r="AB2576" i="8"/>
  <c r="AB2577" i="8"/>
  <c r="AB2578" i="8"/>
  <c r="AB2579" i="8"/>
  <c r="AB2580" i="8"/>
  <c r="AB2581" i="8"/>
  <c r="AB2582" i="8"/>
  <c r="AB2583" i="8"/>
  <c r="AB2584" i="8"/>
  <c r="AB2585" i="8"/>
  <c r="AB2586" i="8"/>
  <c r="AB2587" i="8"/>
  <c r="AB2588" i="8"/>
  <c r="AB2589" i="8"/>
  <c r="AB2590" i="8"/>
  <c r="AB2591" i="8"/>
  <c r="AB2592" i="8"/>
  <c r="AB2593" i="8"/>
  <c r="AB2594" i="8"/>
  <c r="AB2595" i="8"/>
  <c r="AB2596" i="8"/>
  <c r="AB2597" i="8"/>
  <c r="AB2598" i="8"/>
  <c r="AB2599" i="8"/>
  <c r="AB2600" i="8"/>
  <c r="AB2601" i="8"/>
  <c r="AB2602" i="8"/>
  <c r="AB2603" i="8"/>
  <c r="AB2604" i="8"/>
  <c r="AB2605" i="8"/>
  <c r="AB2606" i="8"/>
  <c r="AB2607" i="8"/>
  <c r="AB2608" i="8"/>
  <c r="AB2609" i="8"/>
  <c r="AB2610" i="8"/>
  <c r="AB2611" i="8"/>
  <c r="AB2612" i="8"/>
  <c r="AB2613" i="8"/>
  <c r="AB2614" i="8"/>
  <c r="AB2615" i="8"/>
  <c r="AB2616" i="8"/>
  <c r="AB2617" i="8"/>
  <c r="AB2618" i="8"/>
  <c r="AB2619" i="8"/>
  <c r="AB2620" i="8"/>
  <c r="AB2621" i="8"/>
  <c r="AB2622" i="8"/>
  <c r="AB2623" i="8"/>
  <c r="AB2624" i="8"/>
  <c r="AB2625" i="8"/>
  <c r="AB2626" i="8"/>
  <c r="AB2627" i="8"/>
  <c r="AB2628" i="8"/>
  <c r="AB2629" i="8"/>
  <c r="AB2630" i="8"/>
  <c r="AB2631" i="8"/>
  <c r="AB2632" i="8"/>
  <c r="AB2633" i="8"/>
  <c r="AB2634" i="8"/>
  <c r="AB2635" i="8"/>
  <c r="AB2636" i="8"/>
  <c r="AB2637" i="8"/>
  <c r="AB2638" i="8"/>
  <c r="AB2639" i="8"/>
  <c r="AB2640" i="8"/>
  <c r="AB2641" i="8"/>
  <c r="AB2642" i="8"/>
  <c r="AB2643" i="8"/>
  <c r="AB2644" i="8"/>
  <c r="AB2645" i="8"/>
  <c r="AB2646" i="8"/>
  <c r="AB2647" i="8"/>
  <c r="AB2648" i="8"/>
  <c r="AB2649" i="8"/>
  <c r="AB2650" i="8"/>
  <c r="AB2651" i="8"/>
  <c r="AB2652" i="8"/>
  <c r="AB2653" i="8"/>
  <c r="AB2654" i="8"/>
  <c r="AB2655" i="8"/>
  <c r="AB2656" i="8"/>
  <c r="AB2657" i="8"/>
  <c r="AB2658" i="8"/>
  <c r="AB2659" i="8"/>
  <c r="AB2660" i="8"/>
  <c r="AB2661" i="8"/>
  <c r="AB2662" i="8"/>
  <c r="AB2663" i="8"/>
  <c r="AB2664" i="8"/>
  <c r="AB2665" i="8"/>
  <c r="AB2666" i="8"/>
  <c r="AB2667" i="8"/>
  <c r="AB2668" i="8"/>
  <c r="AB2669" i="8"/>
  <c r="AB2670" i="8"/>
  <c r="AB2671" i="8"/>
  <c r="AB2672" i="8"/>
  <c r="AB2673" i="8"/>
  <c r="AB2674" i="8"/>
  <c r="AB2675" i="8"/>
  <c r="AB2676" i="8"/>
  <c r="AB2677" i="8"/>
  <c r="AB2678" i="8"/>
  <c r="AB2679" i="8"/>
  <c r="AB2680" i="8"/>
  <c r="AB2681" i="8"/>
  <c r="AB2682" i="8"/>
  <c r="AB2683" i="8"/>
  <c r="AB2684" i="8"/>
  <c r="AB2685" i="8"/>
  <c r="AB2686" i="8"/>
  <c r="AB2687" i="8"/>
  <c r="AB2688" i="8"/>
  <c r="AB2689" i="8"/>
  <c r="AB2690" i="8"/>
  <c r="AB2691" i="8"/>
  <c r="AB2692" i="8"/>
  <c r="AB2693" i="8"/>
  <c r="AB2694" i="8"/>
  <c r="AB2695" i="8"/>
  <c r="AB2696" i="8"/>
  <c r="AB2697" i="8"/>
  <c r="AB2698" i="8"/>
  <c r="AB2699" i="8"/>
  <c r="AB2700" i="8"/>
  <c r="AB2701" i="8"/>
  <c r="AB2702" i="8"/>
  <c r="AB2703" i="8"/>
  <c r="AB2704" i="8"/>
  <c r="AB2705" i="8"/>
  <c r="AB2706" i="8"/>
  <c r="AB2707" i="8"/>
  <c r="AB2708" i="8"/>
  <c r="AB2709" i="8"/>
  <c r="AB2710" i="8"/>
  <c r="AB2711" i="8"/>
  <c r="AB2712" i="8"/>
  <c r="AB2713" i="8"/>
  <c r="AB2714" i="8"/>
  <c r="AB2715" i="8"/>
  <c r="AB2716" i="8"/>
  <c r="AB2717" i="8"/>
  <c r="AB2718" i="8"/>
  <c r="AB2719" i="8"/>
  <c r="AB2720" i="8"/>
  <c r="AB2721" i="8"/>
  <c r="AB2722" i="8"/>
  <c r="AB2723" i="8"/>
  <c r="AB2724" i="8"/>
  <c r="AB2725" i="8"/>
  <c r="AB2726" i="8"/>
  <c r="AB2727" i="8"/>
  <c r="AB2728" i="8"/>
  <c r="AB2729" i="8"/>
  <c r="AB2730" i="8"/>
  <c r="AB2731" i="8"/>
  <c r="AB2732" i="8"/>
  <c r="AB2733" i="8"/>
  <c r="Y11" i="8"/>
  <c r="Y12" i="8"/>
  <c r="Y13" i="8"/>
  <c r="Y14" i="8"/>
  <c r="Y15" i="8"/>
  <c r="Y16" i="8"/>
  <c r="Y17" i="8"/>
  <c r="Y18" i="8"/>
  <c r="Y19" i="8"/>
  <c r="Y20" i="8"/>
  <c r="Y21" i="8"/>
  <c r="Y22" i="8"/>
  <c r="Y23" i="8"/>
  <c r="Y24" i="8"/>
  <c r="Y25" i="8"/>
  <c r="Y33" i="8"/>
  <c r="Y34" i="8"/>
  <c r="Y35" i="8"/>
  <c r="Y36" i="8"/>
  <c r="Y37" i="8"/>
  <c r="Y38" i="8"/>
  <c r="Y39" i="8"/>
  <c r="Y40" i="8"/>
  <c r="Y41" i="8"/>
  <c r="Y42" i="8"/>
  <c r="Y43" i="8"/>
  <c r="Y44" i="8"/>
  <c r="Y45" i="8"/>
  <c r="Y46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Y90" i="8"/>
  <c r="Y91" i="8"/>
  <c r="Y92" i="8"/>
  <c r="Y93" i="8"/>
  <c r="Y94" i="8"/>
  <c r="Y95" i="8"/>
  <c r="Y96" i="8"/>
  <c r="Y97" i="8"/>
  <c r="Y98" i="8"/>
  <c r="Y99" i="8"/>
  <c r="Y100" i="8"/>
  <c r="Y101" i="8"/>
  <c r="Y102" i="8"/>
  <c r="Y103" i="8"/>
  <c r="Y104" i="8"/>
  <c r="Y105" i="8"/>
  <c r="Y106" i="8"/>
  <c r="Y107" i="8"/>
  <c r="Y108" i="8"/>
  <c r="Y109" i="8"/>
  <c r="Y110" i="8"/>
  <c r="Y111" i="8"/>
  <c r="Y112" i="8"/>
  <c r="Y113" i="8"/>
  <c r="Y114" i="8"/>
  <c r="Y115" i="8"/>
  <c r="Y116" i="8"/>
  <c r="Y117" i="8"/>
  <c r="Y118" i="8"/>
  <c r="Y119" i="8"/>
  <c r="Y120" i="8"/>
  <c r="Y121" i="8"/>
  <c r="Y122" i="8"/>
  <c r="Y123" i="8"/>
  <c r="Y124" i="8"/>
  <c r="Y125" i="8"/>
  <c r="Y126" i="8"/>
  <c r="Y127" i="8"/>
  <c r="Y128" i="8"/>
  <c r="Y129" i="8"/>
  <c r="Y130" i="8"/>
  <c r="Y131" i="8"/>
  <c r="Y132" i="8"/>
  <c r="Y133" i="8"/>
  <c r="Y134" i="8"/>
  <c r="Y135" i="8"/>
  <c r="Y136" i="8"/>
  <c r="Y137" i="8"/>
  <c r="Y138" i="8"/>
  <c r="Y139" i="8"/>
  <c r="Y140" i="8"/>
  <c r="Y141" i="8"/>
  <c r="Y142" i="8"/>
  <c r="Y143" i="8"/>
  <c r="Y144" i="8"/>
  <c r="Y145" i="8"/>
  <c r="Y146" i="8"/>
  <c r="Y147" i="8"/>
  <c r="Y148" i="8"/>
  <c r="Y149" i="8"/>
  <c r="Y150" i="8"/>
  <c r="Y151" i="8"/>
  <c r="Y152" i="8"/>
  <c r="Y153" i="8"/>
  <c r="Y154" i="8"/>
  <c r="Y155" i="8"/>
  <c r="Y156" i="8"/>
  <c r="Y157" i="8"/>
  <c r="Y158" i="8"/>
  <c r="Y159" i="8"/>
  <c r="Y160" i="8"/>
  <c r="Y161" i="8"/>
  <c r="Y162" i="8"/>
  <c r="Y163" i="8"/>
  <c r="Y164" i="8"/>
  <c r="Y165" i="8"/>
  <c r="Y166" i="8"/>
  <c r="Y167" i="8"/>
  <c r="Y168" i="8"/>
  <c r="Y169" i="8"/>
  <c r="Y170" i="8"/>
  <c r="Y171" i="8"/>
  <c r="Y172" i="8"/>
  <c r="Y173" i="8"/>
  <c r="Y174" i="8"/>
  <c r="Y175" i="8"/>
  <c r="Y176" i="8"/>
  <c r="Y177" i="8"/>
  <c r="Y178" i="8"/>
  <c r="Y179" i="8"/>
  <c r="Y180" i="8"/>
  <c r="Y181" i="8"/>
  <c r="Y182" i="8"/>
  <c r="Y183" i="8"/>
  <c r="Y184" i="8"/>
  <c r="Y185" i="8"/>
  <c r="Y186" i="8"/>
  <c r="Y187" i="8"/>
  <c r="Y188" i="8"/>
  <c r="Y189" i="8"/>
  <c r="Y190" i="8"/>
  <c r="Y191" i="8"/>
  <c r="Y192" i="8"/>
  <c r="Y193" i="8"/>
  <c r="Y194" i="8"/>
  <c r="Y195" i="8"/>
  <c r="Y196" i="8"/>
  <c r="Y197" i="8"/>
  <c r="Y198" i="8"/>
  <c r="Y199" i="8"/>
  <c r="Y200" i="8"/>
  <c r="Y201" i="8"/>
  <c r="Y202" i="8"/>
  <c r="Y203" i="8"/>
  <c r="Y204" i="8"/>
  <c r="Y205" i="8"/>
  <c r="Y206" i="8"/>
  <c r="Y207" i="8"/>
  <c r="Y208" i="8"/>
  <c r="Y209" i="8"/>
  <c r="Y210" i="8"/>
  <c r="Y211" i="8"/>
  <c r="Y212" i="8"/>
  <c r="Y213" i="8"/>
  <c r="Y214" i="8"/>
  <c r="Y215" i="8"/>
  <c r="Y216" i="8"/>
  <c r="Y217" i="8"/>
  <c r="Y218" i="8"/>
  <c r="Y219" i="8"/>
  <c r="Y220" i="8"/>
  <c r="Y221" i="8"/>
  <c r="Y222" i="8"/>
  <c r="Y223" i="8"/>
  <c r="Y224" i="8"/>
  <c r="Y225" i="8"/>
  <c r="Y226" i="8"/>
  <c r="Y227" i="8"/>
  <c r="Y228" i="8"/>
  <c r="Y229" i="8"/>
  <c r="Y230" i="8"/>
  <c r="Y231" i="8"/>
  <c r="Y232" i="8"/>
  <c r="Y233" i="8"/>
  <c r="Y234" i="8"/>
  <c r="Y235" i="8"/>
  <c r="Y236" i="8"/>
  <c r="Y237" i="8"/>
  <c r="Y238" i="8"/>
  <c r="Y239" i="8"/>
  <c r="Y240" i="8"/>
  <c r="Y241" i="8"/>
  <c r="Y242" i="8"/>
  <c r="Y243" i="8"/>
  <c r="Y244" i="8"/>
  <c r="Y245" i="8"/>
  <c r="Y246" i="8"/>
  <c r="Y247" i="8"/>
  <c r="Y248" i="8"/>
  <c r="Y249" i="8"/>
  <c r="Y250" i="8"/>
  <c r="Y251" i="8"/>
  <c r="Y252" i="8"/>
  <c r="Y253" i="8"/>
  <c r="Y254" i="8"/>
  <c r="Y255" i="8"/>
  <c r="Y256" i="8"/>
  <c r="Y257" i="8"/>
  <c r="Y258" i="8"/>
  <c r="Y259" i="8"/>
  <c r="Y260" i="8"/>
  <c r="Y261" i="8"/>
  <c r="Y262" i="8"/>
  <c r="Y263" i="8"/>
  <c r="Y264" i="8"/>
  <c r="Y265" i="8"/>
  <c r="Y266" i="8"/>
  <c r="Y267" i="8"/>
  <c r="Y268" i="8"/>
  <c r="Y269" i="8"/>
  <c r="Y270" i="8"/>
  <c r="Y271" i="8"/>
  <c r="Y272" i="8"/>
  <c r="Y273" i="8"/>
  <c r="Y274" i="8"/>
  <c r="Y275" i="8"/>
  <c r="Y276" i="8"/>
  <c r="Y277" i="8"/>
  <c r="Y278" i="8"/>
  <c r="Y279" i="8"/>
  <c r="Y280" i="8"/>
  <c r="Y281" i="8"/>
  <c r="Y282" i="8"/>
  <c r="Y283" i="8"/>
  <c r="Y284" i="8"/>
  <c r="Y285" i="8"/>
  <c r="Y286" i="8"/>
  <c r="Y287" i="8"/>
  <c r="Y288" i="8"/>
  <c r="Y289" i="8"/>
  <c r="Y290" i="8"/>
  <c r="Y291" i="8"/>
  <c r="Y292" i="8"/>
  <c r="Y293" i="8"/>
  <c r="Y294" i="8"/>
  <c r="Y295" i="8"/>
  <c r="Y296" i="8"/>
  <c r="Y297" i="8"/>
  <c r="Y298" i="8"/>
  <c r="Y299" i="8"/>
  <c r="Y300" i="8"/>
  <c r="Y301" i="8"/>
  <c r="Y302" i="8"/>
  <c r="Y303" i="8"/>
  <c r="Y304" i="8"/>
  <c r="Y305" i="8"/>
  <c r="Y306" i="8"/>
  <c r="Y307" i="8"/>
  <c r="Y308" i="8"/>
  <c r="Y309" i="8"/>
  <c r="Y310" i="8"/>
  <c r="Y311" i="8"/>
  <c r="Y312" i="8"/>
  <c r="Y313" i="8"/>
  <c r="Y314" i="8"/>
  <c r="Y315" i="8"/>
  <c r="Y316" i="8"/>
  <c r="Y317" i="8"/>
  <c r="Y318" i="8"/>
  <c r="Y319" i="8"/>
  <c r="Y320" i="8"/>
  <c r="Y321" i="8"/>
  <c r="Y322" i="8"/>
  <c r="Y323" i="8"/>
  <c r="Y324" i="8"/>
  <c r="Y325" i="8"/>
  <c r="Y326" i="8"/>
  <c r="Y327" i="8"/>
  <c r="Y328" i="8"/>
  <c r="Y329" i="8"/>
  <c r="Y330" i="8"/>
  <c r="Y331" i="8"/>
  <c r="Y332" i="8"/>
  <c r="Y333" i="8"/>
  <c r="Y334" i="8"/>
  <c r="Y335" i="8"/>
  <c r="Y336" i="8"/>
  <c r="Y337" i="8"/>
  <c r="Y338" i="8"/>
  <c r="Y339" i="8"/>
  <c r="Y340" i="8"/>
  <c r="Y341" i="8"/>
  <c r="Y342" i="8"/>
  <c r="Y343" i="8"/>
  <c r="Y344" i="8"/>
  <c r="Y345" i="8"/>
  <c r="Y346" i="8"/>
  <c r="Y347" i="8"/>
  <c r="Y348" i="8"/>
  <c r="Y349" i="8"/>
  <c r="Y350" i="8"/>
  <c r="Y351" i="8"/>
  <c r="Y352" i="8"/>
  <c r="Y353" i="8"/>
  <c r="Y354" i="8"/>
  <c r="Y355" i="8"/>
  <c r="Y356" i="8"/>
  <c r="Y357" i="8"/>
  <c r="Y358" i="8"/>
  <c r="Y359" i="8"/>
  <c r="Y360" i="8"/>
  <c r="Y361" i="8"/>
  <c r="Y362" i="8"/>
  <c r="Y363" i="8"/>
  <c r="Y364" i="8"/>
  <c r="Y365" i="8"/>
  <c r="Y366" i="8"/>
  <c r="Y367" i="8"/>
  <c r="Y368" i="8"/>
  <c r="Y369" i="8"/>
  <c r="Y370" i="8"/>
  <c r="Y371" i="8"/>
  <c r="Y372" i="8"/>
  <c r="Y373" i="8"/>
  <c r="Y374" i="8"/>
  <c r="Y375" i="8"/>
  <c r="Y376" i="8"/>
  <c r="Y377" i="8"/>
  <c r="Y378" i="8"/>
  <c r="Y379" i="8"/>
  <c r="Y380" i="8"/>
  <c r="Y381" i="8"/>
  <c r="Y382" i="8"/>
  <c r="Y383" i="8"/>
  <c r="Y384" i="8"/>
  <c r="Y385" i="8"/>
  <c r="Y386" i="8"/>
  <c r="Y387" i="8"/>
  <c r="Y388" i="8"/>
  <c r="Y389" i="8"/>
  <c r="Y390" i="8"/>
  <c r="Y391" i="8"/>
  <c r="Y392" i="8"/>
  <c r="Y393" i="8"/>
  <c r="Y394" i="8"/>
  <c r="Y395" i="8"/>
  <c r="Y396" i="8"/>
  <c r="Y397" i="8"/>
  <c r="Y398" i="8"/>
  <c r="Y399" i="8"/>
  <c r="Y400" i="8"/>
  <c r="Y401" i="8"/>
  <c r="Y402" i="8"/>
  <c r="Y403" i="8"/>
  <c r="Y404" i="8"/>
  <c r="Y405" i="8"/>
  <c r="Y406" i="8"/>
  <c r="Y407" i="8"/>
  <c r="Y408" i="8"/>
  <c r="Y409" i="8"/>
  <c r="Y410" i="8"/>
  <c r="Y411" i="8"/>
  <c r="Y412" i="8"/>
  <c r="Y413" i="8"/>
  <c r="Y414" i="8"/>
  <c r="Y415" i="8"/>
  <c r="Y416" i="8"/>
  <c r="Y417" i="8"/>
  <c r="Y418" i="8"/>
  <c r="Y419" i="8"/>
  <c r="Y420" i="8"/>
  <c r="Y421" i="8"/>
  <c r="Y422" i="8"/>
  <c r="Y423" i="8"/>
  <c r="Y424" i="8"/>
  <c r="Y425" i="8"/>
  <c r="Y426" i="8"/>
  <c r="Y427" i="8"/>
  <c r="Y428" i="8"/>
  <c r="Y429" i="8"/>
  <c r="Y430" i="8"/>
  <c r="Y431" i="8"/>
  <c r="Y432" i="8"/>
  <c r="Y433" i="8"/>
  <c r="Y434" i="8"/>
  <c r="Y435" i="8"/>
  <c r="Y436" i="8"/>
  <c r="Y437" i="8"/>
  <c r="Y438" i="8"/>
  <c r="Y439" i="8"/>
  <c r="Y440" i="8"/>
  <c r="Y441" i="8"/>
  <c r="Y442" i="8"/>
  <c r="Y443" i="8"/>
  <c r="Y444" i="8"/>
  <c r="Y445" i="8"/>
  <c r="Y446" i="8"/>
  <c r="Y447" i="8"/>
  <c r="Y448" i="8"/>
  <c r="Y449" i="8"/>
  <c r="Y450" i="8"/>
  <c r="Y451" i="8"/>
  <c r="Y452" i="8"/>
  <c r="Y453" i="8"/>
  <c r="Y454" i="8"/>
  <c r="Y455" i="8"/>
  <c r="Y456" i="8"/>
  <c r="Y457" i="8"/>
  <c r="Y458" i="8"/>
  <c r="Y459" i="8"/>
  <c r="Y460" i="8"/>
  <c r="Y461" i="8"/>
  <c r="Y462" i="8"/>
  <c r="Y463" i="8"/>
  <c r="Y464" i="8"/>
  <c r="Y465" i="8"/>
  <c r="Y466" i="8"/>
  <c r="Y467" i="8"/>
  <c r="Y468" i="8"/>
  <c r="Y469" i="8"/>
  <c r="Y470" i="8"/>
  <c r="Y471" i="8"/>
  <c r="Y472" i="8"/>
  <c r="Y473" i="8"/>
  <c r="Y474" i="8"/>
  <c r="Y475" i="8"/>
  <c r="Y476" i="8"/>
  <c r="Y477" i="8"/>
  <c r="Y478" i="8"/>
  <c r="Y479" i="8"/>
  <c r="Y480" i="8"/>
  <c r="Y481" i="8"/>
  <c r="Y482" i="8"/>
  <c r="Y483" i="8"/>
  <c r="Y484" i="8"/>
  <c r="Y485" i="8"/>
  <c r="Y486" i="8"/>
  <c r="Y487" i="8"/>
  <c r="Y488" i="8"/>
  <c r="Y489" i="8"/>
  <c r="Y490" i="8"/>
  <c r="Y491" i="8"/>
  <c r="Y492" i="8"/>
  <c r="Y493" i="8"/>
  <c r="Y494" i="8"/>
  <c r="Y495" i="8"/>
  <c r="Y496" i="8"/>
  <c r="Y497" i="8"/>
  <c r="Y498" i="8"/>
  <c r="Y499" i="8"/>
  <c r="Y500" i="8"/>
  <c r="Y501" i="8"/>
  <c r="Y502" i="8"/>
  <c r="Y503" i="8"/>
  <c r="Y504" i="8"/>
  <c r="Y505" i="8"/>
  <c r="Y506" i="8"/>
  <c r="Y507" i="8"/>
  <c r="Y508" i="8"/>
  <c r="Y509" i="8"/>
  <c r="Y510" i="8"/>
  <c r="Y511" i="8"/>
  <c r="Y512" i="8"/>
  <c r="Y513" i="8"/>
  <c r="Y514" i="8"/>
  <c r="Y515" i="8"/>
  <c r="Y516" i="8"/>
  <c r="Y517" i="8"/>
  <c r="Y518" i="8"/>
  <c r="Y519" i="8"/>
  <c r="Y520" i="8"/>
  <c r="Y521" i="8"/>
  <c r="Y522" i="8"/>
  <c r="Y523" i="8"/>
  <c r="Y524" i="8"/>
  <c r="Y525" i="8"/>
  <c r="Y526" i="8"/>
  <c r="Y527" i="8"/>
  <c r="Y528" i="8"/>
  <c r="Y529" i="8"/>
  <c r="Y530" i="8"/>
  <c r="Y531" i="8"/>
  <c r="Y532" i="8"/>
  <c r="Y533" i="8"/>
  <c r="Y534" i="8"/>
  <c r="Y535" i="8"/>
  <c r="Y536" i="8"/>
  <c r="Y537" i="8"/>
  <c r="Y538" i="8"/>
  <c r="Y539" i="8"/>
  <c r="Y540" i="8"/>
  <c r="Y541" i="8"/>
  <c r="Y542" i="8"/>
  <c r="Y543" i="8"/>
  <c r="Y544" i="8"/>
  <c r="Y545" i="8"/>
  <c r="Y546" i="8"/>
  <c r="Y547" i="8"/>
  <c r="Y548" i="8"/>
  <c r="Y549" i="8"/>
  <c r="Y550" i="8"/>
  <c r="Y551" i="8"/>
  <c r="Y552" i="8"/>
  <c r="Y553" i="8"/>
  <c r="Y554" i="8"/>
  <c r="Y555" i="8"/>
  <c r="Y556" i="8"/>
  <c r="Y557" i="8"/>
  <c r="Y558" i="8"/>
  <c r="Y559" i="8"/>
  <c r="Y560" i="8"/>
  <c r="Y561" i="8"/>
  <c r="Y562" i="8"/>
  <c r="Y563" i="8"/>
  <c r="Y564" i="8"/>
  <c r="Y565" i="8"/>
  <c r="Y566" i="8"/>
  <c r="Y567" i="8"/>
  <c r="Y568" i="8"/>
  <c r="Y569" i="8"/>
  <c r="Y570" i="8"/>
  <c r="Y571" i="8"/>
  <c r="Y572" i="8"/>
  <c r="Y573" i="8"/>
  <c r="Y574" i="8"/>
  <c r="Y575" i="8"/>
  <c r="Y576" i="8"/>
  <c r="Y577" i="8"/>
  <c r="Y578" i="8"/>
  <c r="Y579" i="8"/>
  <c r="Y580" i="8"/>
  <c r="Y581" i="8"/>
  <c r="Y582" i="8"/>
  <c r="Y583" i="8"/>
  <c r="Y584" i="8"/>
  <c r="Y585" i="8"/>
  <c r="Y586" i="8"/>
  <c r="Y587" i="8"/>
  <c r="Y588" i="8"/>
  <c r="Y589" i="8"/>
  <c r="Y590" i="8"/>
  <c r="Y591" i="8"/>
  <c r="Y592" i="8"/>
  <c r="Y593" i="8"/>
  <c r="Y594" i="8"/>
  <c r="Y595" i="8"/>
  <c r="Y596" i="8"/>
  <c r="Y597" i="8"/>
  <c r="Y598" i="8"/>
  <c r="Y599" i="8"/>
  <c r="Y600" i="8"/>
  <c r="Y601" i="8"/>
  <c r="Y602" i="8"/>
  <c r="Y603" i="8"/>
  <c r="Y604" i="8"/>
  <c r="Y605" i="8"/>
  <c r="Y606" i="8"/>
  <c r="Y607" i="8"/>
  <c r="Y608" i="8"/>
  <c r="Y609" i="8"/>
  <c r="Y610" i="8"/>
  <c r="Y611" i="8"/>
  <c r="Y612" i="8"/>
  <c r="Y613" i="8"/>
  <c r="Y614" i="8"/>
  <c r="Y615" i="8"/>
  <c r="Y616" i="8"/>
  <c r="Y617" i="8"/>
  <c r="Y618" i="8"/>
  <c r="Y619" i="8"/>
  <c r="Y620" i="8"/>
  <c r="Y621" i="8"/>
  <c r="Y622" i="8"/>
  <c r="Y623" i="8"/>
  <c r="Y624" i="8"/>
  <c r="Y625" i="8"/>
  <c r="Y626" i="8"/>
  <c r="Y627" i="8"/>
  <c r="Y628" i="8"/>
  <c r="Y629" i="8"/>
  <c r="Y630" i="8"/>
  <c r="Y631" i="8"/>
  <c r="Y632" i="8"/>
  <c r="Y633" i="8"/>
  <c r="Y634" i="8"/>
  <c r="Y635" i="8"/>
  <c r="Y636" i="8"/>
  <c r="Y637" i="8"/>
  <c r="Y638" i="8"/>
  <c r="Y639" i="8"/>
  <c r="Y640" i="8"/>
  <c r="Y641" i="8"/>
  <c r="Y642" i="8"/>
  <c r="Y643" i="8"/>
  <c r="Y644" i="8"/>
  <c r="Y645" i="8"/>
  <c r="Y646" i="8"/>
  <c r="Y647" i="8"/>
  <c r="Y648" i="8"/>
  <c r="Y649" i="8"/>
  <c r="Y650" i="8"/>
  <c r="Y651" i="8"/>
  <c r="Y652" i="8"/>
  <c r="Y653" i="8"/>
  <c r="Y654" i="8"/>
  <c r="Y655" i="8"/>
  <c r="Y656" i="8"/>
  <c r="Y657" i="8"/>
  <c r="Y658" i="8"/>
  <c r="Y659" i="8"/>
  <c r="Y660" i="8"/>
  <c r="Y661" i="8"/>
  <c r="Y662" i="8"/>
  <c r="Y663" i="8"/>
  <c r="Y664" i="8"/>
  <c r="Y665" i="8"/>
  <c r="Y666" i="8"/>
  <c r="Y667" i="8"/>
  <c r="Y668" i="8"/>
  <c r="Y669" i="8"/>
  <c r="Y670" i="8"/>
  <c r="Y671" i="8"/>
  <c r="Y672" i="8"/>
  <c r="Y673" i="8"/>
  <c r="Y674" i="8"/>
  <c r="Y675" i="8"/>
  <c r="Y676" i="8"/>
  <c r="Y677" i="8"/>
  <c r="Y678" i="8"/>
  <c r="Y679" i="8"/>
  <c r="Y680" i="8"/>
  <c r="Y681" i="8"/>
  <c r="Y682" i="8"/>
  <c r="Y683" i="8"/>
  <c r="Y684" i="8"/>
  <c r="Y685" i="8"/>
  <c r="Y686" i="8"/>
  <c r="Y687" i="8"/>
  <c r="Y688" i="8"/>
  <c r="Y689" i="8"/>
  <c r="Y690" i="8"/>
  <c r="Y691" i="8"/>
  <c r="Y692" i="8"/>
  <c r="Y693" i="8"/>
  <c r="Y694" i="8"/>
  <c r="Y695" i="8"/>
  <c r="Y696" i="8"/>
  <c r="Y697" i="8"/>
  <c r="Y698" i="8"/>
  <c r="Y699" i="8"/>
  <c r="Y700" i="8"/>
  <c r="Y701" i="8"/>
  <c r="Y702" i="8"/>
  <c r="Y703" i="8"/>
  <c r="Y704" i="8"/>
  <c r="Y705" i="8"/>
  <c r="Y706" i="8"/>
  <c r="Y707" i="8"/>
  <c r="Y708" i="8"/>
  <c r="Y709" i="8"/>
  <c r="Y710" i="8"/>
  <c r="Y711" i="8"/>
  <c r="Y712" i="8"/>
  <c r="Y713" i="8"/>
  <c r="Y714" i="8"/>
  <c r="Y715" i="8"/>
  <c r="Y716" i="8"/>
  <c r="Y717" i="8"/>
  <c r="Y718" i="8"/>
  <c r="Y719" i="8"/>
  <c r="Y720" i="8"/>
  <c r="Y721" i="8"/>
  <c r="Y722" i="8"/>
  <c r="Y723" i="8"/>
  <c r="Y724" i="8"/>
  <c r="Y725" i="8"/>
  <c r="Y726" i="8"/>
  <c r="Y727" i="8"/>
  <c r="Y728" i="8"/>
  <c r="Y729" i="8"/>
  <c r="Y730" i="8"/>
  <c r="Y731" i="8"/>
  <c r="Y732" i="8"/>
  <c r="Y733" i="8"/>
  <c r="Y734" i="8"/>
  <c r="Y735" i="8"/>
  <c r="Y736" i="8"/>
  <c r="Y737" i="8"/>
  <c r="Y738" i="8"/>
  <c r="Y739" i="8"/>
  <c r="Y740" i="8"/>
  <c r="Y741" i="8"/>
  <c r="Y742" i="8"/>
  <c r="Y743" i="8"/>
  <c r="Y744" i="8"/>
  <c r="Y745" i="8"/>
  <c r="Y746" i="8"/>
  <c r="Y747" i="8"/>
  <c r="Y748" i="8"/>
  <c r="Y749" i="8"/>
  <c r="Y750" i="8"/>
  <c r="Y751" i="8"/>
  <c r="Y752" i="8"/>
  <c r="Y753" i="8"/>
  <c r="Y754" i="8"/>
  <c r="Y755" i="8"/>
  <c r="Y756" i="8"/>
  <c r="Y757" i="8"/>
  <c r="Y758" i="8"/>
  <c r="Y759" i="8"/>
  <c r="Y760" i="8"/>
  <c r="Y761" i="8"/>
  <c r="Y762" i="8"/>
  <c r="Y763" i="8"/>
  <c r="Y764" i="8"/>
  <c r="Y765" i="8"/>
  <c r="Y766" i="8"/>
  <c r="Y767" i="8"/>
  <c r="Y768" i="8"/>
  <c r="Y769" i="8"/>
  <c r="Y770" i="8"/>
  <c r="Y771" i="8"/>
  <c r="Y772" i="8"/>
  <c r="Y773" i="8"/>
  <c r="Y774" i="8"/>
  <c r="Y775" i="8"/>
  <c r="Y776" i="8"/>
  <c r="Y777" i="8"/>
  <c r="Y778" i="8"/>
  <c r="Y779" i="8"/>
  <c r="Y780" i="8"/>
  <c r="Y781" i="8"/>
  <c r="Y782" i="8"/>
  <c r="Y783" i="8"/>
  <c r="Y784" i="8"/>
  <c r="Y785" i="8"/>
  <c r="Y786" i="8"/>
  <c r="Y787" i="8"/>
  <c r="Y788" i="8"/>
  <c r="Y789" i="8"/>
  <c r="Y790" i="8"/>
  <c r="Y791" i="8"/>
  <c r="Y792" i="8"/>
  <c r="Y793" i="8"/>
  <c r="Y794" i="8"/>
  <c r="Y795" i="8"/>
  <c r="Y796" i="8"/>
  <c r="Y797" i="8"/>
  <c r="Y798" i="8"/>
  <c r="Y799" i="8"/>
  <c r="Y800" i="8"/>
  <c r="Y801" i="8"/>
  <c r="Y802" i="8"/>
  <c r="Y803" i="8"/>
  <c r="Y804" i="8"/>
  <c r="Y805" i="8"/>
  <c r="Y806" i="8"/>
  <c r="Y807" i="8"/>
  <c r="Y808" i="8"/>
  <c r="Y809" i="8"/>
  <c r="Y810" i="8"/>
  <c r="Y811" i="8"/>
  <c r="Y812" i="8"/>
  <c r="Y813" i="8"/>
  <c r="Y814" i="8"/>
  <c r="Y815" i="8"/>
  <c r="Y816" i="8"/>
  <c r="Y817" i="8"/>
  <c r="Y818" i="8"/>
  <c r="Y819" i="8"/>
  <c r="Y820" i="8"/>
  <c r="Y821" i="8"/>
  <c r="Y822" i="8"/>
  <c r="Y823" i="8"/>
  <c r="Y824" i="8"/>
  <c r="Y825" i="8"/>
  <c r="Y826" i="8"/>
  <c r="Y827" i="8"/>
  <c r="Y828" i="8"/>
  <c r="Y829" i="8"/>
  <c r="Y830" i="8"/>
  <c r="Y831" i="8"/>
  <c r="Y832" i="8"/>
  <c r="Y833" i="8"/>
  <c r="Y834" i="8"/>
  <c r="Y835" i="8"/>
  <c r="Y836" i="8"/>
  <c r="Y837" i="8"/>
  <c r="Y838" i="8"/>
  <c r="Y839" i="8"/>
  <c r="Y840" i="8"/>
  <c r="Y841" i="8"/>
  <c r="Y842" i="8"/>
  <c r="Y843" i="8"/>
  <c r="Y844" i="8"/>
  <c r="Y845" i="8"/>
  <c r="Y846" i="8"/>
  <c r="Y847" i="8"/>
  <c r="Y848" i="8"/>
  <c r="Y849" i="8"/>
  <c r="Y850" i="8"/>
  <c r="Y851" i="8"/>
  <c r="Y852" i="8"/>
  <c r="Y853" i="8"/>
  <c r="Y854" i="8"/>
  <c r="Y855" i="8"/>
  <c r="Y856" i="8"/>
  <c r="Y857" i="8"/>
  <c r="Y858" i="8"/>
  <c r="Y859" i="8"/>
  <c r="Y860" i="8"/>
  <c r="Y861" i="8"/>
  <c r="Y862" i="8"/>
  <c r="Y863" i="8"/>
  <c r="Y864" i="8"/>
  <c r="Y865" i="8"/>
  <c r="Y866" i="8"/>
  <c r="Y867" i="8"/>
  <c r="Y868" i="8"/>
  <c r="Y869" i="8"/>
  <c r="Y870" i="8"/>
  <c r="Y871" i="8"/>
  <c r="Y872" i="8"/>
  <c r="Y873" i="8"/>
  <c r="Y874" i="8"/>
  <c r="Y875" i="8"/>
  <c r="Y876" i="8"/>
  <c r="Y877" i="8"/>
  <c r="Y878" i="8"/>
  <c r="Y879" i="8"/>
  <c r="Y880" i="8"/>
  <c r="Y881" i="8"/>
  <c r="Y882" i="8"/>
  <c r="Y883" i="8"/>
  <c r="Y884" i="8"/>
  <c r="Y885" i="8"/>
  <c r="Y886" i="8"/>
  <c r="Y887" i="8"/>
  <c r="Y888" i="8"/>
  <c r="Y889" i="8"/>
  <c r="Y890" i="8"/>
  <c r="Y891" i="8"/>
  <c r="Y892" i="8"/>
  <c r="Y893" i="8"/>
  <c r="Y894" i="8"/>
  <c r="Y895" i="8"/>
  <c r="Y896" i="8"/>
  <c r="Y897" i="8"/>
  <c r="Y898" i="8"/>
  <c r="Y899" i="8"/>
  <c r="Y900" i="8"/>
  <c r="Y901" i="8"/>
  <c r="Y902" i="8"/>
  <c r="Y903" i="8"/>
  <c r="Y904" i="8"/>
  <c r="Y905" i="8"/>
  <c r="Y906" i="8"/>
  <c r="Y907" i="8"/>
  <c r="Y908" i="8"/>
  <c r="Y909" i="8"/>
  <c r="Y910" i="8"/>
  <c r="Y911" i="8"/>
  <c r="Y912" i="8"/>
  <c r="Y913" i="8"/>
  <c r="Y914" i="8"/>
  <c r="Y915" i="8"/>
  <c r="Y916" i="8"/>
  <c r="Y917" i="8"/>
  <c r="Y918" i="8"/>
  <c r="Y919" i="8"/>
  <c r="Y920" i="8"/>
  <c r="Y921" i="8"/>
  <c r="Y922" i="8"/>
  <c r="Y923" i="8"/>
  <c r="Y924" i="8"/>
  <c r="Y925" i="8"/>
  <c r="Y926" i="8"/>
  <c r="Y927" i="8"/>
  <c r="Y928" i="8"/>
  <c r="Y929" i="8"/>
  <c r="Y930" i="8"/>
  <c r="Y931" i="8"/>
  <c r="Y932" i="8"/>
  <c r="Y933" i="8"/>
  <c r="Y934" i="8"/>
  <c r="Y935" i="8"/>
  <c r="Y936" i="8"/>
  <c r="Y937" i="8"/>
  <c r="Y938" i="8"/>
  <c r="Y939" i="8"/>
  <c r="Y940" i="8"/>
  <c r="Y941" i="8"/>
  <c r="Y942" i="8"/>
  <c r="Y943" i="8"/>
  <c r="Y944" i="8"/>
  <c r="Y945" i="8"/>
  <c r="Y946" i="8"/>
  <c r="Y947" i="8"/>
  <c r="Y948" i="8"/>
  <c r="Y949" i="8"/>
  <c r="Y950" i="8"/>
  <c r="Y951" i="8"/>
  <c r="Y952" i="8"/>
  <c r="Y953" i="8"/>
  <c r="Y954" i="8"/>
  <c r="Y955" i="8"/>
  <c r="Y956" i="8"/>
  <c r="Y957" i="8"/>
  <c r="Y958" i="8"/>
  <c r="Y959" i="8"/>
  <c r="Y960" i="8"/>
  <c r="Y961" i="8"/>
  <c r="Y962" i="8"/>
  <c r="Y963" i="8"/>
  <c r="Y964" i="8"/>
  <c r="Y965" i="8"/>
  <c r="Y966" i="8"/>
  <c r="Y967" i="8"/>
  <c r="Y968" i="8"/>
  <c r="Y969" i="8"/>
  <c r="Y970" i="8"/>
  <c r="Y971" i="8"/>
  <c r="Y972" i="8"/>
  <c r="Y973" i="8"/>
  <c r="Y974" i="8"/>
  <c r="Y975" i="8"/>
  <c r="Y976" i="8"/>
  <c r="Y977" i="8"/>
  <c r="Y978" i="8"/>
  <c r="Y979" i="8"/>
  <c r="Y980" i="8"/>
  <c r="Y981" i="8"/>
  <c r="Y982" i="8"/>
  <c r="Y983" i="8"/>
  <c r="Y984" i="8"/>
  <c r="Y985" i="8"/>
  <c r="Y986" i="8"/>
  <c r="Y987" i="8"/>
  <c r="Y988" i="8"/>
  <c r="Y989" i="8"/>
  <c r="Y990" i="8"/>
  <c r="Y991" i="8"/>
  <c r="Y992" i="8"/>
  <c r="Y993" i="8"/>
  <c r="Y994" i="8"/>
  <c r="Y995" i="8"/>
  <c r="Y996" i="8"/>
  <c r="Y997" i="8"/>
  <c r="Y998" i="8"/>
  <c r="Y999" i="8"/>
  <c r="Y1000" i="8"/>
  <c r="Y1001" i="8"/>
  <c r="Y1002" i="8"/>
  <c r="Y1003" i="8"/>
  <c r="Y1004" i="8"/>
  <c r="Y1005" i="8"/>
  <c r="Y1006" i="8"/>
  <c r="Y1007" i="8"/>
  <c r="Y1008" i="8"/>
  <c r="Y1009" i="8"/>
  <c r="Y1010" i="8"/>
  <c r="Y1011" i="8"/>
  <c r="Y1012" i="8"/>
  <c r="Y1013" i="8"/>
  <c r="Y1014" i="8"/>
  <c r="Y1015" i="8"/>
  <c r="Y1016" i="8"/>
  <c r="Y1017" i="8"/>
  <c r="Y1018" i="8"/>
  <c r="Y1019" i="8"/>
  <c r="Y1020" i="8"/>
  <c r="Y1021" i="8"/>
  <c r="Y1022" i="8"/>
  <c r="Y1023" i="8"/>
  <c r="Y1024" i="8"/>
  <c r="Y1025" i="8"/>
  <c r="Y1026" i="8"/>
  <c r="Y1027" i="8"/>
  <c r="Y1028" i="8"/>
  <c r="Y1029" i="8"/>
  <c r="Y1030" i="8"/>
  <c r="Y1031" i="8"/>
  <c r="Y1032" i="8"/>
  <c r="Y1033" i="8"/>
  <c r="Y1034" i="8"/>
  <c r="Y1035" i="8"/>
  <c r="Y1036" i="8"/>
  <c r="Y1037" i="8"/>
  <c r="Y1038" i="8"/>
  <c r="Y1039" i="8"/>
  <c r="Y1040" i="8"/>
  <c r="Y1041" i="8"/>
  <c r="Y1042" i="8"/>
  <c r="Y1043" i="8"/>
  <c r="Y1044" i="8"/>
  <c r="Y1045" i="8"/>
  <c r="Y1046" i="8"/>
  <c r="Y1047" i="8"/>
  <c r="Y1048" i="8"/>
  <c r="Y1049" i="8"/>
  <c r="Y1050" i="8"/>
  <c r="Y1051" i="8"/>
  <c r="Y1052" i="8"/>
  <c r="Y1053" i="8"/>
  <c r="Y1054" i="8"/>
  <c r="Y1055" i="8"/>
  <c r="Y1056" i="8"/>
  <c r="Y1057" i="8"/>
  <c r="Y1058" i="8"/>
  <c r="Y1059" i="8"/>
  <c r="Y1060" i="8"/>
  <c r="Y1061" i="8"/>
  <c r="Y1062" i="8"/>
  <c r="Y1063" i="8"/>
  <c r="Y1064" i="8"/>
  <c r="Y1065" i="8"/>
  <c r="Y1066" i="8"/>
  <c r="Y1067" i="8"/>
  <c r="Y1068" i="8"/>
  <c r="Y1069" i="8"/>
  <c r="Y1070" i="8"/>
  <c r="Y1071" i="8"/>
  <c r="Y1072" i="8"/>
  <c r="Y1073" i="8"/>
  <c r="Y1074" i="8"/>
  <c r="Y1075" i="8"/>
  <c r="Y1076" i="8"/>
  <c r="Y1077" i="8"/>
  <c r="Y1078" i="8"/>
  <c r="Y1079" i="8"/>
  <c r="Y1080" i="8"/>
  <c r="Y1081" i="8"/>
  <c r="Y1082" i="8"/>
  <c r="Y1083" i="8"/>
  <c r="Y1084" i="8"/>
  <c r="Y1085" i="8"/>
  <c r="Y1086" i="8"/>
  <c r="Y1087" i="8"/>
  <c r="Y1088" i="8"/>
  <c r="Y1089" i="8"/>
  <c r="Y1090" i="8"/>
  <c r="Y1091" i="8"/>
  <c r="Y1092" i="8"/>
  <c r="Y1093" i="8"/>
  <c r="Y1094" i="8"/>
  <c r="Y1095" i="8"/>
  <c r="Y1096" i="8"/>
  <c r="Y1097" i="8"/>
  <c r="Y1098" i="8"/>
  <c r="Y1099" i="8"/>
  <c r="Y1100" i="8"/>
  <c r="Y1101" i="8"/>
  <c r="Y1102" i="8"/>
  <c r="Y1103" i="8"/>
  <c r="Y1104" i="8"/>
  <c r="Y1105" i="8"/>
  <c r="Y1106" i="8"/>
  <c r="Y1107" i="8"/>
  <c r="Y1108" i="8"/>
  <c r="Y1109" i="8"/>
  <c r="Y1110" i="8"/>
  <c r="Y1111" i="8"/>
  <c r="Y1112" i="8"/>
  <c r="Y1113" i="8"/>
  <c r="Y1114" i="8"/>
  <c r="Y1115" i="8"/>
  <c r="Y1116" i="8"/>
  <c r="Y1117" i="8"/>
  <c r="Y1118" i="8"/>
  <c r="Y1119" i="8"/>
  <c r="Y1120" i="8"/>
  <c r="Y1121" i="8"/>
  <c r="Y1122" i="8"/>
  <c r="Y1123" i="8"/>
  <c r="Y1124" i="8"/>
  <c r="Y1125" i="8"/>
  <c r="Y1126" i="8"/>
  <c r="Y1127" i="8"/>
  <c r="Y1128" i="8"/>
  <c r="Y1129" i="8"/>
  <c r="Y1130" i="8"/>
  <c r="Y1131" i="8"/>
  <c r="Y1132" i="8"/>
  <c r="Y1133" i="8"/>
  <c r="Y1134" i="8"/>
  <c r="Y1135" i="8"/>
  <c r="Y1136" i="8"/>
  <c r="Y1137" i="8"/>
  <c r="Y1138" i="8"/>
  <c r="Y1139" i="8"/>
  <c r="Y1140" i="8"/>
  <c r="Y1141" i="8"/>
  <c r="Y1142" i="8"/>
  <c r="Y1143" i="8"/>
  <c r="Y1144" i="8"/>
  <c r="Y1145" i="8"/>
  <c r="Y1146" i="8"/>
  <c r="Y1147" i="8"/>
  <c r="Y1148" i="8"/>
  <c r="Y1149" i="8"/>
  <c r="Y1150" i="8"/>
  <c r="Y1151" i="8"/>
  <c r="Y1152" i="8"/>
  <c r="Y1153" i="8"/>
  <c r="Y1154" i="8"/>
  <c r="Y1155" i="8"/>
  <c r="Y1156" i="8"/>
  <c r="Y1157" i="8"/>
  <c r="Y1158" i="8"/>
  <c r="Y1159" i="8"/>
  <c r="Y1160" i="8"/>
  <c r="Y1161" i="8"/>
  <c r="Y1162" i="8"/>
  <c r="Y1163" i="8"/>
  <c r="Y1164" i="8"/>
  <c r="Y1165" i="8"/>
  <c r="Y1166" i="8"/>
  <c r="Y1167" i="8"/>
  <c r="Y1168" i="8"/>
  <c r="Y1169" i="8"/>
  <c r="Y1170" i="8"/>
  <c r="Y1171" i="8"/>
  <c r="Y1172" i="8"/>
  <c r="Y1173" i="8"/>
  <c r="Y1174" i="8"/>
  <c r="Y1175" i="8"/>
  <c r="Y1176" i="8"/>
  <c r="Y1177" i="8"/>
  <c r="Y1178" i="8"/>
  <c r="Y1179" i="8"/>
  <c r="Y1180" i="8"/>
  <c r="Y1181" i="8"/>
  <c r="Y1182" i="8"/>
  <c r="Y1183" i="8"/>
  <c r="Y1184" i="8"/>
  <c r="Y1185" i="8"/>
  <c r="Y1186" i="8"/>
  <c r="Y1187" i="8"/>
  <c r="Y1188" i="8"/>
  <c r="Y1189" i="8"/>
  <c r="Y1190" i="8"/>
  <c r="Y1191" i="8"/>
  <c r="Y1192" i="8"/>
  <c r="Y1193" i="8"/>
  <c r="Y1194" i="8"/>
  <c r="Y1195" i="8"/>
  <c r="Y1196" i="8"/>
  <c r="Y1197" i="8"/>
  <c r="Y1198" i="8"/>
  <c r="Y1199" i="8"/>
  <c r="Y1200" i="8"/>
  <c r="Y1201" i="8"/>
  <c r="Y1202" i="8"/>
  <c r="Y1203" i="8"/>
  <c r="Y1204" i="8"/>
  <c r="Y1205" i="8"/>
  <c r="Y1206" i="8"/>
  <c r="Y1207" i="8"/>
  <c r="Y1208" i="8"/>
  <c r="Y1209" i="8"/>
  <c r="Y1210" i="8"/>
  <c r="Y1211" i="8"/>
  <c r="Y1212" i="8"/>
  <c r="Y1213" i="8"/>
  <c r="Y1214" i="8"/>
  <c r="Y1215" i="8"/>
  <c r="Y1216" i="8"/>
  <c r="Y1217" i="8"/>
  <c r="Y1218" i="8"/>
  <c r="Y1219" i="8"/>
  <c r="Y1220" i="8"/>
  <c r="Y1221" i="8"/>
  <c r="Y1222" i="8"/>
  <c r="Y1223" i="8"/>
  <c r="Y1224" i="8"/>
  <c r="Y1225" i="8"/>
  <c r="Y1226" i="8"/>
  <c r="Y1227" i="8"/>
  <c r="Y1228" i="8"/>
  <c r="Y1229" i="8"/>
  <c r="Y1230" i="8"/>
  <c r="Y1231" i="8"/>
  <c r="Y1232" i="8"/>
  <c r="Y1233" i="8"/>
  <c r="Y1234" i="8"/>
  <c r="Y1235" i="8"/>
  <c r="Y1236" i="8"/>
  <c r="Y1237" i="8"/>
  <c r="Y1238" i="8"/>
  <c r="Y1239" i="8"/>
  <c r="Y1240" i="8"/>
  <c r="Y1241" i="8"/>
  <c r="Y1242" i="8"/>
  <c r="Y1243" i="8"/>
  <c r="Y1244" i="8"/>
  <c r="Y1245" i="8"/>
  <c r="Y1246" i="8"/>
  <c r="Y1247" i="8"/>
  <c r="Y1248" i="8"/>
  <c r="Y1249" i="8"/>
  <c r="Y1250" i="8"/>
  <c r="Y1251" i="8"/>
  <c r="Y1252" i="8"/>
  <c r="Y1253" i="8"/>
  <c r="Y1254" i="8"/>
  <c r="Y1255" i="8"/>
  <c r="Y1256" i="8"/>
  <c r="Y1257" i="8"/>
  <c r="Y1258" i="8"/>
  <c r="Y1259" i="8"/>
  <c r="Y1260" i="8"/>
  <c r="Y1261" i="8"/>
  <c r="Y1262" i="8"/>
  <c r="Y1263" i="8"/>
  <c r="Y1264" i="8"/>
  <c r="Y1265" i="8"/>
  <c r="Y1266" i="8"/>
  <c r="Y1267" i="8"/>
  <c r="Y1268" i="8"/>
  <c r="Y1269" i="8"/>
  <c r="Y1270" i="8"/>
  <c r="Y1271" i="8"/>
  <c r="Y1272" i="8"/>
  <c r="Y1273" i="8"/>
  <c r="Y1274" i="8"/>
  <c r="Y1275" i="8"/>
  <c r="Y1276" i="8"/>
  <c r="Y1277" i="8"/>
  <c r="Y1278" i="8"/>
  <c r="Y1279" i="8"/>
  <c r="Y1280" i="8"/>
  <c r="Y1281" i="8"/>
  <c r="Y1282" i="8"/>
  <c r="Y1283" i="8"/>
  <c r="Y1284" i="8"/>
  <c r="Y1285" i="8"/>
  <c r="Y1286" i="8"/>
  <c r="Y1287" i="8"/>
  <c r="Y1288" i="8"/>
  <c r="Y1289" i="8"/>
  <c r="Y1290" i="8"/>
  <c r="Y1291" i="8"/>
  <c r="Y1292" i="8"/>
  <c r="Y1293" i="8"/>
  <c r="Y1294" i="8"/>
  <c r="Y1295" i="8"/>
  <c r="Y1296" i="8"/>
  <c r="Y1297" i="8"/>
  <c r="Y1298" i="8"/>
  <c r="Y1299" i="8"/>
  <c r="Y1300" i="8"/>
  <c r="Y1301" i="8"/>
  <c r="Y1302" i="8"/>
  <c r="Y1303" i="8"/>
  <c r="Y1304" i="8"/>
  <c r="Y1305" i="8"/>
  <c r="Y1306" i="8"/>
  <c r="Y1307" i="8"/>
  <c r="Y1308" i="8"/>
  <c r="Y1309" i="8"/>
  <c r="Y1310" i="8"/>
  <c r="Y1311" i="8"/>
  <c r="Y1312" i="8"/>
  <c r="Y1313" i="8"/>
  <c r="Y1314" i="8"/>
  <c r="Y1315" i="8"/>
  <c r="Y1316" i="8"/>
  <c r="Y1317" i="8"/>
  <c r="Y1318" i="8"/>
  <c r="Y1319" i="8"/>
  <c r="Y1320" i="8"/>
  <c r="Y1321" i="8"/>
  <c r="Y1322" i="8"/>
  <c r="Y1323" i="8"/>
  <c r="Y1324" i="8"/>
  <c r="Y1325" i="8"/>
  <c r="Y1326" i="8"/>
  <c r="Y1327" i="8"/>
  <c r="Y1328" i="8"/>
  <c r="Y1329" i="8"/>
  <c r="Y1330" i="8"/>
  <c r="Y1331" i="8"/>
  <c r="Y1332" i="8"/>
  <c r="Y1333" i="8"/>
  <c r="Y1334" i="8"/>
  <c r="Y1335" i="8"/>
  <c r="Y1336" i="8"/>
  <c r="Y1337" i="8"/>
  <c r="Y1338" i="8"/>
  <c r="Y1339" i="8"/>
  <c r="Y1340" i="8"/>
  <c r="Y1341" i="8"/>
  <c r="Y1342" i="8"/>
  <c r="Y1343" i="8"/>
  <c r="Y1344" i="8"/>
  <c r="Y1345" i="8"/>
  <c r="Y1346" i="8"/>
  <c r="Y1347" i="8"/>
  <c r="Y1348" i="8"/>
  <c r="Y1349" i="8"/>
  <c r="Y1350" i="8"/>
  <c r="Y1351" i="8"/>
  <c r="Y1352" i="8"/>
  <c r="Y1353" i="8"/>
  <c r="Y1354" i="8"/>
  <c r="Y1355" i="8"/>
  <c r="Y1356" i="8"/>
  <c r="Y1357" i="8"/>
  <c r="Y1358" i="8"/>
  <c r="Y1359" i="8"/>
  <c r="Y1360" i="8"/>
  <c r="Y1361" i="8"/>
  <c r="Y1362" i="8"/>
  <c r="Y1363" i="8"/>
  <c r="Y1364" i="8"/>
  <c r="Y1365" i="8"/>
  <c r="Y1366" i="8"/>
  <c r="Y1367" i="8"/>
  <c r="Y1368" i="8"/>
  <c r="Y1369" i="8"/>
  <c r="Y1370" i="8"/>
  <c r="Y1371" i="8"/>
  <c r="Y1372" i="8"/>
  <c r="Y1373" i="8"/>
  <c r="Y1374" i="8"/>
  <c r="Y1375" i="8"/>
  <c r="Y1376" i="8"/>
  <c r="Y1377" i="8"/>
  <c r="Y1378" i="8"/>
  <c r="Y1379" i="8"/>
  <c r="Y1380" i="8"/>
  <c r="Y1381" i="8"/>
  <c r="Y1382" i="8"/>
  <c r="Y1383" i="8"/>
  <c r="Y1384" i="8"/>
  <c r="Y1385" i="8"/>
  <c r="Y1386" i="8"/>
  <c r="Y1387" i="8"/>
  <c r="Y1388" i="8"/>
  <c r="Y1389" i="8"/>
  <c r="Y1390" i="8"/>
  <c r="Y1391" i="8"/>
  <c r="Y1392" i="8"/>
  <c r="Y1393" i="8"/>
  <c r="Y1394" i="8"/>
  <c r="Y1395" i="8"/>
  <c r="Y1396" i="8"/>
  <c r="Y1397" i="8"/>
  <c r="Y1398" i="8"/>
  <c r="Y1399" i="8"/>
  <c r="Y1400" i="8"/>
  <c r="Y1401" i="8"/>
  <c r="Y1402" i="8"/>
  <c r="Y1403" i="8"/>
  <c r="Y1404" i="8"/>
  <c r="Y1405" i="8"/>
  <c r="Y1406" i="8"/>
  <c r="Y1407" i="8"/>
  <c r="Y1408" i="8"/>
  <c r="Y1409" i="8"/>
  <c r="Y1410" i="8"/>
  <c r="Y1411" i="8"/>
  <c r="Y1412" i="8"/>
  <c r="Y1413" i="8"/>
  <c r="Y1414" i="8"/>
  <c r="Y1415" i="8"/>
  <c r="Y1416" i="8"/>
  <c r="Y1417" i="8"/>
  <c r="Y1418" i="8"/>
  <c r="Y1419" i="8"/>
  <c r="Y1420" i="8"/>
  <c r="Y1421" i="8"/>
  <c r="Y1422" i="8"/>
  <c r="Y1423" i="8"/>
  <c r="Y1424" i="8"/>
  <c r="Y1425" i="8"/>
  <c r="Y1426" i="8"/>
  <c r="Y1427" i="8"/>
  <c r="Y1428" i="8"/>
  <c r="Y1429" i="8"/>
  <c r="Y1430" i="8"/>
  <c r="Y1431" i="8"/>
  <c r="Y1432" i="8"/>
  <c r="Y1433" i="8"/>
  <c r="Y1434" i="8"/>
  <c r="Y1435" i="8"/>
  <c r="Y1436" i="8"/>
  <c r="Y1437" i="8"/>
  <c r="Y1438" i="8"/>
  <c r="Y1439" i="8"/>
  <c r="Y1440" i="8"/>
  <c r="Y1441" i="8"/>
  <c r="Y1442" i="8"/>
  <c r="Y1443" i="8"/>
  <c r="Y1444" i="8"/>
  <c r="Y1445" i="8"/>
  <c r="Y1446" i="8"/>
  <c r="Y1447" i="8"/>
  <c r="Y1448" i="8"/>
  <c r="Y1449" i="8"/>
  <c r="Y1450" i="8"/>
  <c r="Y1451" i="8"/>
  <c r="Y1452" i="8"/>
  <c r="Y1453" i="8"/>
  <c r="Y1454" i="8"/>
  <c r="Y1455" i="8"/>
  <c r="Y1456" i="8"/>
  <c r="Y1457" i="8"/>
  <c r="Y1458" i="8"/>
  <c r="Y1459" i="8"/>
  <c r="Y1460" i="8"/>
  <c r="Y1461" i="8"/>
  <c r="Y1462" i="8"/>
  <c r="Y1463" i="8"/>
  <c r="Y1464" i="8"/>
  <c r="Y1465" i="8"/>
  <c r="Y1466" i="8"/>
  <c r="Y1467" i="8"/>
  <c r="Y1468" i="8"/>
  <c r="Y1469" i="8"/>
  <c r="Y1470" i="8"/>
  <c r="Y1471" i="8"/>
  <c r="Y1472" i="8"/>
  <c r="Y1473" i="8"/>
  <c r="Y1474" i="8"/>
  <c r="Y1475" i="8"/>
  <c r="Y1476" i="8"/>
  <c r="Y1477" i="8"/>
  <c r="Y1478" i="8"/>
  <c r="Y1479" i="8"/>
  <c r="Y1480" i="8"/>
  <c r="Y1481" i="8"/>
  <c r="Y1482" i="8"/>
  <c r="Y1483" i="8"/>
  <c r="Y1484" i="8"/>
  <c r="Y1485" i="8"/>
  <c r="Y1486" i="8"/>
  <c r="Y1487" i="8"/>
  <c r="Y1488" i="8"/>
  <c r="Y1489" i="8"/>
  <c r="Y1490" i="8"/>
  <c r="Y1491" i="8"/>
  <c r="Y1492" i="8"/>
  <c r="Y1493" i="8"/>
  <c r="Y1494" i="8"/>
  <c r="Y1495" i="8"/>
  <c r="Y1496" i="8"/>
  <c r="Y1497" i="8"/>
  <c r="Y1498" i="8"/>
  <c r="Y1499" i="8"/>
  <c r="Y1500" i="8"/>
  <c r="Y1501" i="8"/>
  <c r="Y1502" i="8"/>
  <c r="Y1503" i="8"/>
  <c r="Y1504" i="8"/>
  <c r="Y1505" i="8"/>
  <c r="Y1506" i="8"/>
  <c r="Y1507" i="8"/>
  <c r="Y1508" i="8"/>
  <c r="Y1509" i="8"/>
  <c r="Y1510" i="8"/>
  <c r="Y1511" i="8"/>
  <c r="Y1512" i="8"/>
  <c r="Y1513" i="8"/>
  <c r="Y1514" i="8"/>
  <c r="Y1515" i="8"/>
  <c r="Y1516" i="8"/>
  <c r="Y1517" i="8"/>
  <c r="Y1518" i="8"/>
  <c r="Y1519" i="8"/>
  <c r="Y1520" i="8"/>
  <c r="Y1521" i="8"/>
  <c r="Y1522" i="8"/>
  <c r="Y1523" i="8"/>
  <c r="Y1524" i="8"/>
  <c r="Y1525" i="8"/>
  <c r="Y1526" i="8"/>
  <c r="Y1527" i="8"/>
  <c r="Y1528" i="8"/>
  <c r="Y1529" i="8"/>
  <c r="Y1530" i="8"/>
  <c r="Y1531" i="8"/>
  <c r="Y1532" i="8"/>
  <c r="Y1533" i="8"/>
  <c r="Y1534" i="8"/>
  <c r="Y1535" i="8"/>
  <c r="Y1536" i="8"/>
  <c r="Y1537" i="8"/>
  <c r="Y1538" i="8"/>
  <c r="Y1539" i="8"/>
  <c r="Y1540" i="8"/>
  <c r="Y1541" i="8"/>
  <c r="Y1542" i="8"/>
  <c r="Y1543" i="8"/>
  <c r="Y1544" i="8"/>
  <c r="Y1545" i="8"/>
  <c r="Y1546" i="8"/>
  <c r="Y1547" i="8"/>
  <c r="Y1548" i="8"/>
  <c r="Y1549" i="8"/>
  <c r="Y1550" i="8"/>
  <c r="Y1551" i="8"/>
  <c r="Y1552" i="8"/>
  <c r="Y1553" i="8"/>
  <c r="Y1554" i="8"/>
  <c r="Y1555" i="8"/>
  <c r="Y1556" i="8"/>
  <c r="Y1557" i="8"/>
  <c r="Y1558" i="8"/>
  <c r="Y1559" i="8"/>
  <c r="Y1560" i="8"/>
  <c r="Y1561" i="8"/>
  <c r="Y1562" i="8"/>
  <c r="Y1563" i="8"/>
  <c r="Y1564" i="8"/>
  <c r="Y1565" i="8"/>
  <c r="Y1566" i="8"/>
  <c r="Y1567" i="8"/>
  <c r="Y1568" i="8"/>
  <c r="Y1569" i="8"/>
  <c r="Y1570" i="8"/>
  <c r="Y1571" i="8"/>
  <c r="Y1572" i="8"/>
  <c r="Y1573" i="8"/>
  <c r="Y1574" i="8"/>
  <c r="Y1575" i="8"/>
  <c r="Y1576" i="8"/>
  <c r="Y1577" i="8"/>
  <c r="Y1578" i="8"/>
  <c r="Y1579" i="8"/>
  <c r="Y1580" i="8"/>
  <c r="Y1581" i="8"/>
  <c r="Y1582" i="8"/>
  <c r="Y1583" i="8"/>
  <c r="Y1584" i="8"/>
  <c r="Y1585" i="8"/>
  <c r="Y1586" i="8"/>
  <c r="Y1587" i="8"/>
  <c r="Y1588" i="8"/>
  <c r="Y1589" i="8"/>
  <c r="Y1590" i="8"/>
  <c r="Y1591" i="8"/>
  <c r="Y1592" i="8"/>
  <c r="Y1593" i="8"/>
  <c r="Y1594" i="8"/>
  <c r="Y1595" i="8"/>
  <c r="Y1596" i="8"/>
  <c r="Y1597" i="8"/>
  <c r="Y1598" i="8"/>
  <c r="Y1599" i="8"/>
  <c r="Y1600" i="8"/>
  <c r="Y1601" i="8"/>
  <c r="Y1602" i="8"/>
  <c r="Y1603" i="8"/>
  <c r="Y1604" i="8"/>
  <c r="Y1605" i="8"/>
  <c r="Y1606" i="8"/>
  <c r="Y1607" i="8"/>
  <c r="Y1608" i="8"/>
  <c r="Y1609" i="8"/>
  <c r="Y1610" i="8"/>
  <c r="Y1611" i="8"/>
  <c r="Y1612" i="8"/>
  <c r="Y1613" i="8"/>
  <c r="Y1614" i="8"/>
  <c r="Y1615" i="8"/>
  <c r="Y1616" i="8"/>
  <c r="Y1617" i="8"/>
  <c r="Y1618" i="8"/>
  <c r="Y1619" i="8"/>
  <c r="Y1620" i="8"/>
  <c r="Y1621" i="8"/>
  <c r="Y1622" i="8"/>
  <c r="Y1623" i="8"/>
  <c r="Y1624" i="8"/>
  <c r="Y1625" i="8"/>
  <c r="Y1626" i="8"/>
  <c r="Y1627" i="8"/>
  <c r="Y1628" i="8"/>
  <c r="Y1629" i="8"/>
  <c r="Y1630" i="8"/>
  <c r="Y1631" i="8"/>
  <c r="Y1632" i="8"/>
  <c r="Y1633" i="8"/>
  <c r="Y1634" i="8"/>
  <c r="Y1635" i="8"/>
  <c r="Y1636" i="8"/>
  <c r="Y1637" i="8"/>
  <c r="Y1638" i="8"/>
  <c r="Y1639" i="8"/>
  <c r="Y1640" i="8"/>
  <c r="Y1641" i="8"/>
  <c r="Y1642" i="8"/>
  <c r="Y1643" i="8"/>
  <c r="Y1644" i="8"/>
  <c r="Y1645" i="8"/>
  <c r="Y1646" i="8"/>
  <c r="Y1647" i="8"/>
  <c r="Y1648" i="8"/>
  <c r="Y1649" i="8"/>
  <c r="Y1650" i="8"/>
  <c r="Y1651" i="8"/>
  <c r="Y1652" i="8"/>
  <c r="Y1653" i="8"/>
  <c r="Y1654" i="8"/>
  <c r="Y1655" i="8"/>
  <c r="Y1656" i="8"/>
  <c r="Y1657" i="8"/>
  <c r="Y1658" i="8"/>
  <c r="Y1659" i="8"/>
  <c r="Y1660" i="8"/>
  <c r="Y1661" i="8"/>
  <c r="Y1662" i="8"/>
  <c r="Y1663" i="8"/>
  <c r="Y1664" i="8"/>
  <c r="Y1665" i="8"/>
  <c r="Y1666" i="8"/>
  <c r="Y1667" i="8"/>
  <c r="Y1668" i="8"/>
  <c r="Y1669" i="8"/>
  <c r="Y1670" i="8"/>
  <c r="Y1671" i="8"/>
  <c r="Y1672" i="8"/>
  <c r="Y1673" i="8"/>
  <c r="Y1674" i="8"/>
  <c r="Y1675" i="8"/>
  <c r="Y1676" i="8"/>
  <c r="Y1677" i="8"/>
  <c r="Y1678" i="8"/>
  <c r="Y1679" i="8"/>
  <c r="Y1680" i="8"/>
  <c r="Y1681" i="8"/>
  <c r="Y1682" i="8"/>
  <c r="Y1683" i="8"/>
  <c r="Y1684" i="8"/>
  <c r="Y1685" i="8"/>
  <c r="Y1686" i="8"/>
  <c r="Y1687" i="8"/>
  <c r="Y1688" i="8"/>
  <c r="Y1689" i="8"/>
  <c r="Y1690" i="8"/>
  <c r="Y1691" i="8"/>
  <c r="Y1692" i="8"/>
  <c r="Y1693" i="8"/>
  <c r="Y1694" i="8"/>
  <c r="Y1695" i="8"/>
  <c r="Y1696" i="8"/>
  <c r="Y1697" i="8"/>
  <c r="Y1698" i="8"/>
  <c r="Y1699" i="8"/>
  <c r="Y1700" i="8"/>
  <c r="Y1701" i="8"/>
  <c r="Y1702" i="8"/>
  <c r="Y1703" i="8"/>
  <c r="Y1704" i="8"/>
  <c r="Y1705" i="8"/>
  <c r="Y1706" i="8"/>
  <c r="Y1707" i="8"/>
  <c r="Y1708" i="8"/>
  <c r="Y1709" i="8"/>
  <c r="Y1710" i="8"/>
  <c r="Y1711" i="8"/>
  <c r="Y1712" i="8"/>
  <c r="Y1713" i="8"/>
  <c r="Y1714" i="8"/>
  <c r="Y1715" i="8"/>
  <c r="Y1716" i="8"/>
  <c r="Y1717" i="8"/>
  <c r="Y1718" i="8"/>
  <c r="Y1719" i="8"/>
  <c r="Y1720" i="8"/>
  <c r="Y1721" i="8"/>
  <c r="Y1722" i="8"/>
  <c r="Y1723" i="8"/>
  <c r="Y1724" i="8"/>
  <c r="Y1725" i="8"/>
  <c r="Y1726" i="8"/>
  <c r="Y1727" i="8"/>
  <c r="Y1728" i="8"/>
  <c r="Y1729" i="8"/>
  <c r="Y1730" i="8"/>
  <c r="Y1731" i="8"/>
  <c r="Y1732" i="8"/>
  <c r="Y1733" i="8"/>
  <c r="Y1734" i="8"/>
  <c r="Y1735" i="8"/>
  <c r="Y1736" i="8"/>
  <c r="Y1737" i="8"/>
  <c r="Y1738" i="8"/>
  <c r="Y1739" i="8"/>
  <c r="Y1740" i="8"/>
  <c r="Y1741" i="8"/>
  <c r="Y1742" i="8"/>
  <c r="Y1743" i="8"/>
  <c r="Y1744" i="8"/>
  <c r="Y1745" i="8"/>
  <c r="Y1746" i="8"/>
  <c r="Y1747" i="8"/>
  <c r="Y1748" i="8"/>
  <c r="Y1749" i="8"/>
  <c r="Y1750" i="8"/>
  <c r="Y1751" i="8"/>
  <c r="Y1752" i="8"/>
  <c r="Y1753" i="8"/>
  <c r="Y1754" i="8"/>
  <c r="Y1755" i="8"/>
  <c r="Y1756" i="8"/>
  <c r="Y1757" i="8"/>
  <c r="Y1758" i="8"/>
  <c r="Y1759" i="8"/>
  <c r="Y1760" i="8"/>
  <c r="Y1761" i="8"/>
  <c r="Y1762" i="8"/>
  <c r="Y1763" i="8"/>
  <c r="Y1764" i="8"/>
  <c r="Y1765" i="8"/>
  <c r="Y1766" i="8"/>
  <c r="Y1767" i="8"/>
  <c r="Y1768" i="8"/>
  <c r="Y1769" i="8"/>
  <c r="Y1770" i="8"/>
  <c r="Y1771" i="8"/>
  <c r="Y1772" i="8"/>
  <c r="Y1773" i="8"/>
  <c r="Y1774" i="8"/>
  <c r="Y1775" i="8"/>
  <c r="Y1776" i="8"/>
  <c r="Y1777" i="8"/>
  <c r="Y1778" i="8"/>
  <c r="Y1779" i="8"/>
  <c r="Y1780" i="8"/>
  <c r="Y1781" i="8"/>
  <c r="Y1782" i="8"/>
  <c r="Y1783" i="8"/>
  <c r="Y1784" i="8"/>
  <c r="Y1785" i="8"/>
  <c r="Y1786" i="8"/>
  <c r="Y1787" i="8"/>
  <c r="Y1788" i="8"/>
  <c r="Y1789" i="8"/>
  <c r="Y1790" i="8"/>
  <c r="Y1791" i="8"/>
  <c r="Y1792" i="8"/>
  <c r="Y1793" i="8"/>
  <c r="Y1794" i="8"/>
  <c r="Y1795" i="8"/>
  <c r="Y1796" i="8"/>
  <c r="Y1797" i="8"/>
  <c r="Y1798" i="8"/>
  <c r="Y1799" i="8"/>
  <c r="Y1800" i="8"/>
  <c r="Y1801" i="8"/>
  <c r="Y1802" i="8"/>
  <c r="Y1803" i="8"/>
  <c r="Y1804" i="8"/>
  <c r="Y1805" i="8"/>
  <c r="Y1806" i="8"/>
  <c r="Y1807" i="8"/>
  <c r="Y1808" i="8"/>
  <c r="Y1809" i="8"/>
  <c r="Y1810" i="8"/>
  <c r="Y1811" i="8"/>
  <c r="Y1812" i="8"/>
  <c r="Y1813" i="8"/>
  <c r="Y1814" i="8"/>
  <c r="Y1815" i="8"/>
  <c r="Y1816" i="8"/>
  <c r="Y1817" i="8"/>
  <c r="Y1818" i="8"/>
  <c r="Y1819" i="8"/>
  <c r="Y1820" i="8"/>
  <c r="Y1821" i="8"/>
  <c r="Y1822" i="8"/>
  <c r="Y1823" i="8"/>
  <c r="Y1824" i="8"/>
  <c r="Y1825" i="8"/>
  <c r="Y1826" i="8"/>
  <c r="Y1827" i="8"/>
  <c r="Y1828" i="8"/>
  <c r="Y1829" i="8"/>
  <c r="Y1830" i="8"/>
  <c r="Y1831" i="8"/>
  <c r="Y1832" i="8"/>
  <c r="Y1833" i="8"/>
  <c r="Y1834" i="8"/>
  <c r="Y1835" i="8"/>
  <c r="Y1836" i="8"/>
  <c r="Y1837" i="8"/>
  <c r="Y1838" i="8"/>
  <c r="Y1839" i="8"/>
  <c r="Y1840" i="8"/>
  <c r="Y1841" i="8"/>
  <c r="Y1842" i="8"/>
  <c r="Y1843" i="8"/>
  <c r="Y1844" i="8"/>
  <c r="Y1845" i="8"/>
  <c r="Y1846" i="8"/>
  <c r="Y1847" i="8"/>
  <c r="Y1848" i="8"/>
  <c r="Y1849" i="8"/>
  <c r="Y1850" i="8"/>
  <c r="Y1851" i="8"/>
  <c r="Y1852" i="8"/>
  <c r="Y1853" i="8"/>
  <c r="Y1854" i="8"/>
  <c r="Y1855" i="8"/>
  <c r="Y1856" i="8"/>
  <c r="Y1857" i="8"/>
  <c r="Y1858" i="8"/>
  <c r="Y1859" i="8"/>
  <c r="Y1860" i="8"/>
  <c r="Y1861" i="8"/>
  <c r="Y1862" i="8"/>
  <c r="Y1863" i="8"/>
  <c r="Y1864" i="8"/>
  <c r="Y1865" i="8"/>
  <c r="Y1866" i="8"/>
  <c r="Y1867" i="8"/>
  <c r="Y1868" i="8"/>
  <c r="Y1869" i="8"/>
  <c r="Y1870" i="8"/>
  <c r="Y1871" i="8"/>
  <c r="Y1872" i="8"/>
  <c r="Y1873" i="8"/>
  <c r="Y1874" i="8"/>
  <c r="Y1875" i="8"/>
  <c r="Y1876" i="8"/>
  <c r="Y1877" i="8"/>
  <c r="Y1878" i="8"/>
  <c r="Y1879" i="8"/>
  <c r="Y1880" i="8"/>
  <c r="Y1881" i="8"/>
  <c r="Y1882" i="8"/>
  <c r="Y1883" i="8"/>
  <c r="Y1884" i="8"/>
  <c r="Y1885" i="8"/>
  <c r="Y1886" i="8"/>
  <c r="Y1887" i="8"/>
  <c r="Y1888" i="8"/>
  <c r="Y1889" i="8"/>
  <c r="Y1890" i="8"/>
  <c r="Y1891" i="8"/>
  <c r="Y1892" i="8"/>
  <c r="Y1893" i="8"/>
  <c r="Y1894" i="8"/>
  <c r="Y1895" i="8"/>
  <c r="Y1896" i="8"/>
  <c r="Y1897" i="8"/>
  <c r="Y1898" i="8"/>
  <c r="Y1899" i="8"/>
  <c r="Y1900" i="8"/>
  <c r="Y1901" i="8"/>
  <c r="Y1902" i="8"/>
  <c r="Y1903" i="8"/>
  <c r="Y1904" i="8"/>
  <c r="Y1905" i="8"/>
  <c r="Y1906" i="8"/>
  <c r="Y1907" i="8"/>
  <c r="Y1908" i="8"/>
  <c r="Y1909" i="8"/>
  <c r="Y1910" i="8"/>
  <c r="Y1911" i="8"/>
  <c r="Y1912" i="8"/>
  <c r="Y1913" i="8"/>
  <c r="Y1914" i="8"/>
  <c r="Y1915" i="8"/>
  <c r="Y1916" i="8"/>
  <c r="Y1917" i="8"/>
  <c r="Y1918" i="8"/>
  <c r="Y1919" i="8"/>
  <c r="Y1920" i="8"/>
  <c r="Y1921" i="8"/>
  <c r="Y1922" i="8"/>
  <c r="Y1923" i="8"/>
  <c r="Y1924" i="8"/>
  <c r="Y1925" i="8"/>
  <c r="Y1926" i="8"/>
  <c r="Y1927" i="8"/>
  <c r="Y1928" i="8"/>
  <c r="Y1929" i="8"/>
  <c r="Y1930" i="8"/>
  <c r="Y1931" i="8"/>
  <c r="Y1932" i="8"/>
  <c r="Y1933" i="8"/>
  <c r="Y1934" i="8"/>
  <c r="Y1935" i="8"/>
  <c r="Y1936" i="8"/>
  <c r="Y1937" i="8"/>
  <c r="Y1938" i="8"/>
  <c r="Y1939" i="8"/>
  <c r="Y1940" i="8"/>
  <c r="Y1941" i="8"/>
  <c r="Y1942" i="8"/>
  <c r="Y1943" i="8"/>
  <c r="Y1944" i="8"/>
  <c r="Y1945" i="8"/>
  <c r="Y1946" i="8"/>
  <c r="Y1947" i="8"/>
  <c r="Y1948" i="8"/>
  <c r="Y1949" i="8"/>
  <c r="Y1950" i="8"/>
  <c r="Y1951" i="8"/>
  <c r="Y1952" i="8"/>
  <c r="Y1953" i="8"/>
  <c r="Y1954" i="8"/>
  <c r="Y1955" i="8"/>
  <c r="Y1956" i="8"/>
  <c r="Y1957" i="8"/>
  <c r="Y1958" i="8"/>
  <c r="Y1959" i="8"/>
  <c r="Y1960" i="8"/>
  <c r="Y1961" i="8"/>
  <c r="Y1962" i="8"/>
  <c r="Y1963" i="8"/>
  <c r="Y1964" i="8"/>
  <c r="Y1965" i="8"/>
  <c r="Y1966" i="8"/>
  <c r="Y1967" i="8"/>
  <c r="Y1968" i="8"/>
  <c r="Y1969" i="8"/>
  <c r="Y1970" i="8"/>
  <c r="Y1971" i="8"/>
  <c r="Y1972" i="8"/>
  <c r="Y1973" i="8"/>
  <c r="Y1974" i="8"/>
  <c r="Y1975" i="8"/>
  <c r="Y1976" i="8"/>
  <c r="Y1977" i="8"/>
  <c r="Y1978" i="8"/>
  <c r="Y1979" i="8"/>
  <c r="Y1980" i="8"/>
  <c r="Y1981" i="8"/>
  <c r="Y1982" i="8"/>
  <c r="Y1983" i="8"/>
  <c r="Y1984" i="8"/>
  <c r="Y1985" i="8"/>
  <c r="Y1986" i="8"/>
  <c r="Y1987" i="8"/>
  <c r="Y1988" i="8"/>
  <c r="Y1989" i="8"/>
  <c r="Y1990" i="8"/>
  <c r="Y1991" i="8"/>
  <c r="Y1992" i="8"/>
  <c r="Y1993" i="8"/>
  <c r="Y1994" i="8"/>
  <c r="Y1995" i="8"/>
  <c r="Y1996" i="8"/>
  <c r="Y1997" i="8"/>
  <c r="Y1998" i="8"/>
  <c r="Y1999" i="8"/>
  <c r="Y2000" i="8"/>
  <c r="Y2001" i="8"/>
  <c r="Y2002" i="8"/>
  <c r="Y2003" i="8"/>
  <c r="Y2004" i="8"/>
  <c r="Y2005" i="8"/>
  <c r="Y2006" i="8"/>
  <c r="Y2007" i="8"/>
  <c r="Y2008" i="8"/>
  <c r="Y2009" i="8"/>
  <c r="Y2010" i="8"/>
  <c r="Y2011" i="8"/>
  <c r="Y2012" i="8"/>
  <c r="Y2013" i="8"/>
  <c r="Y2014" i="8"/>
  <c r="Y2015" i="8"/>
  <c r="Y2016" i="8"/>
  <c r="Y2017" i="8"/>
  <c r="Y2018" i="8"/>
  <c r="Y2019" i="8"/>
  <c r="Y2020" i="8"/>
  <c r="Y2021" i="8"/>
  <c r="Y2022" i="8"/>
  <c r="Y2023" i="8"/>
  <c r="Y2024" i="8"/>
  <c r="Y2025" i="8"/>
  <c r="Y2026" i="8"/>
  <c r="Y2027" i="8"/>
  <c r="Y2028" i="8"/>
  <c r="Y2029" i="8"/>
  <c r="Y2030" i="8"/>
  <c r="Y2031" i="8"/>
  <c r="Y2032" i="8"/>
  <c r="Y2033" i="8"/>
  <c r="Y2034" i="8"/>
  <c r="Y2035" i="8"/>
  <c r="Y2036" i="8"/>
  <c r="Y2037" i="8"/>
  <c r="Y2038" i="8"/>
  <c r="Y2039" i="8"/>
  <c r="Y2040" i="8"/>
  <c r="Y2041" i="8"/>
  <c r="Y2042" i="8"/>
  <c r="Y2043" i="8"/>
  <c r="Y2044" i="8"/>
  <c r="Y2045" i="8"/>
  <c r="Y2046" i="8"/>
  <c r="Y2047" i="8"/>
  <c r="Y2048" i="8"/>
  <c r="Y2049" i="8"/>
  <c r="Y2050" i="8"/>
  <c r="Y2051" i="8"/>
  <c r="Y2052" i="8"/>
  <c r="Y2053" i="8"/>
  <c r="Y2054" i="8"/>
  <c r="Y2055" i="8"/>
  <c r="Y2056" i="8"/>
  <c r="Y2057" i="8"/>
  <c r="Y2058" i="8"/>
  <c r="Y2059" i="8"/>
  <c r="Y2060" i="8"/>
  <c r="Y2061" i="8"/>
  <c r="Y2062" i="8"/>
  <c r="Y2063" i="8"/>
  <c r="Y2064" i="8"/>
  <c r="Y2065" i="8"/>
  <c r="Y2066" i="8"/>
  <c r="Y2067" i="8"/>
  <c r="Y2068" i="8"/>
  <c r="Y2069" i="8"/>
  <c r="Y2070" i="8"/>
  <c r="Y2071" i="8"/>
  <c r="Y2072" i="8"/>
  <c r="Y2073" i="8"/>
  <c r="Y2074" i="8"/>
  <c r="Y2075" i="8"/>
  <c r="Y2076" i="8"/>
  <c r="Y2077" i="8"/>
  <c r="Y2078" i="8"/>
  <c r="Y2079" i="8"/>
  <c r="Y2080" i="8"/>
  <c r="Y2081" i="8"/>
  <c r="Y2082" i="8"/>
  <c r="Y2083" i="8"/>
  <c r="Y2084" i="8"/>
  <c r="Y2085" i="8"/>
  <c r="Y2086" i="8"/>
  <c r="Y2087" i="8"/>
  <c r="Y2088" i="8"/>
  <c r="Y2089" i="8"/>
  <c r="Y2090" i="8"/>
  <c r="Y2091" i="8"/>
  <c r="Y2092" i="8"/>
  <c r="Y2093" i="8"/>
  <c r="Y2094" i="8"/>
  <c r="Y2095" i="8"/>
  <c r="Y2096" i="8"/>
  <c r="Y2097" i="8"/>
  <c r="Y2098" i="8"/>
  <c r="Y2099" i="8"/>
  <c r="Y2100" i="8"/>
  <c r="Y2101" i="8"/>
  <c r="Y2102" i="8"/>
  <c r="Y2103" i="8"/>
  <c r="Y2104" i="8"/>
  <c r="Y2105" i="8"/>
  <c r="Y2106" i="8"/>
  <c r="Y2107" i="8"/>
  <c r="Y2108" i="8"/>
  <c r="Y2109" i="8"/>
  <c r="Y2110" i="8"/>
  <c r="Y2111" i="8"/>
  <c r="Y2112" i="8"/>
  <c r="Y2113" i="8"/>
  <c r="Y2114" i="8"/>
  <c r="Y2115" i="8"/>
  <c r="Y2116" i="8"/>
  <c r="Y2117" i="8"/>
  <c r="Y2118" i="8"/>
  <c r="Y2119" i="8"/>
  <c r="Y2120" i="8"/>
  <c r="Y2121" i="8"/>
  <c r="Y2122" i="8"/>
  <c r="Y2123" i="8"/>
  <c r="Y2124" i="8"/>
  <c r="Y2125" i="8"/>
  <c r="Y2126" i="8"/>
  <c r="Y2127" i="8"/>
  <c r="Y2128" i="8"/>
  <c r="Y2129" i="8"/>
  <c r="Y2130" i="8"/>
  <c r="Y2131" i="8"/>
  <c r="Y2132" i="8"/>
  <c r="Y2133" i="8"/>
  <c r="Y2134" i="8"/>
  <c r="Y2135" i="8"/>
  <c r="Y2136" i="8"/>
  <c r="Y2137" i="8"/>
  <c r="Y2138" i="8"/>
  <c r="Y2139" i="8"/>
  <c r="Y2140" i="8"/>
  <c r="Y2141" i="8"/>
  <c r="Y2142" i="8"/>
  <c r="Y2143" i="8"/>
  <c r="Y2144" i="8"/>
  <c r="Y2145" i="8"/>
  <c r="Y2146" i="8"/>
  <c r="Y2147" i="8"/>
  <c r="Y2148" i="8"/>
  <c r="Y2149" i="8"/>
  <c r="Y2150" i="8"/>
  <c r="Y2151" i="8"/>
  <c r="Y2152" i="8"/>
  <c r="Y2153" i="8"/>
  <c r="Y2154" i="8"/>
  <c r="Y2155" i="8"/>
  <c r="Y2156" i="8"/>
  <c r="Y2157" i="8"/>
  <c r="Y2158" i="8"/>
  <c r="Y2159" i="8"/>
  <c r="Y2160" i="8"/>
  <c r="Y2161" i="8"/>
  <c r="Y2162" i="8"/>
  <c r="Y2163" i="8"/>
  <c r="Y2164" i="8"/>
  <c r="Y2165" i="8"/>
  <c r="Y2166" i="8"/>
  <c r="Y2167" i="8"/>
  <c r="Y2168" i="8"/>
  <c r="Y2169" i="8"/>
  <c r="Y2170" i="8"/>
  <c r="Y2171" i="8"/>
  <c r="Y2172" i="8"/>
  <c r="Y2173" i="8"/>
  <c r="Y2174" i="8"/>
  <c r="Y2175" i="8"/>
  <c r="Y2176" i="8"/>
  <c r="Y2177" i="8"/>
  <c r="Y2178" i="8"/>
  <c r="Y2179" i="8"/>
  <c r="Y2180" i="8"/>
  <c r="Y2181" i="8"/>
  <c r="Y2182" i="8"/>
  <c r="Y2183" i="8"/>
  <c r="Y2184" i="8"/>
  <c r="Y2185" i="8"/>
  <c r="Y2186" i="8"/>
  <c r="Y2187" i="8"/>
  <c r="Y2188" i="8"/>
  <c r="Y2189" i="8"/>
  <c r="Y2190" i="8"/>
  <c r="Y2191" i="8"/>
  <c r="Y2192" i="8"/>
  <c r="Y2193" i="8"/>
  <c r="Y2194" i="8"/>
  <c r="Y2195" i="8"/>
  <c r="Y2196" i="8"/>
  <c r="Y2197" i="8"/>
  <c r="Y2198" i="8"/>
  <c r="Y2199" i="8"/>
  <c r="Y2200" i="8"/>
  <c r="Y2201" i="8"/>
  <c r="Y2202" i="8"/>
  <c r="Y2203" i="8"/>
  <c r="Y2204" i="8"/>
  <c r="Y2205" i="8"/>
  <c r="Y2206" i="8"/>
  <c r="Y2207" i="8"/>
  <c r="Y2208" i="8"/>
  <c r="Y2209" i="8"/>
  <c r="Y2210" i="8"/>
  <c r="Y2211" i="8"/>
  <c r="Y2212" i="8"/>
  <c r="Y2213" i="8"/>
  <c r="Y2214" i="8"/>
  <c r="Y2215" i="8"/>
  <c r="Y2216" i="8"/>
  <c r="Y2217" i="8"/>
  <c r="Y2218" i="8"/>
  <c r="Y2219" i="8"/>
  <c r="Y2220" i="8"/>
  <c r="Y2221" i="8"/>
  <c r="Y2222" i="8"/>
  <c r="Y2223" i="8"/>
  <c r="Y2224" i="8"/>
  <c r="Y2225" i="8"/>
  <c r="Y2226" i="8"/>
  <c r="Y2227" i="8"/>
  <c r="Y2228" i="8"/>
  <c r="Y2229" i="8"/>
  <c r="Y2230" i="8"/>
  <c r="Y2231" i="8"/>
  <c r="Y2232" i="8"/>
  <c r="Y2233" i="8"/>
  <c r="Y2234" i="8"/>
  <c r="Y2235" i="8"/>
  <c r="Y2236" i="8"/>
  <c r="Y2237" i="8"/>
  <c r="Y2238" i="8"/>
  <c r="Y2239" i="8"/>
  <c r="Y2240" i="8"/>
  <c r="Y2241" i="8"/>
  <c r="Y2242" i="8"/>
  <c r="Y2243" i="8"/>
  <c r="Y2244" i="8"/>
  <c r="Y2245" i="8"/>
  <c r="Y2246" i="8"/>
  <c r="Y2247" i="8"/>
  <c r="Y2248" i="8"/>
  <c r="Y2249" i="8"/>
  <c r="Y2250" i="8"/>
  <c r="Y2251" i="8"/>
  <c r="Y2252" i="8"/>
  <c r="Y2253" i="8"/>
  <c r="Y2254" i="8"/>
  <c r="Y2255" i="8"/>
  <c r="Y2256" i="8"/>
  <c r="Y2257" i="8"/>
  <c r="Y2258" i="8"/>
  <c r="Y2259" i="8"/>
  <c r="Y2260" i="8"/>
  <c r="Y2261" i="8"/>
  <c r="Y2262" i="8"/>
  <c r="Y2263" i="8"/>
  <c r="Y2264" i="8"/>
  <c r="Y2265" i="8"/>
  <c r="Y2266" i="8"/>
  <c r="Y2267" i="8"/>
  <c r="Y2268" i="8"/>
  <c r="Y2269" i="8"/>
  <c r="Y2270" i="8"/>
  <c r="Y2271" i="8"/>
  <c r="Y2272" i="8"/>
  <c r="Y2273" i="8"/>
  <c r="Y2274" i="8"/>
  <c r="Y2275" i="8"/>
  <c r="Y2276" i="8"/>
  <c r="Y2277" i="8"/>
  <c r="Y2278" i="8"/>
  <c r="Y2279" i="8"/>
  <c r="Y2280" i="8"/>
  <c r="Y2281" i="8"/>
  <c r="Y2282" i="8"/>
  <c r="Y2283" i="8"/>
  <c r="Y2284" i="8"/>
  <c r="Y2285" i="8"/>
  <c r="Y2286" i="8"/>
  <c r="Y2287" i="8"/>
  <c r="Y2288" i="8"/>
  <c r="Y2289" i="8"/>
  <c r="Y2290" i="8"/>
  <c r="Y2291" i="8"/>
  <c r="Y2292" i="8"/>
  <c r="Y2293" i="8"/>
  <c r="Y2294" i="8"/>
  <c r="Y2295" i="8"/>
  <c r="Y2296" i="8"/>
  <c r="Y2297" i="8"/>
  <c r="Y2298" i="8"/>
  <c r="Y2299" i="8"/>
  <c r="Y2300" i="8"/>
  <c r="Y2301" i="8"/>
  <c r="Y2302" i="8"/>
  <c r="Y2303" i="8"/>
  <c r="Y2304" i="8"/>
  <c r="Y2305" i="8"/>
  <c r="Y2306" i="8"/>
  <c r="Y2307" i="8"/>
  <c r="Y2308" i="8"/>
  <c r="Y2309" i="8"/>
  <c r="Y2310" i="8"/>
  <c r="Y2311" i="8"/>
  <c r="Y2312" i="8"/>
  <c r="Y2313" i="8"/>
  <c r="Y2314" i="8"/>
  <c r="Y2315" i="8"/>
  <c r="Y2316" i="8"/>
  <c r="Y2317" i="8"/>
  <c r="Y2318" i="8"/>
  <c r="Y2319" i="8"/>
  <c r="Y2320" i="8"/>
  <c r="Y2321" i="8"/>
  <c r="Y2322" i="8"/>
  <c r="Y2323" i="8"/>
  <c r="Y2324" i="8"/>
  <c r="Y2325" i="8"/>
  <c r="Y2326" i="8"/>
  <c r="Y2327" i="8"/>
  <c r="Y2328" i="8"/>
  <c r="Y2329" i="8"/>
  <c r="Y2330" i="8"/>
  <c r="Y2331" i="8"/>
  <c r="Y2332" i="8"/>
  <c r="Y2333" i="8"/>
  <c r="Y2334" i="8"/>
  <c r="Y2335" i="8"/>
  <c r="Y2336" i="8"/>
  <c r="Y2337" i="8"/>
  <c r="Y2338" i="8"/>
  <c r="Y2339" i="8"/>
  <c r="Y2340" i="8"/>
  <c r="Y2341" i="8"/>
  <c r="Y2342" i="8"/>
  <c r="Y2343" i="8"/>
  <c r="Y2344" i="8"/>
  <c r="Y2345" i="8"/>
  <c r="Y2346" i="8"/>
  <c r="Y2347" i="8"/>
  <c r="Y2348" i="8"/>
  <c r="Y2349" i="8"/>
  <c r="Y2350" i="8"/>
  <c r="Y2351" i="8"/>
  <c r="Y2352" i="8"/>
  <c r="Y2353" i="8"/>
  <c r="Y2354" i="8"/>
  <c r="Y2355" i="8"/>
  <c r="Y2356" i="8"/>
  <c r="Y2357" i="8"/>
  <c r="Y2358" i="8"/>
  <c r="Y2359" i="8"/>
  <c r="Y2360" i="8"/>
  <c r="Y2361" i="8"/>
  <c r="Y2362" i="8"/>
  <c r="Y2363" i="8"/>
  <c r="Y2364" i="8"/>
  <c r="Y2365" i="8"/>
  <c r="Y2366" i="8"/>
  <c r="Y2367" i="8"/>
  <c r="Y2368" i="8"/>
  <c r="Y2369" i="8"/>
  <c r="Y2370" i="8"/>
  <c r="Y2371" i="8"/>
  <c r="Y2372" i="8"/>
  <c r="Y2373" i="8"/>
  <c r="Y2374" i="8"/>
  <c r="Y2375" i="8"/>
  <c r="Y2376" i="8"/>
  <c r="Y2377" i="8"/>
  <c r="Y2378" i="8"/>
  <c r="Y2379" i="8"/>
  <c r="Y2380" i="8"/>
  <c r="Y2381" i="8"/>
  <c r="Y2382" i="8"/>
  <c r="Y2383" i="8"/>
  <c r="Y2384" i="8"/>
  <c r="Y2385" i="8"/>
  <c r="Y2386" i="8"/>
  <c r="Y2387" i="8"/>
  <c r="Y2388" i="8"/>
  <c r="Y2389" i="8"/>
  <c r="Y2390" i="8"/>
  <c r="Y2391" i="8"/>
  <c r="Y2392" i="8"/>
  <c r="Y2393" i="8"/>
  <c r="Y2394" i="8"/>
  <c r="Y2395" i="8"/>
  <c r="Y2396" i="8"/>
  <c r="Y2397" i="8"/>
  <c r="Y2398" i="8"/>
  <c r="Y2399" i="8"/>
  <c r="Y2400" i="8"/>
  <c r="Y2401" i="8"/>
  <c r="Y2402" i="8"/>
  <c r="Y2403" i="8"/>
  <c r="Y2404" i="8"/>
  <c r="Y2405" i="8"/>
  <c r="Y2406" i="8"/>
  <c r="Y2407" i="8"/>
  <c r="Y2408" i="8"/>
  <c r="Y2409" i="8"/>
  <c r="Y2410" i="8"/>
  <c r="Y2411" i="8"/>
  <c r="Y2412" i="8"/>
  <c r="Y2413" i="8"/>
  <c r="Y2414" i="8"/>
  <c r="Y2415" i="8"/>
  <c r="Y2416" i="8"/>
  <c r="Y2417" i="8"/>
  <c r="Y2418" i="8"/>
  <c r="Y2419" i="8"/>
  <c r="Y2420" i="8"/>
  <c r="Y2421" i="8"/>
  <c r="Y2422" i="8"/>
  <c r="Y2423" i="8"/>
  <c r="Y2424" i="8"/>
  <c r="Y2425" i="8"/>
  <c r="Y2426" i="8"/>
  <c r="Y2427" i="8"/>
  <c r="Y2428" i="8"/>
  <c r="Y2429" i="8"/>
  <c r="Y2430" i="8"/>
  <c r="Y2431" i="8"/>
  <c r="Y2432" i="8"/>
  <c r="Y2433" i="8"/>
  <c r="Y2434" i="8"/>
  <c r="Y2435" i="8"/>
  <c r="Y2436" i="8"/>
  <c r="Y2437" i="8"/>
  <c r="Y2438" i="8"/>
  <c r="Y2439" i="8"/>
  <c r="Y2440" i="8"/>
  <c r="Y2441" i="8"/>
  <c r="Y2442" i="8"/>
  <c r="Y2443" i="8"/>
  <c r="Y2444" i="8"/>
  <c r="Y2445" i="8"/>
  <c r="Y2446" i="8"/>
  <c r="Y2447" i="8"/>
  <c r="Y2448" i="8"/>
  <c r="Y2449" i="8"/>
  <c r="Y2450" i="8"/>
  <c r="Y2451" i="8"/>
  <c r="Y2452" i="8"/>
  <c r="Y2453" i="8"/>
  <c r="Y2454" i="8"/>
  <c r="Y2455" i="8"/>
  <c r="Y2456" i="8"/>
  <c r="Y2457" i="8"/>
  <c r="Y2458" i="8"/>
  <c r="Y2459" i="8"/>
  <c r="Y2460" i="8"/>
  <c r="Y2461" i="8"/>
  <c r="Y2462" i="8"/>
  <c r="Y2463" i="8"/>
  <c r="Y2464" i="8"/>
  <c r="Y2465" i="8"/>
  <c r="Y2466" i="8"/>
  <c r="Y2467" i="8"/>
  <c r="Y2468" i="8"/>
  <c r="Y2469" i="8"/>
  <c r="Y2470" i="8"/>
  <c r="Y2471" i="8"/>
  <c r="Y2472" i="8"/>
  <c r="Y2473" i="8"/>
  <c r="Y2474" i="8"/>
  <c r="Y2475" i="8"/>
  <c r="Y2476" i="8"/>
  <c r="Y2477" i="8"/>
  <c r="Y2478" i="8"/>
  <c r="Y2479" i="8"/>
  <c r="Y2480" i="8"/>
  <c r="Y2481" i="8"/>
  <c r="Y2482" i="8"/>
  <c r="Y2483" i="8"/>
  <c r="Y2484" i="8"/>
  <c r="Y2485" i="8"/>
  <c r="Y2486" i="8"/>
  <c r="Y2487" i="8"/>
  <c r="Y2488" i="8"/>
  <c r="Y2489" i="8"/>
  <c r="Y2490" i="8"/>
  <c r="Y2491" i="8"/>
  <c r="Y2492" i="8"/>
  <c r="Y2493" i="8"/>
  <c r="Y2494" i="8"/>
  <c r="Y2495" i="8"/>
  <c r="Y2496" i="8"/>
  <c r="Y2497" i="8"/>
  <c r="Y2498" i="8"/>
  <c r="Y2499" i="8"/>
  <c r="Y2500" i="8"/>
  <c r="Y2501" i="8"/>
  <c r="Y2502" i="8"/>
  <c r="Y2503" i="8"/>
  <c r="Y2504" i="8"/>
  <c r="Y2505" i="8"/>
  <c r="Y2506" i="8"/>
  <c r="Y2507" i="8"/>
  <c r="Y2508" i="8"/>
  <c r="Y2509" i="8"/>
  <c r="Y2510" i="8"/>
  <c r="Y2511" i="8"/>
  <c r="Y2512" i="8"/>
  <c r="Y2513" i="8"/>
  <c r="Y2514" i="8"/>
  <c r="Y2515" i="8"/>
  <c r="Y2516" i="8"/>
  <c r="Y2517" i="8"/>
  <c r="Y2518" i="8"/>
  <c r="Y2519" i="8"/>
  <c r="Y2520" i="8"/>
  <c r="Y2521" i="8"/>
  <c r="Y2522" i="8"/>
  <c r="Y2523" i="8"/>
  <c r="Y2524" i="8"/>
  <c r="Y2525" i="8"/>
  <c r="Y2526" i="8"/>
  <c r="Y2527" i="8"/>
  <c r="Y2528" i="8"/>
  <c r="Y2529" i="8"/>
  <c r="Y2530" i="8"/>
  <c r="Y2531" i="8"/>
  <c r="Y2532" i="8"/>
  <c r="Y2533" i="8"/>
  <c r="Y2534" i="8"/>
  <c r="Y2535" i="8"/>
  <c r="Y2536" i="8"/>
  <c r="Y2537" i="8"/>
  <c r="Y2538" i="8"/>
  <c r="Y2539" i="8"/>
  <c r="Y2540" i="8"/>
  <c r="Y2541" i="8"/>
  <c r="Y2542" i="8"/>
  <c r="Y2543" i="8"/>
  <c r="Y2544" i="8"/>
  <c r="Y2545" i="8"/>
  <c r="Y2546" i="8"/>
  <c r="Y2547" i="8"/>
  <c r="Y2548" i="8"/>
  <c r="Y2549" i="8"/>
  <c r="Y2550" i="8"/>
  <c r="Y2551" i="8"/>
  <c r="Y2552" i="8"/>
  <c r="Y2553" i="8"/>
  <c r="Y2554" i="8"/>
  <c r="Y2555" i="8"/>
  <c r="Y2556" i="8"/>
  <c r="Y2557" i="8"/>
  <c r="Y2558" i="8"/>
  <c r="Y2559" i="8"/>
  <c r="Y2560" i="8"/>
  <c r="Y2561" i="8"/>
  <c r="Y2562" i="8"/>
  <c r="Y2563" i="8"/>
  <c r="Y2564" i="8"/>
  <c r="Y2565" i="8"/>
  <c r="Y2566" i="8"/>
  <c r="Y2567" i="8"/>
  <c r="Y2568" i="8"/>
  <c r="Y2569" i="8"/>
  <c r="Y2570" i="8"/>
  <c r="Y2571" i="8"/>
  <c r="Y2572" i="8"/>
  <c r="Y2573" i="8"/>
  <c r="Y2574" i="8"/>
  <c r="Y2575" i="8"/>
  <c r="Y2576" i="8"/>
  <c r="Y2577" i="8"/>
  <c r="Y2578" i="8"/>
  <c r="Y2579" i="8"/>
  <c r="Y2580" i="8"/>
  <c r="Y2581" i="8"/>
  <c r="Y2582" i="8"/>
  <c r="Y2583" i="8"/>
  <c r="Y2584" i="8"/>
  <c r="Y2585" i="8"/>
  <c r="Y2586" i="8"/>
  <c r="Y2587" i="8"/>
  <c r="Y2588" i="8"/>
  <c r="Y2589" i="8"/>
  <c r="Y2590" i="8"/>
  <c r="Y2591" i="8"/>
  <c r="Y2592" i="8"/>
  <c r="Y2593" i="8"/>
  <c r="Y2594" i="8"/>
  <c r="Y2595" i="8"/>
  <c r="Y2596" i="8"/>
  <c r="Y2597" i="8"/>
  <c r="Y2598" i="8"/>
  <c r="Y2599" i="8"/>
  <c r="Y2600" i="8"/>
  <c r="Y2601" i="8"/>
  <c r="Y2602" i="8"/>
  <c r="Y2603" i="8"/>
  <c r="Y2604" i="8"/>
  <c r="Y2605" i="8"/>
  <c r="Y2606" i="8"/>
  <c r="Y2607" i="8"/>
  <c r="Y2608" i="8"/>
  <c r="Y2609" i="8"/>
  <c r="Y2610" i="8"/>
  <c r="Y2611" i="8"/>
  <c r="Y2612" i="8"/>
  <c r="Y2613" i="8"/>
  <c r="Y2614" i="8"/>
  <c r="Y2615" i="8"/>
  <c r="Y2616" i="8"/>
  <c r="Y2617" i="8"/>
  <c r="Y2618" i="8"/>
  <c r="Y2619" i="8"/>
  <c r="Y2620" i="8"/>
  <c r="Y2621" i="8"/>
  <c r="Y2622" i="8"/>
  <c r="Y2623" i="8"/>
  <c r="Y2624" i="8"/>
  <c r="Y2625" i="8"/>
  <c r="Y2626" i="8"/>
  <c r="Y2627" i="8"/>
  <c r="Y2628" i="8"/>
  <c r="Y2629" i="8"/>
  <c r="Y2630" i="8"/>
  <c r="Y2631" i="8"/>
  <c r="Y2632" i="8"/>
  <c r="Y2633" i="8"/>
  <c r="Y2634" i="8"/>
  <c r="Y2635" i="8"/>
  <c r="Y2636" i="8"/>
  <c r="Y2637" i="8"/>
  <c r="Y2638" i="8"/>
  <c r="Y2639" i="8"/>
  <c r="Y2640" i="8"/>
  <c r="Y2641" i="8"/>
  <c r="Y2642" i="8"/>
  <c r="Y2643" i="8"/>
  <c r="Y2644" i="8"/>
  <c r="Y2645" i="8"/>
  <c r="Y2646" i="8"/>
  <c r="Y2647" i="8"/>
  <c r="Y2648" i="8"/>
  <c r="Y2649" i="8"/>
  <c r="Y2650" i="8"/>
  <c r="Y2651" i="8"/>
  <c r="Y2652" i="8"/>
  <c r="Y2653" i="8"/>
  <c r="Y2654" i="8"/>
  <c r="Y2655" i="8"/>
  <c r="Y2656" i="8"/>
  <c r="Y2657" i="8"/>
  <c r="Y2658" i="8"/>
  <c r="Y2659" i="8"/>
  <c r="Y2660" i="8"/>
  <c r="Y2661" i="8"/>
  <c r="Y2662" i="8"/>
  <c r="Y2663" i="8"/>
  <c r="Y2664" i="8"/>
  <c r="Y2665" i="8"/>
  <c r="Y2666" i="8"/>
  <c r="Y2667" i="8"/>
  <c r="Y2668" i="8"/>
  <c r="Y2669" i="8"/>
  <c r="Y2670" i="8"/>
  <c r="Y2671" i="8"/>
  <c r="Y2672" i="8"/>
  <c r="Y2673" i="8"/>
  <c r="Y2674" i="8"/>
  <c r="Y2675" i="8"/>
  <c r="Y2676" i="8"/>
  <c r="Y2677" i="8"/>
  <c r="Y2678" i="8"/>
  <c r="Y2679" i="8"/>
  <c r="Y2680" i="8"/>
  <c r="Y2681" i="8"/>
  <c r="Y2682" i="8"/>
  <c r="Y2683" i="8"/>
  <c r="Y2684" i="8"/>
  <c r="Y2685" i="8"/>
  <c r="Y2686" i="8"/>
  <c r="Y2687" i="8"/>
  <c r="Y2688" i="8"/>
  <c r="Y2689" i="8"/>
  <c r="Y2690" i="8"/>
  <c r="Y2691" i="8"/>
  <c r="Y2692" i="8"/>
  <c r="Y2693" i="8"/>
  <c r="Y2694" i="8"/>
  <c r="Y2695" i="8"/>
  <c r="Y2696" i="8"/>
  <c r="Y2697" i="8"/>
  <c r="Y2698" i="8"/>
  <c r="Y2699" i="8"/>
  <c r="Y2700" i="8"/>
  <c r="Y2701" i="8"/>
  <c r="Y2702" i="8"/>
  <c r="Y2703" i="8"/>
  <c r="Y2704" i="8"/>
  <c r="Y2705" i="8"/>
  <c r="Y2706" i="8"/>
  <c r="Y2707" i="8"/>
  <c r="Y2708" i="8"/>
  <c r="Y2709" i="8"/>
  <c r="Y2710" i="8"/>
  <c r="Y2711" i="8"/>
  <c r="Y2712" i="8"/>
  <c r="Y2713" i="8"/>
  <c r="Y2714" i="8"/>
  <c r="Y2715" i="8"/>
  <c r="Y2716" i="8"/>
  <c r="Y2717" i="8"/>
  <c r="Y2718" i="8"/>
  <c r="Y2719" i="8"/>
  <c r="Y2720" i="8"/>
  <c r="Y2721" i="8"/>
  <c r="Y2722" i="8"/>
  <c r="Y2723" i="8"/>
  <c r="Y2724" i="8"/>
  <c r="Y2725" i="8"/>
  <c r="Y2726" i="8"/>
  <c r="Y2727" i="8"/>
  <c r="Y2728" i="8"/>
  <c r="Y2729" i="8"/>
  <c r="Y2730" i="8"/>
  <c r="Y2731" i="8"/>
  <c r="Y2732" i="8"/>
  <c r="Y2733" i="8"/>
  <c r="R11" i="8"/>
  <c r="S11" i="8"/>
  <c r="T11" i="8"/>
  <c r="R12" i="8"/>
  <c r="S12" i="8"/>
  <c r="T12" i="8"/>
  <c r="R13" i="8"/>
  <c r="S13" i="8"/>
  <c r="T13" i="8"/>
  <c r="R14" i="8"/>
  <c r="S14" i="8"/>
  <c r="T14" i="8"/>
  <c r="R15" i="8"/>
  <c r="S15" i="8"/>
  <c r="T15" i="8"/>
  <c r="R16" i="8"/>
  <c r="S16" i="8"/>
  <c r="T16" i="8"/>
  <c r="R17" i="8"/>
  <c r="S17" i="8"/>
  <c r="T17" i="8"/>
  <c r="R18" i="8"/>
  <c r="S18" i="8"/>
  <c r="T18" i="8"/>
  <c r="R19" i="8"/>
  <c r="S19" i="8"/>
  <c r="T19" i="8"/>
  <c r="R20" i="8"/>
  <c r="S20" i="8"/>
  <c r="T20" i="8"/>
  <c r="R21" i="8"/>
  <c r="S21" i="8"/>
  <c r="T21" i="8"/>
  <c r="R22" i="8"/>
  <c r="S22" i="8"/>
  <c r="T22" i="8"/>
  <c r="R23" i="8"/>
  <c r="S23" i="8"/>
  <c r="T23" i="8"/>
  <c r="R24" i="8"/>
  <c r="S24" i="8"/>
  <c r="T24" i="8"/>
  <c r="R25" i="8"/>
  <c r="S25" i="8"/>
  <c r="T25" i="8"/>
  <c r="R33" i="8"/>
  <c r="S33" i="8"/>
  <c r="T33" i="8"/>
  <c r="R34" i="8"/>
  <c r="S34" i="8"/>
  <c r="T34" i="8"/>
  <c r="R35" i="8"/>
  <c r="S35" i="8"/>
  <c r="T35" i="8"/>
  <c r="R36" i="8"/>
  <c r="S36" i="8"/>
  <c r="T36" i="8"/>
  <c r="R37" i="8"/>
  <c r="S37" i="8"/>
  <c r="T37" i="8"/>
  <c r="R38" i="8"/>
  <c r="S38" i="8"/>
  <c r="T38" i="8"/>
  <c r="R39" i="8"/>
  <c r="S39" i="8"/>
  <c r="T39" i="8"/>
  <c r="R40" i="8"/>
  <c r="S40" i="8"/>
  <c r="T40" i="8"/>
  <c r="R41" i="8"/>
  <c r="S41" i="8"/>
  <c r="T41" i="8"/>
  <c r="R42" i="8"/>
  <c r="S42" i="8"/>
  <c r="T42" i="8"/>
  <c r="R43" i="8"/>
  <c r="S43" i="8"/>
  <c r="T43" i="8"/>
  <c r="R44" i="8"/>
  <c r="S44" i="8"/>
  <c r="T44" i="8"/>
  <c r="R45" i="8"/>
  <c r="S45" i="8"/>
  <c r="T45" i="8"/>
  <c r="R46" i="8"/>
  <c r="S46" i="8"/>
  <c r="T46" i="8"/>
  <c r="R47" i="8"/>
  <c r="S47" i="8"/>
  <c r="T47" i="8"/>
  <c r="R48" i="8"/>
  <c r="S48" i="8"/>
  <c r="T48" i="8"/>
  <c r="R49" i="8"/>
  <c r="S49" i="8"/>
  <c r="T49" i="8"/>
  <c r="R50" i="8"/>
  <c r="S50" i="8"/>
  <c r="T50" i="8"/>
  <c r="R51" i="8"/>
  <c r="S51" i="8"/>
  <c r="T51" i="8"/>
  <c r="R52" i="8"/>
  <c r="S52" i="8"/>
  <c r="T52" i="8"/>
  <c r="R53" i="8"/>
  <c r="S53" i="8"/>
  <c r="T53" i="8"/>
  <c r="R54" i="8"/>
  <c r="S54" i="8"/>
  <c r="T54" i="8"/>
  <c r="R55" i="8"/>
  <c r="S55" i="8"/>
  <c r="T55" i="8"/>
  <c r="R56" i="8"/>
  <c r="S56" i="8"/>
  <c r="T56" i="8"/>
  <c r="R57" i="8"/>
  <c r="S57" i="8"/>
  <c r="T57" i="8"/>
  <c r="R58" i="8"/>
  <c r="S58" i="8"/>
  <c r="T58" i="8"/>
  <c r="R59" i="8"/>
  <c r="S59" i="8"/>
  <c r="T59" i="8"/>
  <c r="R60" i="8"/>
  <c r="S60" i="8"/>
  <c r="T60" i="8"/>
  <c r="R61" i="8"/>
  <c r="S61" i="8"/>
  <c r="T61" i="8"/>
  <c r="R62" i="8"/>
  <c r="S62" i="8"/>
  <c r="T62" i="8"/>
  <c r="R63" i="8"/>
  <c r="S63" i="8"/>
  <c r="T63" i="8"/>
  <c r="R64" i="8"/>
  <c r="S64" i="8"/>
  <c r="T64" i="8"/>
  <c r="R65" i="8"/>
  <c r="S65" i="8"/>
  <c r="T65" i="8"/>
  <c r="R66" i="8"/>
  <c r="S66" i="8"/>
  <c r="T66" i="8"/>
  <c r="R67" i="8"/>
  <c r="S67" i="8"/>
  <c r="T67" i="8"/>
  <c r="R68" i="8"/>
  <c r="S68" i="8"/>
  <c r="T68" i="8"/>
  <c r="R69" i="8"/>
  <c r="S69" i="8"/>
  <c r="T69" i="8"/>
  <c r="R70" i="8"/>
  <c r="S70" i="8"/>
  <c r="T70" i="8"/>
  <c r="R71" i="8"/>
  <c r="S71" i="8"/>
  <c r="T71" i="8"/>
  <c r="R72" i="8"/>
  <c r="S72" i="8"/>
  <c r="T72" i="8"/>
  <c r="R73" i="8"/>
  <c r="S73" i="8"/>
  <c r="T73" i="8"/>
  <c r="R74" i="8"/>
  <c r="S74" i="8"/>
  <c r="T74" i="8"/>
  <c r="R75" i="8"/>
  <c r="S75" i="8"/>
  <c r="T75" i="8"/>
  <c r="R76" i="8"/>
  <c r="S76" i="8"/>
  <c r="T76" i="8"/>
  <c r="R77" i="8"/>
  <c r="S77" i="8"/>
  <c r="T77" i="8"/>
  <c r="R78" i="8"/>
  <c r="S78" i="8"/>
  <c r="T78" i="8"/>
  <c r="R79" i="8"/>
  <c r="S79" i="8"/>
  <c r="T79" i="8"/>
  <c r="R80" i="8"/>
  <c r="S80" i="8"/>
  <c r="T80" i="8"/>
  <c r="R81" i="8"/>
  <c r="S81" i="8"/>
  <c r="T81" i="8"/>
  <c r="R82" i="8"/>
  <c r="S82" i="8"/>
  <c r="T82" i="8"/>
  <c r="R83" i="8"/>
  <c r="S83" i="8"/>
  <c r="T83" i="8"/>
  <c r="R84" i="8"/>
  <c r="S84" i="8"/>
  <c r="T84" i="8"/>
  <c r="R85" i="8"/>
  <c r="S85" i="8"/>
  <c r="T85" i="8"/>
  <c r="R86" i="8"/>
  <c r="S86" i="8"/>
  <c r="T86" i="8"/>
  <c r="R87" i="8"/>
  <c r="S87" i="8"/>
  <c r="T87" i="8"/>
  <c r="R88" i="8"/>
  <c r="S88" i="8"/>
  <c r="T88" i="8"/>
  <c r="R89" i="8"/>
  <c r="S89" i="8"/>
  <c r="T89" i="8"/>
  <c r="R90" i="8"/>
  <c r="S90" i="8"/>
  <c r="T90" i="8"/>
  <c r="R91" i="8"/>
  <c r="S91" i="8"/>
  <c r="T91" i="8"/>
  <c r="R92" i="8"/>
  <c r="S92" i="8"/>
  <c r="T92" i="8"/>
  <c r="R93" i="8"/>
  <c r="S93" i="8"/>
  <c r="T93" i="8"/>
  <c r="R94" i="8"/>
  <c r="S94" i="8"/>
  <c r="T94" i="8"/>
  <c r="R95" i="8"/>
  <c r="S95" i="8"/>
  <c r="T95" i="8"/>
  <c r="R96" i="8"/>
  <c r="S96" i="8"/>
  <c r="T96" i="8"/>
  <c r="R97" i="8"/>
  <c r="S97" i="8"/>
  <c r="T97" i="8"/>
  <c r="R98" i="8"/>
  <c r="S98" i="8"/>
  <c r="T98" i="8"/>
  <c r="R99" i="8"/>
  <c r="S99" i="8"/>
  <c r="T99" i="8"/>
  <c r="R100" i="8"/>
  <c r="S100" i="8"/>
  <c r="T100" i="8"/>
  <c r="R101" i="8"/>
  <c r="S101" i="8"/>
  <c r="T101" i="8"/>
  <c r="R102" i="8"/>
  <c r="S102" i="8"/>
  <c r="T102" i="8"/>
  <c r="R103" i="8"/>
  <c r="S103" i="8"/>
  <c r="T103" i="8"/>
  <c r="R104" i="8"/>
  <c r="S104" i="8"/>
  <c r="T104" i="8"/>
  <c r="R105" i="8"/>
  <c r="S105" i="8"/>
  <c r="T105" i="8"/>
  <c r="R106" i="8"/>
  <c r="S106" i="8"/>
  <c r="T106" i="8"/>
  <c r="R107" i="8"/>
  <c r="S107" i="8"/>
  <c r="T107" i="8"/>
  <c r="R108" i="8"/>
  <c r="S108" i="8"/>
  <c r="T108" i="8"/>
  <c r="R109" i="8"/>
  <c r="S109" i="8"/>
  <c r="T109" i="8"/>
  <c r="R110" i="8"/>
  <c r="S110" i="8"/>
  <c r="T110" i="8"/>
  <c r="R111" i="8"/>
  <c r="S111" i="8"/>
  <c r="T111" i="8"/>
  <c r="R112" i="8"/>
  <c r="S112" i="8"/>
  <c r="T112" i="8"/>
  <c r="R113" i="8"/>
  <c r="S113" i="8"/>
  <c r="T113" i="8"/>
  <c r="R114" i="8"/>
  <c r="S114" i="8"/>
  <c r="T114" i="8"/>
  <c r="R115" i="8"/>
  <c r="S115" i="8"/>
  <c r="T115" i="8"/>
  <c r="R116" i="8"/>
  <c r="S116" i="8"/>
  <c r="T116" i="8"/>
  <c r="R117" i="8"/>
  <c r="S117" i="8"/>
  <c r="T117" i="8"/>
  <c r="R118" i="8"/>
  <c r="S118" i="8"/>
  <c r="T118" i="8"/>
  <c r="R119" i="8"/>
  <c r="S119" i="8"/>
  <c r="T119" i="8"/>
  <c r="R120" i="8"/>
  <c r="S120" i="8"/>
  <c r="T120" i="8"/>
  <c r="R121" i="8"/>
  <c r="S121" i="8"/>
  <c r="T121" i="8"/>
  <c r="R122" i="8"/>
  <c r="S122" i="8"/>
  <c r="T122" i="8"/>
  <c r="R123" i="8"/>
  <c r="S123" i="8"/>
  <c r="T123" i="8"/>
  <c r="R124" i="8"/>
  <c r="S124" i="8"/>
  <c r="T124" i="8"/>
  <c r="R125" i="8"/>
  <c r="S125" i="8"/>
  <c r="T125" i="8"/>
  <c r="R126" i="8"/>
  <c r="S126" i="8"/>
  <c r="T126" i="8"/>
  <c r="R127" i="8"/>
  <c r="S127" i="8"/>
  <c r="T127" i="8"/>
  <c r="R128" i="8"/>
  <c r="S128" i="8"/>
  <c r="T128" i="8"/>
  <c r="R129" i="8"/>
  <c r="S129" i="8"/>
  <c r="T129" i="8"/>
  <c r="R130" i="8"/>
  <c r="S130" i="8"/>
  <c r="T130" i="8"/>
  <c r="R131" i="8"/>
  <c r="S131" i="8"/>
  <c r="T131" i="8"/>
  <c r="R132" i="8"/>
  <c r="S132" i="8"/>
  <c r="T132" i="8"/>
  <c r="R133" i="8"/>
  <c r="S133" i="8"/>
  <c r="T133" i="8"/>
  <c r="R134" i="8"/>
  <c r="S134" i="8"/>
  <c r="T134" i="8"/>
  <c r="R135" i="8"/>
  <c r="S135" i="8"/>
  <c r="T135" i="8"/>
  <c r="R136" i="8"/>
  <c r="S136" i="8"/>
  <c r="T136" i="8"/>
  <c r="R137" i="8"/>
  <c r="S137" i="8"/>
  <c r="T137" i="8"/>
  <c r="R138" i="8"/>
  <c r="S138" i="8"/>
  <c r="T138" i="8"/>
  <c r="R139" i="8"/>
  <c r="S139" i="8"/>
  <c r="T139" i="8"/>
  <c r="R140" i="8"/>
  <c r="S140" i="8"/>
  <c r="T140" i="8"/>
  <c r="R141" i="8"/>
  <c r="S141" i="8"/>
  <c r="T141" i="8"/>
  <c r="R142" i="8"/>
  <c r="S142" i="8"/>
  <c r="T142" i="8"/>
  <c r="R143" i="8"/>
  <c r="S143" i="8"/>
  <c r="T143" i="8"/>
  <c r="R144" i="8"/>
  <c r="S144" i="8"/>
  <c r="T144" i="8"/>
  <c r="R145" i="8"/>
  <c r="S145" i="8"/>
  <c r="T145" i="8"/>
  <c r="R146" i="8"/>
  <c r="S146" i="8"/>
  <c r="T146" i="8"/>
  <c r="R147" i="8"/>
  <c r="S147" i="8"/>
  <c r="T147" i="8"/>
  <c r="R148" i="8"/>
  <c r="S148" i="8"/>
  <c r="T148" i="8"/>
  <c r="R149" i="8"/>
  <c r="S149" i="8"/>
  <c r="T149" i="8"/>
  <c r="R150" i="8"/>
  <c r="S150" i="8"/>
  <c r="T150" i="8"/>
  <c r="R151" i="8"/>
  <c r="S151" i="8"/>
  <c r="T151" i="8"/>
  <c r="R152" i="8"/>
  <c r="S152" i="8"/>
  <c r="T152" i="8"/>
  <c r="R153" i="8"/>
  <c r="S153" i="8"/>
  <c r="T153" i="8"/>
  <c r="R154" i="8"/>
  <c r="S154" i="8"/>
  <c r="T154" i="8"/>
  <c r="R155" i="8"/>
  <c r="S155" i="8"/>
  <c r="T155" i="8"/>
  <c r="R156" i="8"/>
  <c r="S156" i="8"/>
  <c r="T156" i="8"/>
  <c r="R157" i="8"/>
  <c r="S157" i="8"/>
  <c r="T157" i="8"/>
  <c r="R158" i="8"/>
  <c r="S158" i="8"/>
  <c r="T158" i="8"/>
  <c r="R159" i="8"/>
  <c r="S159" i="8"/>
  <c r="T159" i="8"/>
  <c r="R160" i="8"/>
  <c r="S160" i="8"/>
  <c r="T160" i="8"/>
  <c r="R161" i="8"/>
  <c r="S161" i="8"/>
  <c r="T161" i="8"/>
  <c r="R162" i="8"/>
  <c r="S162" i="8"/>
  <c r="T162" i="8"/>
  <c r="R163" i="8"/>
  <c r="S163" i="8"/>
  <c r="T163" i="8"/>
  <c r="R164" i="8"/>
  <c r="S164" i="8"/>
  <c r="T164" i="8"/>
  <c r="R165" i="8"/>
  <c r="S165" i="8"/>
  <c r="T165" i="8"/>
  <c r="R166" i="8"/>
  <c r="S166" i="8"/>
  <c r="T166" i="8"/>
  <c r="R167" i="8"/>
  <c r="S167" i="8"/>
  <c r="T167" i="8"/>
  <c r="R168" i="8"/>
  <c r="S168" i="8"/>
  <c r="T168" i="8"/>
  <c r="R169" i="8"/>
  <c r="S169" i="8"/>
  <c r="T169" i="8"/>
  <c r="R170" i="8"/>
  <c r="S170" i="8"/>
  <c r="T170" i="8"/>
  <c r="R171" i="8"/>
  <c r="S171" i="8"/>
  <c r="T171" i="8"/>
  <c r="R172" i="8"/>
  <c r="S172" i="8"/>
  <c r="T172" i="8"/>
  <c r="R173" i="8"/>
  <c r="S173" i="8"/>
  <c r="T173" i="8"/>
  <c r="R174" i="8"/>
  <c r="S174" i="8"/>
  <c r="T174" i="8"/>
  <c r="R175" i="8"/>
  <c r="S175" i="8"/>
  <c r="T175" i="8"/>
  <c r="R176" i="8"/>
  <c r="S176" i="8"/>
  <c r="T176" i="8"/>
  <c r="R177" i="8"/>
  <c r="S177" i="8"/>
  <c r="T177" i="8"/>
  <c r="R178" i="8"/>
  <c r="S178" i="8"/>
  <c r="T178" i="8"/>
  <c r="R179" i="8"/>
  <c r="S179" i="8"/>
  <c r="T179" i="8"/>
  <c r="R180" i="8"/>
  <c r="S180" i="8"/>
  <c r="T180" i="8"/>
  <c r="R181" i="8"/>
  <c r="S181" i="8"/>
  <c r="T181" i="8"/>
  <c r="R182" i="8"/>
  <c r="S182" i="8"/>
  <c r="T182" i="8"/>
  <c r="R183" i="8"/>
  <c r="S183" i="8"/>
  <c r="T183" i="8"/>
  <c r="R184" i="8"/>
  <c r="S184" i="8"/>
  <c r="T184" i="8"/>
  <c r="R185" i="8"/>
  <c r="S185" i="8"/>
  <c r="T185" i="8"/>
  <c r="R186" i="8"/>
  <c r="S186" i="8"/>
  <c r="T186" i="8"/>
  <c r="R187" i="8"/>
  <c r="S187" i="8"/>
  <c r="T187" i="8"/>
  <c r="R188" i="8"/>
  <c r="S188" i="8"/>
  <c r="T188" i="8"/>
  <c r="R189" i="8"/>
  <c r="S189" i="8"/>
  <c r="T189" i="8"/>
  <c r="R190" i="8"/>
  <c r="S190" i="8"/>
  <c r="T190" i="8"/>
  <c r="R191" i="8"/>
  <c r="S191" i="8"/>
  <c r="T191" i="8"/>
  <c r="R192" i="8"/>
  <c r="S192" i="8"/>
  <c r="T192" i="8"/>
  <c r="R193" i="8"/>
  <c r="S193" i="8"/>
  <c r="T193" i="8"/>
  <c r="R194" i="8"/>
  <c r="S194" i="8"/>
  <c r="T194" i="8"/>
  <c r="R195" i="8"/>
  <c r="S195" i="8"/>
  <c r="T195" i="8"/>
  <c r="R196" i="8"/>
  <c r="S196" i="8"/>
  <c r="T196" i="8"/>
  <c r="R197" i="8"/>
  <c r="S197" i="8"/>
  <c r="T197" i="8"/>
  <c r="R198" i="8"/>
  <c r="S198" i="8"/>
  <c r="T198" i="8"/>
  <c r="R199" i="8"/>
  <c r="S199" i="8"/>
  <c r="T199" i="8"/>
  <c r="R200" i="8"/>
  <c r="S200" i="8"/>
  <c r="T200" i="8"/>
  <c r="R201" i="8"/>
  <c r="S201" i="8"/>
  <c r="T201" i="8"/>
  <c r="R202" i="8"/>
  <c r="S202" i="8"/>
  <c r="T202" i="8"/>
  <c r="R203" i="8"/>
  <c r="S203" i="8"/>
  <c r="T203" i="8"/>
  <c r="R204" i="8"/>
  <c r="S204" i="8"/>
  <c r="T204" i="8"/>
  <c r="R205" i="8"/>
  <c r="S205" i="8"/>
  <c r="T205" i="8"/>
  <c r="R206" i="8"/>
  <c r="S206" i="8"/>
  <c r="T206" i="8"/>
  <c r="R207" i="8"/>
  <c r="S207" i="8"/>
  <c r="T207" i="8"/>
  <c r="R208" i="8"/>
  <c r="S208" i="8"/>
  <c r="T208" i="8"/>
  <c r="R209" i="8"/>
  <c r="S209" i="8"/>
  <c r="T209" i="8"/>
  <c r="R210" i="8"/>
  <c r="S210" i="8"/>
  <c r="T210" i="8"/>
  <c r="R211" i="8"/>
  <c r="S211" i="8"/>
  <c r="T211" i="8"/>
  <c r="R212" i="8"/>
  <c r="S212" i="8"/>
  <c r="T212" i="8"/>
  <c r="R213" i="8"/>
  <c r="S213" i="8"/>
  <c r="T213" i="8"/>
  <c r="R214" i="8"/>
  <c r="S214" i="8"/>
  <c r="T214" i="8"/>
  <c r="R215" i="8"/>
  <c r="S215" i="8"/>
  <c r="T215" i="8"/>
  <c r="R216" i="8"/>
  <c r="S216" i="8"/>
  <c r="T216" i="8"/>
  <c r="R217" i="8"/>
  <c r="S217" i="8"/>
  <c r="T217" i="8"/>
  <c r="R218" i="8"/>
  <c r="S218" i="8"/>
  <c r="T218" i="8"/>
  <c r="R219" i="8"/>
  <c r="S219" i="8"/>
  <c r="T219" i="8"/>
  <c r="R220" i="8"/>
  <c r="S220" i="8"/>
  <c r="T220" i="8"/>
  <c r="R221" i="8"/>
  <c r="S221" i="8"/>
  <c r="T221" i="8"/>
  <c r="R222" i="8"/>
  <c r="S222" i="8"/>
  <c r="T222" i="8"/>
  <c r="R223" i="8"/>
  <c r="S223" i="8"/>
  <c r="T223" i="8"/>
  <c r="R224" i="8"/>
  <c r="S224" i="8"/>
  <c r="T224" i="8"/>
  <c r="R225" i="8"/>
  <c r="S225" i="8"/>
  <c r="T225" i="8"/>
  <c r="R226" i="8"/>
  <c r="S226" i="8"/>
  <c r="T226" i="8"/>
  <c r="R227" i="8"/>
  <c r="S227" i="8"/>
  <c r="T227" i="8"/>
  <c r="R228" i="8"/>
  <c r="S228" i="8"/>
  <c r="T228" i="8"/>
  <c r="R229" i="8"/>
  <c r="S229" i="8"/>
  <c r="T229" i="8"/>
  <c r="R230" i="8"/>
  <c r="S230" i="8"/>
  <c r="T230" i="8"/>
  <c r="R231" i="8"/>
  <c r="S231" i="8"/>
  <c r="T231" i="8"/>
  <c r="R232" i="8"/>
  <c r="S232" i="8"/>
  <c r="T232" i="8"/>
  <c r="R233" i="8"/>
  <c r="S233" i="8"/>
  <c r="T233" i="8"/>
  <c r="R234" i="8"/>
  <c r="S234" i="8"/>
  <c r="T234" i="8"/>
  <c r="R235" i="8"/>
  <c r="S235" i="8"/>
  <c r="T235" i="8"/>
  <c r="R236" i="8"/>
  <c r="S236" i="8"/>
  <c r="T236" i="8"/>
  <c r="R237" i="8"/>
  <c r="S237" i="8"/>
  <c r="T237" i="8"/>
  <c r="R238" i="8"/>
  <c r="S238" i="8"/>
  <c r="T238" i="8"/>
  <c r="R239" i="8"/>
  <c r="S239" i="8"/>
  <c r="T239" i="8"/>
  <c r="R240" i="8"/>
  <c r="S240" i="8"/>
  <c r="T240" i="8"/>
  <c r="R241" i="8"/>
  <c r="S241" i="8"/>
  <c r="T241" i="8"/>
  <c r="R242" i="8"/>
  <c r="S242" i="8"/>
  <c r="T242" i="8"/>
  <c r="R243" i="8"/>
  <c r="S243" i="8"/>
  <c r="T243" i="8"/>
  <c r="R244" i="8"/>
  <c r="S244" i="8"/>
  <c r="T244" i="8"/>
  <c r="R245" i="8"/>
  <c r="S245" i="8"/>
  <c r="T245" i="8"/>
  <c r="R246" i="8"/>
  <c r="S246" i="8"/>
  <c r="T246" i="8"/>
  <c r="R247" i="8"/>
  <c r="S247" i="8"/>
  <c r="T247" i="8"/>
  <c r="R248" i="8"/>
  <c r="S248" i="8"/>
  <c r="T248" i="8"/>
  <c r="R249" i="8"/>
  <c r="S249" i="8"/>
  <c r="T249" i="8"/>
  <c r="R250" i="8"/>
  <c r="S250" i="8"/>
  <c r="T250" i="8"/>
  <c r="R251" i="8"/>
  <c r="S251" i="8"/>
  <c r="T251" i="8"/>
  <c r="R252" i="8"/>
  <c r="S252" i="8"/>
  <c r="T252" i="8"/>
  <c r="R253" i="8"/>
  <c r="S253" i="8"/>
  <c r="T253" i="8"/>
  <c r="R254" i="8"/>
  <c r="S254" i="8"/>
  <c r="T254" i="8"/>
  <c r="R255" i="8"/>
  <c r="S255" i="8"/>
  <c r="T255" i="8"/>
  <c r="R256" i="8"/>
  <c r="S256" i="8"/>
  <c r="T256" i="8"/>
  <c r="R257" i="8"/>
  <c r="S257" i="8"/>
  <c r="T257" i="8"/>
  <c r="R258" i="8"/>
  <c r="S258" i="8"/>
  <c r="T258" i="8"/>
  <c r="R259" i="8"/>
  <c r="S259" i="8"/>
  <c r="T259" i="8"/>
  <c r="R260" i="8"/>
  <c r="S260" i="8"/>
  <c r="T260" i="8"/>
  <c r="R261" i="8"/>
  <c r="S261" i="8"/>
  <c r="T261" i="8"/>
  <c r="R262" i="8"/>
  <c r="S262" i="8"/>
  <c r="T262" i="8"/>
  <c r="R263" i="8"/>
  <c r="S263" i="8"/>
  <c r="T263" i="8"/>
  <c r="R264" i="8"/>
  <c r="S264" i="8"/>
  <c r="T264" i="8"/>
  <c r="R265" i="8"/>
  <c r="S265" i="8"/>
  <c r="T265" i="8"/>
  <c r="R266" i="8"/>
  <c r="S266" i="8"/>
  <c r="T266" i="8"/>
  <c r="R267" i="8"/>
  <c r="S267" i="8"/>
  <c r="T267" i="8"/>
  <c r="R268" i="8"/>
  <c r="S268" i="8"/>
  <c r="T268" i="8"/>
  <c r="R269" i="8"/>
  <c r="S269" i="8"/>
  <c r="T269" i="8"/>
  <c r="R270" i="8"/>
  <c r="S270" i="8"/>
  <c r="T270" i="8"/>
  <c r="R271" i="8"/>
  <c r="S271" i="8"/>
  <c r="T271" i="8"/>
  <c r="R272" i="8"/>
  <c r="S272" i="8"/>
  <c r="T272" i="8"/>
  <c r="R273" i="8"/>
  <c r="S273" i="8"/>
  <c r="T273" i="8"/>
  <c r="R274" i="8"/>
  <c r="S274" i="8"/>
  <c r="T274" i="8"/>
  <c r="R275" i="8"/>
  <c r="S275" i="8"/>
  <c r="T275" i="8"/>
  <c r="R276" i="8"/>
  <c r="S276" i="8"/>
  <c r="T276" i="8"/>
  <c r="R277" i="8"/>
  <c r="S277" i="8"/>
  <c r="T277" i="8"/>
  <c r="R278" i="8"/>
  <c r="S278" i="8"/>
  <c r="T278" i="8"/>
  <c r="R279" i="8"/>
  <c r="S279" i="8"/>
  <c r="T279" i="8"/>
  <c r="R280" i="8"/>
  <c r="S280" i="8"/>
  <c r="T280" i="8"/>
  <c r="R281" i="8"/>
  <c r="S281" i="8"/>
  <c r="T281" i="8"/>
  <c r="R282" i="8"/>
  <c r="S282" i="8"/>
  <c r="T282" i="8"/>
  <c r="R283" i="8"/>
  <c r="S283" i="8"/>
  <c r="T283" i="8"/>
  <c r="R284" i="8"/>
  <c r="S284" i="8"/>
  <c r="T284" i="8"/>
  <c r="R285" i="8"/>
  <c r="S285" i="8"/>
  <c r="T285" i="8"/>
  <c r="R286" i="8"/>
  <c r="S286" i="8"/>
  <c r="T286" i="8"/>
  <c r="R287" i="8"/>
  <c r="S287" i="8"/>
  <c r="T287" i="8"/>
  <c r="R288" i="8"/>
  <c r="S288" i="8"/>
  <c r="T288" i="8"/>
  <c r="R289" i="8"/>
  <c r="S289" i="8"/>
  <c r="T289" i="8"/>
  <c r="R290" i="8"/>
  <c r="S290" i="8"/>
  <c r="T290" i="8"/>
  <c r="R291" i="8"/>
  <c r="S291" i="8"/>
  <c r="T291" i="8"/>
  <c r="R292" i="8"/>
  <c r="S292" i="8"/>
  <c r="T292" i="8"/>
  <c r="R293" i="8"/>
  <c r="S293" i="8"/>
  <c r="T293" i="8"/>
  <c r="R294" i="8"/>
  <c r="S294" i="8"/>
  <c r="T294" i="8"/>
  <c r="R295" i="8"/>
  <c r="S295" i="8"/>
  <c r="T295" i="8"/>
  <c r="R296" i="8"/>
  <c r="S296" i="8"/>
  <c r="T296" i="8"/>
  <c r="R297" i="8"/>
  <c r="S297" i="8"/>
  <c r="T297" i="8"/>
  <c r="R298" i="8"/>
  <c r="S298" i="8"/>
  <c r="T298" i="8"/>
  <c r="R299" i="8"/>
  <c r="S299" i="8"/>
  <c r="T299" i="8"/>
  <c r="R300" i="8"/>
  <c r="S300" i="8"/>
  <c r="T300" i="8"/>
  <c r="R301" i="8"/>
  <c r="S301" i="8"/>
  <c r="T301" i="8"/>
  <c r="R302" i="8"/>
  <c r="S302" i="8"/>
  <c r="T302" i="8"/>
  <c r="R303" i="8"/>
  <c r="S303" i="8"/>
  <c r="T303" i="8"/>
  <c r="R304" i="8"/>
  <c r="S304" i="8"/>
  <c r="T304" i="8"/>
  <c r="R305" i="8"/>
  <c r="S305" i="8"/>
  <c r="T305" i="8"/>
  <c r="R306" i="8"/>
  <c r="S306" i="8"/>
  <c r="T306" i="8"/>
  <c r="R307" i="8"/>
  <c r="S307" i="8"/>
  <c r="T307" i="8"/>
  <c r="R308" i="8"/>
  <c r="S308" i="8"/>
  <c r="T308" i="8"/>
  <c r="R309" i="8"/>
  <c r="S309" i="8"/>
  <c r="T309" i="8"/>
  <c r="R310" i="8"/>
  <c r="S310" i="8"/>
  <c r="T310" i="8"/>
  <c r="R311" i="8"/>
  <c r="S311" i="8"/>
  <c r="T311" i="8"/>
  <c r="R312" i="8"/>
  <c r="S312" i="8"/>
  <c r="T312" i="8"/>
  <c r="R313" i="8"/>
  <c r="S313" i="8"/>
  <c r="T313" i="8"/>
  <c r="R314" i="8"/>
  <c r="S314" i="8"/>
  <c r="T314" i="8"/>
  <c r="R315" i="8"/>
  <c r="S315" i="8"/>
  <c r="T315" i="8"/>
  <c r="R316" i="8"/>
  <c r="S316" i="8"/>
  <c r="T316" i="8"/>
  <c r="R317" i="8"/>
  <c r="S317" i="8"/>
  <c r="T317" i="8"/>
  <c r="R318" i="8"/>
  <c r="S318" i="8"/>
  <c r="T318" i="8"/>
  <c r="R319" i="8"/>
  <c r="S319" i="8"/>
  <c r="T319" i="8"/>
  <c r="R320" i="8"/>
  <c r="S320" i="8"/>
  <c r="T320" i="8"/>
  <c r="R321" i="8"/>
  <c r="S321" i="8"/>
  <c r="T321" i="8"/>
  <c r="R322" i="8"/>
  <c r="S322" i="8"/>
  <c r="T322" i="8"/>
  <c r="R323" i="8"/>
  <c r="S323" i="8"/>
  <c r="T323" i="8"/>
  <c r="R324" i="8"/>
  <c r="S324" i="8"/>
  <c r="T324" i="8"/>
  <c r="R325" i="8"/>
  <c r="S325" i="8"/>
  <c r="T325" i="8"/>
  <c r="R326" i="8"/>
  <c r="S326" i="8"/>
  <c r="T326" i="8"/>
  <c r="R327" i="8"/>
  <c r="S327" i="8"/>
  <c r="T327" i="8"/>
  <c r="R328" i="8"/>
  <c r="S328" i="8"/>
  <c r="T328" i="8"/>
  <c r="R329" i="8"/>
  <c r="S329" i="8"/>
  <c r="T329" i="8"/>
  <c r="R330" i="8"/>
  <c r="S330" i="8"/>
  <c r="T330" i="8"/>
  <c r="R331" i="8"/>
  <c r="S331" i="8"/>
  <c r="T331" i="8"/>
  <c r="R332" i="8"/>
  <c r="S332" i="8"/>
  <c r="T332" i="8"/>
  <c r="R333" i="8"/>
  <c r="S333" i="8"/>
  <c r="T333" i="8"/>
  <c r="R334" i="8"/>
  <c r="S334" i="8"/>
  <c r="T334" i="8"/>
  <c r="R335" i="8"/>
  <c r="S335" i="8"/>
  <c r="T335" i="8"/>
  <c r="R336" i="8"/>
  <c r="S336" i="8"/>
  <c r="T336" i="8"/>
  <c r="R337" i="8"/>
  <c r="S337" i="8"/>
  <c r="T337" i="8"/>
  <c r="R338" i="8"/>
  <c r="S338" i="8"/>
  <c r="T338" i="8"/>
  <c r="R339" i="8"/>
  <c r="S339" i="8"/>
  <c r="T339" i="8"/>
  <c r="R340" i="8"/>
  <c r="S340" i="8"/>
  <c r="T340" i="8"/>
  <c r="R341" i="8"/>
  <c r="S341" i="8"/>
  <c r="T341" i="8"/>
  <c r="R342" i="8"/>
  <c r="S342" i="8"/>
  <c r="T342" i="8"/>
  <c r="R343" i="8"/>
  <c r="S343" i="8"/>
  <c r="T343" i="8"/>
  <c r="R344" i="8"/>
  <c r="S344" i="8"/>
  <c r="T344" i="8"/>
  <c r="R345" i="8"/>
  <c r="S345" i="8"/>
  <c r="T345" i="8"/>
  <c r="R346" i="8"/>
  <c r="S346" i="8"/>
  <c r="T346" i="8"/>
  <c r="R347" i="8"/>
  <c r="S347" i="8"/>
  <c r="T347" i="8"/>
  <c r="R348" i="8"/>
  <c r="S348" i="8"/>
  <c r="T348" i="8"/>
  <c r="R349" i="8"/>
  <c r="S349" i="8"/>
  <c r="T349" i="8"/>
  <c r="R350" i="8"/>
  <c r="S350" i="8"/>
  <c r="T350" i="8"/>
  <c r="R351" i="8"/>
  <c r="S351" i="8"/>
  <c r="T351" i="8"/>
  <c r="R352" i="8"/>
  <c r="S352" i="8"/>
  <c r="T352" i="8"/>
  <c r="R353" i="8"/>
  <c r="S353" i="8"/>
  <c r="T353" i="8"/>
  <c r="R354" i="8"/>
  <c r="S354" i="8"/>
  <c r="T354" i="8"/>
  <c r="R355" i="8"/>
  <c r="S355" i="8"/>
  <c r="T355" i="8"/>
  <c r="R356" i="8"/>
  <c r="S356" i="8"/>
  <c r="T356" i="8"/>
  <c r="R357" i="8"/>
  <c r="S357" i="8"/>
  <c r="T357" i="8"/>
  <c r="R358" i="8"/>
  <c r="S358" i="8"/>
  <c r="T358" i="8"/>
  <c r="R359" i="8"/>
  <c r="S359" i="8"/>
  <c r="T359" i="8"/>
  <c r="R360" i="8"/>
  <c r="S360" i="8"/>
  <c r="T360" i="8"/>
  <c r="R361" i="8"/>
  <c r="S361" i="8"/>
  <c r="T361" i="8"/>
  <c r="R362" i="8"/>
  <c r="S362" i="8"/>
  <c r="T362" i="8"/>
  <c r="R363" i="8"/>
  <c r="S363" i="8"/>
  <c r="T363" i="8"/>
  <c r="R364" i="8"/>
  <c r="S364" i="8"/>
  <c r="T364" i="8"/>
  <c r="R365" i="8"/>
  <c r="S365" i="8"/>
  <c r="T365" i="8"/>
  <c r="R366" i="8"/>
  <c r="S366" i="8"/>
  <c r="T366" i="8"/>
  <c r="R367" i="8"/>
  <c r="S367" i="8"/>
  <c r="T367" i="8"/>
  <c r="R368" i="8"/>
  <c r="S368" i="8"/>
  <c r="T368" i="8"/>
  <c r="R369" i="8"/>
  <c r="S369" i="8"/>
  <c r="T369" i="8"/>
  <c r="R370" i="8"/>
  <c r="S370" i="8"/>
  <c r="T370" i="8"/>
  <c r="R371" i="8"/>
  <c r="S371" i="8"/>
  <c r="T371" i="8"/>
  <c r="R372" i="8"/>
  <c r="S372" i="8"/>
  <c r="T372" i="8"/>
  <c r="R373" i="8"/>
  <c r="S373" i="8"/>
  <c r="T373" i="8"/>
  <c r="R374" i="8"/>
  <c r="S374" i="8"/>
  <c r="T374" i="8"/>
  <c r="R375" i="8"/>
  <c r="S375" i="8"/>
  <c r="T375" i="8"/>
  <c r="R376" i="8"/>
  <c r="S376" i="8"/>
  <c r="T376" i="8"/>
  <c r="R377" i="8"/>
  <c r="S377" i="8"/>
  <c r="T377" i="8"/>
  <c r="R378" i="8"/>
  <c r="S378" i="8"/>
  <c r="T378" i="8"/>
  <c r="R379" i="8"/>
  <c r="S379" i="8"/>
  <c r="T379" i="8"/>
  <c r="R380" i="8"/>
  <c r="S380" i="8"/>
  <c r="T380" i="8"/>
  <c r="R381" i="8"/>
  <c r="S381" i="8"/>
  <c r="T381" i="8"/>
  <c r="R382" i="8"/>
  <c r="S382" i="8"/>
  <c r="T382" i="8"/>
  <c r="R383" i="8"/>
  <c r="S383" i="8"/>
  <c r="T383" i="8"/>
  <c r="R384" i="8"/>
  <c r="S384" i="8"/>
  <c r="T384" i="8"/>
  <c r="R385" i="8"/>
  <c r="S385" i="8"/>
  <c r="T385" i="8"/>
  <c r="R386" i="8"/>
  <c r="S386" i="8"/>
  <c r="T386" i="8"/>
  <c r="R387" i="8"/>
  <c r="S387" i="8"/>
  <c r="T387" i="8"/>
  <c r="R388" i="8"/>
  <c r="S388" i="8"/>
  <c r="T388" i="8"/>
  <c r="R389" i="8"/>
  <c r="S389" i="8"/>
  <c r="T389" i="8"/>
  <c r="R390" i="8"/>
  <c r="S390" i="8"/>
  <c r="T390" i="8"/>
  <c r="R391" i="8"/>
  <c r="S391" i="8"/>
  <c r="T391" i="8"/>
  <c r="R392" i="8"/>
  <c r="S392" i="8"/>
  <c r="T392" i="8"/>
  <c r="R393" i="8"/>
  <c r="S393" i="8"/>
  <c r="T393" i="8"/>
  <c r="R394" i="8"/>
  <c r="S394" i="8"/>
  <c r="T394" i="8"/>
  <c r="R395" i="8"/>
  <c r="S395" i="8"/>
  <c r="T395" i="8"/>
  <c r="R396" i="8"/>
  <c r="S396" i="8"/>
  <c r="T396" i="8"/>
  <c r="R397" i="8"/>
  <c r="S397" i="8"/>
  <c r="T397" i="8"/>
  <c r="R398" i="8"/>
  <c r="S398" i="8"/>
  <c r="T398" i="8"/>
  <c r="R399" i="8"/>
  <c r="S399" i="8"/>
  <c r="T399" i="8"/>
  <c r="R400" i="8"/>
  <c r="S400" i="8"/>
  <c r="T400" i="8"/>
  <c r="R401" i="8"/>
  <c r="S401" i="8"/>
  <c r="T401" i="8"/>
  <c r="R402" i="8"/>
  <c r="S402" i="8"/>
  <c r="T402" i="8"/>
  <c r="R403" i="8"/>
  <c r="S403" i="8"/>
  <c r="T403" i="8"/>
  <c r="R404" i="8"/>
  <c r="S404" i="8"/>
  <c r="T404" i="8"/>
  <c r="R405" i="8"/>
  <c r="S405" i="8"/>
  <c r="T405" i="8"/>
  <c r="R406" i="8"/>
  <c r="S406" i="8"/>
  <c r="T406" i="8"/>
  <c r="R407" i="8"/>
  <c r="S407" i="8"/>
  <c r="T407" i="8"/>
  <c r="R408" i="8"/>
  <c r="S408" i="8"/>
  <c r="T408" i="8"/>
  <c r="R409" i="8"/>
  <c r="S409" i="8"/>
  <c r="T409" i="8"/>
  <c r="R410" i="8"/>
  <c r="S410" i="8"/>
  <c r="T410" i="8"/>
  <c r="R411" i="8"/>
  <c r="S411" i="8"/>
  <c r="T411" i="8"/>
  <c r="R412" i="8"/>
  <c r="S412" i="8"/>
  <c r="T412" i="8"/>
  <c r="R413" i="8"/>
  <c r="S413" i="8"/>
  <c r="T413" i="8"/>
  <c r="R414" i="8"/>
  <c r="S414" i="8"/>
  <c r="T414" i="8"/>
  <c r="R415" i="8"/>
  <c r="S415" i="8"/>
  <c r="T415" i="8"/>
  <c r="R416" i="8"/>
  <c r="S416" i="8"/>
  <c r="T416" i="8"/>
  <c r="R417" i="8"/>
  <c r="S417" i="8"/>
  <c r="T417" i="8"/>
  <c r="R418" i="8"/>
  <c r="S418" i="8"/>
  <c r="T418" i="8"/>
  <c r="R419" i="8"/>
  <c r="S419" i="8"/>
  <c r="T419" i="8"/>
  <c r="R420" i="8"/>
  <c r="S420" i="8"/>
  <c r="T420" i="8"/>
  <c r="R421" i="8"/>
  <c r="S421" i="8"/>
  <c r="T421" i="8"/>
  <c r="R422" i="8"/>
  <c r="S422" i="8"/>
  <c r="T422" i="8"/>
  <c r="R423" i="8"/>
  <c r="S423" i="8"/>
  <c r="T423" i="8"/>
  <c r="R424" i="8"/>
  <c r="S424" i="8"/>
  <c r="T424" i="8"/>
  <c r="R425" i="8"/>
  <c r="S425" i="8"/>
  <c r="T425" i="8"/>
  <c r="R426" i="8"/>
  <c r="S426" i="8"/>
  <c r="T426" i="8"/>
  <c r="R427" i="8"/>
  <c r="S427" i="8"/>
  <c r="T427" i="8"/>
  <c r="R428" i="8"/>
  <c r="S428" i="8"/>
  <c r="T428" i="8"/>
  <c r="R429" i="8"/>
  <c r="S429" i="8"/>
  <c r="T429" i="8"/>
  <c r="R430" i="8"/>
  <c r="S430" i="8"/>
  <c r="T430" i="8"/>
  <c r="R431" i="8"/>
  <c r="S431" i="8"/>
  <c r="T431" i="8"/>
  <c r="R432" i="8"/>
  <c r="S432" i="8"/>
  <c r="T432" i="8"/>
  <c r="R433" i="8"/>
  <c r="S433" i="8"/>
  <c r="T433" i="8"/>
  <c r="R434" i="8"/>
  <c r="S434" i="8"/>
  <c r="T434" i="8"/>
  <c r="R435" i="8"/>
  <c r="S435" i="8"/>
  <c r="T435" i="8"/>
  <c r="R436" i="8"/>
  <c r="S436" i="8"/>
  <c r="T436" i="8"/>
  <c r="R437" i="8"/>
  <c r="S437" i="8"/>
  <c r="T437" i="8"/>
  <c r="R438" i="8"/>
  <c r="S438" i="8"/>
  <c r="T438" i="8"/>
  <c r="R439" i="8"/>
  <c r="S439" i="8"/>
  <c r="T439" i="8"/>
  <c r="R440" i="8"/>
  <c r="S440" i="8"/>
  <c r="T440" i="8"/>
  <c r="R441" i="8"/>
  <c r="S441" i="8"/>
  <c r="T441" i="8"/>
  <c r="R442" i="8"/>
  <c r="S442" i="8"/>
  <c r="T442" i="8"/>
  <c r="R443" i="8"/>
  <c r="S443" i="8"/>
  <c r="T443" i="8"/>
  <c r="R444" i="8"/>
  <c r="S444" i="8"/>
  <c r="T444" i="8"/>
  <c r="R445" i="8"/>
  <c r="S445" i="8"/>
  <c r="T445" i="8"/>
  <c r="R446" i="8"/>
  <c r="S446" i="8"/>
  <c r="T446" i="8"/>
  <c r="R447" i="8"/>
  <c r="S447" i="8"/>
  <c r="T447" i="8"/>
  <c r="R448" i="8"/>
  <c r="S448" i="8"/>
  <c r="T448" i="8"/>
  <c r="R449" i="8"/>
  <c r="S449" i="8"/>
  <c r="T449" i="8"/>
  <c r="R450" i="8"/>
  <c r="S450" i="8"/>
  <c r="T450" i="8"/>
  <c r="R451" i="8"/>
  <c r="S451" i="8"/>
  <c r="T451" i="8"/>
  <c r="R452" i="8"/>
  <c r="S452" i="8"/>
  <c r="T452" i="8"/>
  <c r="R453" i="8"/>
  <c r="S453" i="8"/>
  <c r="T453" i="8"/>
  <c r="R454" i="8"/>
  <c r="S454" i="8"/>
  <c r="T454" i="8"/>
  <c r="R455" i="8"/>
  <c r="S455" i="8"/>
  <c r="T455" i="8"/>
  <c r="R456" i="8"/>
  <c r="S456" i="8"/>
  <c r="T456" i="8"/>
  <c r="R457" i="8"/>
  <c r="S457" i="8"/>
  <c r="T457" i="8"/>
  <c r="R458" i="8"/>
  <c r="S458" i="8"/>
  <c r="T458" i="8"/>
  <c r="R459" i="8"/>
  <c r="S459" i="8"/>
  <c r="T459" i="8"/>
  <c r="R460" i="8"/>
  <c r="S460" i="8"/>
  <c r="T460" i="8"/>
  <c r="R461" i="8"/>
  <c r="S461" i="8"/>
  <c r="T461" i="8"/>
  <c r="R462" i="8"/>
  <c r="S462" i="8"/>
  <c r="T462" i="8"/>
  <c r="R463" i="8"/>
  <c r="S463" i="8"/>
  <c r="T463" i="8"/>
  <c r="R464" i="8"/>
  <c r="S464" i="8"/>
  <c r="T464" i="8"/>
  <c r="R465" i="8"/>
  <c r="S465" i="8"/>
  <c r="T465" i="8"/>
  <c r="R466" i="8"/>
  <c r="S466" i="8"/>
  <c r="T466" i="8"/>
  <c r="R467" i="8"/>
  <c r="S467" i="8"/>
  <c r="T467" i="8"/>
  <c r="R468" i="8"/>
  <c r="S468" i="8"/>
  <c r="T468" i="8"/>
  <c r="R469" i="8"/>
  <c r="S469" i="8"/>
  <c r="T469" i="8"/>
  <c r="R470" i="8"/>
  <c r="S470" i="8"/>
  <c r="T470" i="8"/>
  <c r="R471" i="8"/>
  <c r="S471" i="8"/>
  <c r="T471" i="8"/>
  <c r="R472" i="8"/>
  <c r="S472" i="8"/>
  <c r="T472" i="8"/>
  <c r="R473" i="8"/>
  <c r="S473" i="8"/>
  <c r="T473" i="8"/>
  <c r="R474" i="8"/>
  <c r="S474" i="8"/>
  <c r="T474" i="8"/>
  <c r="R475" i="8"/>
  <c r="S475" i="8"/>
  <c r="T475" i="8"/>
  <c r="R476" i="8"/>
  <c r="S476" i="8"/>
  <c r="T476" i="8"/>
  <c r="R477" i="8"/>
  <c r="S477" i="8"/>
  <c r="T477" i="8"/>
  <c r="R478" i="8"/>
  <c r="S478" i="8"/>
  <c r="T478" i="8"/>
  <c r="R479" i="8"/>
  <c r="S479" i="8"/>
  <c r="T479" i="8"/>
  <c r="R480" i="8"/>
  <c r="S480" i="8"/>
  <c r="T480" i="8"/>
  <c r="R481" i="8"/>
  <c r="S481" i="8"/>
  <c r="T481" i="8"/>
  <c r="R482" i="8"/>
  <c r="S482" i="8"/>
  <c r="T482" i="8"/>
  <c r="R483" i="8"/>
  <c r="S483" i="8"/>
  <c r="T483" i="8"/>
  <c r="R484" i="8"/>
  <c r="S484" i="8"/>
  <c r="T484" i="8"/>
  <c r="R485" i="8"/>
  <c r="S485" i="8"/>
  <c r="T485" i="8"/>
  <c r="R486" i="8"/>
  <c r="S486" i="8"/>
  <c r="T486" i="8"/>
  <c r="R487" i="8"/>
  <c r="S487" i="8"/>
  <c r="T487" i="8"/>
  <c r="R488" i="8"/>
  <c r="S488" i="8"/>
  <c r="T488" i="8"/>
  <c r="R489" i="8"/>
  <c r="S489" i="8"/>
  <c r="T489" i="8"/>
  <c r="R490" i="8"/>
  <c r="S490" i="8"/>
  <c r="T490" i="8"/>
  <c r="R491" i="8"/>
  <c r="S491" i="8"/>
  <c r="T491" i="8"/>
  <c r="R492" i="8"/>
  <c r="S492" i="8"/>
  <c r="T492" i="8"/>
  <c r="R493" i="8"/>
  <c r="S493" i="8"/>
  <c r="T493" i="8"/>
  <c r="R494" i="8"/>
  <c r="S494" i="8"/>
  <c r="T494" i="8"/>
  <c r="R495" i="8"/>
  <c r="S495" i="8"/>
  <c r="T495" i="8"/>
  <c r="R496" i="8"/>
  <c r="S496" i="8"/>
  <c r="T496" i="8"/>
  <c r="R497" i="8"/>
  <c r="S497" i="8"/>
  <c r="T497" i="8"/>
  <c r="R498" i="8"/>
  <c r="S498" i="8"/>
  <c r="T498" i="8"/>
  <c r="R499" i="8"/>
  <c r="S499" i="8"/>
  <c r="T499" i="8"/>
  <c r="R500" i="8"/>
  <c r="S500" i="8"/>
  <c r="T500" i="8"/>
  <c r="R501" i="8"/>
  <c r="S501" i="8"/>
  <c r="T501" i="8"/>
  <c r="R502" i="8"/>
  <c r="S502" i="8"/>
  <c r="T502" i="8"/>
  <c r="R503" i="8"/>
  <c r="S503" i="8"/>
  <c r="T503" i="8"/>
  <c r="R504" i="8"/>
  <c r="S504" i="8"/>
  <c r="T504" i="8"/>
  <c r="R505" i="8"/>
  <c r="S505" i="8"/>
  <c r="T505" i="8"/>
  <c r="R506" i="8"/>
  <c r="S506" i="8"/>
  <c r="T506" i="8"/>
  <c r="R507" i="8"/>
  <c r="S507" i="8"/>
  <c r="T507" i="8"/>
  <c r="R508" i="8"/>
  <c r="S508" i="8"/>
  <c r="T508" i="8"/>
  <c r="R509" i="8"/>
  <c r="S509" i="8"/>
  <c r="T509" i="8"/>
  <c r="R510" i="8"/>
  <c r="S510" i="8"/>
  <c r="T510" i="8"/>
  <c r="R511" i="8"/>
  <c r="S511" i="8"/>
  <c r="T511" i="8"/>
  <c r="R512" i="8"/>
  <c r="S512" i="8"/>
  <c r="T512" i="8"/>
  <c r="R513" i="8"/>
  <c r="S513" i="8"/>
  <c r="T513" i="8"/>
  <c r="R514" i="8"/>
  <c r="S514" i="8"/>
  <c r="T514" i="8"/>
  <c r="R515" i="8"/>
  <c r="S515" i="8"/>
  <c r="T515" i="8"/>
  <c r="R516" i="8"/>
  <c r="S516" i="8"/>
  <c r="T516" i="8"/>
  <c r="R517" i="8"/>
  <c r="S517" i="8"/>
  <c r="T517" i="8"/>
  <c r="R518" i="8"/>
  <c r="S518" i="8"/>
  <c r="T518" i="8"/>
  <c r="R519" i="8"/>
  <c r="S519" i="8"/>
  <c r="T519" i="8"/>
  <c r="R520" i="8"/>
  <c r="S520" i="8"/>
  <c r="T520" i="8"/>
  <c r="R521" i="8"/>
  <c r="S521" i="8"/>
  <c r="T521" i="8"/>
  <c r="R522" i="8"/>
  <c r="S522" i="8"/>
  <c r="T522" i="8"/>
  <c r="R523" i="8"/>
  <c r="S523" i="8"/>
  <c r="T523" i="8"/>
  <c r="R524" i="8"/>
  <c r="S524" i="8"/>
  <c r="T524" i="8"/>
  <c r="R525" i="8"/>
  <c r="S525" i="8"/>
  <c r="T525" i="8"/>
  <c r="R526" i="8"/>
  <c r="S526" i="8"/>
  <c r="T526" i="8"/>
  <c r="R527" i="8"/>
  <c r="S527" i="8"/>
  <c r="T527" i="8"/>
  <c r="R528" i="8"/>
  <c r="S528" i="8"/>
  <c r="T528" i="8"/>
  <c r="R529" i="8"/>
  <c r="S529" i="8"/>
  <c r="T529" i="8"/>
  <c r="R530" i="8"/>
  <c r="S530" i="8"/>
  <c r="T530" i="8"/>
  <c r="R531" i="8"/>
  <c r="S531" i="8"/>
  <c r="T531" i="8"/>
  <c r="R532" i="8"/>
  <c r="S532" i="8"/>
  <c r="T532" i="8"/>
  <c r="R533" i="8"/>
  <c r="S533" i="8"/>
  <c r="T533" i="8"/>
  <c r="R534" i="8"/>
  <c r="S534" i="8"/>
  <c r="T534" i="8"/>
  <c r="R535" i="8"/>
  <c r="S535" i="8"/>
  <c r="T535" i="8"/>
  <c r="R536" i="8"/>
  <c r="S536" i="8"/>
  <c r="T536" i="8"/>
  <c r="R537" i="8"/>
  <c r="S537" i="8"/>
  <c r="T537" i="8"/>
  <c r="R538" i="8"/>
  <c r="S538" i="8"/>
  <c r="T538" i="8"/>
  <c r="R539" i="8"/>
  <c r="S539" i="8"/>
  <c r="T539" i="8"/>
  <c r="R540" i="8"/>
  <c r="S540" i="8"/>
  <c r="T540" i="8"/>
  <c r="R541" i="8"/>
  <c r="S541" i="8"/>
  <c r="T541" i="8"/>
  <c r="R542" i="8"/>
  <c r="S542" i="8"/>
  <c r="T542" i="8"/>
  <c r="R543" i="8"/>
  <c r="S543" i="8"/>
  <c r="T543" i="8"/>
  <c r="R544" i="8"/>
  <c r="S544" i="8"/>
  <c r="T544" i="8"/>
  <c r="R545" i="8"/>
  <c r="S545" i="8"/>
  <c r="T545" i="8"/>
  <c r="R546" i="8"/>
  <c r="S546" i="8"/>
  <c r="T546" i="8"/>
  <c r="R547" i="8"/>
  <c r="S547" i="8"/>
  <c r="T547" i="8"/>
  <c r="R548" i="8"/>
  <c r="S548" i="8"/>
  <c r="T548" i="8"/>
  <c r="R549" i="8"/>
  <c r="S549" i="8"/>
  <c r="T549" i="8"/>
  <c r="R550" i="8"/>
  <c r="S550" i="8"/>
  <c r="T550" i="8"/>
  <c r="R551" i="8"/>
  <c r="S551" i="8"/>
  <c r="T551" i="8"/>
  <c r="R552" i="8"/>
  <c r="S552" i="8"/>
  <c r="T552" i="8"/>
  <c r="R553" i="8"/>
  <c r="S553" i="8"/>
  <c r="T553" i="8"/>
  <c r="R554" i="8"/>
  <c r="S554" i="8"/>
  <c r="T554" i="8"/>
  <c r="R555" i="8"/>
  <c r="S555" i="8"/>
  <c r="T555" i="8"/>
  <c r="R556" i="8"/>
  <c r="S556" i="8"/>
  <c r="T556" i="8"/>
  <c r="R557" i="8"/>
  <c r="S557" i="8"/>
  <c r="T557" i="8"/>
  <c r="R558" i="8"/>
  <c r="S558" i="8"/>
  <c r="T558" i="8"/>
  <c r="R559" i="8"/>
  <c r="S559" i="8"/>
  <c r="T559" i="8"/>
  <c r="R560" i="8"/>
  <c r="S560" i="8"/>
  <c r="T560" i="8"/>
  <c r="R561" i="8"/>
  <c r="S561" i="8"/>
  <c r="T561" i="8"/>
  <c r="R562" i="8"/>
  <c r="S562" i="8"/>
  <c r="T562" i="8"/>
  <c r="R563" i="8"/>
  <c r="S563" i="8"/>
  <c r="T563" i="8"/>
  <c r="R564" i="8"/>
  <c r="S564" i="8"/>
  <c r="T564" i="8"/>
  <c r="R565" i="8"/>
  <c r="S565" i="8"/>
  <c r="T565" i="8"/>
  <c r="R566" i="8"/>
  <c r="S566" i="8"/>
  <c r="T566" i="8"/>
  <c r="R567" i="8"/>
  <c r="S567" i="8"/>
  <c r="T567" i="8"/>
  <c r="R568" i="8"/>
  <c r="S568" i="8"/>
  <c r="T568" i="8"/>
  <c r="R569" i="8"/>
  <c r="S569" i="8"/>
  <c r="T569" i="8"/>
  <c r="R570" i="8"/>
  <c r="S570" i="8"/>
  <c r="T570" i="8"/>
  <c r="R571" i="8"/>
  <c r="S571" i="8"/>
  <c r="T571" i="8"/>
  <c r="R572" i="8"/>
  <c r="S572" i="8"/>
  <c r="T572" i="8"/>
  <c r="R573" i="8"/>
  <c r="S573" i="8"/>
  <c r="T573" i="8"/>
  <c r="R574" i="8"/>
  <c r="S574" i="8"/>
  <c r="T574" i="8"/>
  <c r="R575" i="8"/>
  <c r="S575" i="8"/>
  <c r="T575" i="8"/>
  <c r="R576" i="8"/>
  <c r="S576" i="8"/>
  <c r="T576" i="8"/>
  <c r="R577" i="8"/>
  <c r="S577" i="8"/>
  <c r="T577" i="8"/>
  <c r="R578" i="8"/>
  <c r="S578" i="8"/>
  <c r="T578" i="8"/>
  <c r="R579" i="8"/>
  <c r="S579" i="8"/>
  <c r="T579" i="8"/>
  <c r="R580" i="8"/>
  <c r="S580" i="8"/>
  <c r="T580" i="8"/>
  <c r="R581" i="8"/>
  <c r="S581" i="8"/>
  <c r="T581" i="8"/>
  <c r="R582" i="8"/>
  <c r="S582" i="8"/>
  <c r="T582" i="8"/>
  <c r="R583" i="8"/>
  <c r="S583" i="8"/>
  <c r="T583" i="8"/>
  <c r="R584" i="8"/>
  <c r="S584" i="8"/>
  <c r="T584" i="8"/>
  <c r="R585" i="8"/>
  <c r="S585" i="8"/>
  <c r="T585" i="8"/>
  <c r="R586" i="8"/>
  <c r="S586" i="8"/>
  <c r="T586" i="8"/>
  <c r="R587" i="8"/>
  <c r="S587" i="8"/>
  <c r="T587" i="8"/>
  <c r="R588" i="8"/>
  <c r="S588" i="8"/>
  <c r="T588" i="8"/>
  <c r="R589" i="8"/>
  <c r="S589" i="8"/>
  <c r="T589" i="8"/>
  <c r="R590" i="8"/>
  <c r="S590" i="8"/>
  <c r="T590" i="8"/>
  <c r="R591" i="8"/>
  <c r="S591" i="8"/>
  <c r="T591" i="8"/>
  <c r="R592" i="8"/>
  <c r="S592" i="8"/>
  <c r="T592" i="8"/>
  <c r="R593" i="8"/>
  <c r="S593" i="8"/>
  <c r="T593" i="8"/>
  <c r="R594" i="8"/>
  <c r="S594" i="8"/>
  <c r="T594" i="8"/>
  <c r="R595" i="8"/>
  <c r="S595" i="8"/>
  <c r="T595" i="8"/>
  <c r="R596" i="8"/>
  <c r="S596" i="8"/>
  <c r="T596" i="8"/>
  <c r="R597" i="8"/>
  <c r="S597" i="8"/>
  <c r="T597" i="8"/>
  <c r="R598" i="8"/>
  <c r="S598" i="8"/>
  <c r="T598" i="8"/>
  <c r="R599" i="8"/>
  <c r="S599" i="8"/>
  <c r="T599" i="8"/>
  <c r="R600" i="8"/>
  <c r="S600" i="8"/>
  <c r="T600" i="8"/>
  <c r="R601" i="8"/>
  <c r="S601" i="8"/>
  <c r="T601" i="8"/>
  <c r="R602" i="8"/>
  <c r="S602" i="8"/>
  <c r="T602" i="8"/>
  <c r="R603" i="8"/>
  <c r="S603" i="8"/>
  <c r="T603" i="8"/>
  <c r="R604" i="8"/>
  <c r="S604" i="8"/>
  <c r="T604" i="8"/>
  <c r="R605" i="8"/>
  <c r="S605" i="8"/>
  <c r="T605" i="8"/>
  <c r="R606" i="8"/>
  <c r="S606" i="8"/>
  <c r="T606" i="8"/>
  <c r="R607" i="8"/>
  <c r="S607" i="8"/>
  <c r="T607" i="8"/>
  <c r="R608" i="8"/>
  <c r="S608" i="8"/>
  <c r="T608" i="8"/>
  <c r="R609" i="8"/>
  <c r="S609" i="8"/>
  <c r="T609" i="8"/>
  <c r="R610" i="8"/>
  <c r="S610" i="8"/>
  <c r="T610" i="8"/>
  <c r="R611" i="8"/>
  <c r="S611" i="8"/>
  <c r="T611" i="8"/>
  <c r="R612" i="8"/>
  <c r="S612" i="8"/>
  <c r="T612" i="8"/>
  <c r="R613" i="8"/>
  <c r="S613" i="8"/>
  <c r="T613" i="8"/>
  <c r="R614" i="8"/>
  <c r="S614" i="8"/>
  <c r="T614" i="8"/>
  <c r="R615" i="8"/>
  <c r="S615" i="8"/>
  <c r="T615" i="8"/>
  <c r="R616" i="8"/>
  <c r="S616" i="8"/>
  <c r="T616" i="8"/>
  <c r="R617" i="8"/>
  <c r="S617" i="8"/>
  <c r="T617" i="8"/>
  <c r="R618" i="8"/>
  <c r="S618" i="8"/>
  <c r="T618" i="8"/>
  <c r="R619" i="8"/>
  <c r="S619" i="8"/>
  <c r="T619" i="8"/>
  <c r="R620" i="8"/>
  <c r="S620" i="8"/>
  <c r="T620" i="8"/>
  <c r="R621" i="8"/>
  <c r="S621" i="8"/>
  <c r="T621" i="8"/>
  <c r="R622" i="8"/>
  <c r="S622" i="8"/>
  <c r="T622" i="8"/>
  <c r="R623" i="8"/>
  <c r="S623" i="8"/>
  <c r="T623" i="8"/>
  <c r="R624" i="8"/>
  <c r="S624" i="8"/>
  <c r="T624" i="8"/>
  <c r="R625" i="8"/>
  <c r="S625" i="8"/>
  <c r="T625" i="8"/>
  <c r="R626" i="8"/>
  <c r="S626" i="8"/>
  <c r="T626" i="8"/>
  <c r="R627" i="8"/>
  <c r="S627" i="8"/>
  <c r="T627" i="8"/>
  <c r="R628" i="8"/>
  <c r="S628" i="8"/>
  <c r="T628" i="8"/>
  <c r="R629" i="8"/>
  <c r="S629" i="8"/>
  <c r="T629" i="8"/>
  <c r="R630" i="8"/>
  <c r="S630" i="8"/>
  <c r="T630" i="8"/>
  <c r="R631" i="8"/>
  <c r="S631" i="8"/>
  <c r="T631" i="8"/>
  <c r="R632" i="8"/>
  <c r="S632" i="8"/>
  <c r="T632" i="8"/>
  <c r="R633" i="8"/>
  <c r="S633" i="8"/>
  <c r="T633" i="8"/>
  <c r="R634" i="8"/>
  <c r="S634" i="8"/>
  <c r="T634" i="8"/>
  <c r="R635" i="8"/>
  <c r="S635" i="8"/>
  <c r="T635" i="8"/>
  <c r="R636" i="8"/>
  <c r="S636" i="8"/>
  <c r="T636" i="8"/>
  <c r="R637" i="8"/>
  <c r="S637" i="8"/>
  <c r="T637" i="8"/>
  <c r="R638" i="8"/>
  <c r="S638" i="8"/>
  <c r="T638" i="8"/>
  <c r="R639" i="8"/>
  <c r="S639" i="8"/>
  <c r="T639" i="8"/>
  <c r="R640" i="8"/>
  <c r="S640" i="8"/>
  <c r="T640" i="8"/>
  <c r="R641" i="8"/>
  <c r="S641" i="8"/>
  <c r="T641" i="8"/>
  <c r="R642" i="8"/>
  <c r="S642" i="8"/>
  <c r="T642" i="8"/>
  <c r="R643" i="8"/>
  <c r="S643" i="8"/>
  <c r="T643" i="8"/>
  <c r="R644" i="8"/>
  <c r="S644" i="8"/>
  <c r="T644" i="8"/>
  <c r="R645" i="8"/>
  <c r="S645" i="8"/>
  <c r="T645" i="8"/>
  <c r="R646" i="8"/>
  <c r="S646" i="8"/>
  <c r="T646" i="8"/>
  <c r="R647" i="8"/>
  <c r="S647" i="8"/>
  <c r="T647" i="8"/>
  <c r="R648" i="8"/>
  <c r="S648" i="8"/>
  <c r="T648" i="8"/>
  <c r="R649" i="8"/>
  <c r="S649" i="8"/>
  <c r="T649" i="8"/>
  <c r="R650" i="8"/>
  <c r="S650" i="8"/>
  <c r="T650" i="8"/>
  <c r="R651" i="8"/>
  <c r="S651" i="8"/>
  <c r="T651" i="8"/>
  <c r="R652" i="8"/>
  <c r="S652" i="8"/>
  <c r="T652" i="8"/>
  <c r="R653" i="8"/>
  <c r="S653" i="8"/>
  <c r="T653" i="8"/>
  <c r="R654" i="8"/>
  <c r="S654" i="8"/>
  <c r="T654" i="8"/>
  <c r="R655" i="8"/>
  <c r="S655" i="8"/>
  <c r="T655" i="8"/>
  <c r="R656" i="8"/>
  <c r="S656" i="8"/>
  <c r="T656" i="8"/>
  <c r="R657" i="8"/>
  <c r="S657" i="8"/>
  <c r="T657" i="8"/>
  <c r="R658" i="8"/>
  <c r="S658" i="8"/>
  <c r="T658" i="8"/>
  <c r="R659" i="8"/>
  <c r="S659" i="8"/>
  <c r="T659" i="8"/>
  <c r="R660" i="8"/>
  <c r="S660" i="8"/>
  <c r="T660" i="8"/>
  <c r="R661" i="8"/>
  <c r="S661" i="8"/>
  <c r="T661" i="8"/>
  <c r="R662" i="8"/>
  <c r="S662" i="8"/>
  <c r="T662" i="8"/>
  <c r="R663" i="8"/>
  <c r="S663" i="8"/>
  <c r="T663" i="8"/>
  <c r="R664" i="8"/>
  <c r="S664" i="8"/>
  <c r="T664" i="8"/>
  <c r="R665" i="8"/>
  <c r="S665" i="8"/>
  <c r="T665" i="8"/>
  <c r="R666" i="8"/>
  <c r="S666" i="8"/>
  <c r="T666" i="8"/>
  <c r="R667" i="8"/>
  <c r="S667" i="8"/>
  <c r="T667" i="8"/>
  <c r="R668" i="8"/>
  <c r="S668" i="8"/>
  <c r="T668" i="8"/>
  <c r="R669" i="8"/>
  <c r="S669" i="8"/>
  <c r="T669" i="8"/>
  <c r="R670" i="8"/>
  <c r="S670" i="8"/>
  <c r="T670" i="8"/>
  <c r="R671" i="8"/>
  <c r="S671" i="8"/>
  <c r="T671" i="8"/>
  <c r="R672" i="8"/>
  <c r="S672" i="8"/>
  <c r="T672" i="8"/>
  <c r="R673" i="8"/>
  <c r="S673" i="8"/>
  <c r="T673" i="8"/>
  <c r="R674" i="8"/>
  <c r="S674" i="8"/>
  <c r="T674" i="8"/>
  <c r="R675" i="8"/>
  <c r="S675" i="8"/>
  <c r="T675" i="8"/>
  <c r="R676" i="8"/>
  <c r="S676" i="8"/>
  <c r="T676" i="8"/>
  <c r="R677" i="8"/>
  <c r="S677" i="8"/>
  <c r="T677" i="8"/>
  <c r="R678" i="8"/>
  <c r="S678" i="8"/>
  <c r="T678" i="8"/>
  <c r="R679" i="8"/>
  <c r="S679" i="8"/>
  <c r="T679" i="8"/>
  <c r="R680" i="8"/>
  <c r="S680" i="8"/>
  <c r="T680" i="8"/>
  <c r="R681" i="8"/>
  <c r="S681" i="8"/>
  <c r="T681" i="8"/>
  <c r="R682" i="8"/>
  <c r="S682" i="8"/>
  <c r="T682" i="8"/>
  <c r="R683" i="8"/>
  <c r="S683" i="8"/>
  <c r="T683" i="8"/>
  <c r="R684" i="8"/>
  <c r="S684" i="8"/>
  <c r="T684" i="8"/>
  <c r="R685" i="8"/>
  <c r="S685" i="8"/>
  <c r="T685" i="8"/>
  <c r="R686" i="8"/>
  <c r="S686" i="8"/>
  <c r="T686" i="8"/>
  <c r="R687" i="8"/>
  <c r="S687" i="8"/>
  <c r="T687" i="8"/>
  <c r="R688" i="8"/>
  <c r="S688" i="8"/>
  <c r="T688" i="8"/>
  <c r="R689" i="8"/>
  <c r="S689" i="8"/>
  <c r="T689" i="8"/>
  <c r="R690" i="8"/>
  <c r="S690" i="8"/>
  <c r="T690" i="8"/>
  <c r="R691" i="8"/>
  <c r="S691" i="8"/>
  <c r="T691" i="8"/>
  <c r="R692" i="8"/>
  <c r="S692" i="8"/>
  <c r="T692" i="8"/>
  <c r="R693" i="8"/>
  <c r="S693" i="8"/>
  <c r="T693" i="8"/>
  <c r="R694" i="8"/>
  <c r="S694" i="8"/>
  <c r="T694" i="8"/>
  <c r="R695" i="8"/>
  <c r="S695" i="8"/>
  <c r="T695" i="8"/>
  <c r="R696" i="8"/>
  <c r="S696" i="8"/>
  <c r="T696" i="8"/>
  <c r="R697" i="8"/>
  <c r="S697" i="8"/>
  <c r="T697" i="8"/>
  <c r="R698" i="8"/>
  <c r="S698" i="8"/>
  <c r="T698" i="8"/>
  <c r="R699" i="8"/>
  <c r="S699" i="8"/>
  <c r="T699" i="8"/>
  <c r="R700" i="8"/>
  <c r="S700" i="8"/>
  <c r="T700" i="8"/>
  <c r="R701" i="8"/>
  <c r="S701" i="8"/>
  <c r="T701" i="8"/>
  <c r="R702" i="8"/>
  <c r="S702" i="8"/>
  <c r="T702" i="8"/>
  <c r="R703" i="8"/>
  <c r="S703" i="8"/>
  <c r="T703" i="8"/>
  <c r="R704" i="8"/>
  <c r="S704" i="8"/>
  <c r="T704" i="8"/>
  <c r="R705" i="8"/>
  <c r="S705" i="8"/>
  <c r="T705" i="8"/>
  <c r="R706" i="8"/>
  <c r="S706" i="8"/>
  <c r="T706" i="8"/>
  <c r="R707" i="8"/>
  <c r="S707" i="8"/>
  <c r="T707" i="8"/>
  <c r="R708" i="8"/>
  <c r="S708" i="8"/>
  <c r="T708" i="8"/>
  <c r="R709" i="8"/>
  <c r="S709" i="8"/>
  <c r="T709" i="8"/>
  <c r="R710" i="8"/>
  <c r="S710" i="8"/>
  <c r="T710" i="8"/>
  <c r="R711" i="8"/>
  <c r="S711" i="8"/>
  <c r="T711" i="8"/>
  <c r="R712" i="8"/>
  <c r="S712" i="8"/>
  <c r="T712" i="8"/>
  <c r="R713" i="8"/>
  <c r="S713" i="8"/>
  <c r="T713" i="8"/>
  <c r="R714" i="8"/>
  <c r="S714" i="8"/>
  <c r="T714" i="8"/>
  <c r="R715" i="8"/>
  <c r="S715" i="8"/>
  <c r="T715" i="8"/>
  <c r="R716" i="8"/>
  <c r="S716" i="8"/>
  <c r="T716" i="8"/>
  <c r="R717" i="8"/>
  <c r="S717" i="8"/>
  <c r="T717" i="8"/>
  <c r="R718" i="8"/>
  <c r="S718" i="8"/>
  <c r="T718" i="8"/>
  <c r="R719" i="8"/>
  <c r="S719" i="8"/>
  <c r="T719" i="8"/>
  <c r="R720" i="8"/>
  <c r="S720" i="8"/>
  <c r="T720" i="8"/>
  <c r="R721" i="8"/>
  <c r="S721" i="8"/>
  <c r="T721" i="8"/>
  <c r="R722" i="8"/>
  <c r="S722" i="8"/>
  <c r="T722" i="8"/>
  <c r="R723" i="8"/>
  <c r="S723" i="8"/>
  <c r="T723" i="8"/>
  <c r="R724" i="8"/>
  <c r="S724" i="8"/>
  <c r="T724" i="8"/>
  <c r="R725" i="8"/>
  <c r="S725" i="8"/>
  <c r="T725" i="8"/>
  <c r="R726" i="8"/>
  <c r="S726" i="8"/>
  <c r="T726" i="8"/>
  <c r="R727" i="8"/>
  <c r="S727" i="8"/>
  <c r="T727" i="8"/>
  <c r="R728" i="8"/>
  <c r="S728" i="8"/>
  <c r="T728" i="8"/>
  <c r="R729" i="8"/>
  <c r="S729" i="8"/>
  <c r="T729" i="8"/>
  <c r="R730" i="8"/>
  <c r="S730" i="8"/>
  <c r="T730" i="8"/>
  <c r="R731" i="8"/>
  <c r="S731" i="8"/>
  <c r="T731" i="8"/>
  <c r="R732" i="8"/>
  <c r="S732" i="8"/>
  <c r="T732" i="8"/>
  <c r="R733" i="8"/>
  <c r="S733" i="8"/>
  <c r="T733" i="8"/>
  <c r="R734" i="8"/>
  <c r="S734" i="8"/>
  <c r="T734" i="8"/>
  <c r="R735" i="8"/>
  <c r="S735" i="8"/>
  <c r="T735" i="8"/>
  <c r="R736" i="8"/>
  <c r="S736" i="8"/>
  <c r="T736" i="8"/>
  <c r="R737" i="8"/>
  <c r="S737" i="8"/>
  <c r="T737" i="8"/>
  <c r="R738" i="8"/>
  <c r="S738" i="8"/>
  <c r="T738" i="8"/>
  <c r="R739" i="8"/>
  <c r="S739" i="8"/>
  <c r="T739" i="8"/>
  <c r="R740" i="8"/>
  <c r="S740" i="8"/>
  <c r="T740" i="8"/>
  <c r="R741" i="8"/>
  <c r="S741" i="8"/>
  <c r="T741" i="8"/>
  <c r="R742" i="8"/>
  <c r="S742" i="8"/>
  <c r="T742" i="8"/>
  <c r="R743" i="8"/>
  <c r="S743" i="8"/>
  <c r="T743" i="8"/>
  <c r="R744" i="8"/>
  <c r="S744" i="8"/>
  <c r="T744" i="8"/>
  <c r="R745" i="8"/>
  <c r="S745" i="8"/>
  <c r="T745" i="8"/>
  <c r="R746" i="8"/>
  <c r="S746" i="8"/>
  <c r="T746" i="8"/>
  <c r="R747" i="8"/>
  <c r="S747" i="8"/>
  <c r="T747" i="8"/>
  <c r="R748" i="8"/>
  <c r="S748" i="8"/>
  <c r="T748" i="8"/>
  <c r="R749" i="8"/>
  <c r="S749" i="8"/>
  <c r="T749" i="8"/>
  <c r="R750" i="8"/>
  <c r="S750" i="8"/>
  <c r="T750" i="8"/>
  <c r="R751" i="8"/>
  <c r="S751" i="8"/>
  <c r="T751" i="8"/>
  <c r="R752" i="8"/>
  <c r="S752" i="8"/>
  <c r="T752" i="8"/>
  <c r="R753" i="8"/>
  <c r="S753" i="8"/>
  <c r="T753" i="8"/>
  <c r="R754" i="8"/>
  <c r="S754" i="8"/>
  <c r="T754" i="8"/>
  <c r="R755" i="8"/>
  <c r="S755" i="8"/>
  <c r="T755" i="8"/>
  <c r="R756" i="8"/>
  <c r="S756" i="8"/>
  <c r="T756" i="8"/>
  <c r="R757" i="8"/>
  <c r="S757" i="8"/>
  <c r="T757" i="8"/>
  <c r="R758" i="8"/>
  <c r="S758" i="8"/>
  <c r="T758" i="8"/>
  <c r="R759" i="8"/>
  <c r="S759" i="8"/>
  <c r="T759" i="8"/>
  <c r="R760" i="8"/>
  <c r="S760" i="8"/>
  <c r="T760" i="8"/>
  <c r="R761" i="8"/>
  <c r="S761" i="8"/>
  <c r="T761" i="8"/>
  <c r="R762" i="8"/>
  <c r="S762" i="8"/>
  <c r="T762" i="8"/>
  <c r="R763" i="8"/>
  <c r="S763" i="8"/>
  <c r="T763" i="8"/>
  <c r="R764" i="8"/>
  <c r="S764" i="8"/>
  <c r="T764" i="8"/>
  <c r="R765" i="8"/>
  <c r="S765" i="8"/>
  <c r="T765" i="8"/>
  <c r="R766" i="8"/>
  <c r="S766" i="8"/>
  <c r="T766" i="8"/>
  <c r="R767" i="8"/>
  <c r="S767" i="8"/>
  <c r="T767" i="8"/>
  <c r="R768" i="8"/>
  <c r="S768" i="8"/>
  <c r="T768" i="8"/>
  <c r="R769" i="8"/>
  <c r="S769" i="8"/>
  <c r="T769" i="8"/>
  <c r="R770" i="8"/>
  <c r="S770" i="8"/>
  <c r="T770" i="8"/>
  <c r="R771" i="8"/>
  <c r="S771" i="8"/>
  <c r="T771" i="8"/>
  <c r="R772" i="8"/>
  <c r="S772" i="8"/>
  <c r="T772" i="8"/>
  <c r="R773" i="8"/>
  <c r="S773" i="8"/>
  <c r="T773" i="8"/>
  <c r="R774" i="8"/>
  <c r="S774" i="8"/>
  <c r="T774" i="8"/>
  <c r="R775" i="8"/>
  <c r="S775" i="8"/>
  <c r="T775" i="8"/>
  <c r="R776" i="8"/>
  <c r="S776" i="8"/>
  <c r="T776" i="8"/>
  <c r="R777" i="8"/>
  <c r="S777" i="8"/>
  <c r="T777" i="8"/>
  <c r="R778" i="8"/>
  <c r="S778" i="8"/>
  <c r="T778" i="8"/>
  <c r="R779" i="8"/>
  <c r="S779" i="8"/>
  <c r="T779" i="8"/>
  <c r="R780" i="8"/>
  <c r="S780" i="8"/>
  <c r="T780" i="8"/>
  <c r="R781" i="8"/>
  <c r="S781" i="8"/>
  <c r="T781" i="8"/>
  <c r="R782" i="8"/>
  <c r="S782" i="8"/>
  <c r="T782" i="8"/>
  <c r="R783" i="8"/>
  <c r="S783" i="8"/>
  <c r="T783" i="8"/>
  <c r="R784" i="8"/>
  <c r="S784" i="8"/>
  <c r="T784" i="8"/>
  <c r="R785" i="8"/>
  <c r="S785" i="8"/>
  <c r="T785" i="8"/>
  <c r="R786" i="8"/>
  <c r="S786" i="8"/>
  <c r="T786" i="8"/>
  <c r="R787" i="8"/>
  <c r="S787" i="8"/>
  <c r="T787" i="8"/>
  <c r="R788" i="8"/>
  <c r="S788" i="8"/>
  <c r="T788" i="8"/>
  <c r="R789" i="8"/>
  <c r="S789" i="8"/>
  <c r="T789" i="8"/>
  <c r="R790" i="8"/>
  <c r="S790" i="8"/>
  <c r="T790" i="8"/>
  <c r="R791" i="8"/>
  <c r="S791" i="8"/>
  <c r="T791" i="8"/>
  <c r="R792" i="8"/>
  <c r="S792" i="8"/>
  <c r="T792" i="8"/>
  <c r="R793" i="8"/>
  <c r="S793" i="8"/>
  <c r="T793" i="8"/>
  <c r="R794" i="8"/>
  <c r="S794" i="8"/>
  <c r="T794" i="8"/>
  <c r="R795" i="8"/>
  <c r="S795" i="8"/>
  <c r="T795" i="8"/>
  <c r="R796" i="8"/>
  <c r="S796" i="8"/>
  <c r="T796" i="8"/>
  <c r="R797" i="8"/>
  <c r="S797" i="8"/>
  <c r="T797" i="8"/>
  <c r="R798" i="8"/>
  <c r="S798" i="8"/>
  <c r="T798" i="8"/>
  <c r="R799" i="8"/>
  <c r="S799" i="8"/>
  <c r="T799" i="8"/>
  <c r="R800" i="8"/>
  <c r="S800" i="8"/>
  <c r="T800" i="8"/>
  <c r="R801" i="8"/>
  <c r="S801" i="8"/>
  <c r="T801" i="8"/>
  <c r="R802" i="8"/>
  <c r="S802" i="8"/>
  <c r="T802" i="8"/>
  <c r="R803" i="8"/>
  <c r="S803" i="8"/>
  <c r="T803" i="8"/>
  <c r="R804" i="8"/>
  <c r="S804" i="8"/>
  <c r="T804" i="8"/>
  <c r="R805" i="8"/>
  <c r="S805" i="8"/>
  <c r="T805" i="8"/>
  <c r="R806" i="8"/>
  <c r="S806" i="8"/>
  <c r="T806" i="8"/>
  <c r="R807" i="8"/>
  <c r="S807" i="8"/>
  <c r="T807" i="8"/>
  <c r="R808" i="8"/>
  <c r="S808" i="8"/>
  <c r="T808" i="8"/>
  <c r="R809" i="8"/>
  <c r="S809" i="8"/>
  <c r="T809" i="8"/>
  <c r="R810" i="8"/>
  <c r="S810" i="8"/>
  <c r="T810" i="8"/>
  <c r="R811" i="8"/>
  <c r="S811" i="8"/>
  <c r="T811" i="8"/>
  <c r="R812" i="8"/>
  <c r="S812" i="8"/>
  <c r="T812" i="8"/>
  <c r="R813" i="8"/>
  <c r="S813" i="8"/>
  <c r="T813" i="8"/>
  <c r="R814" i="8"/>
  <c r="S814" i="8"/>
  <c r="T814" i="8"/>
  <c r="R815" i="8"/>
  <c r="S815" i="8"/>
  <c r="T815" i="8"/>
  <c r="R816" i="8"/>
  <c r="S816" i="8"/>
  <c r="T816" i="8"/>
  <c r="R817" i="8"/>
  <c r="S817" i="8"/>
  <c r="T817" i="8"/>
  <c r="R818" i="8"/>
  <c r="S818" i="8"/>
  <c r="T818" i="8"/>
  <c r="R819" i="8"/>
  <c r="S819" i="8"/>
  <c r="T819" i="8"/>
  <c r="R820" i="8"/>
  <c r="S820" i="8"/>
  <c r="T820" i="8"/>
  <c r="R821" i="8"/>
  <c r="S821" i="8"/>
  <c r="T821" i="8"/>
  <c r="R822" i="8"/>
  <c r="S822" i="8"/>
  <c r="T822" i="8"/>
  <c r="R823" i="8"/>
  <c r="S823" i="8"/>
  <c r="T823" i="8"/>
  <c r="R824" i="8"/>
  <c r="S824" i="8"/>
  <c r="T824" i="8"/>
  <c r="R825" i="8"/>
  <c r="S825" i="8"/>
  <c r="T825" i="8"/>
  <c r="R826" i="8"/>
  <c r="S826" i="8"/>
  <c r="T826" i="8"/>
  <c r="R827" i="8"/>
  <c r="S827" i="8"/>
  <c r="T827" i="8"/>
  <c r="R828" i="8"/>
  <c r="S828" i="8"/>
  <c r="T828" i="8"/>
  <c r="R829" i="8"/>
  <c r="S829" i="8"/>
  <c r="T829" i="8"/>
  <c r="R830" i="8"/>
  <c r="S830" i="8"/>
  <c r="T830" i="8"/>
  <c r="R831" i="8"/>
  <c r="S831" i="8"/>
  <c r="T831" i="8"/>
  <c r="R832" i="8"/>
  <c r="S832" i="8"/>
  <c r="T832" i="8"/>
  <c r="R833" i="8"/>
  <c r="S833" i="8"/>
  <c r="T833" i="8"/>
  <c r="R834" i="8"/>
  <c r="S834" i="8"/>
  <c r="T834" i="8"/>
  <c r="R835" i="8"/>
  <c r="S835" i="8"/>
  <c r="T835" i="8"/>
  <c r="R836" i="8"/>
  <c r="S836" i="8"/>
  <c r="T836" i="8"/>
  <c r="R837" i="8"/>
  <c r="S837" i="8"/>
  <c r="T837" i="8"/>
  <c r="R838" i="8"/>
  <c r="S838" i="8"/>
  <c r="T838" i="8"/>
  <c r="R839" i="8"/>
  <c r="S839" i="8"/>
  <c r="T839" i="8"/>
  <c r="R840" i="8"/>
  <c r="S840" i="8"/>
  <c r="T840" i="8"/>
  <c r="R841" i="8"/>
  <c r="S841" i="8"/>
  <c r="T841" i="8"/>
  <c r="R842" i="8"/>
  <c r="S842" i="8"/>
  <c r="T842" i="8"/>
  <c r="R843" i="8"/>
  <c r="S843" i="8"/>
  <c r="T843" i="8"/>
  <c r="R844" i="8"/>
  <c r="S844" i="8"/>
  <c r="T844" i="8"/>
  <c r="R845" i="8"/>
  <c r="S845" i="8"/>
  <c r="T845" i="8"/>
  <c r="R846" i="8"/>
  <c r="S846" i="8"/>
  <c r="T846" i="8"/>
  <c r="R847" i="8"/>
  <c r="S847" i="8"/>
  <c r="T847" i="8"/>
  <c r="R848" i="8"/>
  <c r="S848" i="8"/>
  <c r="T848" i="8"/>
  <c r="R849" i="8"/>
  <c r="S849" i="8"/>
  <c r="T849" i="8"/>
  <c r="R850" i="8"/>
  <c r="S850" i="8"/>
  <c r="T850" i="8"/>
  <c r="R851" i="8"/>
  <c r="S851" i="8"/>
  <c r="T851" i="8"/>
  <c r="R852" i="8"/>
  <c r="S852" i="8"/>
  <c r="T852" i="8"/>
  <c r="R853" i="8"/>
  <c r="S853" i="8"/>
  <c r="T853" i="8"/>
  <c r="R854" i="8"/>
  <c r="S854" i="8"/>
  <c r="T854" i="8"/>
  <c r="R855" i="8"/>
  <c r="S855" i="8"/>
  <c r="T855" i="8"/>
  <c r="R856" i="8"/>
  <c r="S856" i="8"/>
  <c r="T856" i="8"/>
  <c r="R857" i="8"/>
  <c r="S857" i="8"/>
  <c r="T857" i="8"/>
  <c r="R858" i="8"/>
  <c r="S858" i="8"/>
  <c r="T858" i="8"/>
  <c r="R859" i="8"/>
  <c r="S859" i="8"/>
  <c r="T859" i="8"/>
  <c r="R860" i="8"/>
  <c r="S860" i="8"/>
  <c r="T860" i="8"/>
  <c r="R861" i="8"/>
  <c r="S861" i="8"/>
  <c r="T861" i="8"/>
  <c r="R862" i="8"/>
  <c r="S862" i="8"/>
  <c r="T862" i="8"/>
  <c r="R863" i="8"/>
  <c r="S863" i="8"/>
  <c r="T863" i="8"/>
  <c r="R864" i="8"/>
  <c r="S864" i="8"/>
  <c r="T864" i="8"/>
  <c r="R865" i="8"/>
  <c r="S865" i="8"/>
  <c r="T865" i="8"/>
  <c r="R866" i="8"/>
  <c r="S866" i="8"/>
  <c r="T866" i="8"/>
  <c r="R867" i="8"/>
  <c r="S867" i="8"/>
  <c r="T867" i="8"/>
  <c r="R868" i="8"/>
  <c r="S868" i="8"/>
  <c r="T868" i="8"/>
  <c r="R869" i="8"/>
  <c r="S869" i="8"/>
  <c r="T869" i="8"/>
  <c r="R870" i="8"/>
  <c r="S870" i="8"/>
  <c r="T870" i="8"/>
  <c r="R871" i="8"/>
  <c r="S871" i="8"/>
  <c r="T871" i="8"/>
  <c r="R872" i="8"/>
  <c r="S872" i="8"/>
  <c r="T872" i="8"/>
  <c r="R873" i="8"/>
  <c r="S873" i="8"/>
  <c r="T873" i="8"/>
  <c r="R874" i="8"/>
  <c r="S874" i="8"/>
  <c r="T874" i="8"/>
  <c r="R875" i="8"/>
  <c r="S875" i="8"/>
  <c r="T875" i="8"/>
  <c r="R876" i="8"/>
  <c r="S876" i="8"/>
  <c r="T876" i="8"/>
  <c r="R877" i="8"/>
  <c r="S877" i="8"/>
  <c r="T877" i="8"/>
  <c r="R878" i="8"/>
  <c r="S878" i="8"/>
  <c r="T878" i="8"/>
  <c r="R879" i="8"/>
  <c r="S879" i="8"/>
  <c r="T879" i="8"/>
  <c r="R880" i="8"/>
  <c r="S880" i="8"/>
  <c r="T880" i="8"/>
  <c r="R881" i="8"/>
  <c r="S881" i="8"/>
  <c r="T881" i="8"/>
  <c r="R882" i="8"/>
  <c r="S882" i="8"/>
  <c r="T882" i="8"/>
  <c r="R883" i="8"/>
  <c r="S883" i="8"/>
  <c r="T883" i="8"/>
  <c r="R884" i="8"/>
  <c r="S884" i="8"/>
  <c r="T884" i="8"/>
  <c r="R885" i="8"/>
  <c r="S885" i="8"/>
  <c r="T885" i="8"/>
  <c r="R886" i="8"/>
  <c r="S886" i="8"/>
  <c r="T886" i="8"/>
  <c r="R887" i="8"/>
  <c r="S887" i="8"/>
  <c r="T887" i="8"/>
  <c r="R888" i="8"/>
  <c r="S888" i="8"/>
  <c r="T888" i="8"/>
  <c r="R889" i="8"/>
  <c r="S889" i="8"/>
  <c r="T889" i="8"/>
  <c r="R890" i="8"/>
  <c r="S890" i="8"/>
  <c r="T890" i="8"/>
  <c r="R891" i="8"/>
  <c r="S891" i="8"/>
  <c r="T891" i="8"/>
  <c r="R892" i="8"/>
  <c r="S892" i="8"/>
  <c r="T892" i="8"/>
  <c r="R893" i="8"/>
  <c r="S893" i="8"/>
  <c r="T893" i="8"/>
  <c r="R894" i="8"/>
  <c r="S894" i="8"/>
  <c r="T894" i="8"/>
  <c r="R895" i="8"/>
  <c r="S895" i="8"/>
  <c r="T895" i="8"/>
  <c r="R896" i="8"/>
  <c r="S896" i="8"/>
  <c r="T896" i="8"/>
  <c r="R897" i="8"/>
  <c r="S897" i="8"/>
  <c r="T897" i="8"/>
  <c r="R898" i="8"/>
  <c r="S898" i="8"/>
  <c r="T898" i="8"/>
  <c r="R899" i="8"/>
  <c r="S899" i="8"/>
  <c r="T899" i="8"/>
  <c r="R900" i="8"/>
  <c r="S900" i="8"/>
  <c r="T900" i="8"/>
  <c r="R901" i="8"/>
  <c r="S901" i="8"/>
  <c r="T901" i="8"/>
  <c r="R902" i="8"/>
  <c r="S902" i="8"/>
  <c r="T902" i="8"/>
  <c r="R903" i="8"/>
  <c r="S903" i="8"/>
  <c r="T903" i="8"/>
  <c r="R904" i="8"/>
  <c r="S904" i="8"/>
  <c r="T904" i="8"/>
  <c r="R905" i="8"/>
  <c r="S905" i="8"/>
  <c r="T905" i="8"/>
  <c r="R906" i="8"/>
  <c r="S906" i="8"/>
  <c r="T906" i="8"/>
  <c r="R907" i="8"/>
  <c r="S907" i="8"/>
  <c r="T907" i="8"/>
  <c r="R908" i="8"/>
  <c r="S908" i="8"/>
  <c r="T908" i="8"/>
  <c r="R909" i="8"/>
  <c r="S909" i="8"/>
  <c r="T909" i="8"/>
  <c r="R910" i="8"/>
  <c r="S910" i="8"/>
  <c r="T910" i="8"/>
  <c r="R911" i="8"/>
  <c r="S911" i="8"/>
  <c r="T911" i="8"/>
  <c r="R912" i="8"/>
  <c r="S912" i="8"/>
  <c r="T912" i="8"/>
  <c r="R913" i="8"/>
  <c r="S913" i="8"/>
  <c r="T913" i="8"/>
  <c r="R914" i="8"/>
  <c r="S914" i="8"/>
  <c r="T914" i="8"/>
  <c r="R915" i="8"/>
  <c r="S915" i="8"/>
  <c r="T915" i="8"/>
  <c r="R916" i="8"/>
  <c r="S916" i="8"/>
  <c r="T916" i="8"/>
  <c r="R917" i="8"/>
  <c r="S917" i="8"/>
  <c r="T917" i="8"/>
  <c r="R918" i="8"/>
  <c r="S918" i="8"/>
  <c r="T918" i="8"/>
  <c r="R919" i="8"/>
  <c r="S919" i="8"/>
  <c r="T919" i="8"/>
  <c r="R920" i="8"/>
  <c r="S920" i="8"/>
  <c r="T920" i="8"/>
  <c r="R921" i="8"/>
  <c r="S921" i="8"/>
  <c r="T921" i="8"/>
  <c r="R922" i="8"/>
  <c r="S922" i="8"/>
  <c r="T922" i="8"/>
  <c r="R923" i="8"/>
  <c r="S923" i="8"/>
  <c r="T923" i="8"/>
  <c r="R924" i="8"/>
  <c r="S924" i="8"/>
  <c r="T924" i="8"/>
  <c r="R925" i="8"/>
  <c r="S925" i="8"/>
  <c r="T925" i="8"/>
  <c r="R926" i="8"/>
  <c r="S926" i="8"/>
  <c r="T926" i="8"/>
  <c r="R927" i="8"/>
  <c r="S927" i="8"/>
  <c r="T927" i="8"/>
  <c r="R928" i="8"/>
  <c r="S928" i="8"/>
  <c r="T928" i="8"/>
  <c r="R929" i="8"/>
  <c r="S929" i="8"/>
  <c r="T929" i="8"/>
  <c r="R930" i="8"/>
  <c r="S930" i="8"/>
  <c r="T930" i="8"/>
  <c r="R931" i="8"/>
  <c r="S931" i="8"/>
  <c r="T931" i="8"/>
  <c r="R932" i="8"/>
  <c r="S932" i="8"/>
  <c r="T932" i="8"/>
  <c r="R933" i="8"/>
  <c r="S933" i="8"/>
  <c r="T933" i="8"/>
  <c r="R934" i="8"/>
  <c r="S934" i="8"/>
  <c r="T934" i="8"/>
  <c r="R935" i="8"/>
  <c r="S935" i="8"/>
  <c r="T935" i="8"/>
  <c r="R936" i="8"/>
  <c r="S936" i="8"/>
  <c r="T936" i="8"/>
  <c r="R937" i="8"/>
  <c r="S937" i="8"/>
  <c r="T937" i="8"/>
  <c r="R938" i="8"/>
  <c r="S938" i="8"/>
  <c r="T938" i="8"/>
  <c r="R939" i="8"/>
  <c r="S939" i="8"/>
  <c r="T939" i="8"/>
  <c r="R940" i="8"/>
  <c r="S940" i="8"/>
  <c r="T940" i="8"/>
  <c r="R941" i="8"/>
  <c r="S941" i="8"/>
  <c r="T941" i="8"/>
  <c r="R942" i="8"/>
  <c r="S942" i="8"/>
  <c r="T942" i="8"/>
  <c r="R943" i="8"/>
  <c r="S943" i="8"/>
  <c r="T943" i="8"/>
  <c r="R944" i="8"/>
  <c r="S944" i="8"/>
  <c r="T944" i="8"/>
  <c r="R945" i="8"/>
  <c r="S945" i="8"/>
  <c r="T945" i="8"/>
  <c r="R946" i="8"/>
  <c r="S946" i="8"/>
  <c r="T946" i="8"/>
  <c r="R947" i="8"/>
  <c r="S947" i="8"/>
  <c r="T947" i="8"/>
  <c r="R948" i="8"/>
  <c r="S948" i="8"/>
  <c r="T948" i="8"/>
  <c r="R949" i="8"/>
  <c r="S949" i="8"/>
  <c r="T949" i="8"/>
  <c r="R950" i="8"/>
  <c r="S950" i="8"/>
  <c r="T950" i="8"/>
  <c r="R951" i="8"/>
  <c r="S951" i="8"/>
  <c r="T951" i="8"/>
  <c r="R952" i="8"/>
  <c r="S952" i="8"/>
  <c r="T952" i="8"/>
  <c r="R953" i="8"/>
  <c r="S953" i="8"/>
  <c r="T953" i="8"/>
  <c r="R954" i="8"/>
  <c r="S954" i="8"/>
  <c r="T954" i="8"/>
  <c r="R955" i="8"/>
  <c r="S955" i="8"/>
  <c r="T955" i="8"/>
  <c r="R956" i="8"/>
  <c r="S956" i="8"/>
  <c r="T956" i="8"/>
  <c r="R957" i="8"/>
  <c r="S957" i="8"/>
  <c r="T957" i="8"/>
  <c r="R958" i="8"/>
  <c r="S958" i="8"/>
  <c r="T958" i="8"/>
  <c r="R959" i="8"/>
  <c r="S959" i="8"/>
  <c r="T959" i="8"/>
  <c r="R960" i="8"/>
  <c r="S960" i="8"/>
  <c r="T960" i="8"/>
  <c r="R961" i="8"/>
  <c r="S961" i="8"/>
  <c r="T961" i="8"/>
  <c r="R962" i="8"/>
  <c r="S962" i="8"/>
  <c r="T962" i="8"/>
  <c r="R963" i="8"/>
  <c r="S963" i="8"/>
  <c r="T963" i="8"/>
  <c r="R964" i="8"/>
  <c r="S964" i="8"/>
  <c r="T964" i="8"/>
  <c r="R965" i="8"/>
  <c r="S965" i="8"/>
  <c r="T965" i="8"/>
  <c r="R966" i="8"/>
  <c r="S966" i="8"/>
  <c r="T966" i="8"/>
  <c r="R967" i="8"/>
  <c r="S967" i="8"/>
  <c r="T967" i="8"/>
  <c r="R968" i="8"/>
  <c r="S968" i="8"/>
  <c r="T968" i="8"/>
  <c r="R969" i="8"/>
  <c r="S969" i="8"/>
  <c r="T969" i="8"/>
  <c r="R970" i="8"/>
  <c r="S970" i="8"/>
  <c r="T970" i="8"/>
  <c r="R971" i="8"/>
  <c r="S971" i="8"/>
  <c r="T971" i="8"/>
  <c r="R972" i="8"/>
  <c r="S972" i="8"/>
  <c r="T972" i="8"/>
  <c r="R973" i="8"/>
  <c r="S973" i="8"/>
  <c r="T973" i="8"/>
  <c r="R974" i="8"/>
  <c r="S974" i="8"/>
  <c r="T974" i="8"/>
  <c r="R975" i="8"/>
  <c r="S975" i="8"/>
  <c r="T975" i="8"/>
  <c r="R976" i="8"/>
  <c r="S976" i="8"/>
  <c r="T976" i="8"/>
  <c r="R977" i="8"/>
  <c r="S977" i="8"/>
  <c r="T977" i="8"/>
  <c r="R978" i="8"/>
  <c r="S978" i="8"/>
  <c r="T978" i="8"/>
  <c r="R979" i="8"/>
  <c r="S979" i="8"/>
  <c r="T979" i="8"/>
  <c r="R980" i="8"/>
  <c r="S980" i="8"/>
  <c r="T980" i="8"/>
  <c r="R981" i="8"/>
  <c r="S981" i="8"/>
  <c r="T981" i="8"/>
  <c r="R982" i="8"/>
  <c r="S982" i="8"/>
  <c r="T982" i="8"/>
  <c r="R983" i="8"/>
  <c r="S983" i="8"/>
  <c r="T983" i="8"/>
  <c r="R984" i="8"/>
  <c r="S984" i="8"/>
  <c r="T984" i="8"/>
  <c r="R985" i="8"/>
  <c r="S985" i="8"/>
  <c r="T985" i="8"/>
  <c r="R986" i="8"/>
  <c r="S986" i="8"/>
  <c r="T986" i="8"/>
  <c r="R987" i="8"/>
  <c r="S987" i="8"/>
  <c r="T987" i="8"/>
  <c r="R988" i="8"/>
  <c r="S988" i="8"/>
  <c r="T988" i="8"/>
  <c r="R989" i="8"/>
  <c r="S989" i="8"/>
  <c r="T989" i="8"/>
  <c r="R990" i="8"/>
  <c r="S990" i="8"/>
  <c r="T990" i="8"/>
  <c r="R991" i="8"/>
  <c r="S991" i="8"/>
  <c r="T991" i="8"/>
  <c r="R992" i="8"/>
  <c r="S992" i="8"/>
  <c r="T992" i="8"/>
  <c r="R993" i="8"/>
  <c r="S993" i="8"/>
  <c r="T993" i="8"/>
  <c r="R994" i="8"/>
  <c r="S994" i="8"/>
  <c r="T994" i="8"/>
  <c r="R995" i="8"/>
  <c r="S995" i="8"/>
  <c r="T995" i="8"/>
  <c r="R996" i="8"/>
  <c r="S996" i="8"/>
  <c r="T996" i="8"/>
  <c r="R997" i="8"/>
  <c r="S997" i="8"/>
  <c r="T997" i="8"/>
  <c r="R998" i="8"/>
  <c r="S998" i="8"/>
  <c r="T998" i="8"/>
  <c r="R999" i="8"/>
  <c r="S999" i="8"/>
  <c r="T999" i="8"/>
  <c r="R1000" i="8"/>
  <c r="S1000" i="8"/>
  <c r="T1000" i="8"/>
  <c r="R1001" i="8"/>
  <c r="S1001" i="8"/>
  <c r="T1001" i="8"/>
  <c r="R1002" i="8"/>
  <c r="S1002" i="8"/>
  <c r="T1002" i="8"/>
  <c r="R1003" i="8"/>
  <c r="S1003" i="8"/>
  <c r="T1003" i="8"/>
  <c r="R1004" i="8"/>
  <c r="S1004" i="8"/>
  <c r="T1004" i="8"/>
  <c r="R1005" i="8"/>
  <c r="S1005" i="8"/>
  <c r="T1005" i="8"/>
  <c r="R1006" i="8"/>
  <c r="S1006" i="8"/>
  <c r="T1006" i="8"/>
  <c r="R1007" i="8"/>
  <c r="S1007" i="8"/>
  <c r="T1007" i="8"/>
  <c r="R1008" i="8"/>
  <c r="S1008" i="8"/>
  <c r="T1008" i="8"/>
  <c r="R1009" i="8"/>
  <c r="S1009" i="8"/>
  <c r="T1009" i="8"/>
  <c r="R1010" i="8"/>
  <c r="S1010" i="8"/>
  <c r="T1010" i="8"/>
  <c r="R1011" i="8"/>
  <c r="S1011" i="8"/>
  <c r="T1011" i="8"/>
  <c r="R1012" i="8"/>
  <c r="S1012" i="8"/>
  <c r="T1012" i="8"/>
  <c r="R1013" i="8"/>
  <c r="S1013" i="8"/>
  <c r="T1013" i="8"/>
  <c r="R1014" i="8"/>
  <c r="S1014" i="8"/>
  <c r="T1014" i="8"/>
  <c r="R1015" i="8"/>
  <c r="S1015" i="8"/>
  <c r="T1015" i="8"/>
  <c r="R1016" i="8"/>
  <c r="S1016" i="8"/>
  <c r="T1016" i="8"/>
  <c r="R1017" i="8"/>
  <c r="S1017" i="8"/>
  <c r="T1017" i="8"/>
  <c r="R1018" i="8"/>
  <c r="S1018" i="8"/>
  <c r="T1018" i="8"/>
  <c r="R1019" i="8"/>
  <c r="S1019" i="8"/>
  <c r="T1019" i="8"/>
  <c r="R1020" i="8"/>
  <c r="S1020" i="8"/>
  <c r="T1020" i="8"/>
  <c r="R1021" i="8"/>
  <c r="S1021" i="8"/>
  <c r="T1021" i="8"/>
  <c r="R1022" i="8"/>
  <c r="S1022" i="8"/>
  <c r="T1022" i="8"/>
  <c r="R1023" i="8"/>
  <c r="S1023" i="8"/>
  <c r="T1023" i="8"/>
  <c r="R1024" i="8"/>
  <c r="S1024" i="8"/>
  <c r="T1024" i="8"/>
  <c r="R1025" i="8"/>
  <c r="S1025" i="8"/>
  <c r="T1025" i="8"/>
  <c r="R1026" i="8"/>
  <c r="S1026" i="8"/>
  <c r="T1026" i="8"/>
  <c r="R1027" i="8"/>
  <c r="S1027" i="8"/>
  <c r="T1027" i="8"/>
  <c r="R1028" i="8"/>
  <c r="S1028" i="8"/>
  <c r="T1028" i="8"/>
  <c r="R1029" i="8"/>
  <c r="S1029" i="8"/>
  <c r="T1029" i="8"/>
  <c r="R1030" i="8"/>
  <c r="S1030" i="8"/>
  <c r="T1030" i="8"/>
  <c r="R1031" i="8"/>
  <c r="S1031" i="8"/>
  <c r="T1031" i="8"/>
  <c r="R1032" i="8"/>
  <c r="S1032" i="8"/>
  <c r="T1032" i="8"/>
  <c r="R1033" i="8"/>
  <c r="S1033" i="8"/>
  <c r="T1033" i="8"/>
  <c r="R1034" i="8"/>
  <c r="S1034" i="8"/>
  <c r="T1034" i="8"/>
  <c r="R1035" i="8"/>
  <c r="S1035" i="8"/>
  <c r="T1035" i="8"/>
  <c r="R1036" i="8"/>
  <c r="S1036" i="8"/>
  <c r="T1036" i="8"/>
  <c r="R1037" i="8"/>
  <c r="S1037" i="8"/>
  <c r="T1037" i="8"/>
  <c r="R1038" i="8"/>
  <c r="S1038" i="8"/>
  <c r="T1038" i="8"/>
  <c r="R1039" i="8"/>
  <c r="S1039" i="8"/>
  <c r="T1039" i="8"/>
  <c r="R1040" i="8"/>
  <c r="S1040" i="8"/>
  <c r="T1040" i="8"/>
  <c r="R1041" i="8"/>
  <c r="S1041" i="8"/>
  <c r="T1041" i="8"/>
  <c r="R1042" i="8"/>
  <c r="S1042" i="8"/>
  <c r="T1042" i="8"/>
  <c r="R1043" i="8"/>
  <c r="S1043" i="8"/>
  <c r="T1043" i="8"/>
  <c r="R1044" i="8"/>
  <c r="S1044" i="8"/>
  <c r="T1044" i="8"/>
  <c r="R1045" i="8"/>
  <c r="S1045" i="8"/>
  <c r="T1045" i="8"/>
  <c r="R1046" i="8"/>
  <c r="S1046" i="8"/>
  <c r="T1046" i="8"/>
  <c r="R1047" i="8"/>
  <c r="S1047" i="8"/>
  <c r="T1047" i="8"/>
  <c r="R1048" i="8"/>
  <c r="S1048" i="8"/>
  <c r="T1048" i="8"/>
  <c r="R1049" i="8"/>
  <c r="S1049" i="8"/>
  <c r="T1049" i="8"/>
  <c r="R1050" i="8"/>
  <c r="S1050" i="8"/>
  <c r="T1050" i="8"/>
  <c r="R1051" i="8"/>
  <c r="S1051" i="8"/>
  <c r="T1051" i="8"/>
  <c r="R1052" i="8"/>
  <c r="S1052" i="8"/>
  <c r="T1052" i="8"/>
  <c r="R1053" i="8"/>
  <c r="S1053" i="8"/>
  <c r="T1053" i="8"/>
  <c r="R1054" i="8"/>
  <c r="S1054" i="8"/>
  <c r="T1054" i="8"/>
  <c r="R1055" i="8"/>
  <c r="S1055" i="8"/>
  <c r="T1055" i="8"/>
  <c r="R1056" i="8"/>
  <c r="S1056" i="8"/>
  <c r="T1056" i="8"/>
  <c r="R1057" i="8"/>
  <c r="S1057" i="8"/>
  <c r="T1057" i="8"/>
  <c r="R1058" i="8"/>
  <c r="S1058" i="8"/>
  <c r="T1058" i="8"/>
  <c r="R1059" i="8"/>
  <c r="S1059" i="8"/>
  <c r="T1059" i="8"/>
  <c r="R1060" i="8"/>
  <c r="S1060" i="8"/>
  <c r="T1060" i="8"/>
  <c r="R1061" i="8"/>
  <c r="S1061" i="8"/>
  <c r="T1061" i="8"/>
  <c r="R1062" i="8"/>
  <c r="S1062" i="8"/>
  <c r="T1062" i="8"/>
  <c r="R1063" i="8"/>
  <c r="S1063" i="8"/>
  <c r="T1063" i="8"/>
  <c r="R1064" i="8"/>
  <c r="S1064" i="8"/>
  <c r="T1064" i="8"/>
  <c r="R1065" i="8"/>
  <c r="S1065" i="8"/>
  <c r="T1065" i="8"/>
  <c r="R1066" i="8"/>
  <c r="S1066" i="8"/>
  <c r="T1066" i="8"/>
  <c r="R1067" i="8"/>
  <c r="S1067" i="8"/>
  <c r="T1067" i="8"/>
  <c r="R1068" i="8"/>
  <c r="S1068" i="8"/>
  <c r="T1068" i="8"/>
  <c r="R1069" i="8"/>
  <c r="S1069" i="8"/>
  <c r="T1069" i="8"/>
  <c r="R1070" i="8"/>
  <c r="S1070" i="8"/>
  <c r="T1070" i="8"/>
  <c r="R1071" i="8"/>
  <c r="S1071" i="8"/>
  <c r="T1071" i="8"/>
  <c r="R1072" i="8"/>
  <c r="S1072" i="8"/>
  <c r="T1072" i="8"/>
  <c r="R1073" i="8"/>
  <c r="S1073" i="8"/>
  <c r="T1073" i="8"/>
  <c r="R1074" i="8"/>
  <c r="S1074" i="8"/>
  <c r="T1074" i="8"/>
  <c r="R1075" i="8"/>
  <c r="S1075" i="8"/>
  <c r="T1075" i="8"/>
  <c r="R1076" i="8"/>
  <c r="S1076" i="8"/>
  <c r="T1076" i="8"/>
  <c r="R1077" i="8"/>
  <c r="S1077" i="8"/>
  <c r="T1077" i="8"/>
  <c r="R1078" i="8"/>
  <c r="S1078" i="8"/>
  <c r="T1078" i="8"/>
  <c r="R1079" i="8"/>
  <c r="S1079" i="8"/>
  <c r="T1079" i="8"/>
  <c r="R1080" i="8"/>
  <c r="S1080" i="8"/>
  <c r="T1080" i="8"/>
  <c r="R1081" i="8"/>
  <c r="S1081" i="8"/>
  <c r="T1081" i="8"/>
  <c r="R1082" i="8"/>
  <c r="S1082" i="8"/>
  <c r="T1082" i="8"/>
  <c r="R1083" i="8"/>
  <c r="S1083" i="8"/>
  <c r="T1083" i="8"/>
  <c r="R1084" i="8"/>
  <c r="S1084" i="8"/>
  <c r="T1084" i="8"/>
  <c r="R1085" i="8"/>
  <c r="S1085" i="8"/>
  <c r="T1085" i="8"/>
  <c r="R1086" i="8"/>
  <c r="S1086" i="8"/>
  <c r="T1086" i="8"/>
  <c r="R1087" i="8"/>
  <c r="S1087" i="8"/>
  <c r="T1087" i="8"/>
  <c r="R1088" i="8"/>
  <c r="S1088" i="8"/>
  <c r="T1088" i="8"/>
  <c r="R1089" i="8"/>
  <c r="S1089" i="8"/>
  <c r="T1089" i="8"/>
  <c r="R1090" i="8"/>
  <c r="S1090" i="8"/>
  <c r="T1090" i="8"/>
  <c r="R1091" i="8"/>
  <c r="S1091" i="8"/>
  <c r="T1091" i="8"/>
  <c r="R1092" i="8"/>
  <c r="S1092" i="8"/>
  <c r="T1092" i="8"/>
  <c r="R1093" i="8"/>
  <c r="S1093" i="8"/>
  <c r="T1093" i="8"/>
  <c r="R1094" i="8"/>
  <c r="S1094" i="8"/>
  <c r="T1094" i="8"/>
  <c r="R1095" i="8"/>
  <c r="S1095" i="8"/>
  <c r="T1095" i="8"/>
  <c r="R1096" i="8"/>
  <c r="S1096" i="8"/>
  <c r="T1096" i="8"/>
  <c r="R1097" i="8"/>
  <c r="S1097" i="8"/>
  <c r="T1097" i="8"/>
  <c r="R1098" i="8"/>
  <c r="S1098" i="8"/>
  <c r="T1098" i="8"/>
  <c r="R1099" i="8"/>
  <c r="S1099" i="8"/>
  <c r="T1099" i="8"/>
  <c r="R1100" i="8"/>
  <c r="S1100" i="8"/>
  <c r="T1100" i="8"/>
  <c r="R1101" i="8"/>
  <c r="S1101" i="8"/>
  <c r="T1101" i="8"/>
  <c r="R1102" i="8"/>
  <c r="S1102" i="8"/>
  <c r="T1102" i="8"/>
  <c r="R1103" i="8"/>
  <c r="S1103" i="8"/>
  <c r="T1103" i="8"/>
  <c r="R1104" i="8"/>
  <c r="S1104" i="8"/>
  <c r="T1104" i="8"/>
  <c r="R1105" i="8"/>
  <c r="S1105" i="8"/>
  <c r="T1105" i="8"/>
  <c r="R1106" i="8"/>
  <c r="S1106" i="8"/>
  <c r="T1106" i="8"/>
  <c r="R1107" i="8"/>
  <c r="S1107" i="8"/>
  <c r="T1107" i="8"/>
  <c r="R1108" i="8"/>
  <c r="S1108" i="8"/>
  <c r="T1108" i="8"/>
  <c r="R1109" i="8"/>
  <c r="S1109" i="8"/>
  <c r="T1109" i="8"/>
  <c r="R1110" i="8"/>
  <c r="S1110" i="8"/>
  <c r="T1110" i="8"/>
  <c r="R1111" i="8"/>
  <c r="S1111" i="8"/>
  <c r="T1111" i="8"/>
  <c r="R1112" i="8"/>
  <c r="S1112" i="8"/>
  <c r="T1112" i="8"/>
  <c r="R1113" i="8"/>
  <c r="S1113" i="8"/>
  <c r="T1113" i="8"/>
  <c r="R1114" i="8"/>
  <c r="S1114" i="8"/>
  <c r="T1114" i="8"/>
  <c r="R1115" i="8"/>
  <c r="S1115" i="8"/>
  <c r="T1115" i="8"/>
  <c r="R1116" i="8"/>
  <c r="S1116" i="8"/>
  <c r="T1116" i="8"/>
  <c r="R1117" i="8"/>
  <c r="S1117" i="8"/>
  <c r="T1117" i="8"/>
  <c r="R1118" i="8"/>
  <c r="S1118" i="8"/>
  <c r="T1118" i="8"/>
  <c r="R1119" i="8"/>
  <c r="S1119" i="8"/>
  <c r="T1119" i="8"/>
  <c r="R1120" i="8"/>
  <c r="S1120" i="8"/>
  <c r="T1120" i="8"/>
  <c r="R1121" i="8"/>
  <c r="S1121" i="8"/>
  <c r="T1121" i="8"/>
  <c r="R1122" i="8"/>
  <c r="S1122" i="8"/>
  <c r="T1122" i="8"/>
  <c r="R1123" i="8"/>
  <c r="S1123" i="8"/>
  <c r="T1123" i="8"/>
  <c r="R1124" i="8"/>
  <c r="S1124" i="8"/>
  <c r="T1124" i="8"/>
  <c r="R1125" i="8"/>
  <c r="S1125" i="8"/>
  <c r="T1125" i="8"/>
  <c r="R1126" i="8"/>
  <c r="S1126" i="8"/>
  <c r="T1126" i="8"/>
  <c r="R1127" i="8"/>
  <c r="S1127" i="8"/>
  <c r="T1127" i="8"/>
  <c r="R1128" i="8"/>
  <c r="S1128" i="8"/>
  <c r="T1128" i="8"/>
  <c r="R1129" i="8"/>
  <c r="S1129" i="8"/>
  <c r="T1129" i="8"/>
  <c r="R1130" i="8"/>
  <c r="S1130" i="8"/>
  <c r="T1130" i="8"/>
  <c r="R1131" i="8"/>
  <c r="S1131" i="8"/>
  <c r="T1131" i="8"/>
  <c r="R1132" i="8"/>
  <c r="S1132" i="8"/>
  <c r="T1132" i="8"/>
  <c r="R1133" i="8"/>
  <c r="S1133" i="8"/>
  <c r="T1133" i="8"/>
  <c r="R1134" i="8"/>
  <c r="S1134" i="8"/>
  <c r="T1134" i="8"/>
  <c r="R1135" i="8"/>
  <c r="S1135" i="8"/>
  <c r="T1135" i="8"/>
  <c r="R1136" i="8"/>
  <c r="S1136" i="8"/>
  <c r="T1136" i="8"/>
  <c r="R1137" i="8"/>
  <c r="S1137" i="8"/>
  <c r="T1137" i="8"/>
  <c r="R1138" i="8"/>
  <c r="S1138" i="8"/>
  <c r="T1138" i="8"/>
  <c r="R1139" i="8"/>
  <c r="S1139" i="8"/>
  <c r="T1139" i="8"/>
  <c r="R1140" i="8"/>
  <c r="S1140" i="8"/>
  <c r="T1140" i="8"/>
  <c r="R1141" i="8"/>
  <c r="S1141" i="8"/>
  <c r="T1141" i="8"/>
  <c r="R1142" i="8"/>
  <c r="S1142" i="8"/>
  <c r="T1142" i="8"/>
  <c r="R1143" i="8"/>
  <c r="S1143" i="8"/>
  <c r="T1143" i="8"/>
  <c r="R1144" i="8"/>
  <c r="S1144" i="8"/>
  <c r="T1144" i="8"/>
  <c r="R1145" i="8"/>
  <c r="S1145" i="8"/>
  <c r="T1145" i="8"/>
  <c r="R1146" i="8"/>
  <c r="S1146" i="8"/>
  <c r="T1146" i="8"/>
  <c r="R1147" i="8"/>
  <c r="S1147" i="8"/>
  <c r="T1147" i="8"/>
  <c r="R1148" i="8"/>
  <c r="S1148" i="8"/>
  <c r="T1148" i="8"/>
  <c r="R1149" i="8"/>
  <c r="S1149" i="8"/>
  <c r="T1149" i="8"/>
  <c r="R1150" i="8"/>
  <c r="S1150" i="8"/>
  <c r="T1150" i="8"/>
  <c r="R1151" i="8"/>
  <c r="S1151" i="8"/>
  <c r="T1151" i="8"/>
  <c r="R1152" i="8"/>
  <c r="S1152" i="8"/>
  <c r="T1152" i="8"/>
  <c r="R1153" i="8"/>
  <c r="S1153" i="8"/>
  <c r="T1153" i="8"/>
  <c r="R1154" i="8"/>
  <c r="S1154" i="8"/>
  <c r="T1154" i="8"/>
  <c r="R1155" i="8"/>
  <c r="S1155" i="8"/>
  <c r="T1155" i="8"/>
  <c r="R1156" i="8"/>
  <c r="S1156" i="8"/>
  <c r="T1156" i="8"/>
  <c r="R1157" i="8"/>
  <c r="S1157" i="8"/>
  <c r="T1157" i="8"/>
  <c r="R1158" i="8"/>
  <c r="S1158" i="8"/>
  <c r="T1158" i="8"/>
  <c r="R1159" i="8"/>
  <c r="S1159" i="8"/>
  <c r="T1159" i="8"/>
  <c r="R1160" i="8"/>
  <c r="S1160" i="8"/>
  <c r="T1160" i="8"/>
  <c r="R1161" i="8"/>
  <c r="S1161" i="8"/>
  <c r="T1161" i="8"/>
  <c r="R1162" i="8"/>
  <c r="S1162" i="8"/>
  <c r="T1162" i="8"/>
  <c r="R1163" i="8"/>
  <c r="S1163" i="8"/>
  <c r="T1163" i="8"/>
  <c r="R1164" i="8"/>
  <c r="S1164" i="8"/>
  <c r="T1164" i="8"/>
  <c r="R1165" i="8"/>
  <c r="S1165" i="8"/>
  <c r="T1165" i="8"/>
  <c r="R1166" i="8"/>
  <c r="S1166" i="8"/>
  <c r="T1166" i="8"/>
  <c r="R1167" i="8"/>
  <c r="S1167" i="8"/>
  <c r="T1167" i="8"/>
  <c r="R1168" i="8"/>
  <c r="S1168" i="8"/>
  <c r="T1168" i="8"/>
  <c r="R1169" i="8"/>
  <c r="S1169" i="8"/>
  <c r="T1169" i="8"/>
  <c r="R1170" i="8"/>
  <c r="S1170" i="8"/>
  <c r="T1170" i="8"/>
  <c r="R1171" i="8"/>
  <c r="S1171" i="8"/>
  <c r="T1171" i="8"/>
  <c r="R1172" i="8"/>
  <c r="S1172" i="8"/>
  <c r="T1172" i="8"/>
  <c r="R1173" i="8"/>
  <c r="S1173" i="8"/>
  <c r="T1173" i="8"/>
  <c r="R1174" i="8"/>
  <c r="S1174" i="8"/>
  <c r="T1174" i="8"/>
  <c r="R1175" i="8"/>
  <c r="S1175" i="8"/>
  <c r="T1175" i="8"/>
  <c r="R1176" i="8"/>
  <c r="S1176" i="8"/>
  <c r="T1176" i="8"/>
  <c r="R1177" i="8"/>
  <c r="S1177" i="8"/>
  <c r="T1177" i="8"/>
  <c r="R1178" i="8"/>
  <c r="S1178" i="8"/>
  <c r="T1178" i="8"/>
  <c r="R1179" i="8"/>
  <c r="S1179" i="8"/>
  <c r="T1179" i="8"/>
  <c r="R1180" i="8"/>
  <c r="S1180" i="8"/>
  <c r="T1180" i="8"/>
  <c r="R1181" i="8"/>
  <c r="S1181" i="8"/>
  <c r="T1181" i="8"/>
  <c r="R1182" i="8"/>
  <c r="S1182" i="8"/>
  <c r="T1182" i="8"/>
  <c r="R1183" i="8"/>
  <c r="S1183" i="8"/>
  <c r="T1183" i="8"/>
  <c r="R1184" i="8"/>
  <c r="S1184" i="8"/>
  <c r="T1184" i="8"/>
  <c r="R1185" i="8"/>
  <c r="S1185" i="8"/>
  <c r="T1185" i="8"/>
  <c r="R1186" i="8"/>
  <c r="S1186" i="8"/>
  <c r="T1186" i="8"/>
  <c r="R1187" i="8"/>
  <c r="S1187" i="8"/>
  <c r="T1187" i="8"/>
  <c r="R1188" i="8"/>
  <c r="S1188" i="8"/>
  <c r="T1188" i="8"/>
  <c r="R1189" i="8"/>
  <c r="S1189" i="8"/>
  <c r="T1189" i="8"/>
  <c r="R1190" i="8"/>
  <c r="S1190" i="8"/>
  <c r="T1190" i="8"/>
  <c r="R1191" i="8"/>
  <c r="S1191" i="8"/>
  <c r="T1191" i="8"/>
  <c r="R1192" i="8"/>
  <c r="S1192" i="8"/>
  <c r="T1192" i="8"/>
  <c r="R1193" i="8"/>
  <c r="S1193" i="8"/>
  <c r="T1193" i="8"/>
  <c r="R1194" i="8"/>
  <c r="S1194" i="8"/>
  <c r="T1194" i="8"/>
  <c r="R1195" i="8"/>
  <c r="S1195" i="8"/>
  <c r="T1195" i="8"/>
  <c r="R1196" i="8"/>
  <c r="S1196" i="8"/>
  <c r="T1196" i="8"/>
  <c r="R1197" i="8"/>
  <c r="S1197" i="8"/>
  <c r="T1197" i="8"/>
  <c r="R1198" i="8"/>
  <c r="S1198" i="8"/>
  <c r="T1198" i="8"/>
  <c r="R1199" i="8"/>
  <c r="S1199" i="8"/>
  <c r="T1199" i="8"/>
  <c r="R1200" i="8"/>
  <c r="S1200" i="8"/>
  <c r="T1200" i="8"/>
  <c r="R1201" i="8"/>
  <c r="S1201" i="8"/>
  <c r="T1201" i="8"/>
  <c r="R1202" i="8"/>
  <c r="S1202" i="8"/>
  <c r="T1202" i="8"/>
  <c r="R1203" i="8"/>
  <c r="S1203" i="8"/>
  <c r="T1203" i="8"/>
  <c r="R1204" i="8"/>
  <c r="S1204" i="8"/>
  <c r="T1204" i="8"/>
  <c r="R1205" i="8"/>
  <c r="S1205" i="8"/>
  <c r="T1205" i="8"/>
  <c r="R1206" i="8"/>
  <c r="S1206" i="8"/>
  <c r="T1206" i="8"/>
  <c r="R1207" i="8"/>
  <c r="S1207" i="8"/>
  <c r="T1207" i="8"/>
  <c r="R1208" i="8"/>
  <c r="S1208" i="8"/>
  <c r="T1208" i="8"/>
  <c r="R1209" i="8"/>
  <c r="S1209" i="8"/>
  <c r="T1209" i="8"/>
  <c r="R1210" i="8"/>
  <c r="S1210" i="8"/>
  <c r="T1210" i="8"/>
  <c r="R1211" i="8"/>
  <c r="S1211" i="8"/>
  <c r="T1211" i="8"/>
  <c r="R1212" i="8"/>
  <c r="S1212" i="8"/>
  <c r="T1212" i="8"/>
  <c r="R1213" i="8"/>
  <c r="S1213" i="8"/>
  <c r="T1213" i="8"/>
  <c r="R1214" i="8"/>
  <c r="S1214" i="8"/>
  <c r="T1214" i="8"/>
  <c r="R1215" i="8"/>
  <c r="S1215" i="8"/>
  <c r="T1215" i="8"/>
  <c r="R1216" i="8"/>
  <c r="S1216" i="8"/>
  <c r="T1216" i="8"/>
  <c r="R1217" i="8"/>
  <c r="S1217" i="8"/>
  <c r="T1217" i="8"/>
  <c r="R1218" i="8"/>
  <c r="S1218" i="8"/>
  <c r="T1218" i="8"/>
  <c r="R1219" i="8"/>
  <c r="S1219" i="8"/>
  <c r="T1219" i="8"/>
  <c r="R1220" i="8"/>
  <c r="S1220" i="8"/>
  <c r="T1220" i="8"/>
  <c r="R1221" i="8"/>
  <c r="S1221" i="8"/>
  <c r="T1221" i="8"/>
  <c r="R1222" i="8"/>
  <c r="S1222" i="8"/>
  <c r="T1222" i="8"/>
  <c r="R1223" i="8"/>
  <c r="S1223" i="8"/>
  <c r="T1223" i="8"/>
  <c r="R1224" i="8"/>
  <c r="S1224" i="8"/>
  <c r="T1224" i="8"/>
  <c r="R1225" i="8"/>
  <c r="S1225" i="8"/>
  <c r="T1225" i="8"/>
  <c r="R1226" i="8"/>
  <c r="S1226" i="8"/>
  <c r="T1226" i="8"/>
  <c r="R1227" i="8"/>
  <c r="S1227" i="8"/>
  <c r="T1227" i="8"/>
  <c r="R1228" i="8"/>
  <c r="S1228" i="8"/>
  <c r="T1228" i="8"/>
  <c r="R1229" i="8"/>
  <c r="S1229" i="8"/>
  <c r="T1229" i="8"/>
  <c r="R1230" i="8"/>
  <c r="S1230" i="8"/>
  <c r="T1230" i="8"/>
  <c r="R1231" i="8"/>
  <c r="S1231" i="8"/>
  <c r="T1231" i="8"/>
  <c r="R1232" i="8"/>
  <c r="S1232" i="8"/>
  <c r="T1232" i="8"/>
  <c r="R1233" i="8"/>
  <c r="S1233" i="8"/>
  <c r="T1233" i="8"/>
  <c r="R1234" i="8"/>
  <c r="S1234" i="8"/>
  <c r="T1234" i="8"/>
  <c r="R1235" i="8"/>
  <c r="S1235" i="8"/>
  <c r="T1235" i="8"/>
  <c r="R1236" i="8"/>
  <c r="S1236" i="8"/>
  <c r="T1236" i="8"/>
  <c r="R1237" i="8"/>
  <c r="S1237" i="8"/>
  <c r="T1237" i="8"/>
  <c r="R1238" i="8"/>
  <c r="S1238" i="8"/>
  <c r="T1238" i="8"/>
  <c r="R1239" i="8"/>
  <c r="S1239" i="8"/>
  <c r="T1239" i="8"/>
  <c r="R1240" i="8"/>
  <c r="S1240" i="8"/>
  <c r="T1240" i="8"/>
  <c r="R1241" i="8"/>
  <c r="S1241" i="8"/>
  <c r="T1241" i="8"/>
  <c r="R1242" i="8"/>
  <c r="S1242" i="8"/>
  <c r="T1242" i="8"/>
  <c r="R1243" i="8"/>
  <c r="S1243" i="8"/>
  <c r="T1243" i="8"/>
  <c r="R1244" i="8"/>
  <c r="S1244" i="8"/>
  <c r="T1244" i="8"/>
  <c r="R1245" i="8"/>
  <c r="S1245" i="8"/>
  <c r="T1245" i="8"/>
  <c r="R1246" i="8"/>
  <c r="S1246" i="8"/>
  <c r="T1246" i="8"/>
  <c r="R1247" i="8"/>
  <c r="S1247" i="8"/>
  <c r="T1247" i="8"/>
  <c r="R1248" i="8"/>
  <c r="S1248" i="8"/>
  <c r="T1248" i="8"/>
  <c r="R1249" i="8"/>
  <c r="S1249" i="8"/>
  <c r="T1249" i="8"/>
  <c r="R1250" i="8"/>
  <c r="S1250" i="8"/>
  <c r="T1250" i="8"/>
  <c r="R1251" i="8"/>
  <c r="S1251" i="8"/>
  <c r="T1251" i="8"/>
  <c r="R1252" i="8"/>
  <c r="S1252" i="8"/>
  <c r="T1252" i="8"/>
  <c r="R1253" i="8"/>
  <c r="S1253" i="8"/>
  <c r="T1253" i="8"/>
  <c r="R1254" i="8"/>
  <c r="S1254" i="8"/>
  <c r="T1254" i="8"/>
  <c r="R1255" i="8"/>
  <c r="S1255" i="8"/>
  <c r="T1255" i="8"/>
  <c r="R1256" i="8"/>
  <c r="S1256" i="8"/>
  <c r="T1256" i="8"/>
  <c r="R1257" i="8"/>
  <c r="S1257" i="8"/>
  <c r="T1257" i="8"/>
  <c r="R1258" i="8"/>
  <c r="S1258" i="8"/>
  <c r="T1258" i="8"/>
  <c r="R1259" i="8"/>
  <c r="S1259" i="8"/>
  <c r="T1259" i="8"/>
  <c r="R1260" i="8"/>
  <c r="S1260" i="8"/>
  <c r="T1260" i="8"/>
  <c r="R1261" i="8"/>
  <c r="S1261" i="8"/>
  <c r="T1261" i="8"/>
  <c r="R1262" i="8"/>
  <c r="S1262" i="8"/>
  <c r="T1262" i="8"/>
  <c r="R1263" i="8"/>
  <c r="S1263" i="8"/>
  <c r="T1263" i="8"/>
  <c r="R1264" i="8"/>
  <c r="S1264" i="8"/>
  <c r="T1264" i="8"/>
  <c r="R1265" i="8"/>
  <c r="S1265" i="8"/>
  <c r="T1265" i="8"/>
  <c r="R1266" i="8"/>
  <c r="S1266" i="8"/>
  <c r="T1266" i="8"/>
  <c r="R1267" i="8"/>
  <c r="S1267" i="8"/>
  <c r="T1267" i="8"/>
  <c r="R1268" i="8"/>
  <c r="S1268" i="8"/>
  <c r="T1268" i="8"/>
  <c r="R1269" i="8"/>
  <c r="S1269" i="8"/>
  <c r="T1269" i="8"/>
  <c r="R1270" i="8"/>
  <c r="S1270" i="8"/>
  <c r="T1270" i="8"/>
  <c r="R1271" i="8"/>
  <c r="S1271" i="8"/>
  <c r="T1271" i="8"/>
  <c r="R1272" i="8"/>
  <c r="S1272" i="8"/>
  <c r="T1272" i="8"/>
  <c r="R1273" i="8"/>
  <c r="S1273" i="8"/>
  <c r="T1273" i="8"/>
  <c r="R1274" i="8"/>
  <c r="S1274" i="8"/>
  <c r="T1274" i="8"/>
  <c r="R1275" i="8"/>
  <c r="S1275" i="8"/>
  <c r="T1275" i="8"/>
  <c r="R1276" i="8"/>
  <c r="S1276" i="8"/>
  <c r="T1276" i="8"/>
  <c r="R1277" i="8"/>
  <c r="S1277" i="8"/>
  <c r="T1277" i="8"/>
  <c r="R1278" i="8"/>
  <c r="S1278" i="8"/>
  <c r="T1278" i="8"/>
  <c r="R1279" i="8"/>
  <c r="S1279" i="8"/>
  <c r="T1279" i="8"/>
  <c r="R1280" i="8"/>
  <c r="S1280" i="8"/>
  <c r="T1280" i="8"/>
  <c r="R1281" i="8"/>
  <c r="S1281" i="8"/>
  <c r="T1281" i="8"/>
  <c r="R1282" i="8"/>
  <c r="S1282" i="8"/>
  <c r="T1282" i="8"/>
  <c r="R1283" i="8"/>
  <c r="S1283" i="8"/>
  <c r="T1283" i="8"/>
  <c r="R1284" i="8"/>
  <c r="S1284" i="8"/>
  <c r="T1284" i="8"/>
  <c r="R1285" i="8"/>
  <c r="S1285" i="8"/>
  <c r="T1285" i="8"/>
  <c r="R1286" i="8"/>
  <c r="S1286" i="8"/>
  <c r="T1286" i="8"/>
  <c r="R1287" i="8"/>
  <c r="S1287" i="8"/>
  <c r="T1287" i="8"/>
  <c r="R1288" i="8"/>
  <c r="S1288" i="8"/>
  <c r="T1288" i="8"/>
  <c r="R1289" i="8"/>
  <c r="S1289" i="8"/>
  <c r="T1289" i="8"/>
  <c r="R1290" i="8"/>
  <c r="S1290" i="8"/>
  <c r="T1290" i="8"/>
  <c r="R1291" i="8"/>
  <c r="S1291" i="8"/>
  <c r="T1291" i="8"/>
  <c r="R1292" i="8"/>
  <c r="S1292" i="8"/>
  <c r="T1292" i="8"/>
  <c r="R1293" i="8"/>
  <c r="S1293" i="8"/>
  <c r="T1293" i="8"/>
  <c r="R1294" i="8"/>
  <c r="S1294" i="8"/>
  <c r="T1294" i="8"/>
  <c r="R1295" i="8"/>
  <c r="S1295" i="8"/>
  <c r="T1295" i="8"/>
  <c r="R1296" i="8"/>
  <c r="S1296" i="8"/>
  <c r="T1296" i="8"/>
  <c r="R1297" i="8"/>
  <c r="S1297" i="8"/>
  <c r="T1297" i="8"/>
  <c r="R1298" i="8"/>
  <c r="S1298" i="8"/>
  <c r="T1298" i="8"/>
  <c r="R1299" i="8"/>
  <c r="S1299" i="8"/>
  <c r="T1299" i="8"/>
  <c r="R1300" i="8"/>
  <c r="S1300" i="8"/>
  <c r="T1300" i="8"/>
  <c r="R1301" i="8"/>
  <c r="S1301" i="8"/>
  <c r="T1301" i="8"/>
  <c r="R1302" i="8"/>
  <c r="S1302" i="8"/>
  <c r="T1302" i="8"/>
  <c r="R1303" i="8"/>
  <c r="S1303" i="8"/>
  <c r="T1303" i="8"/>
  <c r="R1304" i="8"/>
  <c r="S1304" i="8"/>
  <c r="T1304" i="8"/>
  <c r="R1305" i="8"/>
  <c r="S1305" i="8"/>
  <c r="T1305" i="8"/>
  <c r="R1306" i="8"/>
  <c r="S1306" i="8"/>
  <c r="T1306" i="8"/>
  <c r="R1307" i="8"/>
  <c r="S1307" i="8"/>
  <c r="T1307" i="8"/>
  <c r="R1308" i="8"/>
  <c r="S1308" i="8"/>
  <c r="T1308" i="8"/>
  <c r="R1309" i="8"/>
  <c r="S1309" i="8"/>
  <c r="T1309" i="8"/>
  <c r="R1310" i="8"/>
  <c r="S1310" i="8"/>
  <c r="T1310" i="8"/>
  <c r="R1311" i="8"/>
  <c r="S1311" i="8"/>
  <c r="T1311" i="8"/>
  <c r="R1312" i="8"/>
  <c r="S1312" i="8"/>
  <c r="T1312" i="8"/>
  <c r="R1313" i="8"/>
  <c r="S1313" i="8"/>
  <c r="T1313" i="8"/>
  <c r="R1314" i="8"/>
  <c r="S1314" i="8"/>
  <c r="T1314" i="8"/>
  <c r="R1315" i="8"/>
  <c r="S1315" i="8"/>
  <c r="T1315" i="8"/>
  <c r="R1316" i="8"/>
  <c r="S1316" i="8"/>
  <c r="T1316" i="8"/>
  <c r="R1317" i="8"/>
  <c r="S1317" i="8"/>
  <c r="T1317" i="8"/>
  <c r="R1318" i="8"/>
  <c r="S1318" i="8"/>
  <c r="T1318" i="8"/>
  <c r="R1319" i="8"/>
  <c r="S1319" i="8"/>
  <c r="T1319" i="8"/>
  <c r="R1320" i="8"/>
  <c r="S1320" i="8"/>
  <c r="T1320" i="8"/>
  <c r="R1321" i="8"/>
  <c r="S1321" i="8"/>
  <c r="T1321" i="8"/>
  <c r="R1322" i="8"/>
  <c r="S1322" i="8"/>
  <c r="T1322" i="8"/>
  <c r="R1323" i="8"/>
  <c r="S1323" i="8"/>
  <c r="T1323" i="8"/>
  <c r="R1324" i="8"/>
  <c r="S1324" i="8"/>
  <c r="T1324" i="8"/>
  <c r="R1325" i="8"/>
  <c r="S1325" i="8"/>
  <c r="T1325" i="8"/>
  <c r="R1326" i="8"/>
  <c r="S1326" i="8"/>
  <c r="T1326" i="8"/>
  <c r="R1327" i="8"/>
  <c r="S1327" i="8"/>
  <c r="T1327" i="8"/>
  <c r="R1328" i="8"/>
  <c r="S1328" i="8"/>
  <c r="T1328" i="8"/>
  <c r="R1329" i="8"/>
  <c r="S1329" i="8"/>
  <c r="T1329" i="8"/>
  <c r="R1330" i="8"/>
  <c r="S1330" i="8"/>
  <c r="T1330" i="8"/>
  <c r="R1331" i="8"/>
  <c r="S1331" i="8"/>
  <c r="T1331" i="8"/>
  <c r="R1332" i="8"/>
  <c r="S1332" i="8"/>
  <c r="T1332" i="8"/>
  <c r="R1333" i="8"/>
  <c r="S1333" i="8"/>
  <c r="T1333" i="8"/>
  <c r="R1334" i="8"/>
  <c r="S1334" i="8"/>
  <c r="T1334" i="8"/>
  <c r="R1335" i="8"/>
  <c r="S1335" i="8"/>
  <c r="T1335" i="8"/>
  <c r="R1336" i="8"/>
  <c r="S1336" i="8"/>
  <c r="T1336" i="8"/>
  <c r="R1337" i="8"/>
  <c r="S1337" i="8"/>
  <c r="T1337" i="8"/>
  <c r="R1338" i="8"/>
  <c r="S1338" i="8"/>
  <c r="T1338" i="8"/>
  <c r="R1339" i="8"/>
  <c r="S1339" i="8"/>
  <c r="T1339" i="8"/>
  <c r="R1340" i="8"/>
  <c r="S1340" i="8"/>
  <c r="T1340" i="8"/>
  <c r="R1341" i="8"/>
  <c r="S1341" i="8"/>
  <c r="T1341" i="8"/>
  <c r="R1342" i="8"/>
  <c r="S1342" i="8"/>
  <c r="T1342" i="8"/>
  <c r="R1343" i="8"/>
  <c r="S1343" i="8"/>
  <c r="T1343" i="8"/>
  <c r="R1344" i="8"/>
  <c r="S1344" i="8"/>
  <c r="T1344" i="8"/>
  <c r="R1345" i="8"/>
  <c r="S1345" i="8"/>
  <c r="T1345" i="8"/>
  <c r="R1346" i="8"/>
  <c r="S1346" i="8"/>
  <c r="T1346" i="8"/>
  <c r="R1347" i="8"/>
  <c r="S1347" i="8"/>
  <c r="T1347" i="8"/>
  <c r="R1348" i="8"/>
  <c r="S1348" i="8"/>
  <c r="T1348" i="8"/>
  <c r="R1349" i="8"/>
  <c r="S1349" i="8"/>
  <c r="T1349" i="8"/>
  <c r="R1350" i="8"/>
  <c r="S1350" i="8"/>
  <c r="T1350" i="8"/>
  <c r="R1351" i="8"/>
  <c r="S1351" i="8"/>
  <c r="T1351" i="8"/>
  <c r="R1352" i="8"/>
  <c r="S1352" i="8"/>
  <c r="T1352" i="8"/>
  <c r="R1353" i="8"/>
  <c r="S1353" i="8"/>
  <c r="T1353" i="8"/>
  <c r="R1354" i="8"/>
  <c r="S1354" i="8"/>
  <c r="T1354" i="8"/>
  <c r="R1355" i="8"/>
  <c r="S1355" i="8"/>
  <c r="T1355" i="8"/>
  <c r="R1356" i="8"/>
  <c r="S1356" i="8"/>
  <c r="T1356" i="8"/>
  <c r="R1357" i="8"/>
  <c r="S1357" i="8"/>
  <c r="T1357" i="8"/>
  <c r="R1358" i="8"/>
  <c r="S1358" i="8"/>
  <c r="T1358" i="8"/>
  <c r="R1359" i="8"/>
  <c r="S1359" i="8"/>
  <c r="T1359" i="8"/>
  <c r="R1360" i="8"/>
  <c r="S1360" i="8"/>
  <c r="T1360" i="8"/>
  <c r="R1361" i="8"/>
  <c r="S1361" i="8"/>
  <c r="T1361" i="8"/>
  <c r="R1362" i="8"/>
  <c r="S1362" i="8"/>
  <c r="T1362" i="8"/>
  <c r="R1363" i="8"/>
  <c r="S1363" i="8"/>
  <c r="T1363" i="8"/>
  <c r="R1364" i="8"/>
  <c r="S1364" i="8"/>
  <c r="T1364" i="8"/>
  <c r="R1365" i="8"/>
  <c r="S1365" i="8"/>
  <c r="T1365" i="8"/>
  <c r="R1366" i="8"/>
  <c r="S1366" i="8"/>
  <c r="T1366" i="8"/>
  <c r="R1367" i="8"/>
  <c r="S1367" i="8"/>
  <c r="T1367" i="8"/>
  <c r="R1368" i="8"/>
  <c r="S1368" i="8"/>
  <c r="T1368" i="8"/>
  <c r="R1369" i="8"/>
  <c r="S1369" i="8"/>
  <c r="T1369" i="8"/>
  <c r="R1370" i="8"/>
  <c r="S1370" i="8"/>
  <c r="T1370" i="8"/>
  <c r="R1371" i="8"/>
  <c r="S1371" i="8"/>
  <c r="T1371" i="8"/>
  <c r="R1372" i="8"/>
  <c r="S1372" i="8"/>
  <c r="T1372" i="8"/>
  <c r="R1373" i="8"/>
  <c r="S1373" i="8"/>
  <c r="T1373" i="8"/>
  <c r="R1374" i="8"/>
  <c r="S1374" i="8"/>
  <c r="T1374" i="8"/>
  <c r="R1375" i="8"/>
  <c r="S1375" i="8"/>
  <c r="T1375" i="8"/>
  <c r="R1376" i="8"/>
  <c r="S1376" i="8"/>
  <c r="T1376" i="8"/>
  <c r="R1377" i="8"/>
  <c r="S1377" i="8"/>
  <c r="T1377" i="8"/>
  <c r="R1378" i="8"/>
  <c r="S1378" i="8"/>
  <c r="T1378" i="8"/>
  <c r="R1379" i="8"/>
  <c r="S1379" i="8"/>
  <c r="T1379" i="8"/>
  <c r="R1380" i="8"/>
  <c r="S1380" i="8"/>
  <c r="T1380" i="8"/>
  <c r="R1381" i="8"/>
  <c r="S1381" i="8"/>
  <c r="T1381" i="8"/>
  <c r="R1382" i="8"/>
  <c r="S1382" i="8"/>
  <c r="T1382" i="8"/>
  <c r="R1383" i="8"/>
  <c r="S1383" i="8"/>
  <c r="T1383" i="8"/>
  <c r="R1384" i="8"/>
  <c r="S1384" i="8"/>
  <c r="T1384" i="8"/>
  <c r="R1385" i="8"/>
  <c r="S1385" i="8"/>
  <c r="T1385" i="8"/>
  <c r="R1386" i="8"/>
  <c r="S1386" i="8"/>
  <c r="T1386" i="8"/>
  <c r="R1387" i="8"/>
  <c r="S1387" i="8"/>
  <c r="T1387" i="8"/>
  <c r="R1388" i="8"/>
  <c r="S1388" i="8"/>
  <c r="T1388" i="8"/>
  <c r="R1389" i="8"/>
  <c r="S1389" i="8"/>
  <c r="T1389" i="8"/>
  <c r="R1390" i="8"/>
  <c r="S1390" i="8"/>
  <c r="T1390" i="8"/>
  <c r="R1391" i="8"/>
  <c r="S1391" i="8"/>
  <c r="T1391" i="8"/>
  <c r="R1392" i="8"/>
  <c r="S1392" i="8"/>
  <c r="T1392" i="8"/>
  <c r="R1393" i="8"/>
  <c r="S1393" i="8"/>
  <c r="T1393" i="8"/>
  <c r="R1394" i="8"/>
  <c r="S1394" i="8"/>
  <c r="T1394" i="8"/>
  <c r="R1395" i="8"/>
  <c r="S1395" i="8"/>
  <c r="T1395" i="8"/>
  <c r="R1396" i="8"/>
  <c r="S1396" i="8"/>
  <c r="T1396" i="8"/>
  <c r="R1397" i="8"/>
  <c r="S1397" i="8"/>
  <c r="T1397" i="8"/>
  <c r="R1398" i="8"/>
  <c r="S1398" i="8"/>
  <c r="T1398" i="8"/>
  <c r="R1399" i="8"/>
  <c r="S1399" i="8"/>
  <c r="T1399" i="8"/>
  <c r="R1400" i="8"/>
  <c r="S1400" i="8"/>
  <c r="T1400" i="8"/>
  <c r="R1401" i="8"/>
  <c r="S1401" i="8"/>
  <c r="T1401" i="8"/>
  <c r="R1402" i="8"/>
  <c r="S1402" i="8"/>
  <c r="T1402" i="8"/>
  <c r="R1403" i="8"/>
  <c r="S1403" i="8"/>
  <c r="T1403" i="8"/>
  <c r="R1404" i="8"/>
  <c r="S1404" i="8"/>
  <c r="T1404" i="8"/>
  <c r="R1405" i="8"/>
  <c r="S1405" i="8"/>
  <c r="T1405" i="8"/>
  <c r="R1406" i="8"/>
  <c r="S1406" i="8"/>
  <c r="T1406" i="8"/>
  <c r="R1407" i="8"/>
  <c r="S1407" i="8"/>
  <c r="T1407" i="8"/>
  <c r="R1408" i="8"/>
  <c r="S1408" i="8"/>
  <c r="T1408" i="8"/>
  <c r="R1409" i="8"/>
  <c r="S1409" i="8"/>
  <c r="T1409" i="8"/>
  <c r="R1410" i="8"/>
  <c r="S1410" i="8"/>
  <c r="T1410" i="8"/>
  <c r="R1411" i="8"/>
  <c r="S1411" i="8"/>
  <c r="T1411" i="8"/>
  <c r="R1412" i="8"/>
  <c r="S1412" i="8"/>
  <c r="T1412" i="8"/>
  <c r="R1413" i="8"/>
  <c r="S1413" i="8"/>
  <c r="T1413" i="8"/>
  <c r="R1414" i="8"/>
  <c r="S1414" i="8"/>
  <c r="T1414" i="8"/>
  <c r="R1415" i="8"/>
  <c r="S1415" i="8"/>
  <c r="T1415" i="8"/>
  <c r="R1416" i="8"/>
  <c r="S1416" i="8"/>
  <c r="T1416" i="8"/>
  <c r="R1417" i="8"/>
  <c r="S1417" i="8"/>
  <c r="T1417" i="8"/>
  <c r="R1418" i="8"/>
  <c r="S1418" i="8"/>
  <c r="T1418" i="8"/>
  <c r="R1419" i="8"/>
  <c r="S1419" i="8"/>
  <c r="T1419" i="8"/>
  <c r="R1420" i="8"/>
  <c r="S1420" i="8"/>
  <c r="T1420" i="8"/>
  <c r="R1421" i="8"/>
  <c r="S1421" i="8"/>
  <c r="T1421" i="8"/>
  <c r="R1422" i="8"/>
  <c r="S1422" i="8"/>
  <c r="T1422" i="8"/>
  <c r="R1423" i="8"/>
  <c r="S1423" i="8"/>
  <c r="T1423" i="8"/>
  <c r="R1424" i="8"/>
  <c r="S1424" i="8"/>
  <c r="T1424" i="8"/>
  <c r="R1425" i="8"/>
  <c r="S1425" i="8"/>
  <c r="T1425" i="8"/>
  <c r="R1426" i="8"/>
  <c r="S1426" i="8"/>
  <c r="T1426" i="8"/>
  <c r="R1427" i="8"/>
  <c r="S1427" i="8"/>
  <c r="T1427" i="8"/>
  <c r="R1428" i="8"/>
  <c r="S1428" i="8"/>
  <c r="T1428" i="8"/>
  <c r="R1429" i="8"/>
  <c r="S1429" i="8"/>
  <c r="T1429" i="8"/>
  <c r="R1430" i="8"/>
  <c r="S1430" i="8"/>
  <c r="T1430" i="8"/>
  <c r="R1431" i="8"/>
  <c r="S1431" i="8"/>
  <c r="T1431" i="8"/>
  <c r="R1432" i="8"/>
  <c r="S1432" i="8"/>
  <c r="T1432" i="8"/>
  <c r="R1433" i="8"/>
  <c r="S1433" i="8"/>
  <c r="T1433" i="8"/>
  <c r="R1434" i="8"/>
  <c r="S1434" i="8"/>
  <c r="T1434" i="8"/>
  <c r="R1435" i="8"/>
  <c r="S1435" i="8"/>
  <c r="T1435" i="8"/>
  <c r="R1436" i="8"/>
  <c r="S1436" i="8"/>
  <c r="T1436" i="8"/>
  <c r="R1437" i="8"/>
  <c r="S1437" i="8"/>
  <c r="T1437" i="8"/>
  <c r="R1438" i="8"/>
  <c r="S1438" i="8"/>
  <c r="T1438" i="8"/>
  <c r="R1439" i="8"/>
  <c r="S1439" i="8"/>
  <c r="T1439" i="8"/>
  <c r="R1440" i="8"/>
  <c r="S1440" i="8"/>
  <c r="T1440" i="8"/>
  <c r="R1441" i="8"/>
  <c r="S1441" i="8"/>
  <c r="T1441" i="8"/>
  <c r="R1442" i="8"/>
  <c r="S1442" i="8"/>
  <c r="T1442" i="8"/>
  <c r="R1443" i="8"/>
  <c r="S1443" i="8"/>
  <c r="T1443" i="8"/>
  <c r="R1444" i="8"/>
  <c r="S1444" i="8"/>
  <c r="T1444" i="8"/>
  <c r="R1445" i="8"/>
  <c r="S1445" i="8"/>
  <c r="T1445" i="8"/>
  <c r="R1446" i="8"/>
  <c r="S1446" i="8"/>
  <c r="T1446" i="8"/>
  <c r="R1447" i="8"/>
  <c r="S1447" i="8"/>
  <c r="T1447" i="8"/>
  <c r="R1448" i="8"/>
  <c r="S1448" i="8"/>
  <c r="T1448" i="8"/>
  <c r="R1449" i="8"/>
  <c r="S1449" i="8"/>
  <c r="T1449" i="8"/>
  <c r="R1450" i="8"/>
  <c r="S1450" i="8"/>
  <c r="T1450" i="8"/>
  <c r="R1451" i="8"/>
  <c r="S1451" i="8"/>
  <c r="T1451" i="8"/>
  <c r="R1452" i="8"/>
  <c r="S1452" i="8"/>
  <c r="T1452" i="8"/>
  <c r="R1453" i="8"/>
  <c r="S1453" i="8"/>
  <c r="T1453" i="8"/>
  <c r="R1454" i="8"/>
  <c r="S1454" i="8"/>
  <c r="T1454" i="8"/>
  <c r="R1455" i="8"/>
  <c r="S1455" i="8"/>
  <c r="T1455" i="8"/>
  <c r="R1456" i="8"/>
  <c r="S1456" i="8"/>
  <c r="T1456" i="8"/>
  <c r="R1457" i="8"/>
  <c r="S1457" i="8"/>
  <c r="T1457" i="8"/>
  <c r="R1458" i="8"/>
  <c r="S1458" i="8"/>
  <c r="T1458" i="8"/>
  <c r="R1459" i="8"/>
  <c r="S1459" i="8"/>
  <c r="T1459" i="8"/>
  <c r="R1460" i="8"/>
  <c r="S1460" i="8"/>
  <c r="T1460" i="8"/>
  <c r="R1461" i="8"/>
  <c r="S1461" i="8"/>
  <c r="T1461" i="8"/>
  <c r="R1462" i="8"/>
  <c r="S1462" i="8"/>
  <c r="T1462" i="8"/>
  <c r="R1463" i="8"/>
  <c r="S1463" i="8"/>
  <c r="T1463" i="8"/>
  <c r="R1464" i="8"/>
  <c r="S1464" i="8"/>
  <c r="T1464" i="8"/>
  <c r="R1465" i="8"/>
  <c r="S1465" i="8"/>
  <c r="T1465" i="8"/>
  <c r="R1466" i="8"/>
  <c r="S1466" i="8"/>
  <c r="T1466" i="8"/>
  <c r="R1467" i="8"/>
  <c r="S1467" i="8"/>
  <c r="T1467" i="8"/>
  <c r="R1468" i="8"/>
  <c r="S1468" i="8"/>
  <c r="T1468" i="8"/>
  <c r="R1469" i="8"/>
  <c r="S1469" i="8"/>
  <c r="T1469" i="8"/>
  <c r="R1470" i="8"/>
  <c r="S1470" i="8"/>
  <c r="T1470" i="8"/>
  <c r="R1471" i="8"/>
  <c r="S1471" i="8"/>
  <c r="T1471" i="8"/>
  <c r="R1472" i="8"/>
  <c r="S1472" i="8"/>
  <c r="T1472" i="8"/>
  <c r="R1473" i="8"/>
  <c r="S1473" i="8"/>
  <c r="T1473" i="8"/>
  <c r="R1474" i="8"/>
  <c r="S1474" i="8"/>
  <c r="T1474" i="8"/>
  <c r="R1475" i="8"/>
  <c r="S1475" i="8"/>
  <c r="T1475" i="8"/>
  <c r="R1476" i="8"/>
  <c r="S1476" i="8"/>
  <c r="T1476" i="8"/>
  <c r="R1477" i="8"/>
  <c r="S1477" i="8"/>
  <c r="T1477" i="8"/>
  <c r="R1478" i="8"/>
  <c r="S1478" i="8"/>
  <c r="T1478" i="8"/>
  <c r="R1479" i="8"/>
  <c r="S1479" i="8"/>
  <c r="T1479" i="8"/>
  <c r="R1480" i="8"/>
  <c r="S1480" i="8"/>
  <c r="T1480" i="8"/>
  <c r="R1481" i="8"/>
  <c r="S1481" i="8"/>
  <c r="T1481" i="8"/>
  <c r="R1482" i="8"/>
  <c r="S1482" i="8"/>
  <c r="T1482" i="8"/>
  <c r="R1483" i="8"/>
  <c r="S1483" i="8"/>
  <c r="T1483" i="8"/>
  <c r="R1484" i="8"/>
  <c r="S1484" i="8"/>
  <c r="T1484" i="8"/>
  <c r="R1485" i="8"/>
  <c r="S1485" i="8"/>
  <c r="T1485" i="8"/>
  <c r="R1486" i="8"/>
  <c r="S1486" i="8"/>
  <c r="T1486" i="8"/>
  <c r="R1487" i="8"/>
  <c r="S1487" i="8"/>
  <c r="T1487" i="8"/>
  <c r="R1488" i="8"/>
  <c r="S1488" i="8"/>
  <c r="T1488" i="8"/>
  <c r="R1489" i="8"/>
  <c r="S1489" i="8"/>
  <c r="T1489" i="8"/>
  <c r="R1490" i="8"/>
  <c r="S1490" i="8"/>
  <c r="T1490" i="8"/>
  <c r="R1491" i="8"/>
  <c r="S1491" i="8"/>
  <c r="T1491" i="8"/>
  <c r="R1492" i="8"/>
  <c r="S1492" i="8"/>
  <c r="T1492" i="8"/>
  <c r="R1493" i="8"/>
  <c r="S1493" i="8"/>
  <c r="T1493" i="8"/>
  <c r="R1494" i="8"/>
  <c r="S1494" i="8"/>
  <c r="T1494" i="8"/>
  <c r="R1495" i="8"/>
  <c r="S1495" i="8"/>
  <c r="T1495" i="8"/>
  <c r="R1496" i="8"/>
  <c r="S1496" i="8"/>
  <c r="T1496" i="8"/>
  <c r="R1497" i="8"/>
  <c r="S1497" i="8"/>
  <c r="T1497" i="8"/>
  <c r="R1498" i="8"/>
  <c r="S1498" i="8"/>
  <c r="T1498" i="8"/>
  <c r="R1499" i="8"/>
  <c r="S1499" i="8"/>
  <c r="T1499" i="8"/>
  <c r="R1500" i="8"/>
  <c r="S1500" i="8"/>
  <c r="T1500" i="8"/>
  <c r="R1501" i="8"/>
  <c r="S1501" i="8"/>
  <c r="T1501" i="8"/>
  <c r="R1502" i="8"/>
  <c r="S1502" i="8"/>
  <c r="T1502" i="8"/>
  <c r="R1503" i="8"/>
  <c r="S1503" i="8"/>
  <c r="T1503" i="8"/>
  <c r="R1504" i="8"/>
  <c r="S1504" i="8"/>
  <c r="T1504" i="8"/>
  <c r="R1505" i="8"/>
  <c r="S1505" i="8"/>
  <c r="T1505" i="8"/>
  <c r="R1506" i="8"/>
  <c r="S1506" i="8"/>
  <c r="T1506" i="8"/>
  <c r="R1507" i="8"/>
  <c r="S1507" i="8"/>
  <c r="T1507" i="8"/>
  <c r="R1508" i="8"/>
  <c r="S1508" i="8"/>
  <c r="T1508" i="8"/>
  <c r="R1509" i="8"/>
  <c r="S1509" i="8"/>
  <c r="T1509" i="8"/>
  <c r="R1510" i="8"/>
  <c r="S1510" i="8"/>
  <c r="T1510" i="8"/>
  <c r="R1511" i="8"/>
  <c r="S1511" i="8"/>
  <c r="T1511" i="8"/>
  <c r="R1512" i="8"/>
  <c r="S1512" i="8"/>
  <c r="T1512" i="8"/>
  <c r="R1513" i="8"/>
  <c r="S1513" i="8"/>
  <c r="T1513" i="8"/>
  <c r="R1514" i="8"/>
  <c r="S1514" i="8"/>
  <c r="T1514" i="8"/>
  <c r="R1515" i="8"/>
  <c r="S1515" i="8"/>
  <c r="T1515" i="8"/>
  <c r="R1516" i="8"/>
  <c r="S1516" i="8"/>
  <c r="T1516" i="8"/>
  <c r="R1517" i="8"/>
  <c r="S1517" i="8"/>
  <c r="T1517" i="8"/>
  <c r="R1518" i="8"/>
  <c r="S1518" i="8"/>
  <c r="T1518" i="8"/>
  <c r="R1519" i="8"/>
  <c r="S1519" i="8"/>
  <c r="T1519" i="8"/>
  <c r="R1520" i="8"/>
  <c r="S1520" i="8"/>
  <c r="T1520" i="8"/>
  <c r="R1521" i="8"/>
  <c r="S1521" i="8"/>
  <c r="T1521" i="8"/>
  <c r="R1522" i="8"/>
  <c r="S1522" i="8"/>
  <c r="T1522" i="8"/>
  <c r="R1523" i="8"/>
  <c r="S1523" i="8"/>
  <c r="T1523" i="8"/>
  <c r="R1524" i="8"/>
  <c r="S1524" i="8"/>
  <c r="T1524" i="8"/>
  <c r="R1525" i="8"/>
  <c r="S1525" i="8"/>
  <c r="T1525" i="8"/>
  <c r="R1526" i="8"/>
  <c r="S1526" i="8"/>
  <c r="T1526" i="8"/>
  <c r="R1527" i="8"/>
  <c r="S1527" i="8"/>
  <c r="T1527" i="8"/>
  <c r="R1528" i="8"/>
  <c r="S1528" i="8"/>
  <c r="T1528" i="8"/>
  <c r="R1529" i="8"/>
  <c r="S1529" i="8"/>
  <c r="T1529" i="8"/>
  <c r="R1530" i="8"/>
  <c r="S1530" i="8"/>
  <c r="T1530" i="8"/>
  <c r="R1531" i="8"/>
  <c r="S1531" i="8"/>
  <c r="T1531" i="8"/>
  <c r="R1532" i="8"/>
  <c r="S1532" i="8"/>
  <c r="T1532" i="8"/>
  <c r="R1533" i="8"/>
  <c r="S1533" i="8"/>
  <c r="T1533" i="8"/>
  <c r="R1534" i="8"/>
  <c r="S1534" i="8"/>
  <c r="T1534" i="8"/>
  <c r="R1535" i="8"/>
  <c r="S1535" i="8"/>
  <c r="T1535" i="8"/>
  <c r="R1536" i="8"/>
  <c r="S1536" i="8"/>
  <c r="T1536" i="8"/>
  <c r="R1537" i="8"/>
  <c r="S1537" i="8"/>
  <c r="T1537" i="8"/>
  <c r="R1538" i="8"/>
  <c r="S1538" i="8"/>
  <c r="T1538" i="8"/>
  <c r="R1539" i="8"/>
  <c r="S1539" i="8"/>
  <c r="T1539" i="8"/>
  <c r="R1540" i="8"/>
  <c r="S1540" i="8"/>
  <c r="T1540" i="8"/>
  <c r="R1541" i="8"/>
  <c r="S1541" i="8"/>
  <c r="T1541" i="8"/>
  <c r="R1542" i="8"/>
  <c r="S1542" i="8"/>
  <c r="T1542" i="8"/>
  <c r="R1543" i="8"/>
  <c r="S1543" i="8"/>
  <c r="T1543" i="8"/>
  <c r="R1544" i="8"/>
  <c r="S1544" i="8"/>
  <c r="T1544" i="8"/>
  <c r="R1545" i="8"/>
  <c r="S1545" i="8"/>
  <c r="T1545" i="8"/>
  <c r="R1546" i="8"/>
  <c r="S1546" i="8"/>
  <c r="T1546" i="8"/>
  <c r="R1547" i="8"/>
  <c r="S1547" i="8"/>
  <c r="T1547" i="8"/>
  <c r="R1548" i="8"/>
  <c r="S1548" i="8"/>
  <c r="T1548" i="8"/>
  <c r="R1549" i="8"/>
  <c r="S1549" i="8"/>
  <c r="T1549" i="8"/>
  <c r="R1550" i="8"/>
  <c r="S1550" i="8"/>
  <c r="T1550" i="8"/>
  <c r="R1551" i="8"/>
  <c r="S1551" i="8"/>
  <c r="T1551" i="8"/>
  <c r="R1552" i="8"/>
  <c r="S1552" i="8"/>
  <c r="T1552" i="8"/>
  <c r="R1553" i="8"/>
  <c r="S1553" i="8"/>
  <c r="T1553" i="8"/>
  <c r="R1554" i="8"/>
  <c r="S1554" i="8"/>
  <c r="T1554" i="8"/>
  <c r="R1555" i="8"/>
  <c r="S1555" i="8"/>
  <c r="T1555" i="8"/>
  <c r="R1556" i="8"/>
  <c r="S1556" i="8"/>
  <c r="T1556" i="8"/>
  <c r="R1557" i="8"/>
  <c r="S1557" i="8"/>
  <c r="T1557" i="8"/>
  <c r="R1558" i="8"/>
  <c r="S1558" i="8"/>
  <c r="T1558" i="8"/>
  <c r="R1559" i="8"/>
  <c r="S1559" i="8"/>
  <c r="T1559" i="8"/>
  <c r="R1560" i="8"/>
  <c r="S1560" i="8"/>
  <c r="T1560" i="8"/>
  <c r="R1561" i="8"/>
  <c r="S1561" i="8"/>
  <c r="T1561" i="8"/>
  <c r="R1562" i="8"/>
  <c r="S1562" i="8"/>
  <c r="T1562" i="8"/>
  <c r="R1563" i="8"/>
  <c r="S1563" i="8"/>
  <c r="T1563" i="8"/>
  <c r="R1564" i="8"/>
  <c r="S1564" i="8"/>
  <c r="T1564" i="8"/>
  <c r="R1565" i="8"/>
  <c r="S1565" i="8"/>
  <c r="T1565" i="8"/>
  <c r="R1566" i="8"/>
  <c r="S1566" i="8"/>
  <c r="T1566" i="8"/>
  <c r="R1567" i="8"/>
  <c r="S1567" i="8"/>
  <c r="T1567" i="8"/>
  <c r="R1568" i="8"/>
  <c r="S1568" i="8"/>
  <c r="T1568" i="8"/>
  <c r="R1569" i="8"/>
  <c r="S1569" i="8"/>
  <c r="T1569" i="8"/>
  <c r="R1570" i="8"/>
  <c r="S1570" i="8"/>
  <c r="T1570" i="8"/>
  <c r="R1571" i="8"/>
  <c r="S1571" i="8"/>
  <c r="T1571" i="8"/>
  <c r="R1572" i="8"/>
  <c r="S1572" i="8"/>
  <c r="T1572" i="8"/>
  <c r="R1573" i="8"/>
  <c r="S1573" i="8"/>
  <c r="T1573" i="8"/>
  <c r="R1574" i="8"/>
  <c r="S1574" i="8"/>
  <c r="T1574" i="8"/>
  <c r="R1575" i="8"/>
  <c r="S1575" i="8"/>
  <c r="T1575" i="8"/>
  <c r="R1576" i="8"/>
  <c r="S1576" i="8"/>
  <c r="T1576" i="8"/>
  <c r="R1577" i="8"/>
  <c r="S1577" i="8"/>
  <c r="T1577" i="8"/>
  <c r="R1578" i="8"/>
  <c r="S1578" i="8"/>
  <c r="T1578" i="8"/>
  <c r="R1579" i="8"/>
  <c r="S1579" i="8"/>
  <c r="T1579" i="8"/>
  <c r="R1580" i="8"/>
  <c r="S1580" i="8"/>
  <c r="T1580" i="8"/>
  <c r="R1581" i="8"/>
  <c r="S1581" i="8"/>
  <c r="T1581" i="8"/>
  <c r="R1582" i="8"/>
  <c r="S1582" i="8"/>
  <c r="T1582" i="8"/>
  <c r="R1583" i="8"/>
  <c r="S1583" i="8"/>
  <c r="T1583" i="8"/>
  <c r="R1584" i="8"/>
  <c r="S1584" i="8"/>
  <c r="T1584" i="8"/>
  <c r="R1585" i="8"/>
  <c r="S1585" i="8"/>
  <c r="T1585" i="8"/>
  <c r="R1586" i="8"/>
  <c r="S1586" i="8"/>
  <c r="T1586" i="8"/>
  <c r="R1587" i="8"/>
  <c r="S1587" i="8"/>
  <c r="T1587" i="8"/>
  <c r="R1588" i="8"/>
  <c r="S1588" i="8"/>
  <c r="T1588" i="8"/>
  <c r="R1589" i="8"/>
  <c r="S1589" i="8"/>
  <c r="T1589" i="8"/>
  <c r="R1590" i="8"/>
  <c r="S1590" i="8"/>
  <c r="T1590" i="8"/>
  <c r="R1591" i="8"/>
  <c r="S1591" i="8"/>
  <c r="T1591" i="8"/>
  <c r="R1592" i="8"/>
  <c r="S1592" i="8"/>
  <c r="T1592" i="8"/>
  <c r="R1593" i="8"/>
  <c r="S1593" i="8"/>
  <c r="T1593" i="8"/>
  <c r="R1594" i="8"/>
  <c r="S1594" i="8"/>
  <c r="T1594" i="8"/>
  <c r="R1595" i="8"/>
  <c r="S1595" i="8"/>
  <c r="T1595" i="8"/>
  <c r="R1596" i="8"/>
  <c r="S1596" i="8"/>
  <c r="T1596" i="8"/>
  <c r="R1597" i="8"/>
  <c r="S1597" i="8"/>
  <c r="T1597" i="8"/>
  <c r="R1598" i="8"/>
  <c r="S1598" i="8"/>
  <c r="T1598" i="8"/>
  <c r="R1599" i="8"/>
  <c r="S1599" i="8"/>
  <c r="T1599" i="8"/>
  <c r="R1600" i="8"/>
  <c r="S1600" i="8"/>
  <c r="T1600" i="8"/>
  <c r="R1601" i="8"/>
  <c r="S1601" i="8"/>
  <c r="T1601" i="8"/>
  <c r="R1602" i="8"/>
  <c r="S1602" i="8"/>
  <c r="T1602" i="8"/>
  <c r="R1603" i="8"/>
  <c r="S1603" i="8"/>
  <c r="T1603" i="8"/>
  <c r="R1604" i="8"/>
  <c r="S1604" i="8"/>
  <c r="T1604" i="8"/>
  <c r="R1605" i="8"/>
  <c r="S1605" i="8"/>
  <c r="T1605" i="8"/>
  <c r="R1606" i="8"/>
  <c r="S1606" i="8"/>
  <c r="T1606" i="8"/>
  <c r="R1607" i="8"/>
  <c r="S1607" i="8"/>
  <c r="T1607" i="8"/>
  <c r="R1608" i="8"/>
  <c r="S1608" i="8"/>
  <c r="T1608" i="8"/>
  <c r="R1609" i="8"/>
  <c r="S1609" i="8"/>
  <c r="T1609" i="8"/>
  <c r="R1610" i="8"/>
  <c r="S1610" i="8"/>
  <c r="T1610" i="8"/>
  <c r="R1611" i="8"/>
  <c r="S1611" i="8"/>
  <c r="T1611" i="8"/>
  <c r="R1612" i="8"/>
  <c r="S1612" i="8"/>
  <c r="T1612" i="8"/>
  <c r="R1613" i="8"/>
  <c r="S1613" i="8"/>
  <c r="T1613" i="8"/>
  <c r="R1614" i="8"/>
  <c r="S1614" i="8"/>
  <c r="T1614" i="8"/>
  <c r="R1615" i="8"/>
  <c r="S1615" i="8"/>
  <c r="T1615" i="8"/>
  <c r="R1616" i="8"/>
  <c r="S1616" i="8"/>
  <c r="T1616" i="8"/>
  <c r="R1617" i="8"/>
  <c r="S1617" i="8"/>
  <c r="T1617" i="8"/>
  <c r="R1618" i="8"/>
  <c r="S1618" i="8"/>
  <c r="T1618" i="8"/>
  <c r="R1619" i="8"/>
  <c r="S1619" i="8"/>
  <c r="T1619" i="8"/>
  <c r="R1620" i="8"/>
  <c r="S1620" i="8"/>
  <c r="T1620" i="8"/>
  <c r="R1621" i="8"/>
  <c r="S1621" i="8"/>
  <c r="T1621" i="8"/>
  <c r="R1622" i="8"/>
  <c r="S1622" i="8"/>
  <c r="T1622" i="8"/>
  <c r="R1623" i="8"/>
  <c r="S1623" i="8"/>
  <c r="T1623" i="8"/>
  <c r="R1624" i="8"/>
  <c r="S1624" i="8"/>
  <c r="T1624" i="8"/>
  <c r="R1625" i="8"/>
  <c r="S1625" i="8"/>
  <c r="T1625" i="8"/>
  <c r="R1626" i="8"/>
  <c r="S1626" i="8"/>
  <c r="T1626" i="8"/>
  <c r="R1627" i="8"/>
  <c r="S1627" i="8"/>
  <c r="T1627" i="8"/>
  <c r="R1628" i="8"/>
  <c r="S1628" i="8"/>
  <c r="T1628" i="8"/>
  <c r="R1629" i="8"/>
  <c r="S1629" i="8"/>
  <c r="T1629" i="8"/>
  <c r="R1630" i="8"/>
  <c r="S1630" i="8"/>
  <c r="T1630" i="8"/>
  <c r="R1631" i="8"/>
  <c r="S1631" i="8"/>
  <c r="T1631" i="8"/>
  <c r="R1632" i="8"/>
  <c r="S1632" i="8"/>
  <c r="T1632" i="8"/>
  <c r="R1633" i="8"/>
  <c r="S1633" i="8"/>
  <c r="T1633" i="8"/>
  <c r="R1634" i="8"/>
  <c r="S1634" i="8"/>
  <c r="T1634" i="8"/>
  <c r="R1635" i="8"/>
  <c r="S1635" i="8"/>
  <c r="T1635" i="8"/>
  <c r="R1636" i="8"/>
  <c r="S1636" i="8"/>
  <c r="T1636" i="8"/>
  <c r="R1637" i="8"/>
  <c r="S1637" i="8"/>
  <c r="T1637" i="8"/>
  <c r="R1638" i="8"/>
  <c r="S1638" i="8"/>
  <c r="T1638" i="8"/>
  <c r="R1639" i="8"/>
  <c r="S1639" i="8"/>
  <c r="T1639" i="8"/>
  <c r="R1640" i="8"/>
  <c r="S1640" i="8"/>
  <c r="T1640" i="8"/>
  <c r="R1641" i="8"/>
  <c r="S1641" i="8"/>
  <c r="T1641" i="8"/>
  <c r="R1642" i="8"/>
  <c r="S1642" i="8"/>
  <c r="T1642" i="8"/>
  <c r="R1643" i="8"/>
  <c r="S1643" i="8"/>
  <c r="T1643" i="8"/>
  <c r="R1644" i="8"/>
  <c r="S1644" i="8"/>
  <c r="T1644" i="8"/>
  <c r="R1645" i="8"/>
  <c r="S1645" i="8"/>
  <c r="T1645" i="8"/>
  <c r="R1646" i="8"/>
  <c r="S1646" i="8"/>
  <c r="T1646" i="8"/>
  <c r="R1647" i="8"/>
  <c r="S1647" i="8"/>
  <c r="T1647" i="8"/>
  <c r="R1648" i="8"/>
  <c r="S1648" i="8"/>
  <c r="T1648" i="8"/>
  <c r="R1649" i="8"/>
  <c r="S1649" i="8"/>
  <c r="T1649" i="8"/>
  <c r="R1650" i="8"/>
  <c r="S1650" i="8"/>
  <c r="T1650" i="8"/>
  <c r="R1651" i="8"/>
  <c r="S1651" i="8"/>
  <c r="T1651" i="8"/>
  <c r="R1652" i="8"/>
  <c r="S1652" i="8"/>
  <c r="T1652" i="8"/>
  <c r="R1653" i="8"/>
  <c r="S1653" i="8"/>
  <c r="T1653" i="8"/>
  <c r="R1654" i="8"/>
  <c r="S1654" i="8"/>
  <c r="T1654" i="8"/>
  <c r="R1655" i="8"/>
  <c r="S1655" i="8"/>
  <c r="T1655" i="8"/>
  <c r="R1656" i="8"/>
  <c r="S1656" i="8"/>
  <c r="T1656" i="8"/>
  <c r="R1657" i="8"/>
  <c r="S1657" i="8"/>
  <c r="T1657" i="8"/>
  <c r="R1658" i="8"/>
  <c r="S1658" i="8"/>
  <c r="T1658" i="8"/>
  <c r="R1659" i="8"/>
  <c r="S1659" i="8"/>
  <c r="T1659" i="8"/>
  <c r="R1660" i="8"/>
  <c r="S1660" i="8"/>
  <c r="T1660" i="8"/>
  <c r="R1661" i="8"/>
  <c r="S1661" i="8"/>
  <c r="T1661" i="8"/>
  <c r="R1662" i="8"/>
  <c r="S1662" i="8"/>
  <c r="T1662" i="8"/>
  <c r="R1663" i="8"/>
  <c r="S1663" i="8"/>
  <c r="T1663" i="8"/>
  <c r="R1664" i="8"/>
  <c r="S1664" i="8"/>
  <c r="T1664" i="8"/>
  <c r="R1665" i="8"/>
  <c r="S1665" i="8"/>
  <c r="T1665" i="8"/>
  <c r="R1666" i="8"/>
  <c r="S1666" i="8"/>
  <c r="T1666" i="8"/>
  <c r="R1667" i="8"/>
  <c r="S1667" i="8"/>
  <c r="T1667" i="8"/>
  <c r="R1668" i="8"/>
  <c r="S1668" i="8"/>
  <c r="T1668" i="8"/>
  <c r="R1669" i="8"/>
  <c r="S1669" i="8"/>
  <c r="T1669" i="8"/>
  <c r="R1670" i="8"/>
  <c r="S1670" i="8"/>
  <c r="T1670" i="8"/>
  <c r="R1671" i="8"/>
  <c r="S1671" i="8"/>
  <c r="T1671" i="8"/>
  <c r="R1672" i="8"/>
  <c r="S1672" i="8"/>
  <c r="T1672" i="8"/>
  <c r="R1673" i="8"/>
  <c r="S1673" i="8"/>
  <c r="T1673" i="8"/>
  <c r="R1674" i="8"/>
  <c r="S1674" i="8"/>
  <c r="T1674" i="8"/>
  <c r="R1675" i="8"/>
  <c r="S1675" i="8"/>
  <c r="T1675" i="8"/>
  <c r="R1676" i="8"/>
  <c r="S1676" i="8"/>
  <c r="T1676" i="8"/>
  <c r="R1677" i="8"/>
  <c r="S1677" i="8"/>
  <c r="T1677" i="8"/>
  <c r="R1678" i="8"/>
  <c r="S1678" i="8"/>
  <c r="T1678" i="8"/>
  <c r="R1679" i="8"/>
  <c r="S1679" i="8"/>
  <c r="T1679" i="8"/>
  <c r="R1680" i="8"/>
  <c r="S1680" i="8"/>
  <c r="T1680" i="8"/>
  <c r="R1681" i="8"/>
  <c r="S1681" i="8"/>
  <c r="T1681" i="8"/>
  <c r="R1682" i="8"/>
  <c r="S1682" i="8"/>
  <c r="T1682" i="8"/>
  <c r="R1683" i="8"/>
  <c r="S1683" i="8"/>
  <c r="T1683" i="8"/>
  <c r="R1684" i="8"/>
  <c r="S1684" i="8"/>
  <c r="T1684" i="8"/>
  <c r="R1685" i="8"/>
  <c r="S1685" i="8"/>
  <c r="T1685" i="8"/>
  <c r="R1686" i="8"/>
  <c r="S1686" i="8"/>
  <c r="T1686" i="8"/>
  <c r="R1687" i="8"/>
  <c r="S1687" i="8"/>
  <c r="T1687" i="8"/>
  <c r="R1688" i="8"/>
  <c r="S1688" i="8"/>
  <c r="T1688" i="8"/>
  <c r="R1689" i="8"/>
  <c r="S1689" i="8"/>
  <c r="T1689" i="8"/>
  <c r="R1690" i="8"/>
  <c r="S1690" i="8"/>
  <c r="T1690" i="8"/>
  <c r="R1691" i="8"/>
  <c r="S1691" i="8"/>
  <c r="T1691" i="8"/>
  <c r="R1692" i="8"/>
  <c r="S1692" i="8"/>
  <c r="T1692" i="8"/>
  <c r="R1693" i="8"/>
  <c r="S1693" i="8"/>
  <c r="T1693" i="8"/>
  <c r="R1694" i="8"/>
  <c r="S1694" i="8"/>
  <c r="T1694" i="8"/>
  <c r="R1695" i="8"/>
  <c r="S1695" i="8"/>
  <c r="T1695" i="8"/>
  <c r="R1696" i="8"/>
  <c r="S1696" i="8"/>
  <c r="T1696" i="8"/>
  <c r="R1697" i="8"/>
  <c r="S1697" i="8"/>
  <c r="T1697" i="8"/>
  <c r="R1698" i="8"/>
  <c r="S1698" i="8"/>
  <c r="T1698" i="8"/>
  <c r="R1699" i="8"/>
  <c r="S1699" i="8"/>
  <c r="T1699" i="8"/>
  <c r="R1700" i="8"/>
  <c r="S1700" i="8"/>
  <c r="T1700" i="8"/>
  <c r="R1701" i="8"/>
  <c r="S1701" i="8"/>
  <c r="T1701" i="8"/>
  <c r="R1702" i="8"/>
  <c r="S1702" i="8"/>
  <c r="T1702" i="8"/>
  <c r="R1703" i="8"/>
  <c r="S1703" i="8"/>
  <c r="T1703" i="8"/>
  <c r="R1704" i="8"/>
  <c r="S1704" i="8"/>
  <c r="T1704" i="8"/>
  <c r="R1705" i="8"/>
  <c r="S1705" i="8"/>
  <c r="T1705" i="8"/>
  <c r="R1706" i="8"/>
  <c r="S1706" i="8"/>
  <c r="T1706" i="8"/>
  <c r="R1707" i="8"/>
  <c r="S1707" i="8"/>
  <c r="T1707" i="8"/>
  <c r="R1708" i="8"/>
  <c r="S1708" i="8"/>
  <c r="T1708" i="8"/>
  <c r="R1709" i="8"/>
  <c r="S1709" i="8"/>
  <c r="T1709" i="8"/>
  <c r="R1710" i="8"/>
  <c r="S1710" i="8"/>
  <c r="T1710" i="8"/>
  <c r="R1711" i="8"/>
  <c r="S1711" i="8"/>
  <c r="T1711" i="8"/>
  <c r="R1712" i="8"/>
  <c r="S1712" i="8"/>
  <c r="T1712" i="8"/>
  <c r="R1713" i="8"/>
  <c r="S1713" i="8"/>
  <c r="T1713" i="8"/>
  <c r="R1714" i="8"/>
  <c r="S1714" i="8"/>
  <c r="T1714" i="8"/>
  <c r="R1715" i="8"/>
  <c r="S1715" i="8"/>
  <c r="T1715" i="8"/>
  <c r="R1716" i="8"/>
  <c r="S1716" i="8"/>
  <c r="T1716" i="8"/>
  <c r="R1717" i="8"/>
  <c r="S1717" i="8"/>
  <c r="T1717" i="8"/>
  <c r="R1718" i="8"/>
  <c r="S1718" i="8"/>
  <c r="T1718" i="8"/>
  <c r="R1719" i="8"/>
  <c r="S1719" i="8"/>
  <c r="T1719" i="8"/>
  <c r="R1720" i="8"/>
  <c r="S1720" i="8"/>
  <c r="T1720" i="8"/>
  <c r="R1721" i="8"/>
  <c r="S1721" i="8"/>
  <c r="T1721" i="8"/>
  <c r="R1722" i="8"/>
  <c r="S1722" i="8"/>
  <c r="T1722" i="8"/>
  <c r="R1723" i="8"/>
  <c r="S1723" i="8"/>
  <c r="T1723" i="8"/>
  <c r="R1724" i="8"/>
  <c r="S1724" i="8"/>
  <c r="T1724" i="8"/>
  <c r="R1725" i="8"/>
  <c r="S1725" i="8"/>
  <c r="T1725" i="8"/>
  <c r="R1726" i="8"/>
  <c r="S1726" i="8"/>
  <c r="T1726" i="8"/>
  <c r="R1727" i="8"/>
  <c r="S1727" i="8"/>
  <c r="T1727" i="8"/>
  <c r="R1728" i="8"/>
  <c r="S1728" i="8"/>
  <c r="T1728" i="8"/>
  <c r="R1729" i="8"/>
  <c r="S1729" i="8"/>
  <c r="T1729" i="8"/>
  <c r="R1730" i="8"/>
  <c r="S1730" i="8"/>
  <c r="T1730" i="8"/>
  <c r="R1731" i="8"/>
  <c r="S1731" i="8"/>
  <c r="T1731" i="8"/>
  <c r="R1732" i="8"/>
  <c r="S1732" i="8"/>
  <c r="T1732" i="8"/>
  <c r="R1733" i="8"/>
  <c r="S1733" i="8"/>
  <c r="T1733" i="8"/>
  <c r="R1734" i="8"/>
  <c r="S1734" i="8"/>
  <c r="T1734" i="8"/>
  <c r="R1735" i="8"/>
  <c r="S1735" i="8"/>
  <c r="T1735" i="8"/>
  <c r="R1736" i="8"/>
  <c r="S1736" i="8"/>
  <c r="T1736" i="8"/>
  <c r="R1737" i="8"/>
  <c r="S1737" i="8"/>
  <c r="T1737" i="8"/>
  <c r="R1738" i="8"/>
  <c r="S1738" i="8"/>
  <c r="T1738" i="8"/>
  <c r="R1739" i="8"/>
  <c r="S1739" i="8"/>
  <c r="T1739" i="8"/>
  <c r="R1740" i="8"/>
  <c r="S1740" i="8"/>
  <c r="T1740" i="8"/>
  <c r="R1741" i="8"/>
  <c r="S1741" i="8"/>
  <c r="T1741" i="8"/>
  <c r="R1742" i="8"/>
  <c r="S1742" i="8"/>
  <c r="T1742" i="8"/>
  <c r="R1743" i="8"/>
  <c r="S1743" i="8"/>
  <c r="T1743" i="8"/>
  <c r="R1744" i="8"/>
  <c r="S1744" i="8"/>
  <c r="T1744" i="8"/>
  <c r="R1745" i="8"/>
  <c r="S1745" i="8"/>
  <c r="T1745" i="8"/>
  <c r="R1746" i="8"/>
  <c r="S1746" i="8"/>
  <c r="T1746" i="8"/>
  <c r="R1747" i="8"/>
  <c r="S1747" i="8"/>
  <c r="T1747" i="8"/>
  <c r="R1748" i="8"/>
  <c r="S1748" i="8"/>
  <c r="T1748" i="8"/>
  <c r="R1749" i="8"/>
  <c r="S1749" i="8"/>
  <c r="T1749" i="8"/>
  <c r="R1750" i="8"/>
  <c r="S1750" i="8"/>
  <c r="T1750" i="8"/>
  <c r="R1751" i="8"/>
  <c r="S1751" i="8"/>
  <c r="T1751" i="8"/>
  <c r="R1752" i="8"/>
  <c r="S1752" i="8"/>
  <c r="T1752" i="8"/>
  <c r="R1753" i="8"/>
  <c r="S1753" i="8"/>
  <c r="T1753" i="8"/>
  <c r="R1754" i="8"/>
  <c r="S1754" i="8"/>
  <c r="T1754" i="8"/>
  <c r="R1755" i="8"/>
  <c r="S1755" i="8"/>
  <c r="T1755" i="8"/>
  <c r="R1756" i="8"/>
  <c r="S1756" i="8"/>
  <c r="T1756" i="8"/>
  <c r="R1757" i="8"/>
  <c r="S1757" i="8"/>
  <c r="T1757" i="8"/>
  <c r="R1758" i="8"/>
  <c r="S1758" i="8"/>
  <c r="T1758" i="8"/>
  <c r="R1759" i="8"/>
  <c r="S1759" i="8"/>
  <c r="T1759" i="8"/>
  <c r="R1760" i="8"/>
  <c r="S1760" i="8"/>
  <c r="T1760" i="8"/>
  <c r="R1761" i="8"/>
  <c r="S1761" i="8"/>
  <c r="T1761" i="8"/>
  <c r="R1762" i="8"/>
  <c r="S1762" i="8"/>
  <c r="T1762" i="8"/>
  <c r="R1763" i="8"/>
  <c r="S1763" i="8"/>
  <c r="T1763" i="8"/>
  <c r="R1764" i="8"/>
  <c r="S1764" i="8"/>
  <c r="T1764" i="8"/>
  <c r="R1765" i="8"/>
  <c r="S1765" i="8"/>
  <c r="T1765" i="8"/>
  <c r="R1766" i="8"/>
  <c r="S1766" i="8"/>
  <c r="T1766" i="8"/>
  <c r="R1767" i="8"/>
  <c r="S1767" i="8"/>
  <c r="T1767" i="8"/>
  <c r="R1768" i="8"/>
  <c r="S1768" i="8"/>
  <c r="T1768" i="8"/>
  <c r="R1769" i="8"/>
  <c r="S1769" i="8"/>
  <c r="T1769" i="8"/>
  <c r="R1770" i="8"/>
  <c r="S1770" i="8"/>
  <c r="T1770" i="8"/>
  <c r="R1771" i="8"/>
  <c r="S1771" i="8"/>
  <c r="T1771" i="8"/>
  <c r="R1772" i="8"/>
  <c r="S1772" i="8"/>
  <c r="T1772" i="8"/>
  <c r="R1773" i="8"/>
  <c r="S1773" i="8"/>
  <c r="T1773" i="8"/>
  <c r="R1774" i="8"/>
  <c r="S1774" i="8"/>
  <c r="T1774" i="8"/>
  <c r="R1775" i="8"/>
  <c r="S1775" i="8"/>
  <c r="T1775" i="8"/>
  <c r="R1776" i="8"/>
  <c r="S1776" i="8"/>
  <c r="T1776" i="8"/>
  <c r="R1777" i="8"/>
  <c r="S1777" i="8"/>
  <c r="T1777" i="8"/>
  <c r="R1778" i="8"/>
  <c r="S1778" i="8"/>
  <c r="T1778" i="8"/>
  <c r="R1779" i="8"/>
  <c r="S1779" i="8"/>
  <c r="T1779" i="8"/>
  <c r="R1780" i="8"/>
  <c r="S1780" i="8"/>
  <c r="T1780" i="8"/>
  <c r="R1781" i="8"/>
  <c r="S1781" i="8"/>
  <c r="T1781" i="8"/>
  <c r="R1782" i="8"/>
  <c r="S1782" i="8"/>
  <c r="T1782" i="8"/>
  <c r="R1783" i="8"/>
  <c r="S1783" i="8"/>
  <c r="T1783" i="8"/>
  <c r="R1784" i="8"/>
  <c r="S1784" i="8"/>
  <c r="T1784" i="8"/>
  <c r="R1785" i="8"/>
  <c r="S1785" i="8"/>
  <c r="T1785" i="8"/>
  <c r="R1786" i="8"/>
  <c r="S1786" i="8"/>
  <c r="T1786" i="8"/>
  <c r="R1787" i="8"/>
  <c r="S1787" i="8"/>
  <c r="T1787" i="8"/>
  <c r="R1788" i="8"/>
  <c r="S1788" i="8"/>
  <c r="T1788" i="8"/>
  <c r="R1789" i="8"/>
  <c r="S1789" i="8"/>
  <c r="T1789" i="8"/>
  <c r="R1790" i="8"/>
  <c r="S1790" i="8"/>
  <c r="T1790" i="8"/>
  <c r="R1791" i="8"/>
  <c r="S1791" i="8"/>
  <c r="T1791" i="8"/>
  <c r="R1792" i="8"/>
  <c r="S1792" i="8"/>
  <c r="T1792" i="8"/>
  <c r="R1793" i="8"/>
  <c r="S1793" i="8"/>
  <c r="T1793" i="8"/>
  <c r="R1794" i="8"/>
  <c r="S1794" i="8"/>
  <c r="T1794" i="8"/>
  <c r="R1795" i="8"/>
  <c r="S1795" i="8"/>
  <c r="T1795" i="8"/>
  <c r="R1796" i="8"/>
  <c r="S1796" i="8"/>
  <c r="T1796" i="8"/>
  <c r="R1797" i="8"/>
  <c r="S1797" i="8"/>
  <c r="T1797" i="8"/>
  <c r="R1798" i="8"/>
  <c r="S1798" i="8"/>
  <c r="T1798" i="8"/>
  <c r="R1799" i="8"/>
  <c r="S1799" i="8"/>
  <c r="T1799" i="8"/>
  <c r="R1800" i="8"/>
  <c r="S1800" i="8"/>
  <c r="T1800" i="8"/>
  <c r="R1801" i="8"/>
  <c r="S1801" i="8"/>
  <c r="T1801" i="8"/>
  <c r="R1802" i="8"/>
  <c r="S1802" i="8"/>
  <c r="T1802" i="8"/>
  <c r="R1803" i="8"/>
  <c r="S1803" i="8"/>
  <c r="T1803" i="8"/>
  <c r="R1804" i="8"/>
  <c r="S1804" i="8"/>
  <c r="T1804" i="8"/>
  <c r="R1805" i="8"/>
  <c r="S1805" i="8"/>
  <c r="T1805" i="8"/>
  <c r="R1806" i="8"/>
  <c r="S1806" i="8"/>
  <c r="T1806" i="8"/>
  <c r="R1807" i="8"/>
  <c r="S1807" i="8"/>
  <c r="T1807" i="8"/>
  <c r="R1808" i="8"/>
  <c r="S1808" i="8"/>
  <c r="T1808" i="8"/>
  <c r="R1809" i="8"/>
  <c r="S1809" i="8"/>
  <c r="T1809" i="8"/>
  <c r="R1810" i="8"/>
  <c r="S1810" i="8"/>
  <c r="T1810" i="8"/>
  <c r="R1811" i="8"/>
  <c r="S1811" i="8"/>
  <c r="T1811" i="8"/>
  <c r="R1812" i="8"/>
  <c r="S1812" i="8"/>
  <c r="T1812" i="8"/>
  <c r="R1813" i="8"/>
  <c r="S1813" i="8"/>
  <c r="T1813" i="8"/>
  <c r="R1814" i="8"/>
  <c r="S1814" i="8"/>
  <c r="T1814" i="8"/>
  <c r="R1815" i="8"/>
  <c r="S1815" i="8"/>
  <c r="T1815" i="8"/>
  <c r="R1816" i="8"/>
  <c r="S1816" i="8"/>
  <c r="T1816" i="8"/>
  <c r="R1817" i="8"/>
  <c r="S1817" i="8"/>
  <c r="T1817" i="8"/>
  <c r="R1818" i="8"/>
  <c r="S1818" i="8"/>
  <c r="T1818" i="8"/>
  <c r="R1819" i="8"/>
  <c r="S1819" i="8"/>
  <c r="T1819" i="8"/>
  <c r="R1820" i="8"/>
  <c r="S1820" i="8"/>
  <c r="T1820" i="8"/>
  <c r="R1821" i="8"/>
  <c r="S1821" i="8"/>
  <c r="T1821" i="8"/>
  <c r="R1822" i="8"/>
  <c r="S1822" i="8"/>
  <c r="T1822" i="8"/>
  <c r="R1823" i="8"/>
  <c r="S1823" i="8"/>
  <c r="T1823" i="8"/>
  <c r="R1824" i="8"/>
  <c r="S1824" i="8"/>
  <c r="T1824" i="8"/>
  <c r="R1825" i="8"/>
  <c r="S1825" i="8"/>
  <c r="T1825" i="8"/>
  <c r="R1826" i="8"/>
  <c r="S1826" i="8"/>
  <c r="T1826" i="8"/>
  <c r="R1827" i="8"/>
  <c r="S1827" i="8"/>
  <c r="T1827" i="8"/>
  <c r="R1828" i="8"/>
  <c r="S1828" i="8"/>
  <c r="T1828" i="8"/>
  <c r="R1829" i="8"/>
  <c r="S1829" i="8"/>
  <c r="T1829" i="8"/>
  <c r="R1830" i="8"/>
  <c r="S1830" i="8"/>
  <c r="T1830" i="8"/>
  <c r="R1831" i="8"/>
  <c r="S1831" i="8"/>
  <c r="T1831" i="8"/>
  <c r="R1832" i="8"/>
  <c r="S1832" i="8"/>
  <c r="T1832" i="8"/>
  <c r="R1833" i="8"/>
  <c r="S1833" i="8"/>
  <c r="T1833" i="8"/>
  <c r="R1834" i="8"/>
  <c r="S1834" i="8"/>
  <c r="T1834" i="8"/>
  <c r="R1835" i="8"/>
  <c r="S1835" i="8"/>
  <c r="T1835" i="8"/>
  <c r="R1836" i="8"/>
  <c r="S1836" i="8"/>
  <c r="T1836" i="8"/>
  <c r="R1837" i="8"/>
  <c r="S1837" i="8"/>
  <c r="T1837" i="8"/>
  <c r="R1838" i="8"/>
  <c r="S1838" i="8"/>
  <c r="T1838" i="8"/>
  <c r="R1839" i="8"/>
  <c r="S1839" i="8"/>
  <c r="T1839" i="8"/>
  <c r="R1840" i="8"/>
  <c r="S1840" i="8"/>
  <c r="T1840" i="8"/>
  <c r="R1841" i="8"/>
  <c r="S1841" i="8"/>
  <c r="T1841" i="8"/>
  <c r="R1842" i="8"/>
  <c r="S1842" i="8"/>
  <c r="T1842" i="8"/>
  <c r="R1843" i="8"/>
  <c r="S1843" i="8"/>
  <c r="T1843" i="8"/>
  <c r="R1844" i="8"/>
  <c r="S1844" i="8"/>
  <c r="T1844" i="8"/>
  <c r="R1845" i="8"/>
  <c r="S1845" i="8"/>
  <c r="T1845" i="8"/>
  <c r="R1846" i="8"/>
  <c r="S1846" i="8"/>
  <c r="T1846" i="8"/>
  <c r="R1847" i="8"/>
  <c r="S1847" i="8"/>
  <c r="T1847" i="8"/>
  <c r="R1848" i="8"/>
  <c r="S1848" i="8"/>
  <c r="T1848" i="8"/>
  <c r="R1849" i="8"/>
  <c r="S1849" i="8"/>
  <c r="T1849" i="8"/>
  <c r="R1850" i="8"/>
  <c r="S1850" i="8"/>
  <c r="T1850" i="8"/>
  <c r="R1851" i="8"/>
  <c r="S1851" i="8"/>
  <c r="T1851" i="8"/>
  <c r="R1852" i="8"/>
  <c r="S1852" i="8"/>
  <c r="T1852" i="8"/>
  <c r="R1853" i="8"/>
  <c r="S1853" i="8"/>
  <c r="T1853" i="8"/>
  <c r="R1854" i="8"/>
  <c r="S1854" i="8"/>
  <c r="T1854" i="8"/>
  <c r="R1855" i="8"/>
  <c r="S1855" i="8"/>
  <c r="T1855" i="8"/>
  <c r="R1856" i="8"/>
  <c r="S1856" i="8"/>
  <c r="T1856" i="8"/>
  <c r="R1857" i="8"/>
  <c r="S1857" i="8"/>
  <c r="T1857" i="8"/>
  <c r="R1858" i="8"/>
  <c r="S1858" i="8"/>
  <c r="T1858" i="8"/>
  <c r="R1859" i="8"/>
  <c r="S1859" i="8"/>
  <c r="T1859" i="8"/>
  <c r="R1860" i="8"/>
  <c r="S1860" i="8"/>
  <c r="T1860" i="8"/>
  <c r="R1861" i="8"/>
  <c r="S1861" i="8"/>
  <c r="T1861" i="8"/>
  <c r="R1862" i="8"/>
  <c r="S1862" i="8"/>
  <c r="T1862" i="8"/>
  <c r="R1863" i="8"/>
  <c r="S1863" i="8"/>
  <c r="T1863" i="8"/>
  <c r="R1864" i="8"/>
  <c r="S1864" i="8"/>
  <c r="T1864" i="8"/>
  <c r="R1865" i="8"/>
  <c r="S1865" i="8"/>
  <c r="T1865" i="8"/>
  <c r="R1866" i="8"/>
  <c r="S1866" i="8"/>
  <c r="T1866" i="8"/>
  <c r="R1867" i="8"/>
  <c r="S1867" i="8"/>
  <c r="T1867" i="8"/>
  <c r="R1868" i="8"/>
  <c r="S1868" i="8"/>
  <c r="T1868" i="8"/>
  <c r="R1869" i="8"/>
  <c r="S1869" i="8"/>
  <c r="T1869" i="8"/>
  <c r="R1870" i="8"/>
  <c r="S1870" i="8"/>
  <c r="T1870" i="8"/>
  <c r="R1871" i="8"/>
  <c r="S1871" i="8"/>
  <c r="T1871" i="8"/>
  <c r="R1872" i="8"/>
  <c r="S1872" i="8"/>
  <c r="T1872" i="8"/>
  <c r="R1873" i="8"/>
  <c r="S1873" i="8"/>
  <c r="T1873" i="8"/>
  <c r="R1874" i="8"/>
  <c r="S1874" i="8"/>
  <c r="T1874" i="8"/>
  <c r="R1875" i="8"/>
  <c r="S1875" i="8"/>
  <c r="T1875" i="8"/>
  <c r="R1876" i="8"/>
  <c r="S1876" i="8"/>
  <c r="T1876" i="8"/>
  <c r="R1877" i="8"/>
  <c r="S1877" i="8"/>
  <c r="T1877" i="8"/>
  <c r="R1878" i="8"/>
  <c r="S1878" i="8"/>
  <c r="T1878" i="8"/>
  <c r="R1879" i="8"/>
  <c r="S1879" i="8"/>
  <c r="T1879" i="8"/>
  <c r="R1880" i="8"/>
  <c r="S1880" i="8"/>
  <c r="T1880" i="8"/>
  <c r="R1881" i="8"/>
  <c r="S1881" i="8"/>
  <c r="T1881" i="8"/>
  <c r="R1882" i="8"/>
  <c r="S1882" i="8"/>
  <c r="T1882" i="8"/>
  <c r="R1883" i="8"/>
  <c r="S1883" i="8"/>
  <c r="T1883" i="8"/>
  <c r="R1884" i="8"/>
  <c r="S1884" i="8"/>
  <c r="T1884" i="8"/>
  <c r="R1885" i="8"/>
  <c r="S1885" i="8"/>
  <c r="T1885" i="8"/>
  <c r="R1886" i="8"/>
  <c r="S1886" i="8"/>
  <c r="T1886" i="8"/>
  <c r="R1887" i="8"/>
  <c r="S1887" i="8"/>
  <c r="T1887" i="8"/>
  <c r="R1888" i="8"/>
  <c r="S1888" i="8"/>
  <c r="T1888" i="8"/>
  <c r="R1889" i="8"/>
  <c r="S1889" i="8"/>
  <c r="T1889" i="8"/>
  <c r="R1890" i="8"/>
  <c r="S1890" i="8"/>
  <c r="T1890" i="8"/>
  <c r="R1891" i="8"/>
  <c r="S1891" i="8"/>
  <c r="T1891" i="8"/>
  <c r="R1892" i="8"/>
  <c r="S1892" i="8"/>
  <c r="T1892" i="8"/>
  <c r="R1893" i="8"/>
  <c r="S1893" i="8"/>
  <c r="T1893" i="8"/>
  <c r="R1894" i="8"/>
  <c r="S1894" i="8"/>
  <c r="T1894" i="8"/>
  <c r="R1895" i="8"/>
  <c r="S1895" i="8"/>
  <c r="T1895" i="8"/>
  <c r="R1896" i="8"/>
  <c r="S1896" i="8"/>
  <c r="T1896" i="8"/>
  <c r="R1897" i="8"/>
  <c r="S1897" i="8"/>
  <c r="T1897" i="8"/>
  <c r="R1898" i="8"/>
  <c r="S1898" i="8"/>
  <c r="T1898" i="8"/>
  <c r="R1899" i="8"/>
  <c r="S1899" i="8"/>
  <c r="T1899" i="8"/>
  <c r="R1900" i="8"/>
  <c r="S1900" i="8"/>
  <c r="T1900" i="8"/>
  <c r="R1901" i="8"/>
  <c r="S1901" i="8"/>
  <c r="T1901" i="8"/>
  <c r="R1902" i="8"/>
  <c r="S1902" i="8"/>
  <c r="T1902" i="8"/>
  <c r="R1903" i="8"/>
  <c r="S1903" i="8"/>
  <c r="T1903" i="8"/>
  <c r="R1904" i="8"/>
  <c r="S1904" i="8"/>
  <c r="T1904" i="8"/>
  <c r="R1905" i="8"/>
  <c r="S1905" i="8"/>
  <c r="T1905" i="8"/>
  <c r="R1906" i="8"/>
  <c r="S1906" i="8"/>
  <c r="T1906" i="8"/>
  <c r="R1907" i="8"/>
  <c r="S1907" i="8"/>
  <c r="T1907" i="8"/>
  <c r="R1908" i="8"/>
  <c r="S1908" i="8"/>
  <c r="T1908" i="8"/>
  <c r="R1909" i="8"/>
  <c r="S1909" i="8"/>
  <c r="T1909" i="8"/>
  <c r="R1910" i="8"/>
  <c r="S1910" i="8"/>
  <c r="T1910" i="8"/>
  <c r="R1911" i="8"/>
  <c r="S1911" i="8"/>
  <c r="T1911" i="8"/>
  <c r="R1912" i="8"/>
  <c r="S1912" i="8"/>
  <c r="T1912" i="8"/>
  <c r="R1913" i="8"/>
  <c r="S1913" i="8"/>
  <c r="T1913" i="8"/>
  <c r="R1914" i="8"/>
  <c r="S1914" i="8"/>
  <c r="T1914" i="8"/>
  <c r="R1915" i="8"/>
  <c r="S1915" i="8"/>
  <c r="T1915" i="8"/>
  <c r="R1916" i="8"/>
  <c r="S1916" i="8"/>
  <c r="T1916" i="8"/>
  <c r="R1917" i="8"/>
  <c r="S1917" i="8"/>
  <c r="T1917" i="8"/>
  <c r="R1918" i="8"/>
  <c r="S1918" i="8"/>
  <c r="T1918" i="8"/>
  <c r="R1919" i="8"/>
  <c r="S1919" i="8"/>
  <c r="T1919" i="8"/>
  <c r="R1920" i="8"/>
  <c r="S1920" i="8"/>
  <c r="T1920" i="8"/>
  <c r="R1921" i="8"/>
  <c r="S1921" i="8"/>
  <c r="T1921" i="8"/>
  <c r="R1922" i="8"/>
  <c r="S1922" i="8"/>
  <c r="T1922" i="8"/>
  <c r="R1923" i="8"/>
  <c r="S1923" i="8"/>
  <c r="T1923" i="8"/>
  <c r="R1924" i="8"/>
  <c r="S1924" i="8"/>
  <c r="T1924" i="8"/>
  <c r="R1925" i="8"/>
  <c r="S1925" i="8"/>
  <c r="T1925" i="8"/>
  <c r="R1926" i="8"/>
  <c r="S1926" i="8"/>
  <c r="T1926" i="8"/>
  <c r="R1927" i="8"/>
  <c r="S1927" i="8"/>
  <c r="T1927" i="8"/>
  <c r="R1928" i="8"/>
  <c r="S1928" i="8"/>
  <c r="T1928" i="8"/>
  <c r="R1929" i="8"/>
  <c r="S1929" i="8"/>
  <c r="T1929" i="8"/>
  <c r="R1930" i="8"/>
  <c r="S1930" i="8"/>
  <c r="T1930" i="8"/>
  <c r="R1931" i="8"/>
  <c r="S1931" i="8"/>
  <c r="T1931" i="8"/>
  <c r="R1932" i="8"/>
  <c r="S1932" i="8"/>
  <c r="T1932" i="8"/>
  <c r="R1933" i="8"/>
  <c r="S1933" i="8"/>
  <c r="T1933" i="8"/>
  <c r="R1934" i="8"/>
  <c r="S1934" i="8"/>
  <c r="T1934" i="8"/>
  <c r="R1935" i="8"/>
  <c r="S1935" i="8"/>
  <c r="T1935" i="8"/>
  <c r="R1936" i="8"/>
  <c r="S1936" i="8"/>
  <c r="T1936" i="8"/>
  <c r="R1937" i="8"/>
  <c r="S1937" i="8"/>
  <c r="T1937" i="8"/>
  <c r="R1938" i="8"/>
  <c r="S1938" i="8"/>
  <c r="T1938" i="8"/>
  <c r="R1939" i="8"/>
  <c r="S1939" i="8"/>
  <c r="T1939" i="8"/>
  <c r="R1940" i="8"/>
  <c r="S1940" i="8"/>
  <c r="T1940" i="8"/>
  <c r="R1941" i="8"/>
  <c r="S1941" i="8"/>
  <c r="T1941" i="8"/>
  <c r="R1942" i="8"/>
  <c r="S1942" i="8"/>
  <c r="T1942" i="8"/>
  <c r="R1943" i="8"/>
  <c r="S1943" i="8"/>
  <c r="T1943" i="8"/>
  <c r="R1944" i="8"/>
  <c r="S1944" i="8"/>
  <c r="T1944" i="8"/>
  <c r="R1945" i="8"/>
  <c r="S1945" i="8"/>
  <c r="T1945" i="8"/>
  <c r="R1946" i="8"/>
  <c r="S1946" i="8"/>
  <c r="T1946" i="8"/>
  <c r="R1947" i="8"/>
  <c r="S1947" i="8"/>
  <c r="T1947" i="8"/>
  <c r="R1948" i="8"/>
  <c r="S1948" i="8"/>
  <c r="T1948" i="8"/>
  <c r="R1949" i="8"/>
  <c r="S1949" i="8"/>
  <c r="T1949" i="8"/>
  <c r="R1950" i="8"/>
  <c r="S1950" i="8"/>
  <c r="T1950" i="8"/>
  <c r="R1951" i="8"/>
  <c r="S1951" i="8"/>
  <c r="T1951" i="8"/>
  <c r="R1952" i="8"/>
  <c r="S1952" i="8"/>
  <c r="T1952" i="8"/>
  <c r="R1953" i="8"/>
  <c r="S1953" i="8"/>
  <c r="T1953" i="8"/>
  <c r="R1954" i="8"/>
  <c r="S1954" i="8"/>
  <c r="T1954" i="8"/>
  <c r="R1955" i="8"/>
  <c r="S1955" i="8"/>
  <c r="T1955" i="8"/>
  <c r="R1956" i="8"/>
  <c r="S1956" i="8"/>
  <c r="T1956" i="8"/>
  <c r="R1957" i="8"/>
  <c r="S1957" i="8"/>
  <c r="T1957" i="8"/>
  <c r="R1958" i="8"/>
  <c r="S1958" i="8"/>
  <c r="T1958" i="8"/>
  <c r="R1959" i="8"/>
  <c r="S1959" i="8"/>
  <c r="T1959" i="8"/>
  <c r="R1960" i="8"/>
  <c r="S1960" i="8"/>
  <c r="T1960" i="8"/>
  <c r="R1961" i="8"/>
  <c r="S1961" i="8"/>
  <c r="T1961" i="8"/>
  <c r="R1962" i="8"/>
  <c r="S1962" i="8"/>
  <c r="T1962" i="8"/>
  <c r="R1963" i="8"/>
  <c r="S1963" i="8"/>
  <c r="T1963" i="8"/>
  <c r="R1964" i="8"/>
  <c r="S1964" i="8"/>
  <c r="T1964" i="8"/>
  <c r="R1965" i="8"/>
  <c r="S1965" i="8"/>
  <c r="T1965" i="8"/>
  <c r="R1966" i="8"/>
  <c r="S1966" i="8"/>
  <c r="T1966" i="8"/>
  <c r="R1967" i="8"/>
  <c r="S1967" i="8"/>
  <c r="T1967" i="8"/>
  <c r="R1968" i="8"/>
  <c r="S1968" i="8"/>
  <c r="T1968" i="8"/>
  <c r="R1969" i="8"/>
  <c r="S1969" i="8"/>
  <c r="T1969" i="8"/>
  <c r="R1970" i="8"/>
  <c r="S1970" i="8"/>
  <c r="T1970" i="8"/>
  <c r="R1971" i="8"/>
  <c r="S1971" i="8"/>
  <c r="T1971" i="8"/>
  <c r="R1972" i="8"/>
  <c r="S1972" i="8"/>
  <c r="T1972" i="8"/>
  <c r="R1973" i="8"/>
  <c r="S1973" i="8"/>
  <c r="T1973" i="8"/>
  <c r="R1974" i="8"/>
  <c r="S1974" i="8"/>
  <c r="T1974" i="8"/>
  <c r="R1975" i="8"/>
  <c r="S1975" i="8"/>
  <c r="T1975" i="8"/>
  <c r="R1976" i="8"/>
  <c r="S1976" i="8"/>
  <c r="T1976" i="8"/>
  <c r="R1977" i="8"/>
  <c r="S1977" i="8"/>
  <c r="T1977" i="8"/>
  <c r="R1978" i="8"/>
  <c r="S1978" i="8"/>
  <c r="T1978" i="8"/>
  <c r="R1979" i="8"/>
  <c r="S1979" i="8"/>
  <c r="T1979" i="8"/>
  <c r="R1980" i="8"/>
  <c r="S1980" i="8"/>
  <c r="T1980" i="8"/>
  <c r="R1981" i="8"/>
  <c r="S1981" i="8"/>
  <c r="T1981" i="8"/>
  <c r="R1982" i="8"/>
  <c r="S1982" i="8"/>
  <c r="T1982" i="8"/>
  <c r="R1983" i="8"/>
  <c r="S1983" i="8"/>
  <c r="T1983" i="8"/>
  <c r="R1984" i="8"/>
  <c r="S1984" i="8"/>
  <c r="T1984" i="8"/>
  <c r="R1985" i="8"/>
  <c r="S1985" i="8"/>
  <c r="T1985" i="8"/>
  <c r="R1986" i="8"/>
  <c r="S1986" i="8"/>
  <c r="T1986" i="8"/>
  <c r="R1987" i="8"/>
  <c r="S1987" i="8"/>
  <c r="T1987" i="8"/>
  <c r="R1988" i="8"/>
  <c r="S1988" i="8"/>
  <c r="T1988" i="8"/>
  <c r="R1989" i="8"/>
  <c r="S1989" i="8"/>
  <c r="T1989" i="8"/>
  <c r="R1990" i="8"/>
  <c r="S1990" i="8"/>
  <c r="T1990" i="8"/>
  <c r="R1991" i="8"/>
  <c r="S1991" i="8"/>
  <c r="T1991" i="8"/>
  <c r="R1992" i="8"/>
  <c r="S1992" i="8"/>
  <c r="T1992" i="8"/>
  <c r="R1993" i="8"/>
  <c r="S1993" i="8"/>
  <c r="T1993" i="8"/>
  <c r="R1994" i="8"/>
  <c r="S1994" i="8"/>
  <c r="T1994" i="8"/>
  <c r="R1995" i="8"/>
  <c r="S1995" i="8"/>
  <c r="T1995" i="8"/>
  <c r="R1996" i="8"/>
  <c r="S1996" i="8"/>
  <c r="T1996" i="8"/>
  <c r="R1997" i="8"/>
  <c r="S1997" i="8"/>
  <c r="T1997" i="8"/>
  <c r="R1998" i="8"/>
  <c r="S1998" i="8"/>
  <c r="T1998" i="8"/>
  <c r="R1999" i="8"/>
  <c r="S1999" i="8"/>
  <c r="T1999" i="8"/>
  <c r="R2000" i="8"/>
  <c r="S2000" i="8"/>
  <c r="T2000" i="8"/>
  <c r="R2001" i="8"/>
  <c r="S2001" i="8"/>
  <c r="T2001" i="8"/>
  <c r="R2002" i="8"/>
  <c r="S2002" i="8"/>
  <c r="T2002" i="8"/>
  <c r="R2003" i="8"/>
  <c r="S2003" i="8"/>
  <c r="T2003" i="8"/>
  <c r="R2004" i="8"/>
  <c r="S2004" i="8"/>
  <c r="T2004" i="8"/>
  <c r="R2005" i="8"/>
  <c r="S2005" i="8"/>
  <c r="T2005" i="8"/>
  <c r="R2006" i="8"/>
  <c r="S2006" i="8"/>
  <c r="T2006" i="8"/>
  <c r="R2007" i="8"/>
  <c r="S2007" i="8"/>
  <c r="T2007" i="8"/>
  <c r="R2008" i="8"/>
  <c r="S2008" i="8"/>
  <c r="T2008" i="8"/>
  <c r="R2009" i="8"/>
  <c r="S2009" i="8"/>
  <c r="T2009" i="8"/>
  <c r="R2010" i="8"/>
  <c r="S2010" i="8"/>
  <c r="T2010" i="8"/>
  <c r="R2011" i="8"/>
  <c r="S2011" i="8"/>
  <c r="T2011" i="8"/>
  <c r="R2012" i="8"/>
  <c r="S2012" i="8"/>
  <c r="T2012" i="8"/>
  <c r="R2013" i="8"/>
  <c r="S2013" i="8"/>
  <c r="T2013" i="8"/>
  <c r="R2014" i="8"/>
  <c r="S2014" i="8"/>
  <c r="T2014" i="8"/>
  <c r="R2015" i="8"/>
  <c r="S2015" i="8"/>
  <c r="T2015" i="8"/>
  <c r="R2016" i="8"/>
  <c r="S2016" i="8"/>
  <c r="T2016" i="8"/>
  <c r="R2017" i="8"/>
  <c r="S2017" i="8"/>
  <c r="T2017" i="8"/>
  <c r="R2018" i="8"/>
  <c r="S2018" i="8"/>
  <c r="T2018" i="8"/>
  <c r="R2019" i="8"/>
  <c r="S2019" i="8"/>
  <c r="T2019" i="8"/>
  <c r="R2020" i="8"/>
  <c r="S2020" i="8"/>
  <c r="T2020" i="8"/>
  <c r="R2021" i="8"/>
  <c r="S2021" i="8"/>
  <c r="T2021" i="8"/>
  <c r="R2022" i="8"/>
  <c r="S2022" i="8"/>
  <c r="T2022" i="8"/>
  <c r="R2023" i="8"/>
  <c r="S2023" i="8"/>
  <c r="T2023" i="8"/>
  <c r="R2024" i="8"/>
  <c r="S2024" i="8"/>
  <c r="T2024" i="8"/>
  <c r="R2025" i="8"/>
  <c r="S2025" i="8"/>
  <c r="T2025" i="8"/>
  <c r="R2026" i="8"/>
  <c r="S2026" i="8"/>
  <c r="T2026" i="8"/>
  <c r="R2027" i="8"/>
  <c r="S2027" i="8"/>
  <c r="T2027" i="8"/>
  <c r="R2028" i="8"/>
  <c r="S2028" i="8"/>
  <c r="T2028" i="8"/>
  <c r="R2029" i="8"/>
  <c r="S2029" i="8"/>
  <c r="T2029" i="8"/>
  <c r="R2030" i="8"/>
  <c r="S2030" i="8"/>
  <c r="T2030" i="8"/>
  <c r="R2031" i="8"/>
  <c r="S2031" i="8"/>
  <c r="T2031" i="8"/>
  <c r="R2032" i="8"/>
  <c r="S2032" i="8"/>
  <c r="T2032" i="8"/>
  <c r="R2033" i="8"/>
  <c r="S2033" i="8"/>
  <c r="T2033" i="8"/>
  <c r="R2034" i="8"/>
  <c r="S2034" i="8"/>
  <c r="T2034" i="8"/>
  <c r="R2035" i="8"/>
  <c r="S2035" i="8"/>
  <c r="T2035" i="8"/>
  <c r="R2036" i="8"/>
  <c r="S2036" i="8"/>
  <c r="T2036" i="8"/>
  <c r="R2037" i="8"/>
  <c r="S2037" i="8"/>
  <c r="T2037" i="8"/>
  <c r="R2038" i="8"/>
  <c r="S2038" i="8"/>
  <c r="T2038" i="8"/>
  <c r="R2039" i="8"/>
  <c r="S2039" i="8"/>
  <c r="T2039" i="8"/>
  <c r="R2040" i="8"/>
  <c r="S2040" i="8"/>
  <c r="T2040" i="8"/>
  <c r="R2041" i="8"/>
  <c r="S2041" i="8"/>
  <c r="T2041" i="8"/>
  <c r="R2042" i="8"/>
  <c r="S2042" i="8"/>
  <c r="T2042" i="8"/>
  <c r="R2043" i="8"/>
  <c r="S2043" i="8"/>
  <c r="T2043" i="8"/>
  <c r="R2044" i="8"/>
  <c r="S2044" i="8"/>
  <c r="T2044" i="8"/>
  <c r="R2045" i="8"/>
  <c r="S2045" i="8"/>
  <c r="T2045" i="8"/>
  <c r="R2046" i="8"/>
  <c r="S2046" i="8"/>
  <c r="T2046" i="8"/>
  <c r="R2047" i="8"/>
  <c r="S2047" i="8"/>
  <c r="T2047" i="8"/>
  <c r="R2048" i="8"/>
  <c r="S2048" i="8"/>
  <c r="T2048" i="8"/>
  <c r="R2049" i="8"/>
  <c r="S2049" i="8"/>
  <c r="T2049" i="8"/>
  <c r="R2050" i="8"/>
  <c r="S2050" i="8"/>
  <c r="T2050" i="8"/>
  <c r="R2051" i="8"/>
  <c r="S2051" i="8"/>
  <c r="T2051" i="8"/>
  <c r="R2052" i="8"/>
  <c r="S2052" i="8"/>
  <c r="T2052" i="8"/>
  <c r="R2053" i="8"/>
  <c r="S2053" i="8"/>
  <c r="T2053" i="8"/>
  <c r="R2054" i="8"/>
  <c r="S2054" i="8"/>
  <c r="T2054" i="8"/>
  <c r="R2055" i="8"/>
  <c r="S2055" i="8"/>
  <c r="T2055" i="8"/>
  <c r="R2056" i="8"/>
  <c r="S2056" i="8"/>
  <c r="T2056" i="8"/>
  <c r="R2057" i="8"/>
  <c r="S2057" i="8"/>
  <c r="T2057" i="8"/>
  <c r="R2058" i="8"/>
  <c r="S2058" i="8"/>
  <c r="T2058" i="8"/>
  <c r="R2059" i="8"/>
  <c r="S2059" i="8"/>
  <c r="T2059" i="8"/>
  <c r="R2060" i="8"/>
  <c r="S2060" i="8"/>
  <c r="T2060" i="8"/>
  <c r="R2061" i="8"/>
  <c r="S2061" i="8"/>
  <c r="T2061" i="8"/>
  <c r="R2062" i="8"/>
  <c r="S2062" i="8"/>
  <c r="T2062" i="8"/>
  <c r="R2063" i="8"/>
  <c r="S2063" i="8"/>
  <c r="T2063" i="8"/>
  <c r="R2064" i="8"/>
  <c r="S2064" i="8"/>
  <c r="T2064" i="8"/>
  <c r="R2065" i="8"/>
  <c r="S2065" i="8"/>
  <c r="T2065" i="8"/>
  <c r="R2066" i="8"/>
  <c r="S2066" i="8"/>
  <c r="T2066" i="8"/>
  <c r="R2067" i="8"/>
  <c r="S2067" i="8"/>
  <c r="T2067" i="8"/>
  <c r="R2068" i="8"/>
  <c r="S2068" i="8"/>
  <c r="T2068" i="8"/>
  <c r="R2069" i="8"/>
  <c r="S2069" i="8"/>
  <c r="T2069" i="8"/>
  <c r="R2070" i="8"/>
  <c r="S2070" i="8"/>
  <c r="T2070" i="8"/>
  <c r="R2071" i="8"/>
  <c r="S2071" i="8"/>
  <c r="T2071" i="8"/>
  <c r="R2072" i="8"/>
  <c r="S2072" i="8"/>
  <c r="T2072" i="8"/>
  <c r="R2073" i="8"/>
  <c r="S2073" i="8"/>
  <c r="T2073" i="8"/>
  <c r="R2074" i="8"/>
  <c r="S2074" i="8"/>
  <c r="T2074" i="8"/>
  <c r="R2075" i="8"/>
  <c r="S2075" i="8"/>
  <c r="T2075" i="8"/>
  <c r="R2076" i="8"/>
  <c r="S2076" i="8"/>
  <c r="T2076" i="8"/>
  <c r="R2077" i="8"/>
  <c r="S2077" i="8"/>
  <c r="T2077" i="8"/>
  <c r="R2078" i="8"/>
  <c r="S2078" i="8"/>
  <c r="T2078" i="8"/>
  <c r="R2079" i="8"/>
  <c r="S2079" i="8"/>
  <c r="T2079" i="8"/>
  <c r="R2080" i="8"/>
  <c r="S2080" i="8"/>
  <c r="T2080" i="8"/>
  <c r="R2081" i="8"/>
  <c r="S2081" i="8"/>
  <c r="T2081" i="8"/>
  <c r="R2082" i="8"/>
  <c r="S2082" i="8"/>
  <c r="T2082" i="8"/>
  <c r="R2083" i="8"/>
  <c r="S2083" i="8"/>
  <c r="T2083" i="8"/>
  <c r="R2084" i="8"/>
  <c r="S2084" i="8"/>
  <c r="T2084" i="8"/>
  <c r="R2085" i="8"/>
  <c r="S2085" i="8"/>
  <c r="T2085" i="8"/>
  <c r="R2086" i="8"/>
  <c r="S2086" i="8"/>
  <c r="T2086" i="8"/>
  <c r="R2087" i="8"/>
  <c r="S2087" i="8"/>
  <c r="T2087" i="8"/>
  <c r="R2088" i="8"/>
  <c r="S2088" i="8"/>
  <c r="T2088" i="8"/>
  <c r="R2089" i="8"/>
  <c r="S2089" i="8"/>
  <c r="T2089" i="8"/>
  <c r="R2090" i="8"/>
  <c r="S2090" i="8"/>
  <c r="T2090" i="8"/>
  <c r="R2091" i="8"/>
  <c r="S2091" i="8"/>
  <c r="T2091" i="8"/>
  <c r="R2092" i="8"/>
  <c r="S2092" i="8"/>
  <c r="T2092" i="8"/>
  <c r="R2093" i="8"/>
  <c r="S2093" i="8"/>
  <c r="T2093" i="8"/>
  <c r="R2094" i="8"/>
  <c r="S2094" i="8"/>
  <c r="T2094" i="8"/>
  <c r="R2095" i="8"/>
  <c r="S2095" i="8"/>
  <c r="T2095" i="8"/>
  <c r="R2096" i="8"/>
  <c r="S2096" i="8"/>
  <c r="T2096" i="8"/>
  <c r="R2097" i="8"/>
  <c r="S2097" i="8"/>
  <c r="T2097" i="8"/>
  <c r="R2098" i="8"/>
  <c r="S2098" i="8"/>
  <c r="T2098" i="8"/>
  <c r="R2099" i="8"/>
  <c r="S2099" i="8"/>
  <c r="T2099" i="8"/>
  <c r="R2100" i="8"/>
  <c r="S2100" i="8"/>
  <c r="T2100" i="8"/>
  <c r="R2101" i="8"/>
  <c r="S2101" i="8"/>
  <c r="T2101" i="8"/>
  <c r="R2102" i="8"/>
  <c r="S2102" i="8"/>
  <c r="T2102" i="8"/>
  <c r="R2103" i="8"/>
  <c r="S2103" i="8"/>
  <c r="T2103" i="8"/>
  <c r="R2104" i="8"/>
  <c r="S2104" i="8"/>
  <c r="T2104" i="8"/>
  <c r="R2105" i="8"/>
  <c r="S2105" i="8"/>
  <c r="T2105" i="8"/>
  <c r="R2106" i="8"/>
  <c r="S2106" i="8"/>
  <c r="T2106" i="8"/>
  <c r="R2107" i="8"/>
  <c r="S2107" i="8"/>
  <c r="T2107" i="8"/>
  <c r="R2108" i="8"/>
  <c r="S2108" i="8"/>
  <c r="T2108" i="8"/>
  <c r="R2109" i="8"/>
  <c r="S2109" i="8"/>
  <c r="T2109" i="8"/>
  <c r="R2110" i="8"/>
  <c r="S2110" i="8"/>
  <c r="T2110" i="8"/>
  <c r="R2111" i="8"/>
  <c r="S2111" i="8"/>
  <c r="T2111" i="8"/>
  <c r="R2112" i="8"/>
  <c r="S2112" i="8"/>
  <c r="T2112" i="8"/>
  <c r="R2113" i="8"/>
  <c r="S2113" i="8"/>
  <c r="T2113" i="8"/>
  <c r="R2114" i="8"/>
  <c r="S2114" i="8"/>
  <c r="T2114" i="8"/>
  <c r="R2115" i="8"/>
  <c r="S2115" i="8"/>
  <c r="T2115" i="8"/>
  <c r="R2116" i="8"/>
  <c r="S2116" i="8"/>
  <c r="T2116" i="8"/>
  <c r="R2117" i="8"/>
  <c r="S2117" i="8"/>
  <c r="T2117" i="8"/>
  <c r="R2118" i="8"/>
  <c r="S2118" i="8"/>
  <c r="T2118" i="8"/>
  <c r="R2119" i="8"/>
  <c r="S2119" i="8"/>
  <c r="T2119" i="8"/>
  <c r="R2120" i="8"/>
  <c r="S2120" i="8"/>
  <c r="T2120" i="8"/>
  <c r="R2121" i="8"/>
  <c r="S2121" i="8"/>
  <c r="T2121" i="8"/>
  <c r="R2122" i="8"/>
  <c r="S2122" i="8"/>
  <c r="T2122" i="8"/>
  <c r="R2123" i="8"/>
  <c r="S2123" i="8"/>
  <c r="T2123" i="8"/>
  <c r="R2124" i="8"/>
  <c r="S2124" i="8"/>
  <c r="T2124" i="8"/>
  <c r="R2125" i="8"/>
  <c r="S2125" i="8"/>
  <c r="T2125" i="8"/>
  <c r="R2126" i="8"/>
  <c r="S2126" i="8"/>
  <c r="T2126" i="8"/>
  <c r="R2127" i="8"/>
  <c r="S2127" i="8"/>
  <c r="T2127" i="8"/>
  <c r="R2128" i="8"/>
  <c r="S2128" i="8"/>
  <c r="T2128" i="8"/>
  <c r="R2129" i="8"/>
  <c r="S2129" i="8"/>
  <c r="T2129" i="8"/>
  <c r="R2130" i="8"/>
  <c r="S2130" i="8"/>
  <c r="T2130" i="8"/>
  <c r="R2131" i="8"/>
  <c r="S2131" i="8"/>
  <c r="T2131" i="8"/>
  <c r="R2132" i="8"/>
  <c r="S2132" i="8"/>
  <c r="T2132" i="8"/>
  <c r="R2133" i="8"/>
  <c r="S2133" i="8"/>
  <c r="T2133" i="8"/>
  <c r="R2134" i="8"/>
  <c r="S2134" i="8"/>
  <c r="T2134" i="8"/>
  <c r="R2135" i="8"/>
  <c r="S2135" i="8"/>
  <c r="T2135" i="8"/>
  <c r="R2136" i="8"/>
  <c r="S2136" i="8"/>
  <c r="T2136" i="8"/>
  <c r="R2137" i="8"/>
  <c r="S2137" i="8"/>
  <c r="T2137" i="8"/>
  <c r="R2138" i="8"/>
  <c r="S2138" i="8"/>
  <c r="T2138" i="8"/>
  <c r="R2139" i="8"/>
  <c r="S2139" i="8"/>
  <c r="T2139" i="8"/>
  <c r="R2140" i="8"/>
  <c r="S2140" i="8"/>
  <c r="T2140" i="8"/>
  <c r="R2141" i="8"/>
  <c r="S2141" i="8"/>
  <c r="T2141" i="8"/>
  <c r="R2142" i="8"/>
  <c r="S2142" i="8"/>
  <c r="T2142" i="8"/>
  <c r="R2143" i="8"/>
  <c r="S2143" i="8"/>
  <c r="T2143" i="8"/>
  <c r="R2144" i="8"/>
  <c r="S2144" i="8"/>
  <c r="T2144" i="8"/>
  <c r="R2145" i="8"/>
  <c r="S2145" i="8"/>
  <c r="T2145" i="8"/>
  <c r="R2146" i="8"/>
  <c r="S2146" i="8"/>
  <c r="T2146" i="8"/>
  <c r="R2147" i="8"/>
  <c r="S2147" i="8"/>
  <c r="T2147" i="8"/>
  <c r="R2148" i="8"/>
  <c r="S2148" i="8"/>
  <c r="T2148" i="8"/>
  <c r="R2149" i="8"/>
  <c r="S2149" i="8"/>
  <c r="T2149" i="8"/>
  <c r="R2150" i="8"/>
  <c r="S2150" i="8"/>
  <c r="T2150" i="8"/>
  <c r="R2151" i="8"/>
  <c r="S2151" i="8"/>
  <c r="T2151" i="8"/>
  <c r="R2152" i="8"/>
  <c r="S2152" i="8"/>
  <c r="T2152" i="8"/>
  <c r="R2153" i="8"/>
  <c r="S2153" i="8"/>
  <c r="T2153" i="8"/>
  <c r="R2154" i="8"/>
  <c r="S2154" i="8"/>
  <c r="T2154" i="8"/>
  <c r="R2155" i="8"/>
  <c r="S2155" i="8"/>
  <c r="T2155" i="8"/>
  <c r="R2156" i="8"/>
  <c r="S2156" i="8"/>
  <c r="T2156" i="8"/>
  <c r="R2157" i="8"/>
  <c r="S2157" i="8"/>
  <c r="T2157" i="8"/>
  <c r="R2158" i="8"/>
  <c r="S2158" i="8"/>
  <c r="T2158" i="8"/>
  <c r="R2159" i="8"/>
  <c r="S2159" i="8"/>
  <c r="T2159" i="8"/>
  <c r="R2160" i="8"/>
  <c r="S2160" i="8"/>
  <c r="T2160" i="8"/>
  <c r="R2161" i="8"/>
  <c r="S2161" i="8"/>
  <c r="T2161" i="8"/>
  <c r="R2162" i="8"/>
  <c r="S2162" i="8"/>
  <c r="T2162" i="8"/>
  <c r="R2163" i="8"/>
  <c r="S2163" i="8"/>
  <c r="T2163" i="8"/>
  <c r="R2164" i="8"/>
  <c r="S2164" i="8"/>
  <c r="T2164" i="8"/>
  <c r="R2165" i="8"/>
  <c r="S2165" i="8"/>
  <c r="T2165" i="8"/>
  <c r="R2166" i="8"/>
  <c r="S2166" i="8"/>
  <c r="T2166" i="8"/>
  <c r="R2167" i="8"/>
  <c r="S2167" i="8"/>
  <c r="T2167" i="8"/>
  <c r="R2168" i="8"/>
  <c r="S2168" i="8"/>
  <c r="T2168" i="8"/>
  <c r="R2169" i="8"/>
  <c r="S2169" i="8"/>
  <c r="T2169" i="8"/>
  <c r="R2170" i="8"/>
  <c r="S2170" i="8"/>
  <c r="T2170" i="8"/>
  <c r="R2171" i="8"/>
  <c r="S2171" i="8"/>
  <c r="T2171" i="8"/>
  <c r="R2172" i="8"/>
  <c r="S2172" i="8"/>
  <c r="T2172" i="8"/>
  <c r="R2173" i="8"/>
  <c r="S2173" i="8"/>
  <c r="T2173" i="8"/>
  <c r="R2174" i="8"/>
  <c r="S2174" i="8"/>
  <c r="T2174" i="8"/>
  <c r="R2175" i="8"/>
  <c r="S2175" i="8"/>
  <c r="T2175" i="8"/>
  <c r="R2176" i="8"/>
  <c r="S2176" i="8"/>
  <c r="T2176" i="8"/>
  <c r="R2177" i="8"/>
  <c r="S2177" i="8"/>
  <c r="T2177" i="8"/>
  <c r="R2178" i="8"/>
  <c r="S2178" i="8"/>
  <c r="T2178" i="8"/>
  <c r="R2179" i="8"/>
  <c r="S2179" i="8"/>
  <c r="T2179" i="8"/>
  <c r="R2180" i="8"/>
  <c r="S2180" i="8"/>
  <c r="T2180" i="8"/>
  <c r="R2181" i="8"/>
  <c r="S2181" i="8"/>
  <c r="T2181" i="8"/>
  <c r="R2182" i="8"/>
  <c r="S2182" i="8"/>
  <c r="T2182" i="8"/>
  <c r="R2183" i="8"/>
  <c r="S2183" i="8"/>
  <c r="T2183" i="8"/>
  <c r="R2184" i="8"/>
  <c r="S2184" i="8"/>
  <c r="T2184" i="8"/>
  <c r="R2185" i="8"/>
  <c r="S2185" i="8"/>
  <c r="T2185" i="8"/>
  <c r="R2186" i="8"/>
  <c r="S2186" i="8"/>
  <c r="T2186" i="8"/>
  <c r="R2187" i="8"/>
  <c r="S2187" i="8"/>
  <c r="T2187" i="8"/>
  <c r="R2188" i="8"/>
  <c r="S2188" i="8"/>
  <c r="T2188" i="8"/>
  <c r="R2189" i="8"/>
  <c r="S2189" i="8"/>
  <c r="T2189" i="8"/>
  <c r="R2190" i="8"/>
  <c r="S2190" i="8"/>
  <c r="T2190" i="8"/>
  <c r="R2191" i="8"/>
  <c r="S2191" i="8"/>
  <c r="T2191" i="8"/>
  <c r="R2192" i="8"/>
  <c r="S2192" i="8"/>
  <c r="T2192" i="8"/>
  <c r="R2193" i="8"/>
  <c r="S2193" i="8"/>
  <c r="T2193" i="8"/>
  <c r="R2194" i="8"/>
  <c r="S2194" i="8"/>
  <c r="T2194" i="8"/>
  <c r="R2195" i="8"/>
  <c r="S2195" i="8"/>
  <c r="T2195" i="8"/>
  <c r="R2196" i="8"/>
  <c r="S2196" i="8"/>
  <c r="T2196" i="8"/>
  <c r="R2197" i="8"/>
  <c r="S2197" i="8"/>
  <c r="T2197" i="8"/>
  <c r="R2198" i="8"/>
  <c r="S2198" i="8"/>
  <c r="T2198" i="8"/>
  <c r="R2199" i="8"/>
  <c r="S2199" i="8"/>
  <c r="T2199" i="8"/>
  <c r="R2200" i="8"/>
  <c r="S2200" i="8"/>
  <c r="T2200" i="8"/>
  <c r="R2201" i="8"/>
  <c r="S2201" i="8"/>
  <c r="T2201" i="8"/>
  <c r="R2202" i="8"/>
  <c r="S2202" i="8"/>
  <c r="T2202" i="8"/>
  <c r="R2203" i="8"/>
  <c r="S2203" i="8"/>
  <c r="T2203" i="8"/>
  <c r="R2204" i="8"/>
  <c r="S2204" i="8"/>
  <c r="T2204" i="8"/>
  <c r="R2205" i="8"/>
  <c r="S2205" i="8"/>
  <c r="T2205" i="8"/>
  <c r="R2206" i="8"/>
  <c r="S2206" i="8"/>
  <c r="T2206" i="8"/>
  <c r="R2207" i="8"/>
  <c r="S2207" i="8"/>
  <c r="T2207" i="8"/>
  <c r="R2208" i="8"/>
  <c r="S2208" i="8"/>
  <c r="T2208" i="8"/>
  <c r="R2209" i="8"/>
  <c r="S2209" i="8"/>
  <c r="T2209" i="8"/>
  <c r="R2210" i="8"/>
  <c r="S2210" i="8"/>
  <c r="T2210" i="8"/>
  <c r="R2211" i="8"/>
  <c r="S2211" i="8"/>
  <c r="T2211" i="8"/>
  <c r="R2212" i="8"/>
  <c r="S2212" i="8"/>
  <c r="T2212" i="8"/>
  <c r="R2213" i="8"/>
  <c r="S2213" i="8"/>
  <c r="T2213" i="8"/>
  <c r="R2214" i="8"/>
  <c r="S2214" i="8"/>
  <c r="T2214" i="8"/>
  <c r="R2215" i="8"/>
  <c r="S2215" i="8"/>
  <c r="T2215" i="8"/>
  <c r="R2216" i="8"/>
  <c r="S2216" i="8"/>
  <c r="T2216" i="8"/>
  <c r="R2217" i="8"/>
  <c r="S2217" i="8"/>
  <c r="T2217" i="8"/>
  <c r="R2218" i="8"/>
  <c r="S2218" i="8"/>
  <c r="T2218" i="8"/>
  <c r="R2219" i="8"/>
  <c r="S2219" i="8"/>
  <c r="T2219" i="8"/>
  <c r="R2220" i="8"/>
  <c r="S2220" i="8"/>
  <c r="T2220" i="8"/>
  <c r="R2221" i="8"/>
  <c r="S2221" i="8"/>
  <c r="T2221" i="8"/>
  <c r="R2222" i="8"/>
  <c r="S2222" i="8"/>
  <c r="T2222" i="8"/>
  <c r="R2223" i="8"/>
  <c r="S2223" i="8"/>
  <c r="T2223" i="8"/>
  <c r="R2224" i="8"/>
  <c r="S2224" i="8"/>
  <c r="T2224" i="8"/>
  <c r="R2225" i="8"/>
  <c r="S2225" i="8"/>
  <c r="T2225" i="8"/>
  <c r="R2226" i="8"/>
  <c r="S2226" i="8"/>
  <c r="T2226" i="8"/>
  <c r="R2227" i="8"/>
  <c r="S2227" i="8"/>
  <c r="T2227" i="8"/>
  <c r="R2228" i="8"/>
  <c r="S2228" i="8"/>
  <c r="T2228" i="8"/>
  <c r="R2229" i="8"/>
  <c r="S2229" i="8"/>
  <c r="T2229" i="8"/>
  <c r="R2230" i="8"/>
  <c r="S2230" i="8"/>
  <c r="T2230" i="8"/>
  <c r="R2231" i="8"/>
  <c r="S2231" i="8"/>
  <c r="T2231" i="8"/>
  <c r="R2232" i="8"/>
  <c r="S2232" i="8"/>
  <c r="T2232" i="8"/>
  <c r="R2233" i="8"/>
  <c r="S2233" i="8"/>
  <c r="T2233" i="8"/>
  <c r="R2234" i="8"/>
  <c r="S2234" i="8"/>
  <c r="T2234" i="8"/>
  <c r="R2235" i="8"/>
  <c r="S2235" i="8"/>
  <c r="T2235" i="8"/>
  <c r="R2236" i="8"/>
  <c r="S2236" i="8"/>
  <c r="T2236" i="8"/>
  <c r="R2237" i="8"/>
  <c r="S2237" i="8"/>
  <c r="T2237" i="8"/>
  <c r="R2238" i="8"/>
  <c r="S2238" i="8"/>
  <c r="T2238" i="8"/>
  <c r="R2239" i="8"/>
  <c r="S2239" i="8"/>
  <c r="T2239" i="8"/>
  <c r="R2240" i="8"/>
  <c r="S2240" i="8"/>
  <c r="T2240" i="8"/>
  <c r="R2241" i="8"/>
  <c r="S2241" i="8"/>
  <c r="T2241" i="8"/>
  <c r="R2242" i="8"/>
  <c r="S2242" i="8"/>
  <c r="T2242" i="8"/>
  <c r="R2243" i="8"/>
  <c r="S2243" i="8"/>
  <c r="T2243" i="8"/>
  <c r="R2244" i="8"/>
  <c r="S2244" i="8"/>
  <c r="T2244" i="8"/>
  <c r="R2245" i="8"/>
  <c r="S2245" i="8"/>
  <c r="T2245" i="8"/>
  <c r="R2246" i="8"/>
  <c r="S2246" i="8"/>
  <c r="T2246" i="8"/>
  <c r="R2247" i="8"/>
  <c r="S2247" i="8"/>
  <c r="T2247" i="8"/>
  <c r="R2248" i="8"/>
  <c r="S2248" i="8"/>
  <c r="T2248" i="8"/>
  <c r="R2249" i="8"/>
  <c r="S2249" i="8"/>
  <c r="T2249" i="8"/>
  <c r="R2250" i="8"/>
  <c r="S2250" i="8"/>
  <c r="T2250" i="8"/>
  <c r="R2251" i="8"/>
  <c r="S2251" i="8"/>
  <c r="T2251" i="8"/>
  <c r="R2252" i="8"/>
  <c r="S2252" i="8"/>
  <c r="T2252" i="8"/>
  <c r="R2253" i="8"/>
  <c r="S2253" i="8"/>
  <c r="T2253" i="8"/>
  <c r="R2254" i="8"/>
  <c r="S2254" i="8"/>
  <c r="T2254" i="8"/>
  <c r="R2255" i="8"/>
  <c r="S2255" i="8"/>
  <c r="T2255" i="8"/>
  <c r="R2256" i="8"/>
  <c r="S2256" i="8"/>
  <c r="T2256" i="8"/>
  <c r="R2257" i="8"/>
  <c r="S2257" i="8"/>
  <c r="T2257" i="8"/>
  <c r="R2258" i="8"/>
  <c r="S2258" i="8"/>
  <c r="T2258" i="8"/>
  <c r="R2259" i="8"/>
  <c r="S2259" i="8"/>
  <c r="T2259" i="8"/>
  <c r="R2260" i="8"/>
  <c r="S2260" i="8"/>
  <c r="T2260" i="8"/>
  <c r="R2261" i="8"/>
  <c r="S2261" i="8"/>
  <c r="T2261" i="8"/>
  <c r="R2262" i="8"/>
  <c r="S2262" i="8"/>
  <c r="T2262" i="8"/>
  <c r="R2263" i="8"/>
  <c r="S2263" i="8"/>
  <c r="T2263" i="8"/>
  <c r="R2264" i="8"/>
  <c r="S2264" i="8"/>
  <c r="T2264" i="8"/>
  <c r="R2265" i="8"/>
  <c r="S2265" i="8"/>
  <c r="T2265" i="8"/>
  <c r="R2266" i="8"/>
  <c r="S2266" i="8"/>
  <c r="T2266" i="8"/>
  <c r="R2267" i="8"/>
  <c r="S2267" i="8"/>
  <c r="T2267" i="8"/>
  <c r="R2268" i="8"/>
  <c r="S2268" i="8"/>
  <c r="T2268" i="8"/>
  <c r="R2269" i="8"/>
  <c r="S2269" i="8"/>
  <c r="T2269" i="8"/>
  <c r="R2270" i="8"/>
  <c r="S2270" i="8"/>
  <c r="T2270" i="8"/>
  <c r="R2271" i="8"/>
  <c r="S2271" i="8"/>
  <c r="T2271" i="8"/>
  <c r="R2272" i="8"/>
  <c r="S2272" i="8"/>
  <c r="T2272" i="8"/>
  <c r="R2273" i="8"/>
  <c r="S2273" i="8"/>
  <c r="T2273" i="8"/>
  <c r="R2274" i="8"/>
  <c r="S2274" i="8"/>
  <c r="T2274" i="8"/>
  <c r="R2275" i="8"/>
  <c r="S2275" i="8"/>
  <c r="T2275" i="8"/>
  <c r="R2276" i="8"/>
  <c r="S2276" i="8"/>
  <c r="T2276" i="8"/>
  <c r="R2277" i="8"/>
  <c r="S2277" i="8"/>
  <c r="T2277" i="8"/>
  <c r="R2278" i="8"/>
  <c r="S2278" i="8"/>
  <c r="T2278" i="8"/>
  <c r="R2279" i="8"/>
  <c r="S2279" i="8"/>
  <c r="T2279" i="8"/>
  <c r="R2280" i="8"/>
  <c r="S2280" i="8"/>
  <c r="T2280" i="8"/>
  <c r="R2281" i="8"/>
  <c r="S2281" i="8"/>
  <c r="T2281" i="8"/>
  <c r="R2282" i="8"/>
  <c r="S2282" i="8"/>
  <c r="T2282" i="8"/>
  <c r="R2283" i="8"/>
  <c r="S2283" i="8"/>
  <c r="T2283" i="8"/>
  <c r="R2284" i="8"/>
  <c r="S2284" i="8"/>
  <c r="T2284" i="8"/>
  <c r="R2285" i="8"/>
  <c r="S2285" i="8"/>
  <c r="T2285" i="8"/>
  <c r="R2286" i="8"/>
  <c r="S2286" i="8"/>
  <c r="T2286" i="8"/>
  <c r="R2287" i="8"/>
  <c r="S2287" i="8"/>
  <c r="T2287" i="8"/>
  <c r="R2288" i="8"/>
  <c r="S2288" i="8"/>
  <c r="T2288" i="8"/>
  <c r="R2289" i="8"/>
  <c r="S2289" i="8"/>
  <c r="T2289" i="8"/>
  <c r="R2290" i="8"/>
  <c r="S2290" i="8"/>
  <c r="T2290" i="8"/>
  <c r="R2291" i="8"/>
  <c r="S2291" i="8"/>
  <c r="T2291" i="8"/>
  <c r="R2292" i="8"/>
  <c r="S2292" i="8"/>
  <c r="T2292" i="8"/>
  <c r="R2293" i="8"/>
  <c r="S2293" i="8"/>
  <c r="T2293" i="8"/>
  <c r="R2294" i="8"/>
  <c r="S2294" i="8"/>
  <c r="T2294" i="8"/>
  <c r="R2295" i="8"/>
  <c r="S2295" i="8"/>
  <c r="T2295" i="8"/>
  <c r="R2296" i="8"/>
  <c r="S2296" i="8"/>
  <c r="T2296" i="8"/>
  <c r="R2297" i="8"/>
  <c r="S2297" i="8"/>
  <c r="T2297" i="8"/>
  <c r="R2298" i="8"/>
  <c r="S2298" i="8"/>
  <c r="T2298" i="8"/>
  <c r="R2299" i="8"/>
  <c r="S2299" i="8"/>
  <c r="T2299" i="8"/>
  <c r="R2300" i="8"/>
  <c r="S2300" i="8"/>
  <c r="T2300" i="8"/>
  <c r="R2301" i="8"/>
  <c r="S2301" i="8"/>
  <c r="T2301" i="8"/>
  <c r="R2302" i="8"/>
  <c r="S2302" i="8"/>
  <c r="T2302" i="8"/>
  <c r="R2303" i="8"/>
  <c r="S2303" i="8"/>
  <c r="T2303" i="8"/>
  <c r="R2304" i="8"/>
  <c r="S2304" i="8"/>
  <c r="T2304" i="8"/>
  <c r="R2305" i="8"/>
  <c r="S2305" i="8"/>
  <c r="T2305" i="8"/>
  <c r="R2306" i="8"/>
  <c r="S2306" i="8"/>
  <c r="T2306" i="8"/>
  <c r="R2307" i="8"/>
  <c r="S2307" i="8"/>
  <c r="T2307" i="8"/>
  <c r="R2308" i="8"/>
  <c r="S2308" i="8"/>
  <c r="T2308" i="8"/>
  <c r="R2309" i="8"/>
  <c r="S2309" i="8"/>
  <c r="T2309" i="8"/>
  <c r="R2310" i="8"/>
  <c r="S2310" i="8"/>
  <c r="T2310" i="8"/>
  <c r="R2311" i="8"/>
  <c r="S2311" i="8"/>
  <c r="T2311" i="8"/>
  <c r="R2312" i="8"/>
  <c r="S2312" i="8"/>
  <c r="T2312" i="8"/>
  <c r="R2313" i="8"/>
  <c r="S2313" i="8"/>
  <c r="T2313" i="8"/>
  <c r="R2314" i="8"/>
  <c r="S2314" i="8"/>
  <c r="T2314" i="8"/>
  <c r="R2315" i="8"/>
  <c r="S2315" i="8"/>
  <c r="T2315" i="8"/>
  <c r="R2316" i="8"/>
  <c r="S2316" i="8"/>
  <c r="T2316" i="8"/>
  <c r="R2317" i="8"/>
  <c r="S2317" i="8"/>
  <c r="T2317" i="8"/>
  <c r="R2318" i="8"/>
  <c r="S2318" i="8"/>
  <c r="T2318" i="8"/>
  <c r="R2319" i="8"/>
  <c r="S2319" i="8"/>
  <c r="T2319" i="8"/>
  <c r="R2320" i="8"/>
  <c r="S2320" i="8"/>
  <c r="T2320" i="8"/>
  <c r="R2321" i="8"/>
  <c r="S2321" i="8"/>
  <c r="T2321" i="8"/>
  <c r="R2322" i="8"/>
  <c r="S2322" i="8"/>
  <c r="T2322" i="8"/>
  <c r="R2323" i="8"/>
  <c r="S2323" i="8"/>
  <c r="T2323" i="8"/>
  <c r="R2324" i="8"/>
  <c r="S2324" i="8"/>
  <c r="T2324" i="8"/>
  <c r="R2325" i="8"/>
  <c r="S2325" i="8"/>
  <c r="T2325" i="8"/>
  <c r="R2326" i="8"/>
  <c r="S2326" i="8"/>
  <c r="T2326" i="8"/>
  <c r="R2327" i="8"/>
  <c r="S2327" i="8"/>
  <c r="T2327" i="8"/>
  <c r="R2328" i="8"/>
  <c r="S2328" i="8"/>
  <c r="T2328" i="8"/>
  <c r="R2329" i="8"/>
  <c r="S2329" i="8"/>
  <c r="T2329" i="8"/>
  <c r="R2330" i="8"/>
  <c r="S2330" i="8"/>
  <c r="T2330" i="8"/>
  <c r="R2331" i="8"/>
  <c r="S2331" i="8"/>
  <c r="T2331" i="8"/>
  <c r="R2332" i="8"/>
  <c r="S2332" i="8"/>
  <c r="T2332" i="8"/>
  <c r="R2333" i="8"/>
  <c r="S2333" i="8"/>
  <c r="T2333" i="8"/>
  <c r="R2334" i="8"/>
  <c r="S2334" i="8"/>
  <c r="T2334" i="8"/>
  <c r="R2335" i="8"/>
  <c r="S2335" i="8"/>
  <c r="T2335" i="8"/>
  <c r="R2336" i="8"/>
  <c r="S2336" i="8"/>
  <c r="T2336" i="8"/>
  <c r="R2337" i="8"/>
  <c r="S2337" i="8"/>
  <c r="T2337" i="8"/>
  <c r="R2338" i="8"/>
  <c r="S2338" i="8"/>
  <c r="T2338" i="8"/>
  <c r="R2339" i="8"/>
  <c r="S2339" i="8"/>
  <c r="T2339" i="8"/>
  <c r="R2340" i="8"/>
  <c r="S2340" i="8"/>
  <c r="T2340" i="8"/>
  <c r="R2341" i="8"/>
  <c r="S2341" i="8"/>
  <c r="T2341" i="8"/>
  <c r="R2342" i="8"/>
  <c r="S2342" i="8"/>
  <c r="T2342" i="8"/>
  <c r="R2343" i="8"/>
  <c r="S2343" i="8"/>
  <c r="T2343" i="8"/>
  <c r="R2344" i="8"/>
  <c r="S2344" i="8"/>
  <c r="T2344" i="8"/>
  <c r="R2345" i="8"/>
  <c r="S2345" i="8"/>
  <c r="T2345" i="8"/>
  <c r="R2346" i="8"/>
  <c r="S2346" i="8"/>
  <c r="T2346" i="8"/>
  <c r="R2347" i="8"/>
  <c r="S2347" i="8"/>
  <c r="T2347" i="8"/>
  <c r="R2348" i="8"/>
  <c r="S2348" i="8"/>
  <c r="T2348" i="8"/>
  <c r="R2349" i="8"/>
  <c r="S2349" i="8"/>
  <c r="T2349" i="8"/>
  <c r="R2350" i="8"/>
  <c r="S2350" i="8"/>
  <c r="T2350" i="8"/>
  <c r="R2351" i="8"/>
  <c r="S2351" i="8"/>
  <c r="T2351" i="8"/>
  <c r="R2352" i="8"/>
  <c r="S2352" i="8"/>
  <c r="T2352" i="8"/>
  <c r="R2353" i="8"/>
  <c r="S2353" i="8"/>
  <c r="T2353" i="8"/>
  <c r="R2354" i="8"/>
  <c r="S2354" i="8"/>
  <c r="T2354" i="8"/>
  <c r="R2355" i="8"/>
  <c r="S2355" i="8"/>
  <c r="T2355" i="8"/>
  <c r="R2356" i="8"/>
  <c r="S2356" i="8"/>
  <c r="T2356" i="8"/>
  <c r="R2357" i="8"/>
  <c r="S2357" i="8"/>
  <c r="T2357" i="8"/>
  <c r="R2358" i="8"/>
  <c r="S2358" i="8"/>
  <c r="T2358" i="8"/>
  <c r="R2359" i="8"/>
  <c r="S2359" i="8"/>
  <c r="T2359" i="8"/>
  <c r="R2360" i="8"/>
  <c r="S2360" i="8"/>
  <c r="T2360" i="8"/>
  <c r="R2361" i="8"/>
  <c r="S2361" i="8"/>
  <c r="T2361" i="8"/>
  <c r="R2362" i="8"/>
  <c r="S2362" i="8"/>
  <c r="T2362" i="8"/>
  <c r="R2363" i="8"/>
  <c r="S2363" i="8"/>
  <c r="T2363" i="8"/>
  <c r="R2364" i="8"/>
  <c r="S2364" i="8"/>
  <c r="T2364" i="8"/>
  <c r="R2365" i="8"/>
  <c r="S2365" i="8"/>
  <c r="T2365" i="8"/>
  <c r="R2366" i="8"/>
  <c r="S2366" i="8"/>
  <c r="T2366" i="8"/>
  <c r="R2367" i="8"/>
  <c r="S2367" i="8"/>
  <c r="T2367" i="8"/>
  <c r="R2368" i="8"/>
  <c r="S2368" i="8"/>
  <c r="T2368" i="8"/>
  <c r="R2369" i="8"/>
  <c r="S2369" i="8"/>
  <c r="T2369" i="8"/>
  <c r="R2370" i="8"/>
  <c r="S2370" i="8"/>
  <c r="T2370" i="8"/>
  <c r="R2371" i="8"/>
  <c r="S2371" i="8"/>
  <c r="T2371" i="8"/>
  <c r="R2372" i="8"/>
  <c r="S2372" i="8"/>
  <c r="T2372" i="8"/>
  <c r="R2373" i="8"/>
  <c r="S2373" i="8"/>
  <c r="T2373" i="8"/>
  <c r="R2374" i="8"/>
  <c r="S2374" i="8"/>
  <c r="T2374" i="8"/>
  <c r="R2375" i="8"/>
  <c r="S2375" i="8"/>
  <c r="T2375" i="8"/>
  <c r="R2376" i="8"/>
  <c r="S2376" i="8"/>
  <c r="T2376" i="8"/>
  <c r="R2377" i="8"/>
  <c r="S2377" i="8"/>
  <c r="T2377" i="8"/>
  <c r="R2378" i="8"/>
  <c r="S2378" i="8"/>
  <c r="T2378" i="8"/>
  <c r="R2379" i="8"/>
  <c r="S2379" i="8"/>
  <c r="T2379" i="8"/>
  <c r="R2380" i="8"/>
  <c r="S2380" i="8"/>
  <c r="T2380" i="8"/>
  <c r="R2381" i="8"/>
  <c r="S2381" i="8"/>
  <c r="T2381" i="8"/>
  <c r="R2382" i="8"/>
  <c r="S2382" i="8"/>
  <c r="T2382" i="8"/>
  <c r="R2383" i="8"/>
  <c r="S2383" i="8"/>
  <c r="T2383" i="8"/>
  <c r="R2384" i="8"/>
  <c r="S2384" i="8"/>
  <c r="T2384" i="8"/>
  <c r="R2385" i="8"/>
  <c r="S2385" i="8"/>
  <c r="T2385" i="8"/>
  <c r="R2386" i="8"/>
  <c r="S2386" i="8"/>
  <c r="T2386" i="8"/>
  <c r="R2387" i="8"/>
  <c r="S2387" i="8"/>
  <c r="T2387" i="8"/>
  <c r="R2388" i="8"/>
  <c r="S2388" i="8"/>
  <c r="T2388" i="8"/>
  <c r="R2389" i="8"/>
  <c r="S2389" i="8"/>
  <c r="T2389" i="8"/>
  <c r="R2390" i="8"/>
  <c r="S2390" i="8"/>
  <c r="T2390" i="8"/>
  <c r="R2391" i="8"/>
  <c r="S2391" i="8"/>
  <c r="T2391" i="8"/>
  <c r="R2392" i="8"/>
  <c r="S2392" i="8"/>
  <c r="T2392" i="8"/>
  <c r="R2393" i="8"/>
  <c r="S2393" i="8"/>
  <c r="T2393" i="8"/>
  <c r="R2394" i="8"/>
  <c r="S2394" i="8"/>
  <c r="T2394" i="8"/>
  <c r="R2395" i="8"/>
  <c r="S2395" i="8"/>
  <c r="T2395" i="8"/>
  <c r="R2396" i="8"/>
  <c r="S2396" i="8"/>
  <c r="T2396" i="8"/>
  <c r="R2397" i="8"/>
  <c r="S2397" i="8"/>
  <c r="T2397" i="8"/>
  <c r="R2398" i="8"/>
  <c r="S2398" i="8"/>
  <c r="T2398" i="8"/>
  <c r="R2399" i="8"/>
  <c r="S2399" i="8"/>
  <c r="T2399" i="8"/>
  <c r="R2400" i="8"/>
  <c r="S2400" i="8"/>
  <c r="T2400" i="8"/>
  <c r="R2401" i="8"/>
  <c r="S2401" i="8"/>
  <c r="T2401" i="8"/>
  <c r="R2402" i="8"/>
  <c r="S2402" i="8"/>
  <c r="T2402" i="8"/>
  <c r="R2403" i="8"/>
  <c r="S2403" i="8"/>
  <c r="T2403" i="8"/>
  <c r="R2404" i="8"/>
  <c r="S2404" i="8"/>
  <c r="T2404" i="8"/>
  <c r="R2405" i="8"/>
  <c r="S2405" i="8"/>
  <c r="T2405" i="8"/>
  <c r="R2406" i="8"/>
  <c r="S2406" i="8"/>
  <c r="T2406" i="8"/>
  <c r="R2407" i="8"/>
  <c r="S2407" i="8"/>
  <c r="T2407" i="8"/>
  <c r="R2408" i="8"/>
  <c r="S2408" i="8"/>
  <c r="T2408" i="8"/>
  <c r="R2409" i="8"/>
  <c r="S2409" i="8"/>
  <c r="T2409" i="8"/>
  <c r="R2410" i="8"/>
  <c r="S2410" i="8"/>
  <c r="T2410" i="8"/>
  <c r="R2411" i="8"/>
  <c r="S2411" i="8"/>
  <c r="T2411" i="8"/>
  <c r="R2412" i="8"/>
  <c r="S2412" i="8"/>
  <c r="T2412" i="8"/>
  <c r="R2413" i="8"/>
  <c r="S2413" i="8"/>
  <c r="T2413" i="8"/>
  <c r="R2414" i="8"/>
  <c r="S2414" i="8"/>
  <c r="T2414" i="8"/>
  <c r="R2415" i="8"/>
  <c r="S2415" i="8"/>
  <c r="T2415" i="8"/>
  <c r="R2416" i="8"/>
  <c r="S2416" i="8"/>
  <c r="T2416" i="8"/>
  <c r="R2417" i="8"/>
  <c r="S2417" i="8"/>
  <c r="T2417" i="8"/>
  <c r="R2418" i="8"/>
  <c r="S2418" i="8"/>
  <c r="T2418" i="8"/>
  <c r="R2419" i="8"/>
  <c r="S2419" i="8"/>
  <c r="T2419" i="8"/>
  <c r="R2420" i="8"/>
  <c r="S2420" i="8"/>
  <c r="T2420" i="8"/>
  <c r="R2421" i="8"/>
  <c r="S2421" i="8"/>
  <c r="T2421" i="8"/>
  <c r="R2422" i="8"/>
  <c r="S2422" i="8"/>
  <c r="T2422" i="8"/>
  <c r="R2423" i="8"/>
  <c r="S2423" i="8"/>
  <c r="T2423" i="8"/>
  <c r="R2424" i="8"/>
  <c r="S2424" i="8"/>
  <c r="T2424" i="8"/>
  <c r="R2425" i="8"/>
  <c r="S2425" i="8"/>
  <c r="T2425" i="8"/>
  <c r="R2426" i="8"/>
  <c r="S2426" i="8"/>
  <c r="T2426" i="8"/>
  <c r="R2427" i="8"/>
  <c r="S2427" i="8"/>
  <c r="T2427" i="8"/>
  <c r="R2428" i="8"/>
  <c r="S2428" i="8"/>
  <c r="T2428" i="8"/>
  <c r="R2429" i="8"/>
  <c r="S2429" i="8"/>
  <c r="T2429" i="8"/>
  <c r="R2430" i="8"/>
  <c r="S2430" i="8"/>
  <c r="T2430" i="8"/>
  <c r="R2431" i="8"/>
  <c r="S2431" i="8"/>
  <c r="T2431" i="8"/>
  <c r="R2432" i="8"/>
  <c r="S2432" i="8"/>
  <c r="T2432" i="8"/>
  <c r="R2433" i="8"/>
  <c r="S2433" i="8"/>
  <c r="T2433" i="8"/>
  <c r="R2434" i="8"/>
  <c r="S2434" i="8"/>
  <c r="T2434" i="8"/>
  <c r="R2435" i="8"/>
  <c r="S2435" i="8"/>
  <c r="T2435" i="8"/>
  <c r="R2436" i="8"/>
  <c r="S2436" i="8"/>
  <c r="T2436" i="8"/>
  <c r="R2437" i="8"/>
  <c r="S2437" i="8"/>
  <c r="T2437" i="8"/>
  <c r="R2438" i="8"/>
  <c r="S2438" i="8"/>
  <c r="T2438" i="8"/>
  <c r="R2439" i="8"/>
  <c r="S2439" i="8"/>
  <c r="T2439" i="8"/>
  <c r="R2440" i="8"/>
  <c r="S2440" i="8"/>
  <c r="T2440" i="8"/>
  <c r="R2441" i="8"/>
  <c r="S2441" i="8"/>
  <c r="T2441" i="8"/>
  <c r="R2442" i="8"/>
  <c r="S2442" i="8"/>
  <c r="T2442" i="8"/>
  <c r="R2443" i="8"/>
  <c r="S2443" i="8"/>
  <c r="T2443" i="8"/>
  <c r="R2444" i="8"/>
  <c r="S2444" i="8"/>
  <c r="T2444" i="8"/>
  <c r="R2445" i="8"/>
  <c r="S2445" i="8"/>
  <c r="T2445" i="8"/>
  <c r="R2446" i="8"/>
  <c r="S2446" i="8"/>
  <c r="T2446" i="8"/>
  <c r="R2447" i="8"/>
  <c r="S2447" i="8"/>
  <c r="T2447" i="8"/>
  <c r="R2448" i="8"/>
  <c r="S2448" i="8"/>
  <c r="T2448" i="8"/>
  <c r="R2449" i="8"/>
  <c r="S2449" i="8"/>
  <c r="T2449" i="8"/>
  <c r="R2450" i="8"/>
  <c r="S2450" i="8"/>
  <c r="T2450" i="8"/>
  <c r="R2451" i="8"/>
  <c r="S2451" i="8"/>
  <c r="T2451" i="8"/>
  <c r="R2452" i="8"/>
  <c r="S2452" i="8"/>
  <c r="T2452" i="8"/>
  <c r="R2453" i="8"/>
  <c r="S2453" i="8"/>
  <c r="T2453" i="8"/>
  <c r="R2454" i="8"/>
  <c r="S2454" i="8"/>
  <c r="T2454" i="8"/>
  <c r="R2455" i="8"/>
  <c r="S2455" i="8"/>
  <c r="T2455" i="8"/>
  <c r="R2456" i="8"/>
  <c r="S2456" i="8"/>
  <c r="T2456" i="8"/>
  <c r="R2457" i="8"/>
  <c r="S2457" i="8"/>
  <c r="T2457" i="8"/>
  <c r="R2458" i="8"/>
  <c r="S2458" i="8"/>
  <c r="T2458" i="8"/>
  <c r="R2459" i="8"/>
  <c r="S2459" i="8"/>
  <c r="T2459" i="8"/>
  <c r="R2460" i="8"/>
  <c r="S2460" i="8"/>
  <c r="T2460" i="8"/>
  <c r="R2461" i="8"/>
  <c r="S2461" i="8"/>
  <c r="T2461" i="8"/>
  <c r="R2462" i="8"/>
  <c r="S2462" i="8"/>
  <c r="T2462" i="8"/>
  <c r="R2463" i="8"/>
  <c r="S2463" i="8"/>
  <c r="T2463" i="8"/>
  <c r="R2464" i="8"/>
  <c r="S2464" i="8"/>
  <c r="T2464" i="8"/>
  <c r="R2465" i="8"/>
  <c r="S2465" i="8"/>
  <c r="T2465" i="8"/>
  <c r="R2466" i="8"/>
  <c r="S2466" i="8"/>
  <c r="T2466" i="8"/>
  <c r="R2467" i="8"/>
  <c r="S2467" i="8"/>
  <c r="T2467" i="8"/>
  <c r="R2468" i="8"/>
  <c r="S2468" i="8"/>
  <c r="T2468" i="8"/>
  <c r="R2469" i="8"/>
  <c r="S2469" i="8"/>
  <c r="T2469" i="8"/>
  <c r="R2470" i="8"/>
  <c r="S2470" i="8"/>
  <c r="T2470" i="8"/>
  <c r="R2471" i="8"/>
  <c r="S2471" i="8"/>
  <c r="T2471" i="8"/>
  <c r="R2472" i="8"/>
  <c r="S2472" i="8"/>
  <c r="T2472" i="8"/>
  <c r="R2473" i="8"/>
  <c r="S2473" i="8"/>
  <c r="T2473" i="8"/>
  <c r="R2474" i="8"/>
  <c r="S2474" i="8"/>
  <c r="T2474" i="8"/>
  <c r="R2475" i="8"/>
  <c r="S2475" i="8"/>
  <c r="T2475" i="8"/>
  <c r="R2476" i="8"/>
  <c r="S2476" i="8"/>
  <c r="T2476" i="8"/>
  <c r="R2477" i="8"/>
  <c r="S2477" i="8"/>
  <c r="T2477" i="8"/>
  <c r="R2478" i="8"/>
  <c r="S2478" i="8"/>
  <c r="T2478" i="8"/>
  <c r="R2479" i="8"/>
  <c r="S2479" i="8"/>
  <c r="T2479" i="8"/>
  <c r="R2480" i="8"/>
  <c r="S2480" i="8"/>
  <c r="T2480" i="8"/>
  <c r="R2481" i="8"/>
  <c r="S2481" i="8"/>
  <c r="T2481" i="8"/>
  <c r="R2482" i="8"/>
  <c r="S2482" i="8"/>
  <c r="T2482" i="8"/>
  <c r="R2483" i="8"/>
  <c r="S2483" i="8"/>
  <c r="T2483" i="8"/>
  <c r="R2484" i="8"/>
  <c r="S2484" i="8"/>
  <c r="T2484" i="8"/>
  <c r="R2485" i="8"/>
  <c r="S2485" i="8"/>
  <c r="T2485" i="8"/>
  <c r="R2486" i="8"/>
  <c r="S2486" i="8"/>
  <c r="T2486" i="8"/>
  <c r="R2487" i="8"/>
  <c r="S2487" i="8"/>
  <c r="T2487" i="8"/>
  <c r="R2488" i="8"/>
  <c r="S2488" i="8"/>
  <c r="T2488" i="8"/>
  <c r="R2489" i="8"/>
  <c r="S2489" i="8"/>
  <c r="T2489" i="8"/>
  <c r="R2490" i="8"/>
  <c r="S2490" i="8"/>
  <c r="T2490" i="8"/>
  <c r="R2491" i="8"/>
  <c r="S2491" i="8"/>
  <c r="T2491" i="8"/>
  <c r="R2492" i="8"/>
  <c r="S2492" i="8"/>
  <c r="T2492" i="8"/>
  <c r="R2493" i="8"/>
  <c r="S2493" i="8"/>
  <c r="T2493" i="8"/>
  <c r="R2494" i="8"/>
  <c r="S2494" i="8"/>
  <c r="T2494" i="8"/>
  <c r="R2495" i="8"/>
  <c r="S2495" i="8"/>
  <c r="T2495" i="8"/>
  <c r="R2496" i="8"/>
  <c r="S2496" i="8"/>
  <c r="T2496" i="8"/>
  <c r="R2497" i="8"/>
  <c r="S2497" i="8"/>
  <c r="T2497" i="8"/>
  <c r="R2498" i="8"/>
  <c r="S2498" i="8"/>
  <c r="T2498" i="8"/>
  <c r="R2499" i="8"/>
  <c r="S2499" i="8"/>
  <c r="T2499" i="8"/>
  <c r="R2500" i="8"/>
  <c r="S2500" i="8"/>
  <c r="T2500" i="8"/>
  <c r="R2501" i="8"/>
  <c r="S2501" i="8"/>
  <c r="T2501" i="8"/>
  <c r="R2502" i="8"/>
  <c r="S2502" i="8"/>
  <c r="T2502" i="8"/>
  <c r="R2503" i="8"/>
  <c r="S2503" i="8"/>
  <c r="T2503" i="8"/>
  <c r="R2504" i="8"/>
  <c r="S2504" i="8"/>
  <c r="T2504" i="8"/>
  <c r="R2505" i="8"/>
  <c r="S2505" i="8"/>
  <c r="T2505" i="8"/>
  <c r="R2506" i="8"/>
  <c r="S2506" i="8"/>
  <c r="T2506" i="8"/>
  <c r="R2507" i="8"/>
  <c r="S2507" i="8"/>
  <c r="T2507" i="8"/>
  <c r="R2508" i="8"/>
  <c r="S2508" i="8"/>
  <c r="T2508" i="8"/>
  <c r="R2509" i="8"/>
  <c r="S2509" i="8"/>
  <c r="T2509" i="8"/>
  <c r="R2510" i="8"/>
  <c r="S2510" i="8"/>
  <c r="T2510" i="8"/>
  <c r="R2511" i="8"/>
  <c r="S2511" i="8"/>
  <c r="T2511" i="8"/>
  <c r="R2512" i="8"/>
  <c r="S2512" i="8"/>
  <c r="T2512" i="8"/>
  <c r="R2513" i="8"/>
  <c r="S2513" i="8"/>
  <c r="T2513" i="8"/>
  <c r="R2514" i="8"/>
  <c r="S2514" i="8"/>
  <c r="T2514" i="8"/>
  <c r="R2515" i="8"/>
  <c r="S2515" i="8"/>
  <c r="T2515" i="8"/>
  <c r="R2516" i="8"/>
  <c r="S2516" i="8"/>
  <c r="T2516" i="8"/>
  <c r="R2517" i="8"/>
  <c r="S2517" i="8"/>
  <c r="T2517" i="8"/>
  <c r="R2518" i="8"/>
  <c r="S2518" i="8"/>
  <c r="T2518" i="8"/>
  <c r="R2519" i="8"/>
  <c r="S2519" i="8"/>
  <c r="T2519" i="8"/>
  <c r="R2520" i="8"/>
  <c r="S2520" i="8"/>
  <c r="T2520" i="8"/>
  <c r="R2521" i="8"/>
  <c r="S2521" i="8"/>
  <c r="T2521" i="8"/>
  <c r="R2522" i="8"/>
  <c r="S2522" i="8"/>
  <c r="T2522" i="8"/>
  <c r="R2523" i="8"/>
  <c r="S2523" i="8"/>
  <c r="T2523" i="8"/>
  <c r="R2524" i="8"/>
  <c r="S2524" i="8"/>
  <c r="T2524" i="8"/>
  <c r="R2525" i="8"/>
  <c r="S2525" i="8"/>
  <c r="T2525" i="8"/>
  <c r="R2526" i="8"/>
  <c r="S2526" i="8"/>
  <c r="T2526" i="8"/>
  <c r="R2527" i="8"/>
  <c r="S2527" i="8"/>
  <c r="T2527" i="8"/>
  <c r="R2528" i="8"/>
  <c r="S2528" i="8"/>
  <c r="T2528" i="8"/>
  <c r="R2529" i="8"/>
  <c r="S2529" i="8"/>
  <c r="T2529" i="8"/>
  <c r="R2530" i="8"/>
  <c r="S2530" i="8"/>
  <c r="T2530" i="8"/>
  <c r="R2531" i="8"/>
  <c r="S2531" i="8"/>
  <c r="T2531" i="8"/>
  <c r="R2532" i="8"/>
  <c r="S2532" i="8"/>
  <c r="T2532" i="8"/>
  <c r="R2533" i="8"/>
  <c r="S2533" i="8"/>
  <c r="T2533" i="8"/>
  <c r="R2534" i="8"/>
  <c r="S2534" i="8"/>
  <c r="T2534" i="8"/>
  <c r="R2535" i="8"/>
  <c r="S2535" i="8"/>
  <c r="T2535" i="8"/>
  <c r="R2536" i="8"/>
  <c r="S2536" i="8"/>
  <c r="T2536" i="8"/>
  <c r="R2537" i="8"/>
  <c r="S2537" i="8"/>
  <c r="T2537" i="8"/>
  <c r="R2538" i="8"/>
  <c r="S2538" i="8"/>
  <c r="T2538" i="8"/>
  <c r="R2539" i="8"/>
  <c r="S2539" i="8"/>
  <c r="T2539" i="8"/>
  <c r="R2540" i="8"/>
  <c r="S2540" i="8"/>
  <c r="T2540" i="8"/>
  <c r="R2541" i="8"/>
  <c r="S2541" i="8"/>
  <c r="T2541" i="8"/>
  <c r="R2542" i="8"/>
  <c r="S2542" i="8"/>
  <c r="T2542" i="8"/>
  <c r="R2543" i="8"/>
  <c r="S2543" i="8"/>
  <c r="T2543" i="8"/>
  <c r="R2544" i="8"/>
  <c r="S2544" i="8"/>
  <c r="T2544" i="8"/>
  <c r="R2545" i="8"/>
  <c r="S2545" i="8"/>
  <c r="T2545" i="8"/>
  <c r="R2546" i="8"/>
  <c r="S2546" i="8"/>
  <c r="T2546" i="8"/>
  <c r="R2547" i="8"/>
  <c r="S2547" i="8"/>
  <c r="T2547" i="8"/>
  <c r="R2548" i="8"/>
  <c r="S2548" i="8"/>
  <c r="T2548" i="8"/>
  <c r="R2549" i="8"/>
  <c r="S2549" i="8"/>
  <c r="T2549" i="8"/>
  <c r="R2550" i="8"/>
  <c r="S2550" i="8"/>
  <c r="T2550" i="8"/>
  <c r="R2551" i="8"/>
  <c r="S2551" i="8"/>
  <c r="T2551" i="8"/>
  <c r="R2552" i="8"/>
  <c r="S2552" i="8"/>
  <c r="T2552" i="8"/>
  <c r="R2553" i="8"/>
  <c r="S2553" i="8"/>
  <c r="T2553" i="8"/>
  <c r="R2554" i="8"/>
  <c r="S2554" i="8"/>
  <c r="T2554" i="8"/>
  <c r="R2555" i="8"/>
  <c r="S2555" i="8"/>
  <c r="T2555" i="8"/>
  <c r="R2556" i="8"/>
  <c r="S2556" i="8"/>
  <c r="T2556" i="8"/>
  <c r="R2557" i="8"/>
  <c r="S2557" i="8"/>
  <c r="T2557" i="8"/>
  <c r="R2558" i="8"/>
  <c r="S2558" i="8"/>
  <c r="T2558" i="8"/>
  <c r="R2559" i="8"/>
  <c r="S2559" i="8"/>
  <c r="T2559" i="8"/>
  <c r="R2560" i="8"/>
  <c r="S2560" i="8"/>
  <c r="T2560" i="8"/>
  <c r="R2561" i="8"/>
  <c r="S2561" i="8"/>
  <c r="T2561" i="8"/>
  <c r="R2562" i="8"/>
  <c r="S2562" i="8"/>
  <c r="T2562" i="8"/>
  <c r="R2563" i="8"/>
  <c r="S2563" i="8"/>
  <c r="T2563" i="8"/>
  <c r="R2564" i="8"/>
  <c r="S2564" i="8"/>
  <c r="T2564" i="8"/>
  <c r="R2565" i="8"/>
  <c r="S2565" i="8"/>
  <c r="T2565" i="8"/>
  <c r="R2566" i="8"/>
  <c r="S2566" i="8"/>
  <c r="T2566" i="8"/>
  <c r="R2567" i="8"/>
  <c r="S2567" i="8"/>
  <c r="T2567" i="8"/>
  <c r="R2568" i="8"/>
  <c r="S2568" i="8"/>
  <c r="T2568" i="8"/>
  <c r="R2569" i="8"/>
  <c r="S2569" i="8"/>
  <c r="T2569" i="8"/>
  <c r="R2570" i="8"/>
  <c r="S2570" i="8"/>
  <c r="T2570" i="8"/>
  <c r="R2571" i="8"/>
  <c r="S2571" i="8"/>
  <c r="T2571" i="8"/>
  <c r="R2572" i="8"/>
  <c r="S2572" i="8"/>
  <c r="T2572" i="8"/>
  <c r="R2573" i="8"/>
  <c r="S2573" i="8"/>
  <c r="T2573" i="8"/>
  <c r="R2574" i="8"/>
  <c r="S2574" i="8"/>
  <c r="T2574" i="8"/>
  <c r="R2575" i="8"/>
  <c r="S2575" i="8"/>
  <c r="T2575" i="8"/>
  <c r="R2576" i="8"/>
  <c r="S2576" i="8"/>
  <c r="T2576" i="8"/>
  <c r="R2577" i="8"/>
  <c r="S2577" i="8"/>
  <c r="T2577" i="8"/>
  <c r="R2578" i="8"/>
  <c r="S2578" i="8"/>
  <c r="T2578" i="8"/>
  <c r="R2579" i="8"/>
  <c r="S2579" i="8"/>
  <c r="T2579" i="8"/>
  <c r="R2580" i="8"/>
  <c r="S2580" i="8"/>
  <c r="T2580" i="8"/>
  <c r="R2581" i="8"/>
  <c r="S2581" i="8"/>
  <c r="T2581" i="8"/>
  <c r="R2582" i="8"/>
  <c r="S2582" i="8"/>
  <c r="T2582" i="8"/>
  <c r="R2583" i="8"/>
  <c r="S2583" i="8"/>
  <c r="T2583" i="8"/>
  <c r="R2584" i="8"/>
  <c r="S2584" i="8"/>
  <c r="T2584" i="8"/>
  <c r="R2585" i="8"/>
  <c r="S2585" i="8"/>
  <c r="T2585" i="8"/>
  <c r="R2586" i="8"/>
  <c r="S2586" i="8"/>
  <c r="T2586" i="8"/>
  <c r="R2587" i="8"/>
  <c r="S2587" i="8"/>
  <c r="T2587" i="8"/>
  <c r="R2588" i="8"/>
  <c r="S2588" i="8"/>
  <c r="T2588" i="8"/>
  <c r="R2589" i="8"/>
  <c r="S2589" i="8"/>
  <c r="T2589" i="8"/>
  <c r="R2590" i="8"/>
  <c r="S2590" i="8"/>
  <c r="T2590" i="8"/>
  <c r="R2591" i="8"/>
  <c r="S2591" i="8"/>
  <c r="T2591" i="8"/>
  <c r="R2592" i="8"/>
  <c r="S2592" i="8"/>
  <c r="T2592" i="8"/>
  <c r="R2593" i="8"/>
  <c r="S2593" i="8"/>
  <c r="T2593" i="8"/>
  <c r="R2594" i="8"/>
  <c r="S2594" i="8"/>
  <c r="T2594" i="8"/>
  <c r="R2595" i="8"/>
  <c r="S2595" i="8"/>
  <c r="T2595" i="8"/>
  <c r="R2596" i="8"/>
  <c r="S2596" i="8"/>
  <c r="T2596" i="8"/>
  <c r="R2597" i="8"/>
  <c r="S2597" i="8"/>
  <c r="T2597" i="8"/>
  <c r="R2598" i="8"/>
  <c r="S2598" i="8"/>
  <c r="T2598" i="8"/>
  <c r="R2599" i="8"/>
  <c r="S2599" i="8"/>
  <c r="T2599" i="8"/>
  <c r="R2600" i="8"/>
  <c r="S2600" i="8"/>
  <c r="T2600" i="8"/>
  <c r="R2601" i="8"/>
  <c r="S2601" i="8"/>
  <c r="T2601" i="8"/>
  <c r="R2602" i="8"/>
  <c r="S2602" i="8"/>
  <c r="T2602" i="8"/>
  <c r="R2603" i="8"/>
  <c r="S2603" i="8"/>
  <c r="T2603" i="8"/>
  <c r="R2604" i="8"/>
  <c r="S2604" i="8"/>
  <c r="T2604" i="8"/>
  <c r="R2605" i="8"/>
  <c r="S2605" i="8"/>
  <c r="T2605" i="8"/>
  <c r="R2606" i="8"/>
  <c r="S2606" i="8"/>
  <c r="T2606" i="8"/>
  <c r="R2607" i="8"/>
  <c r="S2607" i="8"/>
  <c r="T2607" i="8"/>
  <c r="R2608" i="8"/>
  <c r="S2608" i="8"/>
  <c r="T2608" i="8"/>
  <c r="R2609" i="8"/>
  <c r="S2609" i="8"/>
  <c r="T2609" i="8"/>
  <c r="R2610" i="8"/>
  <c r="S2610" i="8"/>
  <c r="T2610" i="8"/>
  <c r="R2611" i="8"/>
  <c r="S2611" i="8"/>
  <c r="T2611" i="8"/>
  <c r="R2612" i="8"/>
  <c r="S2612" i="8"/>
  <c r="T2612" i="8"/>
  <c r="R2613" i="8"/>
  <c r="S2613" i="8"/>
  <c r="T2613" i="8"/>
  <c r="R2614" i="8"/>
  <c r="S2614" i="8"/>
  <c r="T2614" i="8"/>
  <c r="R2615" i="8"/>
  <c r="S2615" i="8"/>
  <c r="T2615" i="8"/>
  <c r="R2616" i="8"/>
  <c r="S2616" i="8"/>
  <c r="T2616" i="8"/>
  <c r="R2617" i="8"/>
  <c r="S2617" i="8"/>
  <c r="T2617" i="8"/>
  <c r="R2618" i="8"/>
  <c r="S2618" i="8"/>
  <c r="T2618" i="8"/>
  <c r="R2619" i="8"/>
  <c r="S2619" i="8"/>
  <c r="T2619" i="8"/>
  <c r="R2620" i="8"/>
  <c r="S2620" i="8"/>
  <c r="T2620" i="8"/>
  <c r="R2621" i="8"/>
  <c r="S2621" i="8"/>
  <c r="T2621" i="8"/>
  <c r="R2622" i="8"/>
  <c r="S2622" i="8"/>
  <c r="T2622" i="8"/>
  <c r="R2623" i="8"/>
  <c r="S2623" i="8"/>
  <c r="T2623" i="8"/>
  <c r="R2624" i="8"/>
  <c r="S2624" i="8"/>
  <c r="T2624" i="8"/>
  <c r="R2625" i="8"/>
  <c r="S2625" i="8"/>
  <c r="T2625" i="8"/>
  <c r="R2626" i="8"/>
  <c r="S2626" i="8"/>
  <c r="T2626" i="8"/>
  <c r="R2627" i="8"/>
  <c r="S2627" i="8"/>
  <c r="T2627" i="8"/>
  <c r="R2628" i="8"/>
  <c r="S2628" i="8"/>
  <c r="T2628" i="8"/>
  <c r="R2629" i="8"/>
  <c r="S2629" i="8"/>
  <c r="T2629" i="8"/>
  <c r="R2630" i="8"/>
  <c r="S2630" i="8"/>
  <c r="T2630" i="8"/>
  <c r="R2631" i="8"/>
  <c r="S2631" i="8"/>
  <c r="T2631" i="8"/>
  <c r="R2632" i="8"/>
  <c r="S2632" i="8"/>
  <c r="T2632" i="8"/>
  <c r="R2633" i="8"/>
  <c r="S2633" i="8"/>
  <c r="T2633" i="8"/>
  <c r="R2634" i="8"/>
  <c r="S2634" i="8"/>
  <c r="T2634" i="8"/>
  <c r="R2635" i="8"/>
  <c r="S2635" i="8"/>
  <c r="T2635" i="8"/>
  <c r="R2636" i="8"/>
  <c r="S2636" i="8"/>
  <c r="T2636" i="8"/>
  <c r="R2637" i="8"/>
  <c r="S2637" i="8"/>
  <c r="T2637" i="8"/>
  <c r="R2638" i="8"/>
  <c r="S2638" i="8"/>
  <c r="T2638" i="8"/>
  <c r="R2639" i="8"/>
  <c r="S2639" i="8"/>
  <c r="T2639" i="8"/>
  <c r="R2640" i="8"/>
  <c r="S2640" i="8"/>
  <c r="T2640" i="8"/>
  <c r="R2641" i="8"/>
  <c r="S2641" i="8"/>
  <c r="T2641" i="8"/>
  <c r="R2642" i="8"/>
  <c r="S2642" i="8"/>
  <c r="T2642" i="8"/>
  <c r="R2643" i="8"/>
  <c r="S2643" i="8"/>
  <c r="T2643" i="8"/>
  <c r="R2644" i="8"/>
  <c r="S2644" i="8"/>
  <c r="T2644" i="8"/>
  <c r="R2645" i="8"/>
  <c r="S2645" i="8"/>
  <c r="T2645" i="8"/>
  <c r="R2646" i="8"/>
  <c r="S2646" i="8"/>
  <c r="T2646" i="8"/>
  <c r="R2647" i="8"/>
  <c r="S2647" i="8"/>
  <c r="T2647" i="8"/>
  <c r="R2648" i="8"/>
  <c r="S2648" i="8"/>
  <c r="T2648" i="8"/>
  <c r="R2649" i="8"/>
  <c r="S2649" i="8"/>
  <c r="T2649" i="8"/>
  <c r="R2650" i="8"/>
  <c r="S2650" i="8"/>
  <c r="T2650" i="8"/>
  <c r="R2651" i="8"/>
  <c r="S2651" i="8"/>
  <c r="T2651" i="8"/>
  <c r="R2652" i="8"/>
  <c r="S2652" i="8"/>
  <c r="T2652" i="8"/>
  <c r="R2653" i="8"/>
  <c r="S2653" i="8"/>
  <c r="T2653" i="8"/>
  <c r="R2654" i="8"/>
  <c r="S2654" i="8"/>
  <c r="T2654" i="8"/>
  <c r="R2655" i="8"/>
  <c r="S2655" i="8"/>
  <c r="T2655" i="8"/>
  <c r="R2656" i="8"/>
  <c r="S2656" i="8"/>
  <c r="T2656" i="8"/>
  <c r="R2657" i="8"/>
  <c r="S2657" i="8"/>
  <c r="T2657" i="8"/>
  <c r="R2658" i="8"/>
  <c r="S2658" i="8"/>
  <c r="T2658" i="8"/>
  <c r="R2659" i="8"/>
  <c r="S2659" i="8"/>
  <c r="T2659" i="8"/>
  <c r="R2660" i="8"/>
  <c r="S2660" i="8"/>
  <c r="T2660" i="8"/>
  <c r="R2661" i="8"/>
  <c r="S2661" i="8"/>
  <c r="T2661" i="8"/>
  <c r="R2662" i="8"/>
  <c r="S2662" i="8"/>
  <c r="T2662" i="8"/>
  <c r="R2663" i="8"/>
  <c r="S2663" i="8"/>
  <c r="T2663" i="8"/>
  <c r="R2664" i="8"/>
  <c r="S2664" i="8"/>
  <c r="T2664" i="8"/>
  <c r="R2665" i="8"/>
  <c r="S2665" i="8"/>
  <c r="T2665" i="8"/>
  <c r="R2666" i="8"/>
  <c r="S2666" i="8"/>
  <c r="T2666" i="8"/>
  <c r="R2667" i="8"/>
  <c r="S2667" i="8"/>
  <c r="T2667" i="8"/>
  <c r="R2668" i="8"/>
  <c r="S2668" i="8"/>
  <c r="T2668" i="8"/>
  <c r="R2669" i="8"/>
  <c r="S2669" i="8"/>
  <c r="T2669" i="8"/>
  <c r="R2670" i="8"/>
  <c r="S2670" i="8"/>
  <c r="T2670" i="8"/>
  <c r="R2671" i="8"/>
  <c r="S2671" i="8"/>
  <c r="T2671" i="8"/>
  <c r="R2672" i="8"/>
  <c r="S2672" i="8"/>
  <c r="T2672" i="8"/>
  <c r="R2673" i="8"/>
  <c r="S2673" i="8"/>
  <c r="T2673" i="8"/>
  <c r="R2674" i="8"/>
  <c r="S2674" i="8"/>
  <c r="T2674" i="8"/>
  <c r="R2675" i="8"/>
  <c r="S2675" i="8"/>
  <c r="T2675" i="8"/>
  <c r="R2676" i="8"/>
  <c r="S2676" i="8"/>
  <c r="T2676" i="8"/>
  <c r="R2677" i="8"/>
  <c r="S2677" i="8"/>
  <c r="T2677" i="8"/>
  <c r="R2678" i="8"/>
  <c r="S2678" i="8"/>
  <c r="T2678" i="8"/>
  <c r="R2679" i="8"/>
  <c r="S2679" i="8"/>
  <c r="T2679" i="8"/>
  <c r="R2680" i="8"/>
  <c r="S2680" i="8"/>
  <c r="T2680" i="8"/>
  <c r="R2681" i="8"/>
  <c r="S2681" i="8"/>
  <c r="T2681" i="8"/>
  <c r="R2682" i="8"/>
  <c r="S2682" i="8"/>
  <c r="T2682" i="8"/>
  <c r="R2683" i="8"/>
  <c r="S2683" i="8"/>
  <c r="T2683" i="8"/>
  <c r="R2684" i="8"/>
  <c r="S2684" i="8"/>
  <c r="T2684" i="8"/>
  <c r="R2685" i="8"/>
  <c r="S2685" i="8"/>
  <c r="T2685" i="8"/>
  <c r="R2686" i="8"/>
  <c r="S2686" i="8"/>
  <c r="T2686" i="8"/>
  <c r="R2687" i="8"/>
  <c r="S2687" i="8"/>
  <c r="T2687" i="8"/>
  <c r="R2688" i="8"/>
  <c r="S2688" i="8"/>
  <c r="T2688" i="8"/>
  <c r="R2689" i="8"/>
  <c r="S2689" i="8"/>
  <c r="T2689" i="8"/>
  <c r="R2690" i="8"/>
  <c r="S2690" i="8"/>
  <c r="T2690" i="8"/>
  <c r="R2691" i="8"/>
  <c r="S2691" i="8"/>
  <c r="T2691" i="8"/>
  <c r="R2692" i="8"/>
  <c r="S2692" i="8"/>
  <c r="T2692" i="8"/>
  <c r="R2693" i="8"/>
  <c r="S2693" i="8"/>
  <c r="T2693" i="8"/>
  <c r="R2694" i="8"/>
  <c r="S2694" i="8"/>
  <c r="T2694" i="8"/>
  <c r="R2695" i="8"/>
  <c r="S2695" i="8"/>
  <c r="T2695" i="8"/>
  <c r="R2696" i="8"/>
  <c r="S2696" i="8"/>
  <c r="T2696" i="8"/>
  <c r="R2697" i="8"/>
  <c r="S2697" i="8"/>
  <c r="T2697" i="8"/>
  <c r="R2698" i="8"/>
  <c r="S2698" i="8"/>
  <c r="T2698" i="8"/>
  <c r="R2699" i="8"/>
  <c r="S2699" i="8"/>
  <c r="T2699" i="8"/>
  <c r="R2700" i="8"/>
  <c r="S2700" i="8"/>
  <c r="T2700" i="8"/>
  <c r="R2701" i="8"/>
  <c r="S2701" i="8"/>
  <c r="T2701" i="8"/>
  <c r="R2702" i="8"/>
  <c r="S2702" i="8"/>
  <c r="T2702" i="8"/>
  <c r="R2703" i="8"/>
  <c r="S2703" i="8"/>
  <c r="T2703" i="8"/>
  <c r="R2704" i="8"/>
  <c r="S2704" i="8"/>
  <c r="T2704" i="8"/>
  <c r="R2705" i="8"/>
  <c r="S2705" i="8"/>
  <c r="T2705" i="8"/>
  <c r="R2706" i="8"/>
  <c r="S2706" i="8"/>
  <c r="T2706" i="8"/>
  <c r="R2707" i="8"/>
  <c r="S2707" i="8"/>
  <c r="T2707" i="8"/>
  <c r="R2708" i="8"/>
  <c r="S2708" i="8"/>
  <c r="T2708" i="8"/>
  <c r="R2709" i="8"/>
  <c r="S2709" i="8"/>
  <c r="T2709" i="8"/>
  <c r="R2710" i="8"/>
  <c r="S2710" i="8"/>
  <c r="T2710" i="8"/>
  <c r="R2711" i="8"/>
  <c r="S2711" i="8"/>
  <c r="T2711" i="8"/>
  <c r="R2712" i="8"/>
  <c r="S2712" i="8"/>
  <c r="T2712" i="8"/>
  <c r="R2713" i="8"/>
  <c r="S2713" i="8"/>
  <c r="T2713" i="8"/>
  <c r="R2714" i="8"/>
  <c r="S2714" i="8"/>
  <c r="T2714" i="8"/>
  <c r="R2715" i="8"/>
  <c r="S2715" i="8"/>
  <c r="T2715" i="8"/>
  <c r="R2716" i="8"/>
  <c r="S2716" i="8"/>
  <c r="T2716" i="8"/>
  <c r="R2717" i="8"/>
  <c r="S2717" i="8"/>
  <c r="T2717" i="8"/>
  <c r="R2718" i="8"/>
  <c r="S2718" i="8"/>
  <c r="T2718" i="8"/>
  <c r="R2719" i="8"/>
  <c r="S2719" i="8"/>
  <c r="T2719" i="8"/>
  <c r="R2720" i="8"/>
  <c r="S2720" i="8"/>
  <c r="T2720" i="8"/>
  <c r="R2721" i="8"/>
  <c r="S2721" i="8"/>
  <c r="T2721" i="8"/>
  <c r="R2722" i="8"/>
  <c r="S2722" i="8"/>
  <c r="T2722" i="8"/>
  <c r="R2723" i="8"/>
  <c r="S2723" i="8"/>
  <c r="T2723" i="8"/>
  <c r="R2724" i="8"/>
  <c r="S2724" i="8"/>
  <c r="T2724" i="8"/>
  <c r="R2725" i="8"/>
  <c r="S2725" i="8"/>
  <c r="T2725" i="8"/>
  <c r="R2726" i="8"/>
  <c r="S2726" i="8"/>
  <c r="T2726" i="8"/>
  <c r="R2727" i="8"/>
  <c r="S2727" i="8"/>
  <c r="T2727" i="8"/>
  <c r="R2728" i="8"/>
  <c r="S2728" i="8"/>
  <c r="T2728" i="8"/>
  <c r="R2729" i="8"/>
  <c r="S2729" i="8"/>
  <c r="T2729" i="8"/>
  <c r="R2730" i="8"/>
  <c r="S2730" i="8"/>
  <c r="T2730" i="8"/>
  <c r="R2731" i="8"/>
  <c r="S2731" i="8"/>
  <c r="T2731" i="8"/>
  <c r="R2732" i="8"/>
  <c r="S2732" i="8"/>
  <c r="T2732" i="8"/>
  <c r="R2733" i="8"/>
  <c r="S2733" i="8"/>
  <c r="T2733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O473" i="8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O505" i="8"/>
  <c r="O506" i="8"/>
  <c r="O507" i="8"/>
  <c r="O508" i="8"/>
  <c r="O509" i="8"/>
  <c r="O510" i="8"/>
  <c r="O511" i="8"/>
  <c r="O512" i="8"/>
  <c r="O513" i="8"/>
  <c r="O514" i="8"/>
  <c r="O515" i="8"/>
  <c r="O516" i="8"/>
  <c r="O517" i="8"/>
  <c r="O518" i="8"/>
  <c r="O519" i="8"/>
  <c r="O520" i="8"/>
  <c r="O521" i="8"/>
  <c r="O522" i="8"/>
  <c r="O523" i="8"/>
  <c r="O524" i="8"/>
  <c r="O525" i="8"/>
  <c r="O526" i="8"/>
  <c r="O527" i="8"/>
  <c r="O528" i="8"/>
  <c r="O529" i="8"/>
  <c r="O530" i="8"/>
  <c r="O531" i="8"/>
  <c r="O532" i="8"/>
  <c r="O533" i="8"/>
  <c r="O534" i="8"/>
  <c r="O535" i="8"/>
  <c r="O536" i="8"/>
  <c r="O537" i="8"/>
  <c r="O538" i="8"/>
  <c r="O539" i="8"/>
  <c r="O540" i="8"/>
  <c r="O541" i="8"/>
  <c r="O542" i="8"/>
  <c r="O543" i="8"/>
  <c r="O544" i="8"/>
  <c r="O545" i="8"/>
  <c r="O546" i="8"/>
  <c r="O547" i="8"/>
  <c r="O548" i="8"/>
  <c r="O549" i="8"/>
  <c r="O550" i="8"/>
  <c r="O551" i="8"/>
  <c r="O552" i="8"/>
  <c r="O553" i="8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O569" i="8"/>
  <c r="O570" i="8"/>
  <c r="O571" i="8"/>
  <c r="O572" i="8"/>
  <c r="O573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O586" i="8"/>
  <c r="O587" i="8"/>
  <c r="O588" i="8"/>
  <c r="O589" i="8"/>
  <c r="O590" i="8"/>
  <c r="O591" i="8"/>
  <c r="O592" i="8"/>
  <c r="O593" i="8"/>
  <c r="O594" i="8"/>
  <c r="O595" i="8"/>
  <c r="O596" i="8"/>
  <c r="O597" i="8"/>
  <c r="O598" i="8"/>
  <c r="O599" i="8"/>
  <c r="O600" i="8"/>
  <c r="O601" i="8"/>
  <c r="O602" i="8"/>
  <c r="O603" i="8"/>
  <c r="O604" i="8"/>
  <c r="O605" i="8"/>
  <c r="O606" i="8"/>
  <c r="O607" i="8"/>
  <c r="O608" i="8"/>
  <c r="O609" i="8"/>
  <c r="O610" i="8"/>
  <c r="O611" i="8"/>
  <c r="O612" i="8"/>
  <c r="O613" i="8"/>
  <c r="O614" i="8"/>
  <c r="O615" i="8"/>
  <c r="O616" i="8"/>
  <c r="O617" i="8"/>
  <c r="O618" i="8"/>
  <c r="O619" i="8"/>
  <c r="O620" i="8"/>
  <c r="O621" i="8"/>
  <c r="O622" i="8"/>
  <c r="O623" i="8"/>
  <c r="O624" i="8"/>
  <c r="O625" i="8"/>
  <c r="O626" i="8"/>
  <c r="O627" i="8"/>
  <c r="O628" i="8"/>
  <c r="O629" i="8"/>
  <c r="O630" i="8"/>
  <c r="O631" i="8"/>
  <c r="O632" i="8"/>
  <c r="O633" i="8"/>
  <c r="O634" i="8"/>
  <c r="O635" i="8"/>
  <c r="O636" i="8"/>
  <c r="O637" i="8"/>
  <c r="O638" i="8"/>
  <c r="O639" i="8"/>
  <c r="O640" i="8"/>
  <c r="O641" i="8"/>
  <c r="O642" i="8"/>
  <c r="O643" i="8"/>
  <c r="O644" i="8"/>
  <c r="O645" i="8"/>
  <c r="O646" i="8"/>
  <c r="O647" i="8"/>
  <c r="O648" i="8"/>
  <c r="O649" i="8"/>
  <c r="O650" i="8"/>
  <c r="O651" i="8"/>
  <c r="O652" i="8"/>
  <c r="O653" i="8"/>
  <c r="O654" i="8"/>
  <c r="O655" i="8"/>
  <c r="O656" i="8"/>
  <c r="O657" i="8"/>
  <c r="O658" i="8"/>
  <c r="O659" i="8"/>
  <c r="O660" i="8"/>
  <c r="O661" i="8"/>
  <c r="O662" i="8"/>
  <c r="O663" i="8"/>
  <c r="O664" i="8"/>
  <c r="O665" i="8"/>
  <c r="O666" i="8"/>
  <c r="O667" i="8"/>
  <c r="O668" i="8"/>
  <c r="O669" i="8"/>
  <c r="O670" i="8"/>
  <c r="O671" i="8"/>
  <c r="O672" i="8"/>
  <c r="O673" i="8"/>
  <c r="O674" i="8"/>
  <c r="O675" i="8"/>
  <c r="O676" i="8"/>
  <c r="O677" i="8"/>
  <c r="O678" i="8"/>
  <c r="O679" i="8"/>
  <c r="O680" i="8"/>
  <c r="O681" i="8"/>
  <c r="O682" i="8"/>
  <c r="O683" i="8"/>
  <c r="O684" i="8"/>
  <c r="O685" i="8"/>
  <c r="O686" i="8"/>
  <c r="O687" i="8"/>
  <c r="O688" i="8"/>
  <c r="O689" i="8"/>
  <c r="O690" i="8"/>
  <c r="O691" i="8"/>
  <c r="O692" i="8"/>
  <c r="O693" i="8"/>
  <c r="O694" i="8"/>
  <c r="O695" i="8"/>
  <c r="O696" i="8"/>
  <c r="O697" i="8"/>
  <c r="O698" i="8"/>
  <c r="O699" i="8"/>
  <c r="O700" i="8"/>
  <c r="O701" i="8"/>
  <c r="O702" i="8"/>
  <c r="O703" i="8"/>
  <c r="O704" i="8"/>
  <c r="O705" i="8"/>
  <c r="O706" i="8"/>
  <c r="O707" i="8"/>
  <c r="O708" i="8"/>
  <c r="O709" i="8"/>
  <c r="O710" i="8"/>
  <c r="O711" i="8"/>
  <c r="O712" i="8"/>
  <c r="O713" i="8"/>
  <c r="O714" i="8"/>
  <c r="O715" i="8"/>
  <c r="O716" i="8"/>
  <c r="O717" i="8"/>
  <c r="O718" i="8"/>
  <c r="O719" i="8"/>
  <c r="O720" i="8"/>
  <c r="O721" i="8"/>
  <c r="O722" i="8"/>
  <c r="O723" i="8"/>
  <c r="O724" i="8"/>
  <c r="O725" i="8"/>
  <c r="O726" i="8"/>
  <c r="O727" i="8"/>
  <c r="O728" i="8"/>
  <c r="O729" i="8"/>
  <c r="O730" i="8"/>
  <c r="O731" i="8"/>
  <c r="O732" i="8"/>
  <c r="O733" i="8"/>
  <c r="O734" i="8"/>
  <c r="O735" i="8"/>
  <c r="O736" i="8"/>
  <c r="O737" i="8"/>
  <c r="O738" i="8"/>
  <c r="O739" i="8"/>
  <c r="O740" i="8"/>
  <c r="O741" i="8"/>
  <c r="O742" i="8"/>
  <c r="O743" i="8"/>
  <c r="O744" i="8"/>
  <c r="O745" i="8"/>
  <c r="O746" i="8"/>
  <c r="O747" i="8"/>
  <c r="O748" i="8"/>
  <c r="O749" i="8"/>
  <c r="O750" i="8"/>
  <c r="O751" i="8"/>
  <c r="O752" i="8"/>
  <c r="O753" i="8"/>
  <c r="O754" i="8"/>
  <c r="O755" i="8"/>
  <c r="O756" i="8"/>
  <c r="O757" i="8"/>
  <c r="O758" i="8"/>
  <c r="O759" i="8"/>
  <c r="O760" i="8"/>
  <c r="O761" i="8"/>
  <c r="O762" i="8"/>
  <c r="O763" i="8"/>
  <c r="O764" i="8"/>
  <c r="O765" i="8"/>
  <c r="O766" i="8"/>
  <c r="O767" i="8"/>
  <c r="O768" i="8"/>
  <c r="O769" i="8"/>
  <c r="O770" i="8"/>
  <c r="O771" i="8"/>
  <c r="O772" i="8"/>
  <c r="O773" i="8"/>
  <c r="O774" i="8"/>
  <c r="O775" i="8"/>
  <c r="O776" i="8"/>
  <c r="O777" i="8"/>
  <c r="O778" i="8"/>
  <c r="O779" i="8"/>
  <c r="O780" i="8"/>
  <c r="O781" i="8"/>
  <c r="O782" i="8"/>
  <c r="O783" i="8"/>
  <c r="O784" i="8"/>
  <c r="O785" i="8"/>
  <c r="O786" i="8"/>
  <c r="O787" i="8"/>
  <c r="O788" i="8"/>
  <c r="O789" i="8"/>
  <c r="O790" i="8"/>
  <c r="O791" i="8"/>
  <c r="O792" i="8"/>
  <c r="O793" i="8"/>
  <c r="O794" i="8"/>
  <c r="O795" i="8"/>
  <c r="O796" i="8"/>
  <c r="O797" i="8"/>
  <c r="O798" i="8"/>
  <c r="O799" i="8"/>
  <c r="O800" i="8"/>
  <c r="O801" i="8"/>
  <c r="O802" i="8"/>
  <c r="O803" i="8"/>
  <c r="O804" i="8"/>
  <c r="O805" i="8"/>
  <c r="O806" i="8"/>
  <c r="O807" i="8"/>
  <c r="O808" i="8"/>
  <c r="O809" i="8"/>
  <c r="O810" i="8"/>
  <c r="O811" i="8"/>
  <c r="O812" i="8"/>
  <c r="O813" i="8"/>
  <c r="O814" i="8"/>
  <c r="O815" i="8"/>
  <c r="O816" i="8"/>
  <c r="O817" i="8"/>
  <c r="O818" i="8"/>
  <c r="O819" i="8"/>
  <c r="O820" i="8"/>
  <c r="O821" i="8"/>
  <c r="O822" i="8"/>
  <c r="O823" i="8"/>
  <c r="O824" i="8"/>
  <c r="O825" i="8"/>
  <c r="O826" i="8"/>
  <c r="O827" i="8"/>
  <c r="O828" i="8"/>
  <c r="O829" i="8"/>
  <c r="O830" i="8"/>
  <c r="O831" i="8"/>
  <c r="O832" i="8"/>
  <c r="O833" i="8"/>
  <c r="O834" i="8"/>
  <c r="O835" i="8"/>
  <c r="O836" i="8"/>
  <c r="O837" i="8"/>
  <c r="O838" i="8"/>
  <c r="O839" i="8"/>
  <c r="O840" i="8"/>
  <c r="O841" i="8"/>
  <c r="O842" i="8"/>
  <c r="O843" i="8"/>
  <c r="O844" i="8"/>
  <c r="O845" i="8"/>
  <c r="O846" i="8"/>
  <c r="O847" i="8"/>
  <c r="O848" i="8"/>
  <c r="O849" i="8"/>
  <c r="O850" i="8"/>
  <c r="O851" i="8"/>
  <c r="O852" i="8"/>
  <c r="O853" i="8"/>
  <c r="O854" i="8"/>
  <c r="O855" i="8"/>
  <c r="O856" i="8"/>
  <c r="O857" i="8"/>
  <c r="O858" i="8"/>
  <c r="O859" i="8"/>
  <c r="O860" i="8"/>
  <c r="O861" i="8"/>
  <c r="O862" i="8"/>
  <c r="O863" i="8"/>
  <c r="O864" i="8"/>
  <c r="O865" i="8"/>
  <c r="O866" i="8"/>
  <c r="O867" i="8"/>
  <c r="O868" i="8"/>
  <c r="O869" i="8"/>
  <c r="O870" i="8"/>
  <c r="O871" i="8"/>
  <c r="O872" i="8"/>
  <c r="O873" i="8"/>
  <c r="O874" i="8"/>
  <c r="O875" i="8"/>
  <c r="O876" i="8"/>
  <c r="O877" i="8"/>
  <c r="O878" i="8"/>
  <c r="O879" i="8"/>
  <c r="O880" i="8"/>
  <c r="O881" i="8"/>
  <c r="O882" i="8"/>
  <c r="O883" i="8"/>
  <c r="O884" i="8"/>
  <c r="O885" i="8"/>
  <c r="O886" i="8"/>
  <c r="O887" i="8"/>
  <c r="O888" i="8"/>
  <c r="O889" i="8"/>
  <c r="O890" i="8"/>
  <c r="O891" i="8"/>
  <c r="O892" i="8"/>
  <c r="O893" i="8"/>
  <c r="O894" i="8"/>
  <c r="O895" i="8"/>
  <c r="O896" i="8"/>
  <c r="O897" i="8"/>
  <c r="O898" i="8"/>
  <c r="O899" i="8"/>
  <c r="O900" i="8"/>
  <c r="O901" i="8"/>
  <c r="O902" i="8"/>
  <c r="O903" i="8"/>
  <c r="O904" i="8"/>
  <c r="O905" i="8"/>
  <c r="O906" i="8"/>
  <c r="O907" i="8"/>
  <c r="O908" i="8"/>
  <c r="O909" i="8"/>
  <c r="O910" i="8"/>
  <c r="O911" i="8"/>
  <c r="O912" i="8"/>
  <c r="O913" i="8"/>
  <c r="O914" i="8"/>
  <c r="O915" i="8"/>
  <c r="O916" i="8"/>
  <c r="O917" i="8"/>
  <c r="O918" i="8"/>
  <c r="O919" i="8"/>
  <c r="O920" i="8"/>
  <c r="O921" i="8"/>
  <c r="O922" i="8"/>
  <c r="O923" i="8"/>
  <c r="O924" i="8"/>
  <c r="O925" i="8"/>
  <c r="O926" i="8"/>
  <c r="O927" i="8"/>
  <c r="O928" i="8"/>
  <c r="O929" i="8"/>
  <c r="O930" i="8"/>
  <c r="O931" i="8"/>
  <c r="O932" i="8"/>
  <c r="O933" i="8"/>
  <c r="O934" i="8"/>
  <c r="O935" i="8"/>
  <c r="O936" i="8"/>
  <c r="O937" i="8"/>
  <c r="O938" i="8"/>
  <c r="O939" i="8"/>
  <c r="O940" i="8"/>
  <c r="O941" i="8"/>
  <c r="O942" i="8"/>
  <c r="O943" i="8"/>
  <c r="O944" i="8"/>
  <c r="O945" i="8"/>
  <c r="O946" i="8"/>
  <c r="O947" i="8"/>
  <c r="O948" i="8"/>
  <c r="O949" i="8"/>
  <c r="O950" i="8"/>
  <c r="O951" i="8"/>
  <c r="O952" i="8"/>
  <c r="O953" i="8"/>
  <c r="O954" i="8"/>
  <c r="O955" i="8"/>
  <c r="O956" i="8"/>
  <c r="O957" i="8"/>
  <c r="O958" i="8"/>
  <c r="O959" i="8"/>
  <c r="O960" i="8"/>
  <c r="O961" i="8"/>
  <c r="O962" i="8"/>
  <c r="O963" i="8"/>
  <c r="O964" i="8"/>
  <c r="O965" i="8"/>
  <c r="O966" i="8"/>
  <c r="O967" i="8"/>
  <c r="O968" i="8"/>
  <c r="O969" i="8"/>
  <c r="O970" i="8"/>
  <c r="O971" i="8"/>
  <c r="O972" i="8"/>
  <c r="O973" i="8"/>
  <c r="O974" i="8"/>
  <c r="O975" i="8"/>
  <c r="O976" i="8"/>
  <c r="O977" i="8"/>
  <c r="O978" i="8"/>
  <c r="O979" i="8"/>
  <c r="O980" i="8"/>
  <c r="O981" i="8"/>
  <c r="O982" i="8"/>
  <c r="O983" i="8"/>
  <c r="O984" i="8"/>
  <c r="O985" i="8"/>
  <c r="O986" i="8"/>
  <c r="O987" i="8"/>
  <c r="O988" i="8"/>
  <c r="O989" i="8"/>
  <c r="O990" i="8"/>
  <c r="O991" i="8"/>
  <c r="O992" i="8"/>
  <c r="O993" i="8"/>
  <c r="O994" i="8"/>
  <c r="O995" i="8"/>
  <c r="O996" i="8"/>
  <c r="O997" i="8"/>
  <c r="O998" i="8"/>
  <c r="O999" i="8"/>
  <c r="O1000" i="8"/>
  <c r="O1001" i="8"/>
  <c r="O1002" i="8"/>
  <c r="O1003" i="8"/>
  <c r="O1004" i="8"/>
  <c r="O1005" i="8"/>
  <c r="O1006" i="8"/>
  <c r="O1007" i="8"/>
  <c r="O1008" i="8"/>
  <c r="O1009" i="8"/>
  <c r="O1010" i="8"/>
  <c r="O1011" i="8"/>
  <c r="O1012" i="8"/>
  <c r="O1013" i="8"/>
  <c r="O1014" i="8"/>
  <c r="O1015" i="8"/>
  <c r="O1016" i="8"/>
  <c r="O1017" i="8"/>
  <c r="O1018" i="8"/>
  <c r="O1019" i="8"/>
  <c r="O1020" i="8"/>
  <c r="O1021" i="8"/>
  <c r="O1022" i="8"/>
  <c r="O1023" i="8"/>
  <c r="O1024" i="8"/>
  <c r="O1025" i="8"/>
  <c r="O1026" i="8"/>
  <c r="O1027" i="8"/>
  <c r="O1028" i="8"/>
  <c r="O1029" i="8"/>
  <c r="O1030" i="8"/>
  <c r="O1031" i="8"/>
  <c r="O1032" i="8"/>
  <c r="O1033" i="8"/>
  <c r="O1034" i="8"/>
  <c r="O1035" i="8"/>
  <c r="O1036" i="8"/>
  <c r="O1037" i="8"/>
  <c r="O1038" i="8"/>
  <c r="O1039" i="8"/>
  <c r="O1040" i="8"/>
  <c r="O1041" i="8"/>
  <c r="O1042" i="8"/>
  <c r="O1043" i="8"/>
  <c r="O1044" i="8"/>
  <c r="O1045" i="8"/>
  <c r="O1046" i="8"/>
  <c r="O1047" i="8"/>
  <c r="O1048" i="8"/>
  <c r="O1049" i="8"/>
  <c r="O1050" i="8"/>
  <c r="O1051" i="8"/>
  <c r="O1052" i="8"/>
  <c r="O1053" i="8"/>
  <c r="O1054" i="8"/>
  <c r="O1055" i="8"/>
  <c r="O1056" i="8"/>
  <c r="O1057" i="8"/>
  <c r="O1058" i="8"/>
  <c r="O1059" i="8"/>
  <c r="O1060" i="8"/>
  <c r="O1061" i="8"/>
  <c r="O1062" i="8"/>
  <c r="O1063" i="8"/>
  <c r="O1064" i="8"/>
  <c r="O1065" i="8"/>
  <c r="O1066" i="8"/>
  <c r="O1067" i="8"/>
  <c r="O1068" i="8"/>
  <c r="O1069" i="8"/>
  <c r="O1070" i="8"/>
  <c r="O1071" i="8"/>
  <c r="O1072" i="8"/>
  <c r="O1073" i="8"/>
  <c r="O1074" i="8"/>
  <c r="O1075" i="8"/>
  <c r="O1076" i="8"/>
  <c r="O1077" i="8"/>
  <c r="O1078" i="8"/>
  <c r="O1079" i="8"/>
  <c r="O1080" i="8"/>
  <c r="O1081" i="8"/>
  <c r="O1082" i="8"/>
  <c r="O1083" i="8"/>
  <c r="O1084" i="8"/>
  <c r="O1085" i="8"/>
  <c r="O1086" i="8"/>
  <c r="O1087" i="8"/>
  <c r="O1088" i="8"/>
  <c r="O1089" i="8"/>
  <c r="O1090" i="8"/>
  <c r="O1091" i="8"/>
  <c r="O1092" i="8"/>
  <c r="O1093" i="8"/>
  <c r="O1094" i="8"/>
  <c r="O1095" i="8"/>
  <c r="O1096" i="8"/>
  <c r="O1097" i="8"/>
  <c r="O1098" i="8"/>
  <c r="O1099" i="8"/>
  <c r="O1100" i="8"/>
  <c r="O1101" i="8"/>
  <c r="O1102" i="8"/>
  <c r="O1103" i="8"/>
  <c r="O1104" i="8"/>
  <c r="O1105" i="8"/>
  <c r="O1106" i="8"/>
  <c r="O1107" i="8"/>
  <c r="O1108" i="8"/>
  <c r="O1109" i="8"/>
  <c r="O1110" i="8"/>
  <c r="O1111" i="8"/>
  <c r="O1112" i="8"/>
  <c r="O1113" i="8"/>
  <c r="O1114" i="8"/>
  <c r="O1115" i="8"/>
  <c r="O1116" i="8"/>
  <c r="O1117" i="8"/>
  <c r="O1118" i="8"/>
  <c r="O1119" i="8"/>
  <c r="O1120" i="8"/>
  <c r="O1121" i="8"/>
  <c r="O1122" i="8"/>
  <c r="O1123" i="8"/>
  <c r="O1124" i="8"/>
  <c r="O1125" i="8"/>
  <c r="O1126" i="8"/>
  <c r="O1127" i="8"/>
  <c r="O1128" i="8"/>
  <c r="O1129" i="8"/>
  <c r="O1130" i="8"/>
  <c r="O1131" i="8"/>
  <c r="O1132" i="8"/>
  <c r="O1133" i="8"/>
  <c r="O1134" i="8"/>
  <c r="O1135" i="8"/>
  <c r="O1136" i="8"/>
  <c r="O1137" i="8"/>
  <c r="O1138" i="8"/>
  <c r="O1139" i="8"/>
  <c r="O1140" i="8"/>
  <c r="O1141" i="8"/>
  <c r="O1142" i="8"/>
  <c r="O1143" i="8"/>
  <c r="O1144" i="8"/>
  <c r="O1145" i="8"/>
  <c r="O1146" i="8"/>
  <c r="O1147" i="8"/>
  <c r="O1148" i="8"/>
  <c r="O1149" i="8"/>
  <c r="O1150" i="8"/>
  <c r="O1151" i="8"/>
  <c r="O1152" i="8"/>
  <c r="O1153" i="8"/>
  <c r="O1154" i="8"/>
  <c r="O1155" i="8"/>
  <c r="O1156" i="8"/>
  <c r="O1157" i="8"/>
  <c r="O1158" i="8"/>
  <c r="O1159" i="8"/>
  <c r="O1160" i="8"/>
  <c r="O1161" i="8"/>
  <c r="O1162" i="8"/>
  <c r="O1163" i="8"/>
  <c r="O1164" i="8"/>
  <c r="O1165" i="8"/>
  <c r="O1166" i="8"/>
  <c r="O1167" i="8"/>
  <c r="O1168" i="8"/>
  <c r="O1169" i="8"/>
  <c r="O1170" i="8"/>
  <c r="O1171" i="8"/>
  <c r="O1172" i="8"/>
  <c r="O1173" i="8"/>
  <c r="O1174" i="8"/>
  <c r="O1175" i="8"/>
  <c r="O1176" i="8"/>
  <c r="O1177" i="8"/>
  <c r="O1178" i="8"/>
  <c r="O1179" i="8"/>
  <c r="O1180" i="8"/>
  <c r="O1181" i="8"/>
  <c r="O1182" i="8"/>
  <c r="O1183" i="8"/>
  <c r="O1184" i="8"/>
  <c r="O1185" i="8"/>
  <c r="O1186" i="8"/>
  <c r="O1187" i="8"/>
  <c r="O1188" i="8"/>
  <c r="O1189" i="8"/>
  <c r="O1190" i="8"/>
  <c r="O1191" i="8"/>
  <c r="O1192" i="8"/>
  <c r="O1193" i="8"/>
  <c r="O1194" i="8"/>
  <c r="O1195" i="8"/>
  <c r="O1196" i="8"/>
  <c r="O1197" i="8"/>
  <c r="O1198" i="8"/>
  <c r="O1199" i="8"/>
  <c r="O1200" i="8"/>
  <c r="O1201" i="8"/>
  <c r="O1202" i="8"/>
  <c r="O1203" i="8"/>
  <c r="O1204" i="8"/>
  <c r="O1205" i="8"/>
  <c r="O1206" i="8"/>
  <c r="O1207" i="8"/>
  <c r="O1208" i="8"/>
  <c r="O1209" i="8"/>
  <c r="O1210" i="8"/>
  <c r="O1211" i="8"/>
  <c r="O1212" i="8"/>
  <c r="O1213" i="8"/>
  <c r="O1214" i="8"/>
  <c r="O1215" i="8"/>
  <c r="O1216" i="8"/>
  <c r="O1217" i="8"/>
  <c r="O1218" i="8"/>
  <c r="O1219" i="8"/>
  <c r="O1220" i="8"/>
  <c r="O1221" i="8"/>
  <c r="O1222" i="8"/>
  <c r="O1223" i="8"/>
  <c r="O1224" i="8"/>
  <c r="O1225" i="8"/>
  <c r="O1226" i="8"/>
  <c r="O1227" i="8"/>
  <c r="O1228" i="8"/>
  <c r="O1229" i="8"/>
  <c r="O1230" i="8"/>
  <c r="O1231" i="8"/>
  <c r="O1232" i="8"/>
  <c r="O1233" i="8"/>
  <c r="O1234" i="8"/>
  <c r="O1235" i="8"/>
  <c r="O1236" i="8"/>
  <c r="O1237" i="8"/>
  <c r="O1238" i="8"/>
  <c r="O1239" i="8"/>
  <c r="O1240" i="8"/>
  <c r="O1241" i="8"/>
  <c r="O1242" i="8"/>
  <c r="O1243" i="8"/>
  <c r="O1244" i="8"/>
  <c r="O1245" i="8"/>
  <c r="O1246" i="8"/>
  <c r="O1247" i="8"/>
  <c r="O1248" i="8"/>
  <c r="O1249" i="8"/>
  <c r="O1250" i="8"/>
  <c r="O1251" i="8"/>
  <c r="O1252" i="8"/>
  <c r="O1253" i="8"/>
  <c r="O1254" i="8"/>
  <c r="O1255" i="8"/>
  <c r="O1256" i="8"/>
  <c r="O1257" i="8"/>
  <c r="O1258" i="8"/>
  <c r="O1259" i="8"/>
  <c r="O1260" i="8"/>
  <c r="O1261" i="8"/>
  <c r="O1262" i="8"/>
  <c r="O1263" i="8"/>
  <c r="O1264" i="8"/>
  <c r="O1265" i="8"/>
  <c r="O1266" i="8"/>
  <c r="O1267" i="8"/>
  <c r="O1268" i="8"/>
  <c r="O1269" i="8"/>
  <c r="O1270" i="8"/>
  <c r="O1271" i="8"/>
  <c r="O1272" i="8"/>
  <c r="O1273" i="8"/>
  <c r="O1274" i="8"/>
  <c r="O1275" i="8"/>
  <c r="O1276" i="8"/>
  <c r="O1277" i="8"/>
  <c r="O1278" i="8"/>
  <c r="O1279" i="8"/>
  <c r="O1280" i="8"/>
  <c r="O1281" i="8"/>
  <c r="O1282" i="8"/>
  <c r="O1283" i="8"/>
  <c r="O1284" i="8"/>
  <c r="O1285" i="8"/>
  <c r="O1286" i="8"/>
  <c r="O1287" i="8"/>
  <c r="O1288" i="8"/>
  <c r="O1289" i="8"/>
  <c r="O1290" i="8"/>
  <c r="O1291" i="8"/>
  <c r="O1292" i="8"/>
  <c r="O1293" i="8"/>
  <c r="O1294" i="8"/>
  <c r="O1295" i="8"/>
  <c r="O1296" i="8"/>
  <c r="O1297" i="8"/>
  <c r="O1298" i="8"/>
  <c r="O1299" i="8"/>
  <c r="O1300" i="8"/>
  <c r="O1301" i="8"/>
  <c r="O1302" i="8"/>
  <c r="O1303" i="8"/>
  <c r="O1304" i="8"/>
  <c r="O1305" i="8"/>
  <c r="O1306" i="8"/>
  <c r="O1307" i="8"/>
  <c r="O1308" i="8"/>
  <c r="O1309" i="8"/>
  <c r="O1310" i="8"/>
  <c r="O1311" i="8"/>
  <c r="O1312" i="8"/>
  <c r="O1313" i="8"/>
  <c r="O1314" i="8"/>
  <c r="O1315" i="8"/>
  <c r="O1316" i="8"/>
  <c r="O1317" i="8"/>
  <c r="O1318" i="8"/>
  <c r="O1319" i="8"/>
  <c r="O1320" i="8"/>
  <c r="O1321" i="8"/>
  <c r="O1322" i="8"/>
  <c r="O1323" i="8"/>
  <c r="O1324" i="8"/>
  <c r="O1325" i="8"/>
  <c r="O1326" i="8"/>
  <c r="O1327" i="8"/>
  <c r="O1328" i="8"/>
  <c r="O1329" i="8"/>
  <c r="O1330" i="8"/>
  <c r="O1331" i="8"/>
  <c r="O1332" i="8"/>
  <c r="O1333" i="8"/>
  <c r="O1334" i="8"/>
  <c r="O1335" i="8"/>
  <c r="O1336" i="8"/>
  <c r="O1337" i="8"/>
  <c r="O1338" i="8"/>
  <c r="O1339" i="8"/>
  <c r="O1340" i="8"/>
  <c r="O1341" i="8"/>
  <c r="O1342" i="8"/>
  <c r="O1343" i="8"/>
  <c r="O1344" i="8"/>
  <c r="O1345" i="8"/>
  <c r="O1346" i="8"/>
  <c r="O1347" i="8"/>
  <c r="O1348" i="8"/>
  <c r="O1349" i="8"/>
  <c r="O1350" i="8"/>
  <c r="O1351" i="8"/>
  <c r="O1352" i="8"/>
  <c r="O1353" i="8"/>
  <c r="O1354" i="8"/>
  <c r="O1355" i="8"/>
  <c r="O1356" i="8"/>
  <c r="O1357" i="8"/>
  <c r="O1358" i="8"/>
  <c r="O1359" i="8"/>
  <c r="O1360" i="8"/>
  <c r="O1361" i="8"/>
  <c r="O1362" i="8"/>
  <c r="O1363" i="8"/>
  <c r="O1364" i="8"/>
  <c r="O1365" i="8"/>
  <c r="O1366" i="8"/>
  <c r="O1367" i="8"/>
  <c r="O1368" i="8"/>
  <c r="O1369" i="8"/>
  <c r="O1370" i="8"/>
  <c r="O1371" i="8"/>
  <c r="O1372" i="8"/>
  <c r="O1373" i="8"/>
  <c r="O1374" i="8"/>
  <c r="O1375" i="8"/>
  <c r="O1376" i="8"/>
  <c r="O1377" i="8"/>
  <c r="O1378" i="8"/>
  <c r="O1379" i="8"/>
  <c r="O1380" i="8"/>
  <c r="O1381" i="8"/>
  <c r="O1382" i="8"/>
  <c r="O1383" i="8"/>
  <c r="O1384" i="8"/>
  <c r="O1385" i="8"/>
  <c r="O1386" i="8"/>
  <c r="O1387" i="8"/>
  <c r="O1388" i="8"/>
  <c r="O1389" i="8"/>
  <c r="O1390" i="8"/>
  <c r="O1391" i="8"/>
  <c r="O1392" i="8"/>
  <c r="O1393" i="8"/>
  <c r="O1394" i="8"/>
  <c r="O1395" i="8"/>
  <c r="O1396" i="8"/>
  <c r="O1397" i="8"/>
  <c r="O1398" i="8"/>
  <c r="O1399" i="8"/>
  <c r="O1400" i="8"/>
  <c r="O1401" i="8"/>
  <c r="O1402" i="8"/>
  <c r="O1403" i="8"/>
  <c r="O1404" i="8"/>
  <c r="O1405" i="8"/>
  <c r="O1406" i="8"/>
  <c r="O1407" i="8"/>
  <c r="O1408" i="8"/>
  <c r="O1409" i="8"/>
  <c r="O1410" i="8"/>
  <c r="O1411" i="8"/>
  <c r="O1412" i="8"/>
  <c r="O1413" i="8"/>
  <c r="O1414" i="8"/>
  <c r="O1415" i="8"/>
  <c r="O1416" i="8"/>
  <c r="O1417" i="8"/>
  <c r="O1418" i="8"/>
  <c r="O1419" i="8"/>
  <c r="O1420" i="8"/>
  <c r="O1421" i="8"/>
  <c r="O1422" i="8"/>
  <c r="O1423" i="8"/>
  <c r="O1424" i="8"/>
  <c r="O1425" i="8"/>
  <c r="O1426" i="8"/>
  <c r="O1427" i="8"/>
  <c r="O1428" i="8"/>
  <c r="O1429" i="8"/>
  <c r="O1430" i="8"/>
  <c r="O1431" i="8"/>
  <c r="O1432" i="8"/>
  <c r="O1433" i="8"/>
  <c r="O1434" i="8"/>
  <c r="O1435" i="8"/>
  <c r="O1436" i="8"/>
  <c r="O1437" i="8"/>
  <c r="O1438" i="8"/>
  <c r="O1439" i="8"/>
  <c r="O1440" i="8"/>
  <c r="O1441" i="8"/>
  <c r="O1442" i="8"/>
  <c r="O1443" i="8"/>
  <c r="O1444" i="8"/>
  <c r="O1445" i="8"/>
  <c r="O1446" i="8"/>
  <c r="O1447" i="8"/>
  <c r="O1448" i="8"/>
  <c r="O1449" i="8"/>
  <c r="O1450" i="8"/>
  <c r="O1451" i="8"/>
  <c r="O1452" i="8"/>
  <c r="O1453" i="8"/>
  <c r="O1454" i="8"/>
  <c r="O1455" i="8"/>
  <c r="O1456" i="8"/>
  <c r="O1457" i="8"/>
  <c r="O1458" i="8"/>
  <c r="O1459" i="8"/>
  <c r="O1460" i="8"/>
  <c r="O1461" i="8"/>
  <c r="O1462" i="8"/>
  <c r="O1463" i="8"/>
  <c r="O1464" i="8"/>
  <c r="O1465" i="8"/>
  <c r="O1466" i="8"/>
  <c r="O1467" i="8"/>
  <c r="O1468" i="8"/>
  <c r="O1469" i="8"/>
  <c r="O1470" i="8"/>
  <c r="O1471" i="8"/>
  <c r="O1472" i="8"/>
  <c r="O1473" i="8"/>
  <c r="O1474" i="8"/>
  <c r="O1475" i="8"/>
  <c r="O1476" i="8"/>
  <c r="O1477" i="8"/>
  <c r="O1478" i="8"/>
  <c r="O1479" i="8"/>
  <c r="O1480" i="8"/>
  <c r="O1481" i="8"/>
  <c r="O1482" i="8"/>
  <c r="O1483" i="8"/>
  <c r="O1484" i="8"/>
  <c r="O1485" i="8"/>
  <c r="O1486" i="8"/>
  <c r="O1487" i="8"/>
  <c r="O1488" i="8"/>
  <c r="O1489" i="8"/>
  <c r="O1490" i="8"/>
  <c r="O1491" i="8"/>
  <c r="O1492" i="8"/>
  <c r="O1493" i="8"/>
  <c r="O1494" i="8"/>
  <c r="O1495" i="8"/>
  <c r="O1496" i="8"/>
  <c r="O1497" i="8"/>
  <c r="O1498" i="8"/>
  <c r="O1499" i="8"/>
  <c r="O1500" i="8"/>
  <c r="O1501" i="8"/>
  <c r="O1502" i="8"/>
  <c r="O1503" i="8"/>
  <c r="O1504" i="8"/>
  <c r="O1505" i="8"/>
  <c r="O1506" i="8"/>
  <c r="O1507" i="8"/>
  <c r="O1508" i="8"/>
  <c r="O1509" i="8"/>
  <c r="O1510" i="8"/>
  <c r="O1511" i="8"/>
  <c r="O1512" i="8"/>
  <c r="O1513" i="8"/>
  <c r="O1514" i="8"/>
  <c r="O1515" i="8"/>
  <c r="O1516" i="8"/>
  <c r="O1517" i="8"/>
  <c r="O1518" i="8"/>
  <c r="O1519" i="8"/>
  <c r="O1520" i="8"/>
  <c r="O1521" i="8"/>
  <c r="O1522" i="8"/>
  <c r="O1523" i="8"/>
  <c r="O1524" i="8"/>
  <c r="O1525" i="8"/>
  <c r="O1526" i="8"/>
  <c r="O1527" i="8"/>
  <c r="O1528" i="8"/>
  <c r="O1529" i="8"/>
  <c r="O1530" i="8"/>
  <c r="O1531" i="8"/>
  <c r="O1532" i="8"/>
  <c r="O1533" i="8"/>
  <c r="O1534" i="8"/>
  <c r="O1535" i="8"/>
  <c r="O1536" i="8"/>
  <c r="O1537" i="8"/>
  <c r="O1538" i="8"/>
  <c r="O1539" i="8"/>
  <c r="O1540" i="8"/>
  <c r="O1541" i="8"/>
  <c r="O1542" i="8"/>
  <c r="O1543" i="8"/>
  <c r="O1544" i="8"/>
  <c r="O1545" i="8"/>
  <c r="O1546" i="8"/>
  <c r="O1547" i="8"/>
  <c r="O1548" i="8"/>
  <c r="O1549" i="8"/>
  <c r="O1550" i="8"/>
  <c r="O1551" i="8"/>
  <c r="O1552" i="8"/>
  <c r="O1553" i="8"/>
  <c r="O1554" i="8"/>
  <c r="O1555" i="8"/>
  <c r="O1556" i="8"/>
  <c r="O1557" i="8"/>
  <c r="O1558" i="8"/>
  <c r="O1559" i="8"/>
  <c r="O1560" i="8"/>
  <c r="O1561" i="8"/>
  <c r="O1562" i="8"/>
  <c r="O1563" i="8"/>
  <c r="O1564" i="8"/>
  <c r="O1565" i="8"/>
  <c r="O1566" i="8"/>
  <c r="O1567" i="8"/>
  <c r="O1568" i="8"/>
  <c r="O1569" i="8"/>
  <c r="O1570" i="8"/>
  <c r="O1571" i="8"/>
  <c r="O1572" i="8"/>
  <c r="O1573" i="8"/>
  <c r="O1574" i="8"/>
  <c r="O1575" i="8"/>
  <c r="O1576" i="8"/>
  <c r="O1577" i="8"/>
  <c r="O1578" i="8"/>
  <c r="O1579" i="8"/>
  <c r="O1580" i="8"/>
  <c r="O1581" i="8"/>
  <c r="O1582" i="8"/>
  <c r="O1583" i="8"/>
  <c r="O1584" i="8"/>
  <c r="O1585" i="8"/>
  <c r="O1586" i="8"/>
  <c r="O1587" i="8"/>
  <c r="O1588" i="8"/>
  <c r="O1589" i="8"/>
  <c r="O1590" i="8"/>
  <c r="O1591" i="8"/>
  <c r="O1592" i="8"/>
  <c r="O1593" i="8"/>
  <c r="O1594" i="8"/>
  <c r="O1595" i="8"/>
  <c r="O1596" i="8"/>
  <c r="O1597" i="8"/>
  <c r="O1598" i="8"/>
  <c r="O1599" i="8"/>
  <c r="O1600" i="8"/>
  <c r="O1601" i="8"/>
  <c r="O1602" i="8"/>
  <c r="O1603" i="8"/>
  <c r="O1604" i="8"/>
  <c r="O1605" i="8"/>
  <c r="O1606" i="8"/>
  <c r="O1607" i="8"/>
  <c r="O1608" i="8"/>
  <c r="O1609" i="8"/>
  <c r="O1610" i="8"/>
  <c r="O1611" i="8"/>
  <c r="O1612" i="8"/>
  <c r="O1613" i="8"/>
  <c r="O1614" i="8"/>
  <c r="O1615" i="8"/>
  <c r="O1616" i="8"/>
  <c r="O1617" i="8"/>
  <c r="O1618" i="8"/>
  <c r="O1619" i="8"/>
  <c r="O1620" i="8"/>
  <c r="O1621" i="8"/>
  <c r="O1622" i="8"/>
  <c r="O1623" i="8"/>
  <c r="O1624" i="8"/>
  <c r="O1625" i="8"/>
  <c r="O1626" i="8"/>
  <c r="O1627" i="8"/>
  <c r="O1628" i="8"/>
  <c r="O1629" i="8"/>
  <c r="O1630" i="8"/>
  <c r="O1631" i="8"/>
  <c r="O1632" i="8"/>
  <c r="O1633" i="8"/>
  <c r="O1634" i="8"/>
  <c r="O1635" i="8"/>
  <c r="O1636" i="8"/>
  <c r="O1637" i="8"/>
  <c r="O1638" i="8"/>
  <c r="O1639" i="8"/>
  <c r="O1640" i="8"/>
  <c r="O1641" i="8"/>
  <c r="O1642" i="8"/>
  <c r="O1643" i="8"/>
  <c r="O1644" i="8"/>
  <c r="O1645" i="8"/>
  <c r="O1646" i="8"/>
  <c r="O1647" i="8"/>
  <c r="O1648" i="8"/>
  <c r="O1649" i="8"/>
  <c r="O1650" i="8"/>
  <c r="O1651" i="8"/>
  <c r="O1652" i="8"/>
  <c r="O1653" i="8"/>
  <c r="O1654" i="8"/>
  <c r="O1655" i="8"/>
  <c r="O1656" i="8"/>
  <c r="O1657" i="8"/>
  <c r="O1658" i="8"/>
  <c r="O1659" i="8"/>
  <c r="O1660" i="8"/>
  <c r="O1661" i="8"/>
  <c r="O1662" i="8"/>
  <c r="O1663" i="8"/>
  <c r="O1664" i="8"/>
  <c r="O1665" i="8"/>
  <c r="O1666" i="8"/>
  <c r="O1667" i="8"/>
  <c r="O1668" i="8"/>
  <c r="O1669" i="8"/>
  <c r="O1670" i="8"/>
  <c r="O1671" i="8"/>
  <c r="O1672" i="8"/>
  <c r="O1673" i="8"/>
  <c r="O1674" i="8"/>
  <c r="O1675" i="8"/>
  <c r="O1676" i="8"/>
  <c r="O1677" i="8"/>
  <c r="O1678" i="8"/>
  <c r="O1679" i="8"/>
  <c r="O1680" i="8"/>
  <c r="O1681" i="8"/>
  <c r="O1682" i="8"/>
  <c r="O1683" i="8"/>
  <c r="O1684" i="8"/>
  <c r="O1685" i="8"/>
  <c r="O1686" i="8"/>
  <c r="O1687" i="8"/>
  <c r="O1688" i="8"/>
  <c r="O1689" i="8"/>
  <c r="O1690" i="8"/>
  <c r="O1691" i="8"/>
  <c r="O1692" i="8"/>
  <c r="O1693" i="8"/>
  <c r="O1694" i="8"/>
  <c r="O1695" i="8"/>
  <c r="O1696" i="8"/>
  <c r="O1697" i="8"/>
  <c r="O1698" i="8"/>
  <c r="O1699" i="8"/>
  <c r="O1700" i="8"/>
  <c r="O1701" i="8"/>
  <c r="O1702" i="8"/>
  <c r="O1703" i="8"/>
  <c r="O1704" i="8"/>
  <c r="O1705" i="8"/>
  <c r="O1706" i="8"/>
  <c r="O1707" i="8"/>
  <c r="O1708" i="8"/>
  <c r="O1709" i="8"/>
  <c r="O1710" i="8"/>
  <c r="O1711" i="8"/>
  <c r="O1712" i="8"/>
  <c r="O1713" i="8"/>
  <c r="O1714" i="8"/>
  <c r="O1715" i="8"/>
  <c r="O1716" i="8"/>
  <c r="O1717" i="8"/>
  <c r="O1718" i="8"/>
  <c r="O1719" i="8"/>
  <c r="O1720" i="8"/>
  <c r="O1721" i="8"/>
  <c r="O1722" i="8"/>
  <c r="O1723" i="8"/>
  <c r="O1724" i="8"/>
  <c r="O1725" i="8"/>
  <c r="O1726" i="8"/>
  <c r="O1727" i="8"/>
  <c r="O1728" i="8"/>
  <c r="O1729" i="8"/>
  <c r="O1730" i="8"/>
  <c r="O1731" i="8"/>
  <c r="O1732" i="8"/>
  <c r="O1733" i="8"/>
  <c r="O1734" i="8"/>
  <c r="O1735" i="8"/>
  <c r="O1736" i="8"/>
  <c r="O1737" i="8"/>
  <c r="O1738" i="8"/>
  <c r="O1739" i="8"/>
  <c r="O1740" i="8"/>
  <c r="O1741" i="8"/>
  <c r="O1742" i="8"/>
  <c r="O1743" i="8"/>
  <c r="O1744" i="8"/>
  <c r="O1745" i="8"/>
  <c r="O1746" i="8"/>
  <c r="O1747" i="8"/>
  <c r="O1748" i="8"/>
  <c r="O1749" i="8"/>
  <c r="O1750" i="8"/>
  <c r="O1751" i="8"/>
  <c r="O1752" i="8"/>
  <c r="O1753" i="8"/>
  <c r="O1754" i="8"/>
  <c r="O1755" i="8"/>
  <c r="O1756" i="8"/>
  <c r="O1757" i="8"/>
  <c r="O1758" i="8"/>
  <c r="O1759" i="8"/>
  <c r="O1760" i="8"/>
  <c r="O1761" i="8"/>
  <c r="O1762" i="8"/>
  <c r="O1763" i="8"/>
  <c r="O1764" i="8"/>
  <c r="O1765" i="8"/>
  <c r="O1766" i="8"/>
  <c r="O1767" i="8"/>
  <c r="O1768" i="8"/>
  <c r="O1769" i="8"/>
  <c r="O1770" i="8"/>
  <c r="O1771" i="8"/>
  <c r="O1772" i="8"/>
  <c r="O1773" i="8"/>
  <c r="O1774" i="8"/>
  <c r="O1775" i="8"/>
  <c r="O1776" i="8"/>
  <c r="O1777" i="8"/>
  <c r="O1778" i="8"/>
  <c r="O1779" i="8"/>
  <c r="O1780" i="8"/>
  <c r="O1781" i="8"/>
  <c r="O1782" i="8"/>
  <c r="O1783" i="8"/>
  <c r="O1784" i="8"/>
  <c r="O1785" i="8"/>
  <c r="O1786" i="8"/>
  <c r="O1787" i="8"/>
  <c r="O1788" i="8"/>
  <c r="O1789" i="8"/>
  <c r="O1790" i="8"/>
  <c r="O1791" i="8"/>
  <c r="O1792" i="8"/>
  <c r="O1793" i="8"/>
  <c r="O1794" i="8"/>
  <c r="O1795" i="8"/>
  <c r="O1796" i="8"/>
  <c r="O1797" i="8"/>
  <c r="O1798" i="8"/>
  <c r="O1799" i="8"/>
  <c r="O1800" i="8"/>
  <c r="O1801" i="8"/>
  <c r="O1802" i="8"/>
  <c r="O1803" i="8"/>
  <c r="O1804" i="8"/>
  <c r="O1805" i="8"/>
  <c r="O1806" i="8"/>
  <c r="O1807" i="8"/>
  <c r="O1808" i="8"/>
  <c r="O1809" i="8"/>
  <c r="O1810" i="8"/>
  <c r="O1811" i="8"/>
  <c r="O1812" i="8"/>
  <c r="O1813" i="8"/>
  <c r="O1814" i="8"/>
  <c r="O1815" i="8"/>
  <c r="O1816" i="8"/>
  <c r="O1817" i="8"/>
  <c r="O1818" i="8"/>
  <c r="O1819" i="8"/>
  <c r="O1820" i="8"/>
  <c r="O1821" i="8"/>
  <c r="O1822" i="8"/>
  <c r="O1823" i="8"/>
  <c r="O1824" i="8"/>
  <c r="O1825" i="8"/>
  <c r="O1826" i="8"/>
  <c r="O1827" i="8"/>
  <c r="O1828" i="8"/>
  <c r="O1829" i="8"/>
  <c r="O1830" i="8"/>
  <c r="O1831" i="8"/>
  <c r="O1832" i="8"/>
  <c r="O1833" i="8"/>
  <c r="O1834" i="8"/>
  <c r="O1835" i="8"/>
  <c r="O1836" i="8"/>
  <c r="O1837" i="8"/>
  <c r="O1838" i="8"/>
  <c r="O1839" i="8"/>
  <c r="O1840" i="8"/>
  <c r="O1841" i="8"/>
  <c r="O1842" i="8"/>
  <c r="O1843" i="8"/>
  <c r="O1844" i="8"/>
  <c r="O1845" i="8"/>
  <c r="O1846" i="8"/>
  <c r="O1847" i="8"/>
  <c r="O1848" i="8"/>
  <c r="O1849" i="8"/>
  <c r="O1850" i="8"/>
  <c r="O1851" i="8"/>
  <c r="O1852" i="8"/>
  <c r="O1853" i="8"/>
  <c r="O1854" i="8"/>
  <c r="O1855" i="8"/>
  <c r="O1856" i="8"/>
  <c r="O1857" i="8"/>
  <c r="O1858" i="8"/>
  <c r="O1859" i="8"/>
  <c r="O1860" i="8"/>
  <c r="O1861" i="8"/>
  <c r="O1862" i="8"/>
  <c r="O1863" i="8"/>
  <c r="O1864" i="8"/>
  <c r="O1865" i="8"/>
  <c r="O1866" i="8"/>
  <c r="O1867" i="8"/>
  <c r="O1868" i="8"/>
  <c r="O1869" i="8"/>
  <c r="O1870" i="8"/>
  <c r="O1871" i="8"/>
  <c r="O1872" i="8"/>
  <c r="O1873" i="8"/>
  <c r="O1874" i="8"/>
  <c r="O1875" i="8"/>
  <c r="O1876" i="8"/>
  <c r="O1877" i="8"/>
  <c r="O1878" i="8"/>
  <c r="O1879" i="8"/>
  <c r="O1880" i="8"/>
  <c r="O1881" i="8"/>
  <c r="O1882" i="8"/>
  <c r="O1883" i="8"/>
  <c r="O1884" i="8"/>
  <c r="O1885" i="8"/>
  <c r="O1886" i="8"/>
  <c r="O1887" i="8"/>
  <c r="O1888" i="8"/>
  <c r="O1889" i="8"/>
  <c r="O1890" i="8"/>
  <c r="O1891" i="8"/>
  <c r="O1892" i="8"/>
  <c r="O1893" i="8"/>
  <c r="O1894" i="8"/>
  <c r="O1895" i="8"/>
  <c r="O1896" i="8"/>
  <c r="O1897" i="8"/>
  <c r="O1898" i="8"/>
  <c r="O1899" i="8"/>
  <c r="O1900" i="8"/>
  <c r="O1901" i="8"/>
  <c r="O1902" i="8"/>
  <c r="O1903" i="8"/>
  <c r="O1904" i="8"/>
  <c r="O1905" i="8"/>
  <c r="O1906" i="8"/>
  <c r="O1907" i="8"/>
  <c r="O1908" i="8"/>
  <c r="O1909" i="8"/>
  <c r="O1910" i="8"/>
  <c r="O1911" i="8"/>
  <c r="O1912" i="8"/>
  <c r="O1913" i="8"/>
  <c r="O1914" i="8"/>
  <c r="O1915" i="8"/>
  <c r="O1916" i="8"/>
  <c r="O1917" i="8"/>
  <c r="O1918" i="8"/>
  <c r="O1919" i="8"/>
  <c r="O1920" i="8"/>
  <c r="O1921" i="8"/>
  <c r="O1922" i="8"/>
  <c r="O1923" i="8"/>
  <c r="O1924" i="8"/>
  <c r="O1925" i="8"/>
  <c r="O1926" i="8"/>
  <c r="O1927" i="8"/>
  <c r="O1928" i="8"/>
  <c r="O1929" i="8"/>
  <c r="O1930" i="8"/>
  <c r="O1931" i="8"/>
  <c r="O1932" i="8"/>
  <c r="O1933" i="8"/>
  <c r="O1934" i="8"/>
  <c r="O1935" i="8"/>
  <c r="O1936" i="8"/>
  <c r="O1937" i="8"/>
  <c r="O1938" i="8"/>
  <c r="O1939" i="8"/>
  <c r="O1940" i="8"/>
  <c r="O1941" i="8"/>
  <c r="O1942" i="8"/>
  <c r="O1943" i="8"/>
  <c r="O1944" i="8"/>
  <c r="O1945" i="8"/>
  <c r="O1946" i="8"/>
  <c r="O1947" i="8"/>
  <c r="O1948" i="8"/>
  <c r="O1949" i="8"/>
  <c r="O1950" i="8"/>
  <c r="O1951" i="8"/>
  <c r="O1952" i="8"/>
  <c r="O1953" i="8"/>
  <c r="O1954" i="8"/>
  <c r="O1955" i="8"/>
  <c r="O1956" i="8"/>
  <c r="O1957" i="8"/>
  <c r="O1958" i="8"/>
  <c r="O1959" i="8"/>
  <c r="O1960" i="8"/>
  <c r="O1961" i="8"/>
  <c r="O1962" i="8"/>
  <c r="O1963" i="8"/>
  <c r="O1964" i="8"/>
  <c r="O1965" i="8"/>
  <c r="O1966" i="8"/>
  <c r="O1967" i="8"/>
  <c r="O1968" i="8"/>
  <c r="O1969" i="8"/>
  <c r="O1970" i="8"/>
  <c r="O1971" i="8"/>
  <c r="O1972" i="8"/>
  <c r="O1973" i="8"/>
  <c r="O1974" i="8"/>
  <c r="O1975" i="8"/>
  <c r="O1976" i="8"/>
  <c r="O1977" i="8"/>
  <c r="O1978" i="8"/>
  <c r="O1979" i="8"/>
  <c r="O1980" i="8"/>
  <c r="O1981" i="8"/>
  <c r="O1982" i="8"/>
  <c r="O1983" i="8"/>
  <c r="O1984" i="8"/>
  <c r="O1985" i="8"/>
  <c r="O1986" i="8"/>
  <c r="O1987" i="8"/>
  <c r="O1988" i="8"/>
  <c r="O1989" i="8"/>
  <c r="O1990" i="8"/>
  <c r="O1991" i="8"/>
  <c r="O1992" i="8"/>
  <c r="O1993" i="8"/>
  <c r="O1994" i="8"/>
  <c r="O1995" i="8"/>
  <c r="O1996" i="8"/>
  <c r="O1997" i="8"/>
  <c r="O1998" i="8"/>
  <c r="O1999" i="8"/>
  <c r="O2000" i="8"/>
  <c r="O2001" i="8"/>
  <c r="O2002" i="8"/>
  <c r="O2003" i="8"/>
  <c r="O2004" i="8"/>
  <c r="O2005" i="8"/>
  <c r="O2006" i="8"/>
  <c r="O2007" i="8"/>
  <c r="O2008" i="8"/>
  <c r="O2009" i="8"/>
  <c r="O2010" i="8"/>
  <c r="O2011" i="8"/>
  <c r="O2012" i="8"/>
  <c r="O2013" i="8"/>
  <c r="O2014" i="8"/>
  <c r="O2015" i="8"/>
  <c r="O2016" i="8"/>
  <c r="O2017" i="8"/>
  <c r="O2018" i="8"/>
  <c r="O2019" i="8"/>
  <c r="O2020" i="8"/>
  <c r="O2021" i="8"/>
  <c r="O2022" i="8"/>
  <c r="O2023" i="8"/>
  <c r="O2024" i="8"/>
  <c r="O2025" i="8"/>
  <c r="O2026" i="8"/>
  <c r="O2027" i="8"/>
  <c r="O2028" i="8"/>
  <c r="O2029" i="8"/>
  <c r="O2030" i="8"/>
  <c r="O2031" i="8"/>
  <c r="O2032" i="8"/>
  <c r="O2033" i="8"/>
  <c r="O2034" i="8"/>
  <c r="O2035" i="8"/>
  <c r="O2036" i="8"/>
  <c r="O2037" i="8"/>
  <c r="O2038" i="8"/>
  <c r="O2039" i="8"/>
  <c r="O2040" i="8"/>
  <c r="O2041" i="8"/>
  <c r="O2042" i="8"/>
  <c r="O2043" i="8"/>
  <c r="O2044" i="8"/>
  <c r="O2045" i="8"/>
  <c r="O2046" i="8"/>
  <c r="O2047" i="8"/>
  <c r="O2048" i="8"/>
  <c r="O2049" i="8"/>
  <c r="O2050" i="8"/>
  <c r="O2051" i="8"/>
  <c r="O2052" i="8"/>
  <c r="O2053" i="8"/>
  <c r="O2054" i="8"/>
  <c r="O2055" i="8"/>
  <c r="O2056" i="8"/>
  <c r="O2057" i="8"/>
  <c r="O2058" i="8"/>
  <c r="O2059" i="8"/>
  <c r="O2060" i="8"/>
  <c r="O2061" i="8"/>
  <c r="O2062" i="8"/>
  <c r="O2063" i="8"/>
  <c r="O2064" i="8"/>
  <c r="O2065" i="8"/>
  <c r="O2066" i="8"/>
  <c r="O2067" i="8"/>
  <c r="O2068" i="8"/>
  <c r="O2069" i="8"/>
  <c r="O2070" i="8"/>
  <c r="O2071" i="8"/>
  <c r="O2072" i="8"/>
  <c r="O2073" i="8"/>
  <c r="O2074" i="8"/>
  <c r="O2075" i="8"/>
  <c r="O2076" i="8"/>
  <c r="O2077" i="8"/>
  <c r="O2078" i="8"/>
  <c r="O2079" i="8"/>
  <c r="O2080" i="8"/>
  <c r="O2081" i="8"/>
  <c r="O2082" i="8"/>
  <c r="O2083" i="8"/>
  <c r="O2084" i="8"/>
  <c r="O2085" i="8"/>
  <c r="O2086" i="8"/>
  <c r="O2087" i="8"/>
  <c r="O2088" i="8"/>
  <c r="O2089" i="8"/>
  <c r="O2090" i="8"/>
  <c r="O2091" i="8"/>
  <c r="O2092" i="8"/>
  <c r="O2093" i="8"/>
  <c r="O2094" i="8"/>
  <c r="O2095" i="8"/>
  <c r="O2096" i="8"/>
  <c r="O2097" i="8"/>
  <c r="O2098" i="8"/>
  <c r="O2099" i="8"/>
  <c r="O2100" i="8"/>
  <c r="O2101" i="8"/>
  <c r="O2102" i="8"/>
  <c r="O2103" i="8"/>
  <c r="O2104" i="8"/>
  <c r="O2105" i="8"/>
  <c r="O2106" i="8"/>
  <c r="O2107" i="8"/>
  <c r="O2108" i="8"/>
  <c r="O2109" i="8"/>
  <c r="O2110" i="8"/>
  <c r="O2111" i="8"/>
  <c r="O2112" i="8"/>
  <c r="O2113" i="8"/>
  <c r="O2114" i="8"/>
  <c r="O2115" i="8"/>
  <c r="O2116" i="8"/>
  <c r="O2117" i="8"/>
  <c r="O2118" i="8"/>
  <c r="O2119" i="8"/>
  <c r="O2120" i="8"/>
  <c r="O2121" i="8"/>
  <c r="O2122" i="8"/>
  <c r="O2123" i="8"/>
  <c r="O2124" i="8"/>
  <c r="O2125" i="8"/>
  <c r="O2126" i="8"/>
  <c r="O2127" i="8"/>
  <c r="O2128" i="8"/>
  <c r="O2129" i="8"/>
  <c r="O2130" i="8"/>
  <c r="O2131" i="8"/>
  <c r="O2132" i="8"/>
  <c r="O2133" i="8"/>
  <c r="O2134" i="8"/>
  <c r="O2135" i="8"/>
  <c r="O2136" i="8"/>
  <c r="O2137" i="8"/>
  <c r="O2138" i="8"/>
  <c r="O2139" i="8"/>
  <c r="O2140" i="8"/>
  <c r="O2141" i="8"/>
  <c r="O2142" i="8"/>
  <c r="O2143" i="8"/>
  <c r="O2144" i="8"/>
  <c r="O2145" i="8"/>
  <c r="O2146" i="8"/>
  <c r="O2147" i="8"/>
  <c r="O2148" i="8"/>
  <c r="O2149" i="8"/>
  <c r="O2150" i="8"/>
  <c r="O2151" i="8"/>
  <c r="O2152" i="8"/>
  <c r="O2153" i="8"/>
  <c r="O2154" i="8"/>
  <c r="O2155" i="8"/>
  <c r="O2156" i="8"/>
  <c r="O2157" i="8"/>
  <c r="O2158" i="8"/>
  <c r="O2159" i="8"/>
  <c r="O2160" i="8"/>
  <c r="O2161" i="8"/>
  <c r="O2162" i="8"/>
  <c r="O2163" i="8"/>
  <c r="O2164" i="8"/>
  <c r="O2165" i="8"/>
  <c r="O2166" i="8"/>
  <c r="O2167" i="8"/>
  <c r="O2168" i="8"/>
  <c r="O2169" i="8"/>
  <c r="O2170" i="8"/>
  <c r="O2171" i="8"/>
  <c r="O2172" i="8"/>
  <c r="O2173" i="8"/>
  <c r="O2174" i="8"/>
  <c r="O2175" i="8"/>
  <c r="O2176" i="8"/>
  <c r="O2177" i="8"/>
  <c r="O2178" i="8"/>
  <c r="O2179" i="8"/>
  <c r="O2180" i="8"/>
  <c r="O2181" i="8"/>
  <c r="O2182" i="8"/>
  <c r="O2183" i="8"/>
  <c r="O2184" i="8"/>
  <c r="O2185" i="8"/>
  <c r="O2186" i="8"/>
  <c r="O2187" i="8"/>
  <c r="O2188" i="8"/>
  <c r="O2189" i="8"/>
  <c r="O2190" i="8"/>
  <c r="O2191" i="8"/>
  <c r="O2192" i="8"/>
  <c r="O2193" i="8"/>
  <c r="O2194" i="8"/>
  <c r="O2195" i="8"/>
  <c r="O2196" i="8"/>
  <c r="O2197" i="8"/>
  <c r="O2198" i="8"/>
  <c r="O2199" i="8"/>
  <c r="O2200" i="8"/>
  <c r="O2201" i="8"/>
  <c r="O2202" i="8"/>
  <c r="O2203" i="8"/>
  <c r="O2204" i="8"/>
  <c r="O2205" i="8"/>
  <c r="O2206" i="8"/>
  <c r="O2207" i="8"/>
  <c r="O2208" i="8"/>
  <c r="O2209" i="8"/>
  <c r="O2210" i="8"/>
  <c r="O2211" i="8"/>
  <c r="O2212" i="8"/>
  <c r="O2213" i="8"/>
  <c r="O2214" i="8"/>
  <c r="O2215" i="8"/>
  <c r="O2216" i="8"/>
  <c r="O2217" i="8"/>
  <c r="O2218" i="8"/>
  <c r="O2219" i="8"/>
  <c r="O2220" i="8"/>
  <c r="O2221" i="8"/>
  <c r="O2222" i="8"/>
  <c r="O2223" i="8"/>
  <c r="O2224" i="8"/>
  <c r="O2225" i="8"/>
  <c r="O2226" i="8"/>
  <c r="O2227" i="8"/>
  <c r="O2228" i="8"/>
  <c r="O2229" i="8"/>
  <c r="O2230" i="8"/>
  <c r="O2231" i="8"/>
  <c r="O2232" i="8"/>
  <c r="O2233" i="8"/>
  <c r="O2234" i="8"/>
  <c r="O2235" i="8"/>
  <c r="O2236" i="8"/>
  <c r="O2237" i="8"/>
  <c r="O2238" i="8"/>
  <c r="O2239" i="8"/>
  <c r="O2240" i="8"/>
  <c r="O2241" i="8"/>
  <c r="O2242" i="8"/>
  <c r="O2243" i="8"/>
  <c r="O2244" i="8"/>
  <c r="O2245" i="8"/>
  <c r="O2246" i="8"/>
  <c r="O2247" i="8"/>
  <c r="O2248" i="8"/>
  <c r="O2249" i="8"/>
  <c r="O2250" i="8"/>
  <c r="O2251" i="8"/>
  <c r="O2252" i="8"/>
  <c r="O2253" i="8"/>
  <c r="O2254" i="8"/>
  <c r="O2255" i="8"/>
  <c r="O2256" i="8"/>
  <c r="O2257" i="8"/>
  <c r="O2258" i="8"/>
  <c r="O2259" i="8"/>
  <c r="O2260" i="8"/>
  <c r="O2261" i="8"/>
  <c r="O2262" i="8"/>
  <c r="O2263" i="8"/>
  <c r="O2264" i="8"/>
  <c r="O2265" i="8"/>
  <c r="O2266" i="8"/>
  <c r="O2267" i="8"/>
  <c r="O2268" i="8"/>
  <c r="O2269" i="8"/>
  <c r="O2270" i="8"/>
  <c r="O2271" i="8"/>
  <c r="O2272" i="8"/>
  <c r="O2273" i="8"/>
  <c r="O2274" i="8"/>
  <c r="O2275" i="8"/>
  <c r="O2276" i="8"/>
  <c r="O2277" i="8"/>
  <c r="O2278" i="8"/>
  <c r="O2279" i="8"/>
  <c r="O2280" i="8"/>
  <c r="O2281" i="8"/>
  <c r="O2282" i="8"/>
  <c r="O2283" i="8"/>
  <c r="O2284" i="8"/>
  <c r="O2285" i="8"/>
  <c r="O2286" i="8"/>
  <c r="O2287" i="8"/>
  <c r="O2288" i="8"/>
  <c r="O2289" i="8"/>
  <c r="O2290" i="8"/>
  <c r="O2291" i="8"/>
  <c r="O2292" i="8"/>
  <c r="O2293" i="8"/>
  <c r="O2294" i="8"/>
  <c r="O2295" i="8"/>
  <c r="O2296" i="8"/>
  <c r="O2297" i="8"/>
  <c r="O2298" i="8"/>
  <c r="O2299" i="8"/>
  <c r="O2300" i="8"/>
  <c r="O2301" i="8"/>
  <c r="O2302" i="8"/>
  <c r="O2303" i="8"/>
  <c r="O2304" i="8"/>
  <c r="O2305" i="8"/>
  <c r="O2306" i="8"/>
  <c r="O2307" i="8"/>
  <c r="O2308" i="8"/>
  <c r="O2309" i="8"/>
  <c r="O2310" i="8"/>
  <c r="O2311" i="8"/>
  <c r="O2312" i="8"/>
  <c r="O2313" i="8"/>
  <c r="O2314" i="8"/>
  <c r="O2315" i="8"/>
  <c r="O2316" i="8"/>
  <c r="O2317" i="8"/>
  <c r="O2318" i="8"/>
  <c r="O2319" i="8"/>
  <c r="O2320" i="8"/>
  <c r="O2321" i="8"/>
  <c r="O2322" i="8"/>
  <c r="O2323" i="8"/>
  <c r="O2324" i="8"/>
  <c r="O2325" i="8"/>
  <c r="O2326" i="8"/>
  <c r="O2327" i="8"/>
  <c r="O2328" i="8"/>
  <c r="O2329" i="8"/>
  <c r="O2330" i="8"/>
  <c r="O2331" i="8"/>
  <c r="O2332" i="8"/>
  <c r="O2333" i="8"/>
  <c r="O2334" i="8"/>
  <c r="O2335" i="8"/>
  <c r="O2336" i="8"/>
  <c r="O2337" i="8"/>
  <c r="O2338" i="8"/>
  <c r="O2339" i="8"/>
  <c r="O2340" i="8"/>
  <c r="O2341" i="8"/>
  <c r="O2342" i="8"/>
  <c r="O2343" i="8"/>
  <c r="O2344" i="8"/>
  <c r="O2345" i="8"/>
  <c r="O2346" i="8"/>
  <c r="O2347" i="8"/>
  <c r="O2348" i="8"/>
  <c r="O2349" i="8"/>
  <c r="O2350" i="8"/>
  <c r="O2351" i="8"/>
  <c r="O2352" i="8"/>
  <c r="O2353" i="8"/>
  <c r="O2354" i="8"/>
  <c r="O2355" i="8"/>
  <c r="O2356" i="8"/>
  <c r="O2357" i="8"/>
  <c r="O2358" i="8"/>
  <c r="O2359" i="8"/>
  <c r="O2360" i="8"/>
  <c r="O2361" i="8"/>
  <c r="O2362" i="8"/>
  <c r="O2363" i="8"/>
  <c r="O2364" i="8"/>
  <c r="O2365" i="8"/>
  <c r="O2366" i="8"/>
  <c r="O2367" i="8"/>
  <c r="O2368" i="8"/>
  <c r="O2369" i="8"/>
  <c r="O2370" i="8"/>
  <c r="O2371" i="8"/>
  <c r="O2372" i="8"/>
  <c r="O2373" i="8"/>
  <c r="O2374" i="8"/>
  <c r="O2375" i="8"/>
  <c r="O2376" i="8"/>
  <c r="O2377" i="8"/>
  <c r="O2378" i="8"/>
  <c r="O2379" i="8"/>
  <c r="O2380" i="8"/>
  <c r="O2381" i="8"/>
  <c r="O2382" i="8"/>
  <c r="O2383" i="8"/>
  <c r="O2384" i="8"/>
  <c r="O2385" i="8"/>
  <c r="O2386" i="8"/>
  <c r="O2387" i="8"/>
  <c r="O2388" i="8"/>
  <c r="O2389" i="8"/>
  <c r="O2390" i="8"/>
  <c r="O2391" i="8"/>
  <c r="O2392" i="8"/>
  <c r="O2393" i="8"/>
  <c r="O2394" i="8"/>
  <c r="O2395" i="8"/>
  <c r="O2396" i="8"/>
  <c r="O2397" i="8"/>
  <c r="O2398" i="8"/>
  <c r="O2399" i="8"/>
  <c r="O2400" i="8"/>
  <c r="O2401" i="8"/>
  <c r="O2402" i="8"/>
  <c r="O2403" i="8"/>
  <c r="O2404" i="8"/>
  <c r="O2405" i="8"/>
  <c r="O2406" i="8"/>
  <c r="O2407" i="8"/>
  <c r="O2408" i="8"/>
  <c r="O2409" i="8"/>
  <c r="O2410" i="8"/>
  <c r="O2411" i="8"/>
  <c r="O2412" i="8"/>
  <c r="O2413" i="8"/>
  <c r="O2414" i="8"/>
  <c r="O2415" i="8"/>
  <c r="O2416" i="8"/>
  <c r="O2417" i="8"/>
  <c r="O2418" i="8"/>
  <c r="O2419" i="8"/>
  <c r="O2420" i="8"/>
  <c r="O2421" i="8"/>
  <c r="O2422" i="8"/>
  <c r="O2423" i="8"/>
  <c r="O2424" i="8"/>
  <c r="O2425" i="8"/>
  <c r="O2426" i="8"/>
  <c r="O2427" i="8"/>
  <c r="O2428" i="8"/>
  <c r="O2429" i="8"/>
  <c r="O2430" i="8"/>
  <c r="O2431" i="8"/>
  <c r="O2432" i="8"/>
  <c r="O2433" i="8"/>
  <c r="O2434" i="8"/>
  <c r="O2435" i="8"/>
  <c r="O2436" i="8"/>
  <c r="O2437" i="8"/>
  <c r="O2438" i="8"/>
  <c r="O2439" i="8"/>
  <c r="O2440" i="8"/>
  <c r="O2441" i="8"/>
  <c r="O2442" i="8"/>
  <c r="O2443" i="8"/>
  <c r="O2444" i="8"/>
  <c r="O2445" i="8"/>
  <c r="O2446" i="8"/>
  <c r="O2447" i="8"/>
  <c r="O2448" i="8"/>
  <c r="O2449" i="8"/>
  <c r="O2450" i="8"/>
  <c r="O2451" i="8"/>
  <c r="O2452" i="8"/>
  <c r="O2453" i="8"/>
  <c r="O2454" i="8"/>
  <c r="O2455" i="8"/>
  <c r="O2456" i="8"/>
  <c r="O2457" i="8"/>
  <c r="O2458" i="8"/>
  <c r="O2459" i="8"/>
  <c r="O2460" i="8"/>
  <c r="O2461" i="8"/>
  <c r="O2462" i="8"/>
  <c r="O2463" i="8"/>
  <c r="O2464" i="8"/>
  <c r="O2465" i="8"/>
  <c r="O2466" i="8"/>
  <c r="O2467" i="8"/>
  <c r="O2468" i="8"/>
  <c r="O2469" i="8"/>
  <c r="O2470" i="8"/>
  <c r="O2471" i="8"/>
  <c r="O2472" i="8"/>
  <c r="O2473" i="8"/>
  <c r="O2474" i="8"/>
  <c r="O2475" i="8"/>
  <c r="O2476" i="8"/>
  <c r="O2477" i="8"/>
  <c r="O2478" i="8"/>
  <c r="O2479" i="8"/>
  <c r="O2480" i="8"/>
  <c r="O2481" i="8"/>
  <c r="O2482" i="8"/>
  <c r="O2483" i="8"/>
  <c r="O2484" i="8"/>
  <c r="O2485" i="8"/>
  <c r="O2486" i="8"/>
  <c r="O2487" i="8"/>
  <c r="O2488" i="8"/>
  <c r="O2489" i="8"/>
  <c r="O2490" i="8"/>
  <c r="O2491" i="8"/>
  <c r="O2492" i="8"/>
  <c r="O2493" i="8"/>
  <c r="O2494" i="8"/>
  <c r="O2495" i="8"/>
  <c r="O2496" i="8"/>
  <c r="O2497" i="8"/>
  <c r="O2498" i="8"/>
  <c r="O2499" i="8"/>
  <c r="O2500" i="8"/>
  <c r="O2501" i="8"/>
  <c r="O2502" i="8"/>
  <c r="O2503" i="8"/>
  <c r="O2504" i="8"/>
  <c r="O2505" i="8"/>
  <c r="O2506" i="8"/>
  <c r="O2507" i="8"/>
  <c r="O2508" i="8"/>
  <c r="O2509" i="8"/>
  <c r="O2510" i="8"/>
  <c r="O2511" i="8"/>
  <c r="O2512" i="8"/>
  <c r="O2513" i="8"/>
  <c r="O2514" i="8"/>
  <c r="O2515" i="8"/>
  <c r="O2516" i="8"/>
  <c r="O2517" i="8"/>
  <c r="O2518" i="8"/>
  <c r="O2519" i="8"/>
  <c r="O2520" i="8"/>
  <c r="O2521" i="8"/>
  <c r="O2522" i="8"/>
  <c r="O2523" i="8"/>
  <c r="O2524" i="8"/>
  <c r="O2525" i="8"/>
  <c r="O2526" i="8"/>
  <c r="O2527" i="8"/>
  <c r="O2528" i="8"/>
  <c r="O2529" i="8"/>
  <c r="O2530" i="8"/>
  <c r="O2531" i="8"/>
  <c r="O2532" i="8"/>
  <c r="O2533" i="8"/>
  <c r="O2534" i="8"/>
  <c r="O2535" i="8"/>
  <c r="O2536" i="8"/>
  <c r="O2537" i="8"/>
  <c r="O2538" i="8"/>
  <c r="O2539" i="8"/>
  <c r="O2540" i="8"/>
  <c r="O2541" i="8"/>
  <c r="O2542" i="8"/>
  <c r="O2543" i="8"/>
  <c r="O2544" i="8"/>
  <c r="O2545" i="8"/>
  <c r="O2546" i="8"/>
  <c r="O2547" i="8"/>
  <c r="O2548" i="8"/>
  <c r="O2549" i="8"/>
  <c r="O2550" i="8"/>
  <c r="O2551" i="8"/>
  <c r="O2552" i="8"/>
  <c r="O2553" i="8"/>
  <c r="O2554" i="8"/>
  <c r="O2555" i="8"/>
  <c r="O2556" i="8"/>
  <c r="O2557" i="8"/>
  <c r="O2558" i="8"/>
  <c r="O2559" i="8"/>
  <c r="O2560" i="8"/>
  <c r="O2561" i="8"/>
  <c r="O2562" i="8"/>
  <c r="O2563" i="8"/>
  <c r="O2564" i="8"/>
  <c r="O2565" i="8"/>
  <c r="O2566" i="8"/>
  <c r="O2567" i="8"/>
  <c r="O2568" i="8"/>
  <c r="O2569" i="8"/>
  <c r="O2570" i="8"/>
  <c r="O2571" i="8"/>
  <c r="O2572" i="8"/>
  <c r="O2573" i="8"/>
  <c r="O2574" i="8"/>
  <c r="O2575" i="8"/>
  <c r="O2576" i="8"/>
  <c r="O2577" i="8"/>
  <c r="O2578" i="8"/>
  <c r="O2579" i="8"/>
  <c r="O2580" i="8"/>
  <c r="O2581" i="8"/>
  <c r="O2582" i="8"/>
  <c r="O2583" i="8"/>
  <c r="O2584" i="8"/>
  <c r="O2585" i="8"/>
  <c r="O2586" i="8"/>
  <c r="O2587" i="8"/>
  <c r="O2588" i="8"/>
  <c r="O2589" i="8"/>
  <c r="O2590" i="8"/>
  <c r="O2591" i="8"/>
  <c r="O2592" i="8"/>
  <c r="O2593" i="8"/>
  <c r="O2594" i="8"/>
  <c r="O2595" i="8"/>
  <c r="O2596" i="8"/>
  <c r="O2597" i="8"/>
  <c r="O2598" i="8"/>
  <c r="O2599" i="8"/>
  <c r="O2600" i="8"/>
  <c r="O2601" i="8"/>
  <c r="O2602" i="8"/>
  <c r="O2603" i="8"/>
  <c r="O2604" i="8"/>
  <c r="O2605" i="8"/>
  <c r="O2606" i="8"/>
  <c r="O2607" i="8"/>
  <c r="O2608" i="8"/>
  <c r="O2609" i="8"/>
  <c r="O2610" i="8"/>
  <c r="O2611" i="8"/>
  <c r="O2612" i="8"/>
  <c r="O2613" i="8"/>
  <c r="O2614" i="8"/>
  <c r="O2615" i="8"/>
  <c r="O2616" i="8"/>
  <c r="O2617" i="8"/>
  <c r="O2618" i="8"/>
  <c r="O2619" i="8"/>
  <c r="O2620" i="8"/>
  <c r="O2621" i="8"/>
  <c r="O2622" i="8"/>
  <c r="O2623" i="8"/>
  <c r="O2624" i="8"/>
  <c r="O2625" i="8"/>
  <c r="O2626" i="8"/>
  <c r="O2627" i="8"/>
  <c r="O2628" i="8"/>
  <c r="O2629" i="8"/>
  <c r="O2630" i="8"/>
  <c r="O2631" i="8"/>
  <c r="O2632" i="8"/>
  <c r="O2633" i="8"/>
  <c r="O2634" i="8"/>
  <c r="O2635" i="8"/>
  <c r="O2636" i="8"/>
  <c r="O2637" i="8"/>
  <c r="O2638" i="8"/>
  <c r="O2639" i="8"/>
  <c r="O2640" i="8"/>
  <c r="O2641" i="8"/>
  <c r="O2642" i="8"/>
  <c r="O2643" i="8"/>
  <c r="O2644" i="8"/>
  <c r="O2645" i="8"/>
  <c r="O2646" i="8"/>
  <c r="O2647" i="8"/>
  <c r="O2648" i="8"/>
  <c r="O2649" i="8"/>
  <c r="O2650" i="8"/>
  <c r="O2651" i="8"/>
  <c r="O2652" i="8"/>
  <c r="O2653" i="8"/>
  <c r="O2654" i="8"/>
  <c r="O2655" i="8"/>
  <c r="O2656" i="8"/>
  <c r="O2657" i="8"/>
  <c r="O2658" i="8"/>
  <c r="O2659" i="8"/>
  <c r="O2660" i="8"/>
  <c r="O2661" i="8"/>
  <c r="O2662" i="8"/>
  <c r="O2663" i="8"/>
  <c r="O2664" i="8"/>
  <c r="O2665" i="8"/>
  <c r="O2666" i="8"/>
  <c r="O2667" i="8"/>
  <c r="O2668" i="8"/>
  <c r="O2669" i="8"/>
  <c r="O2670" i="8"/>
  <c r="O2671" i="8"/>
  <c r="O2672" i="8"/>
  <c r="O2673" i="8"/>
  <c r="O2674" i="8"/>
  <c r="O2675" i="8"/>
  <c r="O2676" i="8"/>
  <c r="O2677" i="8"/>
  <c r="O2678" i="8"/>
  <c r="O2679" i="8"/>
  <c r="O2680" i="8"/>
  <c r="O2681" i="8"/>
  <c r="O2682" i="8"/>
  <c r="O2683" i="8"/>
  <c r="O2684" i="8"/>
  <c r="O2685" i="8"/>
  <c r="O2686" i="8"/>
  <c r="O2687" i="8"/>
  <c r="O2688" i="8"/>
  <c r="O2689" i="8"/>
  <c r="O2690" i="8"/>
  <c r="O2691" i="8"/>
  <c r="O2692" i="8"/>
  <c r="O2693" i="8"/>
  <c r="O2694" i="8"/>
  <c r="O2695" i="8"/>
  <c r="O2696" i="8"/>
  <c r="O2697" i="8"/>
  <c r="O2698" i="8"/>
  <c r="O2699" i="8"/>
  <c r="O2700" i="8"/>
  <c r="O2701" i="8"/>
  <c r="O2702" i="8"/>
  <c r="O2703" i="8"/>
  <c r="O2704" i="8"/>
  <c r="O2705" i="8"/>
  <c r="O2706" i="8"/>
  <c r="O2707" i="8"/>
  <c r="O2708" i="8"/>
  <c r="O2709" i="8"/>
  <c r="O2710" i="8"/>
  <c r="O2711" i="8"/>
  <c r="O2712" i="8"/>
  <c r="O2713" i="8"/>
  <c r="O2714" i="8"/>
  <c r="O2715" i="8"/>
  <c r="O2716" i="8"/>
  <c r="O2717" i="8"/>
  <c r="O2718" i="8"/>
  <c r="O2719" i="8"/>
  <c r="O2720" i="8"/>
  <c r="O2721" i="8"/>
  <c r="O2722" i="8"/>
  <c r="O2723" i="8"/>
  <c r="O2724" i="8"/>
  <c r="O2725" i="8"/>
  <c r="O2726" i="8"/>
  <c r="O2727" i="8"/>
  <c r="O2728" i="8"/>
  <c r="O2729" i="8"/>
  <c r="O2730" i="8"/>
  <c r="O2731" i="8"/>
  <c r="O2732" i="8"/>
  <c r="O2733" i="8"/>
  <c r="O7" i="22"/>
  <c r="O26" i="21"/>
  <c r="O29" i="22"/>
  <c r="O7" i="24" l="1"/>
  <c r="O9" i="24" s="1"/>
  <c r="V2175" i="8"/>
  <c r="V2172" i="8"/>
  <c r="V2167" i="8"/>
  <c r="V2164" i="8"/>
  <c r="V2158" i="8"/>
  <c r="V2154" i="8"/>
  <c r="V2151" i="8"/>
  <c r="V2144" i="8"/>
  <c r="V2140" i="8"/>
  <c r="V2137" i="8"/>
  <c r="V2111" i="8"/>
  <c r="V2103" i="8"/>
  <c r="AG2076" i="8"/>
  <c r="J2071" i="8"/>
  <c r="I2071" i="8"/>
  <c r="J2031" i="8"/>
  <c r="I2031" i="8"/>
  <c r="J2018" i="8"/>
  <c r="I2018" i="8"/>
  <c r="J2007" i="8"/>
  <c r="I2007" i="8"/>
  <c r="J1996" i="8"/>
  <c r="I1996" i="8"/>
  <c r="J1987" i="8"/>
  <c r="I1987" i="8"/>
  <c r="J1976" i="8"/>
  <c r="I1976" i="8"/>
  <c r="J1963" i="8"/>
  <c r="I1963" i="8"/>
  <c r="J1951" i="8"/>
  <c r="I1951" i="8"/>
  <c r="J1939" i="8"/>
  <c r="I1939" i="8"/>
  <c r="J1925" i="8"/>
  <c r="I1925" i="8"/>
  <c r="P1918" i="8"/>
  <c r="J1913" i="8"/>
  <c r="I1913" i="8"/>
  <c r="J1900" i="8"/>
  <c r="I1900" i="8"/>
  <c r="P1893" i="8"/>
  <c r="J1886" i="8"/>
  <c r="I1886" i="8"/>
  <c r="P1879" i="8"/>
  <c r="J1874" i="8"/>
  <c r="I1874" i="8"/>
  <c r="J1863" i="8"/>
  <c r="I1863" i="8"/>
  <c r="P1849" i="8"/>
  <c r="P1842" i="8"/>
  <c r="P1836" i="8"/>
  <c r="P1805" i="8"/>
  <c r="P1799" i="8"/>
  <c r="P1791" i="8"/>
  <c r="P1785" i="8"/>
  <c r="P1776" i="8"/>
  <c r="P1757" i="8"/>
  <c r="P1746" i="8"/>
  <c r="J2570" i="8" l="1"/>
  <c r="V1277" i="8"/>
  <c r="V1199" i="8"/>
  <c r="U1199" i="8"/>
  <c r="V1198" i="8"/>
  <c r="U1198" i="8"/>
  <c r="V1197" i="8"/>
  <c r="U1197" i="8"/>
  <c r="V1196" i="8"/>
  <c r="U1196" i="8"/>
  <c r="V1195" i="8"/>
  <c r="U1195" i="8"/>
  <c r="V865" i="8"/>
  <c r="V317" i="8"/>
  <c r="V316" i="8"/>
  <c r="V315" i="8"/>
  <c r="V313" i="8"/>
  <c r="V310" i="8"/>
  <c r="V306" i="8"/>
  <c r="V304" i="8"/>
  <c r="V296" i="8"/>
  <c r="V295" i="8"/>
  <c r="AD288" i="8"/>
  <c r="H287" i="8"/>
  <c r="H286" i="8"/>
  <c r="H285" i="8"/>
  <c r="P284" i="8"/>
  <c r="J284" i="8"/>
  <c r="H283" i="8"/>
  <c r="H282" i="8"/>
  <c r="H281" i="8"/>
  <c r="H280" i="8"/>
  <c r="L279" i="8"/>
  <c r="H279" i="8"/>
  <c r="L278" i="8"/>
  <c r="H278" i="8"/>
  <c r="H277" i="8"/>
  <c r="H276" i="8"/>
  <c r="H275" i="8"/>
  <c r="L274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J262" i="8"/>
  <c r="J261" i="8"/>
  <c r="H259" i="8"/>
  <c r="H258" i="8"/>
  <c r="J257" i="8"/>
  <c r="H255" i="8"/>
  <c r="H254" i="8"/>
  <c r="J253" i="8"/>
  <c r="H251" i="8"/>
  <c r="H249" i="8"/>
  <c r="J248" i="8"/>
  <c r="H246" i="8"/>
  <c r="J245" i="8"/>
  <c r="J244" i="8"/>
  <c r="J242" i="8"/>
  <c r="J241" i="8"/>
  <c r="J240" i="8"/>
  <c r="H238" i="8"/>
  <c r="V154" i="8"/>
  <c r="J130" i="8"/>
  <c r="J125" i="8"/>
  <c r="H101" i="8"/>
  <c r="H77" i="8"/>
  <c r="H55" i="8"/>
  <c r="H40" i="8"/>
  <c r="H35" i="8"/>
  <c r="AJ10" i="8"/>
  <c r="AI10" i="8"/>
  <c r="AB10" i="8"/>
  <c r="Y10" i="8"/>
  <c r="T10" i="8"/>
  <c r="S10" i="8"/>
  <c r="R10" i="8"/>
  <c r="O10" i="8"/>
  <c r="B8" i="18" l="1"/>
  <c r="B429" i="18"/>
  <c r="B7" i="17"/>
  <c r="P18" i="22"/>
  <c r="P38" i="22"/>
  <c r="P55" i="22"/>
  <c r="P46" i="22"/>
  <c r="P43" i="22"/>
  <c r="P48" i="22"/>
  <c r="P47" i="22"/>
  <c r="P44" i="22"/>
  <c r="P56" i="22"/>
  <c r="P16" i="22"/>
  <c r="P41" i="22"/>
  <c r="P21" i="22"/>
  <c r="P10" i="22"/>
  <c r="P20" i="22"/>
  <c r="P42" i="22"/>
  <c r="P53" i="22"/>
  <c r="P40" i="22"/>
  <c r="P51" i="22"/>
  <c r="P13" i="22"/>
  <c r="P15" i="22"/>
  <c r="P34" i="22"/>
  <c r="P22" i="22"/>
  <c r="P54" i="22"/>
  <c r="P50" i="22"/>
  <c r="P19" i="22"/>
  <c r="P49" i="22"/>
  <c r="P7" i="22"/>
  <c r="P45" i="22"/>
  <c r="P23" i="22"/>
  <c r="P31" i="22"/>
  <c r="P24" i="22"/>
  <c r="P11" i="22"/>
  <c r="P30" i="22"/>
  <c r="P33" i="22"/>
  <c r="P12" i="22"/>
  <c r="P14" i="22"/>
  <c r="P36" i="22"/>
  <c r="P32" i="22"/>
  <c r="P37" i="22"/>
  <c r="P57" i="22"/>
  <c r="P52" i="22"/>
  <c r="P11" i="24" l="1"/>
  <c r="P16" i="24"/>
  <c r="P7" i="24"/>
  <c r="P18" i="24"/>
  <c r="P17" i="24"/>
  <c r="P13" i="24"/>
  <c r="P35" i="22"/>
  <c r="P14" i="24" s="1"/>
  <c r="P39" i="22"/>
  <c r="P15" i="24" s="1"/>
  <c r="P29" i="22"/>
  <c r="P12" i="24" s="1"/>
  <c r="P17" i="22"/>
  <c r="P10" i="24" s="1"/>
  <c r="P8" i="22"/>
  <c r="P9" i="22" l="1"/>
  <c r="P8" i="24"/>
  <c r="P9" i="24" s="1"/>
  <c r="P19" i="24" s="1"/>
  <c r="AG24" i="20"/>
  <c r="AF24" i="20"/>
  <c r="D7" i="19"/>
  <c r="D10" i="19"/>
  <c r="AB1" i="8" l="1"/>
  <c r="Y1" i="8"/>
  <c r="T1" i="8"/>
  <c r="AJ1" i="8" s="1"/>
  <c r="S1" i="8"/>
  <c r="AI1" i="8" s="1"/>
  <c r="R1" i="8"/>
  <c r="O1" i="8"/>
  <c r="E510" i="17" l="1"/>
  <c r="D510" i="17"/>
  <c r="C510" i="17"/>
  <c r="B510" i="17"/>
  <c r="E499" i="17"/>
  <c r="D499" i="17"/>
  <c r="C499" i="17"/>
  <c r="B499" i="17"/>
  <c r="E498" i="17"/>
  <c r="D498" i="17"/>
  <c r="C498" i="17"/>
  <c r="B498" i="17"/>
  <c r="E497" i="17"/>
  <c r="D497" i="17"/>
  <c r="C497" i="17"/>
  <c r="B497" i="17"/>
  <c r="E496" i="17"/>
  <c r="D496" i="17"/>
  <c r="C496" i="17"/>
  <c r="B496" i="17"/>
  <c r="E494" i="17"/>
  <c r="D494" i="17"/>
  <c r="C494" i="17"/>
  <c r="B494" i="17"/>
  <c r="E493" i="17"/>
  <c r="D493" i="17"/>
  <c r="C493" i="17"/>
  <c r="B493" i="17"/>
  <c r="E492" i="17"/>
  <c r="D492" i="17"/>
  <c r="C492" i="17"/>
  <c r="B492" i="17"/>
  <c r="E491" i="17"/>
  <c r="D491" i="17"/>
  <c r="C491" i="17"/>
  <c r="B491" i="17"/>
  <c r="E489" i="17"/>
  <c r="D489" i="17"/>
  <c r="C489" i="17"/>
  <c r="B489" i="17"/>
  <c r="E488" i="17"/>
  <c r="D488" i="17"/>
  <c r="C488" i="17"/>
  <c r="B488" i="17"/>
  <c r="E487" i="17"/>
  <c r="D487" i="17"/>
  <c r="C487" i="17"/>
  <c r="B487" i="17"/>
  <c r="E486" i="17"/>
  <c r="D486" i="17"/>
  <c r="C486" i="17"/>
  <c r="B486" i="17"/>
  <c r="E484" i="17"/>
  <c r="D484" i="17"/>
  <c r="C484" i="17"/>
  <c r="B484" i="17"/>
  <c r="E483" i="17"/>
  <c r="D483" i="17"/>
  <c r="C483" i="17"/>
  <c r="B483" i="17"/>
  <c r="E482" i="17"/>
  <c r="D482" i="17"/>
  <c r="C482" i="17"/>
  <c r="B482" i="17"/>
  <c r="E481" i="17"/>
  <c r="D481" i="17"/>
  <c r="C481" i="17"/>
  <c r="B481" i="17"/>
  <c r="E479" i="17"/>
  <c r="D479" i="17"/>
  <c r="C479" i="17"/>
  <c r="B479" i="17"/>
  <c r="E468" i="17"/>
  <c r="D468" i="17"/>
  <c r="C468" i="17"/>
  <c r="B468" i="17"/>
  <c r="E467" i="17"/>
  <c r="D467" i="17"/>
  <c r="C467" i="17"/>
  <c r="B467" i="17"/>
  <c r="E466" i="17"/>
  <c r="D466" i="17"/>
  <c r="C466" i="17"/>
  <c r="B466" i="17"/>
  <c r="E465" i="17"/>
  <c r="D465" i="17"/>
  <c r="C465" i="17"/>
  <c r="B465" i="17"/>
  <c r="E463" i="17"/>
  <c r="D463" i="17"/>
  <c r="C463" i="17"/>
  <c r="B463" i="17"/>
  <c r="E462" i="17"/>
  <c r="D462" i="17"/>
  <c r="C462" i="17"/>
  <c r="B462" i="17"/>
  <c r="E461" i="17"/>
  <c r="D461" i="17"/>
  <c r="C461" i="17"/>
  <c r="B461" i="17"/>
  <c r="E460" i="17"/>
  <c r="D460" i="17"/>
  <c r="C460" i="17"/>
  <c r="B460" i="17"/>
  <c r="E458" i="17"/>
  <c r="D458" i="17"/>
  <c r="C458" i="17"/>
  <c r="B458" i="17"/>
  <c r="E457" i="17"/>
  <c r="D457" i="17"/>
  <c r="C457" i="17"/>
  <c r="B457" i="17"/>
  <c r="E456" i="17"/>
  <c r="D456" i="17"/>
  <c r="C456" i="17"/>
  <c r="B456" i="17"/>
  <c r="E455" i="17"/>
  <c r="D455" i="17"/>
  <c r="C455" i="17"/>
  <c r="B455" i="17"/>
  <c r="E453" i="17"/>
  <c r="D453" i="17"/>
  <c r="C453" i="17"/>
  <c r="B453" i="17"/>
  <c r="E452" i="17"/>
  <c r="D452" i="17"/>
  <c r="C452" i="17"/>
  <c r="B452" i="17"/>
  <c r="E451" i="17"/>
  <c r="D451" i="17"/>
  <c r="C451" i="17"/>
  <c r="B451" i="17"/>
  <c r="E450" i="17"/>
  <c r="D450" i="17"/>
  <c r="C450" i="17"/>
  <c r="B450" i="17"/>
  <c r="E448" i="17"/>
  <c r="D448" i="17"/>
  <c r="C448" i="17"/>
  <c r="B448" i="17"/>
  <c r="E435" i="17"/>
  <c r="D435" i="17"/>
  <c r="C435" i="17"/>
  <c r="B435" i="17"/>
  <c r="E434" i="17"/>
  <c r="D434" i="17"/>
  <c r="C434" i="17"/>
  <c r="B434" i="17"/>
  <c r="E432" i="17"/>
  <c r="D432" i="17"/>
  <c r="C432" i="17"/>
  <c r="B432" i="17"/>
  <c r="E431" i="17"/>
  <c r="D431" i="17"/>
  <c r="C431" i="17"/>
  <c r="B431" i="17"/>
  <c r="E430" i="17"/>
  <c r="D430" i="17"/>
  <c r="C430" i="17"/>
  <c r="B430" i="17"/>
  <c r="E429" i="17"/>
  <c r="D429" i="17"/>
  <c r="C429" i="17"/>
  <c r="B429" i="17"/>
  <c r="E427" i="17"/>
  <c r="D427" i="17"/>
  <c r="C427" i="17"/>
  <c r="B427" i="17"/>
  <c r="E426" i="17"/>
  <c r="D426" i="17"/>
  <c r="C426" i="17"/>
  <c r="B426" i="17"/>
  <c r="E425" i="17"/>
  <c r="D425" i="17"/>
  <c r="C425" i="17"/>
  <c r="B425" i="17"/>
  <c r="E424" i="17"/>
  <c r="D424" i="17"/>
  <c r="C424" i="17"/>
  <c r="B424" i="17"/>
  <c r="E422" i="17"/>
  <c r="D422" i="17"/>
  <c r="C422" i="17"/>
  <c r="B422" i="17"/>
  <c r="E421" i="17"/>
  <c r="D421" i="17"/>
  <c r="C421" i="17"/>
  <c r="B421" i="17"/>
  <c r="E420" i="17"/>
  <c r="D420" i="17"/>
  <c r="C420" i="17"/>
  <c r="B420" i="17"/>
  <c r="E419" i="17"/>
  <c r="D419" i="17"/>
  <c r="C419" i="17"/>
  <c r="B419" i="17"/>
  <c r="E417" i="17"/>
  <c r="D417" i="17"/>
  <c r="C417" i="17"/>
  <c r="B417" i="17"/>
  <c r="E405" i="17"/>
  <c r="D405" i="17"/>
  <c r="C405" i="17"/>
  <c r="B405" i="17"/>
  <c r="E404" i="17"/>
  <c r="D404" i="17"/>
  <c r="C404" i="17"/>
  <c r="B404" i="17"/>
  <c r="E403" i="17"/>
  <c r="D403" i="17"/>
  <c r="C403" i="17"/>
  <c r="B403" i="17"/>
  <c r="E402" i="17"/>
  <c r="D402" i="17"/>
  <c r="C402" i="17"/>
  <c r="B402" i="17"/>
  <c r="E400" i="17"/>
  <c r="D400" i="17"/>
  <c r="C400" i="17"/>
  <c r="B400" i="17"/>
  <c r="E399" i="17"/>
  <c r="D399" i="17"/>
  <c r="C399" i="17"/>
  <c r="B399" i="17"/>
  <c r="E398" i="17"/>
  <c r="D398" i="17"/>
  <c r="C398" i="17"/>
  <c r="B398" i="17"/>
  <c r="E397" i="17"/>
  <c r="D397" i="17"/>
  <c r="C397" i="17"/>
  <c r="B397" i="17"/>
  <c r="E395" i="17"/>
  <c r="D395" i="17"/>
  <c r="C395" i="17"/>
  <c r="B395" i="17"/>
  <c r="E394" i="17"/>
  <c r="D394" i="17"/>
  <c r="C394" i="17"/>
  <c r="B394" i="17"/>
  <c r="E393" i="17"/>
  <c r="D393" i="17"/>
  <c r="C393" i="17"/>
  <c r="B393" i="17"/>
  <c r="E392" i="17"/>
  <c r="D392" i="17"/>
  <c r="C392" i="17"/>
  <c r="B392" i="17"/>
  <c r="E390" i="17"/>
  <c r="D390" i="17"/>
  <c r="C390" i="17"/>
  <c r="B390" i="17"/>
  <c r="E389" i="17"/>
  <c r="D389" i="17"/>
  <c r="C389" i="17"/>
  <c r="B389" i="17"/>
  <c r="E388" i="17"/>
  <c r="D388" i="17"/>
  <c r="C388" i="17"/>
  <c r="B388" i="17"/>
  <c r="E387" i="17"/>
  <c r="D387" i="17"/>
  <c r="C387" i="17"/>
  <c r="B387" i="17"/>
  <c r="E385" i="17"/>
  <c r="D385" i="17"/>
  <c r="C385" i="17"/>
  <c r="B385" i="17"/>
  <c r="E372" i="17"/>
  <c r="D372" i="17"/>
  <c r="C372" i="17"/>
  <c r="B372" i="17"/>
  <c r="E371" i="17"/>
  <c r="D371" i="17"/>
  <c r="C371" i="17"/>
  <c r="B371" i="17"/>
  <c r="E370" i="17"/>
  <c r="D370" i="17"/>
  <c r="C370" i="17"/>
  <c r="B370" i="17"/>
  <c r="E369" i="17"/>
  <c r="D369" i="17"/>
  <c r="C369" i="17"/>
  <c r="B369" i="17"/>
  <c r="E367" i="17"/>
  <c r="D367" i="17"/>
  <c r="C367" i="17"/>
  <c r="B367" i="17"/>
  <c r="E366" i="17"/>
  <c r="D366" i="17"/>
  <c r="C366" i="17"/>
  <c r="B366" i="17"/>
  <c r="E365" i="17"/>
  <c r="D365" i="17"/>
  <c r="C365" i="17"/>
  <c r="B365" i="17"/>
  <c r="E364" i="17"/>
  <c r="D364" i="17"/>
  <c r="C364" i="17"/>
  <c r="B364" i="17"/>
  <c r="E362" i="17"/>
  <c r="D362" i="17"/>
  <c r="C362" i="17"/>
  <c r="B362" i="17"/>
  <c r="E361" i="17"/>
  <c r="D361" i="17"/>
  <c r="C361" i="17"/>
  <c r="B361" i="17"/>
  <c r="E360" i="17"/>
  <c r="D360" i="17"/>
  <c r="C360" i="17"/>
  <c r="B360" i="17"/>
  <c r="E359" i="17"/>
  <c r="D359" i="17"/>
  <c r="C359" i="17"/>
  <c r="B359" i="17"/>
  <c r="E357" i="17"/>
  <c r="D357" i="17"/>
  <c r="C357" i="17"/>
  <c r="B357" i="17"/>
  <c r="E356" i="17"/>
  <c r="D356" i="17"/>
  <c r="C356" i="17"/>
  <c r="B356" i="17"/>
  <c r="E355" i="17"/>
  <c r="D355" i="17"/>
  <c r="C355" i="17"/>
  <c r="B355" i="17"/>
  <c r="E354" i="17"/>
  <c r="D354" i="17"/>
  <c r="C354" i="17"/>
  <c r="B354" i="17"/>
  <c r="E352" i="17"/>
  <c r="D352" i="17"/>
  <c r="C352" i="17"/>
  <c r="B352" i="17"/>
  <c r="E340" i="17"/>
  <c r="D340" i="17"/>
  <c r="C340" i="17"/>
  <c r="B340" i="17"/>
  <c r="E339" i="17"/>
  <c r="D339" i="17"/>
  <c r="C339" i="17"/>
  <c r="B339" i="17"/>
  <c r="E338" i="17"/>
  <c r="D338" i="17"/>
  <c r="C338" i="17"/>
  <c r="B338" i="17"/>
  <c r="E337" i="17"/>
  <c r="D337" i="17"/>
  <c r="C337" i="17"/>
  <c r="B337" i="17"/>
  <c r="E335" i="17"/>
  <c r="D335" i="17"/>
  <c r="C335" i="17"/>
  <c r="B335" i="17"/>
  <c r="E334" i="17"/>
  <c r="D334" i="17"/>
  <c r="C334" i="17"/>
  <c r="B334" i="17"/>
  <c r="E333" i="17"/>
  <c r="D333" i="17"/>
  <c r="C333" i="17"/>
  <c r="B333" i="17"/>
  <c r="E332" i="17"/>
  <c r="D332" i="17"/>
  <c r="C332" i="17"/>
  <c r="B332" i="17"/>
  <c r="E330" i="17"/>
  <c r="D330" i="17"/>
  <c r="C330" i="17"/>
  <c r="B330" i="17"/>
  <c r="E329" i="17"/>
  <c r="D329" i="17"/>
  <c r="C329" i="17"/>
  <c r="B329" i="17"/>
  <c r="E328" i="17"/>
  <c r="D328" i="17"/>
  <c r="C328" i="17"/>
  <c r="B328" i="17"/>
  <c r="E327" i="17"/>
  <c r="D327" i="17"/>
  <c r="C327" i="17"/>
  <c r="B327" i="17"/>
  <c r="E325" i="17"/>
  <c r="D325" i="17"/>
  <c r="C325" i="17"/>
  <c r="B325" i="17"/>
  <c r="E324" i="17"/>
  <c r="D324" i="17"/>
  <c r="C324" i="17"/>
  <c r="B324" i="17"/>
  <c r="E323" i="17"/>
  <c r="D323" i="17"/>
  <c r="C323" i="17"/>
  <c r="B323" i="17"/>
  <c r="E322" i="17"/>
  <c r="D322" i="17"/>
  <c r="C322" i="17"/>
  <c r="B322" i="17"/>
  <c r="E320" i="17"/>
  <c r="D320" i="17"/>
  <c r="C320" i="17"/>
  <c r="B320" i="17"/>
  <c r="E308" i="17"/>
  <c r="D308" i="17"/>
  <c r="C308" i="17"/>
  <c r="B308" i="17"/>
  <c r="E307" i="17"/>
  <c r="D307" i="17"/>
  <c r="C307" i="17"/>
  <c r="B307" i="17"/>
  <c r="E306" i="17"/>
  <c r="D306" i="17"/>
  <c r="C306" i="17"/>
  <c r="B306" i="17"/>
  <c r="E305" i="17"/>
  <c r="D305" i="17"/>
  <c r="C305" i="17"/>
  <c r="B305" i="17"/>
  <c r="E303" i="17"/>
  <c r="D303" i="17"/>
  <c r="C303" i="17"/>
  <c r="B303" i="17"/>
  <c r="E302" i="17"/>
  <c r="D302" i="17"/>
  <c r="C302" i="17"/>
  <c r="B302" i="17"/>
  <c r="E301" i="17"/>
  <c r="D301" i="17"/>
  <c r="C301" i="17"/>
  <c r="B301" i="17"/>
  <c r="E300" i="17"/>
  <c r="D300" i="17"/>
  <c r="C300" i="17"/>
  <c r="B300" i="17"/>
  <c r="E298" i="17"/>
  <c r="D298" i="17"/>
  <c r="C298" i="17"/>
  <c r="B298" i="17"/>
  <c r="E297" i="17"/>
  <c r="D297" i="17"/>
  <c r="C297" i="17"/>
  <c r="B297" i="17"/>
  <c r="E296" i="17"/>
  <c r="D296" i="17"/>
  <c r="C296" i="17"/>
  <c r="B296" i="17"/>
  <c r="E295" i="17"/>
  <c r="D295" i="17"/>
  <c r="C295" i="17"/>
  <c r="B295" i="17"/>
  <c r="E293" i="17"/>
  <c r="D293" i="17"/>
  <c r="C293" i="17"/>
  <c r="B293" i="17"/>
  <c r="E292" i="17"/>
  <c r="D292" i="17"/>
  <c r="C292" i="17"/>
  <c r="B292" i="17"/>
  <c r="E291" i="17"/>
  <c r="D291" i="17"/>
  <c r="C291" i="17"/>
  <c r="B291" i="17"/>
  <c r="E290" i="17"/>
  <c r="D290" i="17"/>
  <c r="C290" i="17"/>
  <c r="B290" i="17"/>
  <c r="E288" i="17"/>
  <c r="D288" i="17"/>
  <c r="C288" i="17"/>
  <c r="B288" i="17"/>
  <c r="E277" i="17"/>
  <c r="D277" i="17"/>
  <c r="C277" i="17"/>
  <c r="B277" i="17"/>
  <c r="E276" i="17"/>
  <c r="D276" i="17"/>
  <c r="C276" i="17"/>
  <c r="B276" i="17"/>
  <c r="E275" i="17"/>
  <c r="D275" i="17"/>
  <c r="C275" i="17"/>
  <c r="B275" i="17"/>
  <c r="E274" i="17"/>
  <c r="D274" i="17"/>
  <c r="C274" i="17"/>
  <c r="B274" i="17"/>
  <c r="E272" i="17"/>
  <c r="D272" i="17"/>
  <c r="C272" i="17"/>
  <c r="B272" i="17"/>
  <c r="E271" i="17"/>
  <c r="D271" i="17"/>
  <c r="C271" i="17"/>
  <c r="B271" i="17"/>
  <c r="E270" i="17"/>
  <c r="D270" i="17"/>
  <c r="C270" i="17"/>
  <c r="B270" i="17"/>
  <c r="E269" i="17"/>
  <c r="D269" i="17"/>
  <c r="C269" i="17"/>
  <c r="B269" i="17"/>
  <c r="E267" i="17"/>
  <c r="D267" i="17"/>
  <c r="C267" i="17"/>
  <c r="B267" i="17"/>
  <c r="E266" i="17"/>
  <c r="D266" i="17"/>
  <c r="C266" i="17"/>
  <c r="B266" i="17"/>
  <c r="E265" i="17"/>
  <c r="D265" i="17"/>
  <c r="C265" i="17"/>
  <c r="B265" i="17"/>
  <c r="E264" i="17"/>
  <c r="D264" i="17"/>
  <c r="C264" i="17"/>
  <c r="B264" i="17"/>
  <c r="E262" i="17"/>
  <c r="D262" i="17"/>
  <c r="C262" i="17"/>
  <c r="B262" i="17"/>
  <c r="E261" i="17"/>
  <c r="D261" i="17"/>
  <c r="C261" i="17"/>
  <c r="B261" i="17"/>
  <c r="E260" i="17"/>
  <c r="D260" i="17"/>
  <c r="C260" i="17"/>
  <c r="B260" i="17"/>
  <c r="E259" i="17"/>
  <c r="D259" i="17"/>
  <c r="C259" i="17"/>
  <c r="B259" i="17"/>
  <c r="E257" i="17"/>
  <c r="D257" i="17"/>
  <c r="C257" i="17"/>
  <c r="B257" i="17"/>
  <c r="E246" i="17"/>
  <c r="D246" i="17"/>
  <c r="C246" i="17"/>
  <c r="B246" i="17"/>
  <c r="E245" i="17"/>
  <c r="D245" i="17"/>
  <c r="C245" i="17"/>
  <c r="B245" i="17"/>
  <c r="E244" i="17"/>
  <c r="D244" i="17"/>
  <c r="C244" i="17"/>
  <c r="B244" i="17"/>
  <c r="E243" i="17"/>
  <c r="D243" i="17"/>
  <c r="C243" i="17"/>
  <c r="B243" i="17"/>
  <c r="E241" i="17"/>
  <c r="D241" i="17"/>
  <c r="C241" i="17"/>
  <c r="B241" i="17"/>
  <c r="E240" i="17"/>
  <c r="D240" i="17"/>
  <c r="C240" i="17"/>
  <c r="B240" i="17"/>
  <c r="E239" i="17"/>
  <c r="D239" i="17"/>
  <c r="C239" i="17"/>
  <c r="B239" i="17"/>
  <c r="E238" i="17"/>
  <c r="D238" i="17"/>
  <c r="C238" i="17"/>
  <c r="B238" i="17"/>
  <c r="E236" i="17"/>
  <c r="D236" i="17"/>
  <c r="C236" i="17"/>
  <c r="B236" i="17"/>
  <c r="E235" i="17"/>
  <c r="D235" i="17"/>
  <c r="C235" i="17"/>
  <c r="B235" i="17"/>
  <c r="E234" i="17"/>
  <c r="D234" i="17"/>
  <c r="C234" i="17"/>
  <c r="B234" i="17"/>
  <c r="E233" i="17"/>
  <c r="D233" i="17"/>
  <c r="C233" i="17"/>
  <c r="B233" i="17"/>
  <c r="E231" i="17"/>
  <c r="D231" i="17"/>
  <c r="C231" i="17"/>
  <c r="B231" i="17"/>
  <c r="E230" i="17"/>
  <c r="D230" i="17"/>
  <c r="C230" i="17"/>
  <c r="B230" i="17"/>
  <c r="E229" i="17"/>
  <c r="D229" i="17"/>
  <c r="C229" i="17"/>
  <c r="B229" i="17"/>
  <c r="E228" i="17"/>
  <c r="D228" i="17"/>
  <c r="C228" i="17"/>
  <c r="B228" i="17"/>
  <c r="E226" i="17"/>
  <c r="D226" i="17"/>
  <c r="C226" i="17"/>
  <c r="B226" i="17"/>
  <c r="D215" i="17"/>
  <c r="C215" i="17"/>
  <c r="B215" i="17"/>
  <c r="D214" i="17"/>
  <c r="C214" i="17"/>
  <c r="B214" i="17"/>
  <c r="D213" i="17"/>
  <c r="C213" i="17"/>
  <c r="B213" i="17"/>
  <c r="D212" i="17"/>
  <c r="C212" i="17"/>
  <c r="B212" i="17"/>
  <c r="D210" i="17"/>
  <c r="C210" i="17"/>
  <c r="B210" i="17"/>
  <c r="D209" i="17"/>
  <c r="C209" i="17"/>
  <c r="B209" i="17"/>
  <c r="D208" i="17"/>
  <c r="C208" i="17"/>
  <c r="B208" i="17"/>
  <c r="D207" i="17"/>
  <c r="C207" i="17"/>
  <c r="B207" i="17"/>
  <c r="D205" i="17"/>
  <c r="C205" i="17"/>
  <c r="B205" i="17"/>
  <c r="D204" i="17"/>
  <c r="C204" i="17"/>
  <c r="B204" i="17"/>
  <c r="D203" i="17"/>
  <c r="C203" i="17"/>
  <c r="B203" i="17"/>
  <c r="D202" i="17"/>
  <c r="C202" i="17"/>
  <c r="B202" i="17"/>
  <c r="D200" i="17"/>
  <c r="C200" i="17"/>
  <c r="B200" i="17"/>
  <c r="D199" i="17"/>
  <c r="C199" i="17"/>
  <c r="B199" i="17"/>
  <c r="D198" i="17"/>
  <c r="C198" i="17"/>
  <c r="B198" i="17"/>
  <c r="D197" i="17"/>
  <c r="C197" i="17"/>
  <c r="B197" i="17"/>
  <c r="D195" i="17"/>
  <c r="C195" i="17"/>
  <c r="B195" i="17"/>
  <c r="D184" i="17"/>
  <c r="C184" i="17"/>
  <c r="B184" i="17"/>
  <c r="D183" i="17"/>
  <c r="C183" i="17"/>
  <c r="B183" i="17"/>
  <c r="D182" i="17"/>
  <c r="C182" i="17"/>
  <c r="B182" i="17"/>
  <c r="D181" i="17"/>
  <c r="C181" i="17"/>
  <c r="B181" i="17"/>
  <c r="D179" i="17"/>
  <c r="C179" i="17"/>
  <c r="B179" i="17"/>
  <c r="D178" i="17"/>
  <c r="C178" i="17"/>
  <c r="B178" i="17"/>
  <c r="D177" i="17"/>
  <c r="C177" i="17"/>
  <c r="B177" i="17"/>
  <c r="D176" i="17"/>
  <c r="C176" i="17"/>
  <c r="B176" i="17"/>
  <c r="D174" i="17"/>
  <c r="C174" i="17"/>
  <c r="B174" i="17"/>
  <c r="D173" i="17"/>
  <c r="C173" i="17"/>
  <c r="B173" i="17"/>
  <c r="D172" i="17"/>
  <c r="C172" i="17"/>
  <c r="B172" i="17"/>
  <c r="D171" i="17"/>
  <c r="C171" i="17"/>
  <c r="B171" i="17"/>
  <c r="D169" i="17"/>
  <c r="C169" i="17"/>
  <c r="B169" i="17"/>
  <c r="D168" i="17"/>
  <c r="C168" i="17"/>
  <c r="B168" i="17"/>
  <c r="D167" i="17"/>
  <c r="C167" i="17"/>
  <c r="B167" i="17"/>
  <c r="D166" i="17"/>
  <c r="C166" i="17"/>
  <c r="B166" i="17"/>
  <c r="D164" i="17"/>
  <c r="C164" i="17"/>
  <c r="B164" i="17"/>
  <c r="D153" i="17"/>
  <c r="C153" i="17"/>
  <c r="B153" i="17"/>
  <c r="D152" i="17"/>
  <c r="C152" i="17"/>
  <c r="B152" i="17"/>
  <c r="D151" i="17"/>
  <c r="C151" i="17"/>
  <c r="B151" i="17"/>
  <c r="D150" i="17"/>
  <c r="C150" i="17"/>
  <c r="B150" i="17"/>
  <c r="D148" i="17"/>
  <c r="C148" i="17"/>
  <c r="B148" i="17"/>
  <c r="D147" i="17"/>
  <c r="C147" i="17"/>
  <c r="B147" i="17"/>
  <c r="D146" i="17"/>
  <c r="C146" i="17"/>
  <c r="B146" i="17"/>
  <c r="D145" i="17"/>
  <c r="C145" i="17"/>
  <c r="B145" i="17"/>
  <c r="D143" i="17"/>
  <c r="C143" i="17"/>
  <c r="B143" i="17"/>
  <c r="D142" i="17"/>
  <c r="C142" i="17"/>
  <c r="B142" i="17"/>
  <c r="D141" i="17"/>
  <c r="C141" i="17"/>
  <c r="B141" i="17"/>
  <c r="D140" i="17"/>
  <c r="C140" i="17"/>
  <c r="B140" i="17"/>
  <c r="D138" i="17"/>
  <c r="C138" i="17"/>
  <c r="B138" i="17"/>
  <c r="D137" i="17"/>
  <c r="C137" i="17"/>
  <c r="B137" i="17"/>
  <c r="D136" i="17"/>
  <c r="C136" i="17"/>
  <c r="B136" i="17"/>
  <c r="D135" i="17"/>
  <c r="C135" i="17"/>
  <c r="B135" i="17"/>
  <c r="D133" i="17"/>
  <c r="C133" i="17"/>
  <c r="B133" i="17"/>
  <c r="D122" i="17"/>
  <c r="C122" i="17"/>
  <c r="B122" i="17"/>
  <c r="D121" i="17"/>
  <c r="C121" i="17"/>
  <c r="B121" i="17"/>
  <c r="D120" i="17"/>
  <c r="C120" i="17"/>
  <c r="B120" i="17"/>
  <c r="D119" i="17"/>
  <c r="C119" i="17"/>
  <c r="B119" i="17"/>
  <c r="D117" i="17"/>
  <c r="C117" i="17"/>
  <c r="B117" i="17"/>
  <c r="D116" i="17"/>
  <c r="C116" i="17"/>
  <c r="B116" i="17"/>
  <c r="D115" i="17"/>
  <c r="C115" i="17"/>
  <c r="B115" i="17"/>
  <c r="D114" i="17"/>
  <c r="C114" i="17"/>
  <c r="B114" i="17"/>
  <c r="D112" i="17"/>
  <c r="C112" i="17"/>
  <c r="B112" i="17"/>
  <c r="D111" i="17"/>
  <c r="C111" i="17"/>
  <c r="B111" i="17"/>
  <c r="D110" i="17"/>
  <c r="C110" i="17"/>
  <c r="B110" i="17"/>
  <c r="D109" i="17"/>
  <c r="C109" i="17"/>
  <c r="B109" i="17"/>
  <c r="D107" i="17"/>
  <c r="C107" i="17"/>
  <c r="B107" i="17"/>
  <c r="D106" i="17"/>
  <c r="C106" i="17"/>
  <c r="B106" i="17"/>
  <c r="D105" i="17"/>
  <c r="C105" i="17"/>
  <c r="B105" i="17"/>
  <c r="D104" i="17"/>
  <c r="C104" i="17"/>
  <c r="B104" i="17"/>
  <c r="D102" i="17"/>
  <c r="C102" i="17"/>
  <c r="B102" i="17"/>
  <c r="D90" i="17"/>
  <c r="C90" i="17"/>
  <c r="B90" i="17"/>
  <c r="D89" i="17"/>
  <c r="C89" i="17"/>
  <c r="B89" i="17"/>
  <c r="D88" i="17"/>
  <c r="C88" i="17"/>
  <c r="B88" i="17"/>
  <c r="D87" i="17"/>
  <c r="C87" i="17"/>
  <c r="B87" i="17"/>
  <c r="D85" i="17"/>
  <c r="C85" i="17"/>
  <c r="B85" i="17"/>
  <c r="D84" i="17"/>
  <c r="C84" i="17"/>
  <c r="B84" i="17"/>
  <c r="D83" i="17"/>
  <c r="C83" i="17"/>
  <c r="B83" i="17"/>
  <c r="D82" i="17"/>
  <c r="C82" i="17"/>
  <c r="B82" i="17"/>
  <c r="D80" i="17"/>
  <c r="C80" i="17"/>
  <c r="B80" i="17"/>
  <c r="D79" i="17"/>
  <c r="C79" i="17"/>
  <c r="B79" i="17"/>
  <c r="D78" i="17"/>
  <c r="C78" i="17"/>
  <c r="B78" i="17"/>
  <c r="D77" i="17"/>
  <c r="C77" i="17"/>
  <c r="B77" i="17"/>
  <c r="D75" i="17"/>
  <c r="C75" i="17"/>
  <c r="B75" i="17"/>
  <c r="D74" i="17"/>
  <c r="C74" i="17"/>
  <c r="B74" i="17"/>
  <c r="D73" i="17"/>
  <c r="C73" i="17"/>
  <c r="B73" i="17"/>
  <c r="D72" i="17"/>
  <c r="C72" i="17"/>
  <c r="B72" i="17"/>
  <c r="D70" i="17"/>
  <c r="C70" i="17"/>
  <c r="B70" i="17"/>
  <c r="D58" i="17"/>
  <c r="C58" i="17"/>
  <c r="B58" i="17"/>
  <c r="D57" i="17"/>
  <c r="C57" i="17"/>
  <c r="B57" i="17"/>
  <c r="D56" i="17"/>
  <c r="C56" i="17"/>
  <c r="B56" i="17"/>
  <c r="D55" i="17"/>
  <c r="C55" i="17"/>
  <c r="B55" i="17"/>
  <c r="D53" i="17"/>
  <c r="C53" i="17"/>
  <c r="B53" i="17"/>
  <c r="D52" i="17"/>
  <c r="C52" i="17"/>
  <c r="B52" i="17"/>
  <c r="D51" i="17"/>
  <c r="C51" i="17"/>
  <c r="B51" i="17"/>
  <c r="D50" i="17"/>
  <c r="C50" i="17"/>
  <c r="B50" i="17"/>
  <c r="D48" i="17"/>
  <c r="C48" i="17"/>
  <c r="B48" i="17"/>
  <c r="D47" i="17"/>
  <c r="C47" i="17"/>
  <c r="B47" i="17"/>
  <c r="D46" i="17"/>
  <c r="C46" i="17"/>
  <c r="B46" i="17"/>
  <c r="D45" i="17"/>
  <c r="C45" i="17"/>
  <c r="B45" i="17"/>
  <c r="D43" i="17"/>
  <c r="C43" i="17"/>
  <c r="B43" i="17"/>
  <c r="D42" i="17"/>
  <c r="C42" i="17"/>
  <c r="B42" i="17"/>
  <c r="D41" i="17"/>
  <c r="C41" i="17"/>
  <c r="B41" i="17"/>
  <c r="D40" i="17"/>
  <c r="C40" i="17"/>
  <c r="B40" i="17"/>
  <c r="D38" i="17"/>
  <c r="C38" i="17"/>
  <c r="B38" i="17"/>
  <c r="D27" i="17"/>
  <c r="C27" i="17"/>
  <c r="B27" i="17"/>
  <c r="D26" i="17"/>
  <c r="C26" i="17"/>
  <c r="B26" i="17"/>
  <c r="D25" i="17"/>
  <c r="C25" i="17"/>
  <c r="B25" i="17"/>
  <c r="D24" i="17"/>
  <c r="C24" i="17"/>
  <c r="B24" i="17"/>
  <c r="D22" i="17"/>
  <c r="C22" i="17"/>
  <c r="B22" i="17"/>
  <c r="D21" i="17"/>
  <c r="C21" i="17"/>
  <c r="B21" i="17"/>
  <c r="D20" i="17"/>
  <c r="C20" i="17"/>
  <c r="B20" i="17"/>
  <c r="D19" i="17"/>
  <c r="C19" i="17"/>
  <c r="B19" i="17"/>
  <c r="D17" i="17"/>
  <c r="C17" i="17"/>
  <c r="B17" i="17"/>
  <c r="D16" i="17"/>
  <c r="C16" i="17"/>
  <c r="B16" i="17"/>
  <c r="D15" i="17"/>
  <c r="C15" i="17"/>
  <c r="B15" i="17"/>
  <c r="D14" i="17"/>
  <c r="C14" i="17"/>
  <c r="B14" i="17"/>
  <c r="D12" i="17"/>
  <c r="C12" i="17"/>
  <c r="B12" i="17"/>
  <c r="D11" i="17"/>
  <c r="C11" i="17"/>
  <c r="B11" i="17"/>
  <c r="D10" i="17"/>
  <c r="C10" i="17"/>
  <c r="B10" i="17"/>
  <c r="D9" i="17"/>
  <c r="C9" i="17"/>
  <c r="B9" i="17"/>
  <c r="D7" i="17"/>
  <c r="C7" i="17"/>
  <c r="E513" i="18"/>
  <c r="D513" i="18"/>
  <c r="C513" i="18"/>
  <c r="B513" i="18"/>
  <c r="E512" i="18"/>
  <c r="D512" i="18"/>
  <c r="C512" i="18"/>
  <c r="B512" i="18"/>
  <c r="E511" i="18"/>
  <c r="D511" i="18"/>
  <c r="C511" i="18"/>
  <c r="B511" i="18"/>
  <c r="E510" i="18"/>
  <c r="D510" i="18"/>
  <c r="C510" i="18"/>
  <c r="B510" i="18"/>
  <c r="E508" i="18"/>
  <c r="D508" i="18"/>
  <c r="C508" i="18"/>
  <c r="B508" i="18"/>
  <c r="E507" i="18"/>
  <c r="D507" i="18"/>
  <c r="C507" i="18"/>
  <c r="B507" i="18"/>
  <c r="E506" i="18"/>
  <c r="D506" i="18"/>
  <c r="C506" i="18"/>
  <c r="B506" i="18"/>
  <c r="E505" i="18"/>
  <c r="D505" i="18"/>
  <c r="C505" i="18"/>
  <c r="B505" i="18"/>
  <c r="E503" i="18"/>
  <c r="D503" i="18"/>
  <c r="C503" i="18"/>
  <c r="B503" i="18"/>
  <c r="E502" i="18"/>
  <c r="D502" i="18"/>
  <c r="C502" i="18"/>
  <c r="B502" i="18"/>
  <c r="E501" i="18"/>
  <c r="D501" i="18"/>
  <c r="C501" i="18"/>
  <c r="B501" i="18"/>
  <c r="E500" i="18"/>
  <c r="D500" i="18"/>
  <c r="C500" i="18"/>
  <c r="B500" i="18"/>
  <c r="E498" i="18"/>
  <c r="D498" i="18"/>
  <c r="C498" i="18"/>
  <c r="B498" i="18"/>
  <c r="E497" i="18"/>
  <c r="D497" i="18"/>
  <c r="C497" i="18"/>
  <c r="B497" i="18"/>
  <c r="E496" i="18"/>
  <c r="D496" i="18"/>
  <c r="C496" i="18"/>
  <c r="B496" i="18"/>
  <c r="E495" i="18"/>
  <c r="D495" i="18"/>
  <c r="C495" i="18"/>
  <c r="B495" i="18"/>
  <c r="E493" i="18"/>
  <c r="D493" i="18"/>
  <c r="C493" i="18"/>
  <c r="B493" i="18"/>
  <c r="E481" i="18"/>
  <c r="D481" i="18"/>
  <c r="C481" i="18"/>
  <c r="B481" i="18"/>
  <c r="E480" i="18"/>
  <c r="D480" i="18"/>
  <c r="C480" i="18"/>
  <c r="B480" i="18"/>
  <c r="E479" i="18"/>
  <c r="D479" i="18"/>
  <c r="C479" i="18"/>
  <c r="B479" i="18"/>
  <c r="E478" i="18"/>
  <c r="D478" i="18"/>
  <c r="C478" i="18"/>
  <c r="B478" i="18"/>
  <c r="E476" i="18"/>
  <c r="D476" i="18"/>
  <c r="C476" i="18"/>
  <c r="B476" i="18"/>
  <c r="E475" i="18"/>
  <c r="D475" i="18"/>
  <c r="C475" i="18"/>
  <c r="B475" i="18"/>
  <c r="E474" i="18"/>
  <c r="D474" i="18"/>
  <c r="C474" i="18"/>
  <c r="B474" i="18"/>
  <c r="E473" i="18"/>
  <c r="D473" i="18"/>
  <c r="C473" i="18"/>
  <c r="B473" i="18"/>
  <c r="E471" i="18"/>
  <c r="D471" i="18"/>
  <c r="C471" i="18"/>
  <c r="B471" i="18"/>
  <c r="E470" i="18"/>
  <c r="D470" i="18"/>
  <c r="C470" i="18"/>
  <c r="B470" i="18"/>
  <c r="E469" i="18"/>
  <c r="D469" i="18"/>
  <c r="C469" i="18"/>
  <c r="B469" i="18"/>
  <c r="E468" i="18"/>
  <c r="D468" i="18"/>
  <c r="C468" i="18"/>
  <c r="B468" i="18"/>
  <c r="E466" i="18"/>
  <c r="D466" i="18"/>
  <c r="C466" i="18"/>
  <c r="B466" i="18"/>
  <c r="E465" i="18"/>
  <c r="D465" i="18"/>
  <c r="C465" i="18"/>
  <c r="B465" i="18"/>
  <c r="E464" i="18"/>
  <c r="D464" i="18"/>
  <c r="C464" i="18"/>
  <c r="B464" i="18"/>
  <c r="E463" i="18"/>
  <c r="D463" i="18"/>
  <c r="C463" i="18"/>
  <c r="B463" i="18"/>
  <c r="E461" i="18"/>
  <c r="D461" i="18"/>
  <c r="C461" i="18"/>
  <c r="B461" i="18"/>
  <c r="S449" i="18"/>
  <c r="R449" i="18"/>
  <c r="S448" i="18"/>
  <c r="R448" i="18"/>
  <c r="E448" i="18"/>
  <c r="D448" i="18"/>
  <c r="C448" i="18"/>
  <c r="B448" i="18"/>
  <c r="S447" i="18"/>
  <c r="R447" i="18"/>
  <c r="E447" i="18"/>
  <c r="D447" i="18"/>
  <c r="C447" i="18"/>
  <c r="B447" i="18"/>
  <c r="S446" i="18"/>
  <c r="R446" i="18"/>
  <c r="E446" i="18"/>
  <c r="D446" i="18"/>
  <c r="C446" i="18"/>
  <c r="B446" i="18"/>
  <c r="S444" i="18"/>
  <c r="R444" i="18"/>
  <c r="E444" i="18"/>
  <c r="D444" i="18"/>
  <c r="C444" i="18"/>
  <c r="B444" i="18"/>
  <c r="S443" i="18"/>
  <c r="R443" i="18"/>
  <c r="E443" i="18"/>
  <c r="D443" i="18"/>
  <c r="C443" i="18"/>
  <c r="B443" i="18"/>
  <c r="S442" i="18"/>
  <c r="R442" i="18"/>
  <c r="E442" i="18"/>
  <c r="D442" i="18"/>
  <c r="C442" i="18"/>
  <c r="B442" i="18"/>
  <c r="S441" i="18"/>
  <c r="R441" i="18"/>
  <c r="E441" i="18"/>
  <c r="D441" i="18"/>
  <c r="C441" i="18"/>
  <c r="B441" i="18"/>
  <c r="S439" i="18"/>
  <c r="R439" i="18"/>
  <c r="E439" i="18"/>
  <c r="D439" i="18"/>
  <c r="C439" i="18"/>
  <c r="B439" i="18"/>
  <c r="S438" i="18"/>
  <c r="R438" i="18"/>
  <c r="E438" i="18"/>
  <c r="D438" i="18"/>
  <c r="C438" i="18"/>
  <c r="B438" i="18"/>
  <c r="S437" i="18"/>
  <c r="R437" i="18"/>
  <c r="E437" i="18"/>
  <c r="D437" i="18"/>
  <c r="C437" i="18"/>
  <c r="B437" i="18"/>
  <c r="S436" i="18"/>
  <c r="R436" i="18"/>
  <c r="E436" i="18"/>
  <c r="D436" i="18"/>
  <c r="C436" i="18"/>
  <c r="B436" i="18"/>
  <c r="S434" i="18"/>
  <c r="R434" i="18"/>
  <c r="E434" i="18"/>
  <c r="D434" i="18"/>
  <c r="C434" i="18"/>
  <c r="B434" i="18"/>
  <c r="S433" i="18"/>
  <c r="R433" i="18"/>
  <c r="E433" i="18"/>
  <c r="D433" i="18"/>
  <c r="C433" i="18"/>
  <c r="B433" i="18"/>
  <c r="S432" i="18"/>
  <c r="R432" i="18"/>
  <c r="E432" i="18"/>
  <c r="D432" i="18"/>
  <c r="C432" i="18"/>
  <c r="B432" i="18"/>
  <c r="S431" i="18"/>
  <c r="R431" i="18"/>
  <c r="E431" i="18"/>
  <c r="D431" i="18"/>
  <c r="C431" i="18"/>
  <c r="B431" i="18"/>
  <c r="S429" i="18"/>
  <c r="R429" i="18"/>
  <c r="E429" i="18"/>
  <c r="D429" i="18"/>
  <c r="C429" i="18"/>
  <c r="E416" i="18"/>
  <c r="D416" i="18"/>
  <c r="C416" i="18"/>
  <c r="B416" i="18"/>
  <c r="E415" i="18"/>
  <c r="D415" i="18"/>
  <c r="C415" i="18"/>
  <c r="B415" i="18"/>
  <c r="E414" i="18"/>
  <c r="D414" i="18"/>
  <c r="C414" i="18"/>
  <c r="B414" i="18"/>
  <c r="E413" i="18"/>
  <c r="D413" i="18"/>
  <c r="C413" i="18"/>
  <c r="B413" i="18"/>
  <c r="E411" i="18"/>
  <c r="D411" i="18"/>
  <c r="C411" i="18"/>
  <c r="B411" i="18"/>
  <c r="E410" i="18"/>
  <c r="D410" i="18"/>
  <c r="C410" i="18"/>
  <c r="B410" i="18"/>
  <c r="E409" i="18"/>
  <c r="D409" i="18"/>
  <c r="C409" i="18"/>
  <c r="B409" i="18"/>
  <c r="E408" i="18"/>
  <c r="D408" i="18"/>
  <c r="C408" i="18"/>
  <c r="B408" i="18"/>
  <c r="E406" i="18"/>
  <c r="D406" i="18"/>
  <c r="C406" i="18"/>
  <c r="B406" i="18"/>
  <c r="E405" i="18"/>
  <c r="D405" i="18"/>
  <c r="C405" i="18"/>
  <c r="B405" i="18"/>
  <c r="E404" i="18"/>
  <c r="D404" i="18"/>
  <c r="C404" i="18"/>
  <c r="B404" i="18"/>
  <c r="E403" i="18"/>
  <c r="D403" i="18"/>
  <c r="C403" i="18"/>
  <c r="B403" i="18"/>
  <c r="E401" i="18"/>
  <c r="D401" i="18"/>
  <c r="C401" i="18"/>
  <c r="B401" i="18"/>
  <c r="E400" i="18"/>
  <c r="D400" i="18"/>
  <c r="C400" i="18"/>
  <c r="B400" i="18"/>
  <c r="E399" i="18"/>
  <c r="D399" i="18"/>
  <c r="C399" i="18"/>
  <c r="B399" i="18"/>
  <c r="E398" i="18"/>
  <c r="D398" i="18"/>
  <c r="C398" i="18"/>
  <c r="B398" i="18"/>
  <c r="E396" i="18"/>
  <c r="D396" i="18"/>
  <c r="C396" i="18"/>
  <c r="B396" i="18"/>
  <c r="E382" i="18"/>
  <c r="D382" i="18"/>
  <c r="C382" i="18"/>
  <c r="B382" i="18"/>
  <c r="E381" i="18"/>
  <c r="D381" i="18"/>
  <c r="C381" i="18"/>
  <c r="B381" i="18"/>
  <c r="E380" i="18"/>
  <c r="D380" i="18"/>
  <c r="C380" i="18"/>
  <c r="B380" i="18"/>
  <c r="E379" i="18"/>
  <c r="D379" i="18"/>
  <c r="C379" i="18"/>
  <c r="B379" i="18"/>
  <c r="E377" i="18"/>
  <c r="D377" i="18"/>
  <c r="C377" i="18"/>
  <c r="B377" i="18"/>
  <c r="E376" i="18"/>
  <c r="D376" i="18"/>
  <c r="C376" i="18"/>
  <c r="B376" i="18"/>
  <c r="E375" i="18"/>
  <c r="D375" i="18"/>
  <c r="C375" i="18"/>
  <c r="B375" i="18"/>
  <c r="E374" i="18"/>
  <c r="D374" i="18"/>
  <c r="C374" i="18"/>
  <c r="B374" i="18"/>
  <c r="E372" i="18"/>
  <c r="D372" i="18"/>
  <c r="C372" i="18"/>
  <c r="B372" i="18"/>
  <c r="E371" i="18"/>
  <c r="D371" i="18"/>
  <c r="C371" i="18"/>
  <c r="B371" i="18"/>
  <c r="E370" i="18"/>
  <c r="D370" i="18"/>
  <c r="C370" i="18"/>
  <c r="B370" i="18"/>
  <c r="E369" i="18"/>
  <c r="D369" i="18"/>
  <c r="C369" i="18"/>
  <c r="B369" i="18"/>
  <c r="E367" i="18"/>
  <c r="D367" i="18"/>
  <c r="C367" i="18"/>
  <c r="B367" i="18"/>
  <c r="E366" i="18"/>
  <c r="D366" i="18"/>
  <c r="C366" i="18"/>
  <c r="B366" i="18"/>
  <c r="E365" i="18"/>
  <c r="D365" i="18"/>
  <c r="C365" i="18"/>
  <c r="B365" i="18"/>
  <c r="E364" i="18"/>
  <c r="D364" i="18"/>
  <c r="C364" i="18"/>
  <c r="B364" i="18"/>
  <c r="E362" i="18"/>
  <c r="D362" i="18"/>
  <c r="C362" i="18"/>
  <c r="B362" i="18"/>
  <c r="E349" i="18"/>
  <c r="D349" i="18"/>
  <c r="C349" i="18"/>
  <c r="B349" i="18"/>
  <c r="E348" i="18"/>
  <c r="D348" i="18"/>
  <c r="C348" i="18"/>
  <c r="B348" i="18"/>
  <c r="E347" i="18"/>
  <c r="D347" i="18"/>
  <c r="C347" i="18"/>
  <c r="B347" i="18"/>
  <c r="E346" i="18"/>
  <c r="D346" i="18"/>
  <c r="C346" i="18"/>
  <c r="B346" i="18"/>
  <c r="E344" i="18"/>
  <c r="D344" i="18"/>
  <c r="C344" i="18"/>
  <c r="B344" i="18"/>
  <c r="E343" i="18"/>
  <c r="D343" i="18"/>
  <c r="C343" i="18"/>
  <c r="B343" i="18"/>
  <c r="E342" i="18"/>
  <c r="D342" i="18"/>
  <c r="C342" i="18"/>
  <c r="B342" i="18"/>
  <c r="E341" i="18"/>
  <c r="D341" i="18"/>
  <c r="C341" i="18"/>
  <c r="B341" i="18"/>
  <c r="E339" i="18"/>
  <c r="D339" i="18"/>
  <c r="C339" i="18"/>
  <c r="B339" i="18"/>
  <c r="E338" i="18"/>
  <c r="D338" i="18"/>
  <c r="C338" i="18"/>
  <c r="B338" i="18"/>
  <c r="E337" i="18"/>
  <c r="D337" i="18"/>
  <c r="C337" i="18"/>
  <c r="B337" i="18"/>
  <c r="E336" i="18"/>
  <c r="D336" i="18"/>
  <c r="C336" i="18"/>
  <c r="B336" i="18"/>
  <c r="E334" i="18"/>
  <c r="D334" i="18"/>
  <c r="C334" i="18"/>
  <c r="B334" i="18"/>
  <c r="E333" i="18"/>
  <c r="D333" i="18"/>
  <c r="C333" i="18"/>
  <c r="B333" i="18"/>
  <c r="E332" i="18"/>
  <c r="D332" i="18"/>
  <c r="C332" i="18"/>
  <c r="B332" i="18"/>
  <c r="E331" i="18"/>
  <c r="D331" i="18"/>
  <c r="C331" i="18"/>
  <c r="B331" i="18"/>
  <c r="E329" i="18"/>
  <c r="D329" i="18"/>
  <c r="C329" i="18"/>
  <c r="B329" i="18"/>
  <c r="E316" i="18"/>
  <c r="D316" i="18"/>
  <c r="C316" i="18"/>
  <c r="B316" i="18"/>
  <c r="E315" i="18"/>
  <c r="D315" i="18"/>
  <c r="C315" i="18"/>
  <c r="B315" i="18"/>
  <c r="E314" i="18"/>
  <c r="D314" i="18"/>
  <c r="C314" i="18"/>
  <c r="B314" i="18"/>
  <c r="E313" i="18"/>
  <c r="D313" i="18"/>
  <c r="C313" i="18"/>
  <c r="B313" i="18"/>
  <c r="E311" i="18"/>
  <c r="D311" i="18"/>
  <c r="C311" i="18"/>
  <c r="B311" i="18"/>
  <c r="E310" i="18"/>
  <c r="D310" i="18"/>
  <c r="C310" i="18"/>
  <c r="B310" i="18"/>
  <c r="E309" i="18"/>
  <c r="D309" i="18"/>
  <c r="C309" i="18"/>
  <c r="B309" i="18"/>
  <c r="E308" i="18"/>
  <c r="D308" i="18"/>
  <c r="C308" i="18"/>
  <c r="B308" i="18"/>
  <c r="E306" i="18"/>
  <c r="D306" i="18"/>
  <c r="C306" i="18"/>
  <c r="B306" i="18"/>
  <c r="E305" i="18"/>
  <c r="D305" i="18"/>
  <c r="C305" i="18"/>
  <c r="B305" i="18"/>
  <c r="E304" i="18"/>
  <c r="D304" i="18"/>
  <c r="C304" i="18"/>
  <c r="B304" i="18"/>
  <c r="E303" i="18"/>
  <c r="D303" i="18"/>
  <c r="C303" i="18"/>
  <c r="B303" i="18"/>
  <c r="E301" i="18"/>
  <c r="D301" i="18"/>
  <c r="C301" i="18"/>
  <c r="B301" i="18"/>
  <c r="E300" i="18"/>
  <c r="D300" i="18"/>
  <c r="C300" i="18"/>
  <c r="B300" i="18"/>
  <c r="E299" i="18"/>
  <c r="D299" i="18"/>
  <c r="C299" i="18"/>
  <c r="B299" i="18"/>
  <c r="E298" i="18"/>
  <c r="D298" i="18"/>
  <c r="C298" i="18"/>
  <c r="B298" i="18"/>
  <c r="E296" i="18"/>
  <c r="D296" i="18"/>
  <c r="C296" i="18"/>
  <c r="B296" i="18"/>
  <c r="E284" i="18"/>
  <c r="D284" i="18"/>
  <c r="C284" i="18"/>
  <c r="B284" i="18"/>
  <c r="E283" i="18"/>
  <c r="D283" i="18"/>
  <c r="C283" i="18"/>
  <c r="B283" i="18"/>
  <c r="E282" i="18"/>
  <c r="D282" i="18"/>
  <c r="C282" i="18"/>
  <c r="B282" i="18"/>
  <c r="E281" i="18"/>
  <c r="D281" i="18"/>
  <c r="C281" i="18"/>
  <c r="B281" i="18"/>
  <c r="E279" i="18"/>
  <c r="D279" i="18"/>
  <c r="C279" i="18"/>
  <c r="B279" i="18"/>
  <c r="E278" i="18"/>
  <c r="D278" i="18"/>
  <c r="C278" i="18"/>
  <c r="B278" i="18"/>
  <c r="E277" i="18"/>
  <c r="D277" i="18"/>
  <c r="C277" i="18"/>
  <c r="B277" i="18"/>
  <c r="E276" i="18"/>
  <c r="D276" i="18"/>
  <c r="C276" i="18"/>
  <c r="B276" i="18"/>
  <c r="E274" i="18"/>
  <c r="D274" i="18"/>
  <c r="C274" i="18"/>
  <c r="B274" i="18"/>
  <c r="E273" i="18"/>
  <c r="D273" i="18"/>
  <c r="C273" i="18"/>
  <c r="B273" i="18"/>
  <c r="E272" i="18"/>
  <c r="D272" i="18"/>
  <c r="C272" i="18"/>
  <c r="B272" i="18"/>
  <c r="E271" i="18"/>
  <c r="D271" i="18"/>
  <c r="C271" i="18"/>
  <c r="B271" i="18"/>
  <c r="E269" i="18"/>
  <c r="D269" i="18"/>
  <c r="C269" i="18"/>
  <c r="B269" i="18"/>
  <c r="E268" i="18"/>
  <c r="D268" i="18"/>
  <c r="C268" i="18"/>
  <c r="B268" i="18"/>
  <c r="E267" i="18"/>
  <c r="D267" i="18"/>
  <c r="C267" i="18"/>
  <c r="B267" i="18"/>
  <c r="E266" i="18"/>
  <c r="D266" i="18"/>
  <c r="C266" i="18"/>
  <c r="B266" i="18"/>
  <c r="E264" i="18"/>
  <c r="D264" i="18"/>
  <c r="C264" i="18"/>
  <c r="B264" i="18"/>
  <c r="S252" i="18"/>
  <c r="R252" i="18"/>
  <c r="E252" i="18"/>
  <c r="D252" i="18"/>
  <c r="C252" i="18"/>
  <c r="B252" i="18"/>
  <c r="S251" i="18"/>
  <c r="R251" i="18"/>
  <c r="E251" i="18"/>
  <c r="D251" i="18"/>
  <c r="C251" i="18"/>
  <c r="B251" i="18"/>
  <c r="S250" i="18"/>
  <c r="R250" i="18"/>
  <c r="E250" i="18"/>
  <c r="D250" i="18"/>
  <c r="C250" i="18"/>
  <c r="B250" i="18"/>
  <c r="S249" i="18"/>
  <c r="R249" i="18"/>
  <c r="E249" i="18"/>
  <c r="D249" i="18"/>
  <c r="C249" i="18"/>
  <c r="B249" i="18"/>
  <c r="S247" i="18"/>
  <c r="R247" i="18"/>
  <c r="E247" i="18"/>
  <c r="D247" i="18"/>
  <c r="C247" i="18"/>
  <c r="B247" i="18"/>
  <c r="S246" i="18"/>
  <c r="R246" i="18"/>
  <c r="E246" i="18"/>
  <c r="D246" i="18"/>
  <c r="C246" i="18"/>
  <c r="B246" i="18"/>
  <c r="S245" i="18"/>
  <c r="R245" i="18"/>
  <c r="E245" i="18"/>
  <c r="D245" i="18"/>
  <c r="C245" i="18"/>
  <c r="B245" i="18"/>
  <c r="S244" i="18"/>
  <c r="R244" i="18"/>
  <c r="E244" i="18"/>
  <c r="D244" i="18"/>
  <c r="C244" i="18"/>
  <c r="B244" i="18"/>
  <c r="S242" i="18"/>
  <c r="R242" i="18"/>
  <c r="E242" i="18"/>
  <c r="D242" i="18"/>
  <c r="C242" i="18"/>
  <c r="B242" i="18"/>
  <c r="S241" i="18"/>
  <c r="R241" i="18"/>
  <c r="E241" i="18"/>
  <c r="D241" i="18"/>
  <c r="C241" i="18"/>
  <c r="B241" i="18"/>
  <c r="S240" i="18"/>
  <c r="R240" i="18"/>
  <c r="E240" i="18"/>
  <c r="D240" i="18"/>
  <c r="C240" i="18"/>
  <c r="B240" i="18"/>
  <c r="S239" i="18"/>
  <c r="R239" i="18"/>
  <c r="E239" i="18"/>
  <c r="D239" i="18"/>
  <c r="C239" i="18"/>
  <c r="B239" i="18"/>
  <c r="S237" i="18"/>
  <c r="R237" i="18"/>
  <c r="E237" i="18"/>
  <c r="D237" i="18"/>
  <c r="C237" i="18"/>
  <c r="B237" i="18"/>
  <c r="S236" i="18"/>
  <c r="R236" i="18"/>
  <c r="E236" i="18"/>
  <c r="D236" i="18"/>
  <c r="C236" i="18"/>
  <c r="B236" i="18"/>
  <c r="S235" i="18"/>
  <c r="R235" i="18"/>
  <c r="E235" i="18"/>
  <c r="D235" i="18"/>
  <c r="C235" i="18"/>
  <c r="B235" i="18"/>
  <c r="S234" i="18"/>
  <c r="R234" i="18"/>
  <c r="E234" i="18"/>
  <c r="D234" i="18"/>
  <c r="C234" i="18"/>
  <c r="B234" i="18"/>
  <c r="S232" i="18"/>
  <c r="R232" i="18"/>
  <c r="E232" i="18"/>
  <c r="D232" i="18"/>
  <c r="C232" i="18"/>
  <c r="B232" i="18"/>
  <c r="D220" i="18"/>
  <c r="C220" i="18"/>
  <c r="B220" i="18"/>
  <c r="D219" i="18"/>
  <c r="C219" i="18"/>
  <c r="B219" i="18"/>
  <c r="D218" i="18"/>
  <c r="C218" i="18"/>
  <c r="B218" i="18"/>
  <c r="D217" i="18"/>
  <c r="C217" i="18"/>
  <c r="B217" i="18"/>
  <c r="D215" i="18"/>
  <c r="C215" i="18"/>
  <c r="B215" i="18"/>
  <c r="D214" i="18"/>
  <c r="C214" i="18"/>
  <c r="B214" i="18"/>
  <c r="D213" i="18"/>
  <c r="C213" i="18"/>
  <c r="B213" i="18"/>
  <c r="D212" i="18"/>
  <c r="C212" i="18"/>
  <c r="B212" i="18"/>
  <c r="D210" i="18"/>
  <c r="C210" i="18"/>
  <c r="B210" i="18"/>
  <c r="D209" i="18"/>
  <c r="C209" i="18"/>
  <c r="B209" i="18"/>
  <c r="D208" i="18"/>
  <c r="C208" i="18"/>
  <c r="B208" i="18"/>
  <c r="D207" i="18"/>
  <c r="C207" i="18"/>
  <c r="B207" i="18"/>
  <c r="D205" i="18"/>
  <c r="C205" i="18"/>
  <c r="B205" i="18"/>
  <c r="D204" i="18"/>
  <c r="C204" i="18"/>
  <c r="B204" i="18"/>
  <c r="D203" i="18"/>
  <c r="C203" i="18"/>
  <c r="B203" i="18"/>
  <c r="D202" i="18"/>
  <c r="C202" i="18"/>
  <c r="B202" i="18"/>
  <c r="D200" i="18"/>
  <c r="C200" i="18"/>
  <c r="B200" i="18"/>
  <c r="D188" i="18"/>
  <c r="C188" i="18"/>
  <c r="B188" i="18"/>
  <c r="D187" i="18"/>
  <c r="C187" i="18"/>
  <c r="B187" i="18"/>
  <c r="D186" i="18"/>
  <c r="C186" i="18"/>
  <c r="B186" i="18"/>
  <c r="D185" i="18"/>
  <c r="C185" i="18"/>
  <c r="B185" i="18"/>
  <c r="D183" i="18"/>
  <c r="C183" i="18"/>
  <c r="B183" i="18"/>
  <c r="D182" i="18"/>
  <c r="C182" i="18"/>
  <c r="B182" i="18"/>
  <c r="D181" i="18"/>
  <c r="C181" i="18"/>
  <c r="B181" i="18"/>
  <c r="D180" i="18"/>
  <c r="C180" i="18"/>
  <c r="B180" i="18"/>
  <c r="D178" i="18"/>
  <c r="C178" i="18"/>
  <c r="B178" i="18"/>
  <c r="D177" i="18"/>
  <c r="C177" i="18"/>
  <c r="B177" i="18"/>
  <c r="D176" i="18"/>
  <c r="C176" i="18"/>
  <c r="B176" i="18"/>
  <c r="D175" i="18"/>
  <c r="C175" i="18"/>
  <c r="B175" i="18"/>
  <c r="D173" i="18"/>
  <c r="C173" i="18"/>
  <c r="B173" i="18"/>
  <c r="D172" i="18"/>
  <c r="C172" i="18"/>
  <c r="B172" i="18"/>
  <c r="D171" i="18"/>
  <c r="C171" i="18"/>
  <c r="B171" i="18"/>
  <c r="D170" i="18"/>
  <c r="C170" i="18"/>
  <c r="B170" i="18"/>
  <c r="D168" i="18"/>
  <c r="C168" i="18"/>
  <c r="B168" i="18"/>
  <c r="D156" i="18"/>
  <c r="C156" i="18"/>
  <c r="B156" i="18"/>
  <c r="D155" i="18"/>
  <c r="C155" i="18"/>
  <c r="B155" i="18"/>
  <c r="D154" i="18"/>
  <c r="C154" i="18"/>
  <c r="B154" i="18"/>
  <c r="D153" i="18"/>
  <c r="C153" i="18"/>
  <c r="B153" i="18"/>
  <c r="D151" i="18"/>
  <c r="C151" i="18"/>
  <c r="B151" i="18"/>
  <c r="D150" i="18"/>
  <c r="C150" i="18"/>
  <c r="B150" i="18"/>
  <c r="D149" i="18"/>
  <c r="C149" i="18"/>
  <c r="B149" i="18"/>
  <c r="D148" i="18"/>
  <c r="C148" i="18"/>
  <c r="B148" i="18"/>
  <c r="D146" i="18"/>
  <c r="C146" i="18"/>
  <c r="B146" i="18"/>
  <c r="D145" i="18"/>
  <c r="C145" i="18"/>
  <c r="B145" i="18"/>
  <c r="D144" i="18"/>
  <c r="C144" i="18"/>
  <c r="B144" i="18"/>
  <c r="D143" i="18"/>
  <c r="C143" i="18"/>
  <c r="B143" i="18"/>
  <c r="D141" i="18"/>
  <c r="C141" i="18"/>
  <c r="B141" i="18"/>
  <c r="D140" i="18"/>
  <c r="C140" i="18"/>
  <c r="B140" i="18"/>
  <c r="D139" i="18"/>
  <c r="C139" i="18"/>
  <c r="B139" i="18"/>
  <c r="D138" i="18"/>
  <c r="C138" i="18"/>
  <c r="B138" i="18"/>
  <c r="D136" i="18"/>
  <c r="C136" i="18"/>
  <c r="B136" i="18"/>
  <c r="D124" i="18"/>
  <c r="C124" i="18"/>
  <c r="B124" i="18"/>
  <c r="D123" i="18"/>
  <c r="C123" i="18"/>
  <c r="B123" i="18"/>
  <c r="D122" i="18"/>
  <c r="C122" i="18"/>
  <c r="B122" i="18"/>
  <c r="D121" i="18"/>
  <c r="C121" i="18"/>
  <c r="B121" i="18"/>
  <c r="D119" i="18"/>
  <c r="C119" i="18"/>
  <c r="B119" i="18"/>
  <c r="D118" i="18"/>
  <c r="C118" i="18"/>
  <c r="B118" i="18"/>
  <c r="D117" i="18"/>
  <c r="C117" i="18"/>
  <c r="B117" i="18"/>
  <c r="D116" i="18"/>
  <c r="C116" i="18"/>
  <c r="B116" i="18"/>
  <c r="D114" i="18"/>
  <c r="C114" i="18"/>
  <c r="B114" i="18"/>
  <c r="D113" i="18"/>
  <c r="C113" i="18"/>
  <c r="B113" i="18"/>
  <c r="D112" i="18"/>
  <c r="C112" i="18"/>
  <c r="B112" i="18"/>
  <c r="D111" i="18"/>
  <c r="C111" i="18"/>
  <c r="B111" i="18"/>
  <c r="D109" i="18"/>
  <c r="C109" i="18"/>
  <c r="B109" i="18"/>
  <c r="D108" i="18"/>
  <c r="C108" i="18"/>
  <c r="B108" i="18"/>
  <c r="D107" i="18"/>
  <c r="C107" i="18"/>
  <c r="B107" i="18"/>
  <c r="D106" i="18"/>
  <c r="C106" i="18"/>
  <c r="B106" i="18"/>
  <c r="D104" i="18"/>
  <c r="C104" i="18"/>
  <c r="B104" i="18"/>
  <c r="D92" i="18"/>
  <c r="C92" i="18"/>
  <c r="B92" i="18"/>
  <c r="D91" i="18"/>
  <c r="C91" i="18"/>
  <c r="B91" i="18"/>
  <c r="D90" i="18"/>
  <c r="C90" i="18"/>
  <c r="B90" i="18"/>
  <c r="D89" i="18"/>
  <c r="C89" i="18"/>
  <c r="B89" i="18"/>
  <c r="D87" i="18"/>
  <c r="C87" i="18"/>
  <c r="B87" i="18"/>
  <c r="D86" i="18"/>
  <c r="C86" i="18"/>
  <c r="B86" i="18"/>
  <c r="D85" i="18"/>
  <c r="C85" i="18"/>
  <c r="B85" i="18"/>
  <c r="D84" i="18"/>
  <c r="C84" i="18"/>
  <c r="B84" i="18"/>
  <c r="D82" i="18"/>
  <c r="C82" i="18"/>
  <c r="B82" i="18"/>
  <c r="D81" i="18"/>
  <c r="C81" i="18"/>
  <c r="B81" i="18"/>
  <c r="D80" i="18"/>
  <c r="C80" i="18"/>
  <c r="B80" i="18"/>
  <c r="D79" i="18"/>
  <c r="C79" i="18"/>
  <c r="B79" i="18"/>
  <c r="D77" i="18"/>
  <c r="C77" i="18"/>
  <c r="B77" i="18"/>
  <c r="D76" i="18"/>
  <c r="C76" i="18"/>
  <c r="B76" i="18"/>
  <c r="D75" i="18"/>
  <c r="C75" i="18"/>
  <c r="B75" i="18"/>
  <c r="D74" i="18"/>
  <c r="C74" i="18"/>
  <c r="B74" i="18"/>
  <c r="D72" i="18"/>
  <c r="C72" i="18"/>
  <c r="B72" i="18"/>
  <c r="D60" i="18"/>
  <c r="C60" i="18"/>
  <c r="B60" i="18"/>
  <c r="D59" i="18"/>
  <c r="C59" i="18"/>
  <c r="B59" i="18"/>
  <c r="D58" i="18"/>
  <c r="C58" i="18"/>
  <c r="B58" i="18"/>
  <c r="D57" i="18"/>
  <c r="C57" i="18"/>
  <c r="B57" i="18"/>
  <c r="D55" i="18"/>
  <c r="C55" i="18"/>
  <c r="B55" i="18"/>
  <c r="D54" i="18"/>
  <c r="C54" i="18"/>
  <c r="B54" i="18"/>
  <c r="D53" i="18"/>
  <c r="C53" i="18"/>
  <c r="B53" i="18"/>
  <c r="D52" i="18"/>
  <c r="C52" i="18"/>
  <c r="B52" i="18"/>
  <c r="D50" i="18"/>
  <c r="C50" i="18"/>
  <c r="B50" i="18"/>
  <c r="D49" i="18"/>
  <c r="C49" i="18"/>
  <c r="B49" i="18"/>
  <c r="D48" i="18"/>
  <c r="C48" i="18"/>
  <c r="B48" i="18"/>
  <c r="D47" i="18"/>
  <c r="C47" i="18"/>
  <c r="B47" i="18"/>
  <c r="D45" i="18"/>
  <c r="C45" i="18"/>
  <c r="B45" i="18"/>
  <c r="D44" i="18"/>
  <c r="C44" i="18"/>
  <c r="B44" i="18"/>
  <c r="D43" i="18"/>
  <c r="C43" i="18"/>
  <c r="B43" i="18"/>
  <c r="D42" i="18"/>
  <c r="C42" i="18"/>
  <c r="B42" i="18"/>
  <c r="D40" i="18"/>
  <c r="C40" i="18"/>
  <c r="B40" i="18"/>
  <c r="S28" i="18"/>
  <c r="R28" i="18"/>
  <c r="D28" i="18"/>
  <c r="C28" i="18"/>
  <c r="B28" i="18"/>
  <c r="S27" i="18"/>
  <c r="R27" i="18"/>
  <c r="D27" i="18"/>
  <c r="C27" i="18"/>
  <c r="B27" i="18"/>
  <c r="S26" i="18"/>
  <c r="R26" i="18"/>
  <c r="D26" i="18"/>
  <c r="C26" i="18"/>
  <c r="B26" i="18"/>
  <c r="S25" i="18"/>
  <c r="R25" i="18"/>
  <c r="D25" i="18"/>
  <c r="C25" i="18"/>
  <c r="B25" i="18"/>
  <c r="S23" i="18"/>
  <c r="R23" i="18"/>
  <c r="D23" i="18"/>
  <c r="C23" i="18"/>
  <c r="B23" i="18"/>
  <c r="S22" i="18"/>
  <c r="R22" i="18"/>
  <c r="D22" i="18"/>
  <c r="C22" i="18"/>
  <c r="B22" i="18"/>
  <c r="S21" i="18"/>
  <c r="R21" i="18"/>
  <c r="D21" i="18"/>
  <c r="C21" i="18"/>
  <c r="B21" i="18"/>
  <c r="S20" i="18"/>
  <c r="R20" i="18"/>
  <c r="D20" i="18"/>
  <c r="C20" i="18"/>
  <c r="B20" i="18"/>
  <c r="S18" i="18"/>
  <c r="R18" i="18"/>
  <c r="D18" i="18"/>
  <c r="C18" i="18"/>
  <c r="B18" i="18"/>
  <c r="S17" i="18"/>
  <c r="R17" i="18"/>
  <c r="D17" i="18"/>
  <c r="C17" i="18"/>
  <c r="B17" i="18"/>
  <c r="S16" i="18"/>
  <c r="R16" i="18"/>
  <c r="D16" i="18"/>
  <c r="C16" i="18"/>
  <c r="B16" i="18"/>
  <c r="S15" i="18"/>
  <c r="R15" i="18"/>
  <c r="D15" i="18"/>
  <c r="C15" i="18"/>
  <c r="B15" i="18"/>
  <c r="S13" i="18"/>
  <c r="R13" i="18"/>
  <c r="D13" i="18"/>
  <c r="C13" i="18"/>
  <c r="B13" i="18"/>
  <c r="S12" i="18"/>
  <c r="R12" i="18"/>
  <c r="D12" i="18"/>
  <c r="C12" i="18"/>
  <c r="B12" i="18"/>
  <c r="S11" i="18"/>
  <c r="R11" i="18"/>
  <c r="D11" i="18"/>
  <c r="C11" i="18"/>
  <c r="B11" i="18"/>
  <c r="S10" i="18"/>
  <c r="R10" i="18"/>
  <c r="D10" i="18"/>
  <c r="C10" i="18"/>
  <c r="B10" i="18"/>
  <c r="S8" i="18"/>
  <c r="R8" i="18"/>
  <c r="D8" i="18"/>
  <c r="C8" i="18"/>
  <c r="O429" i="18" l="1"/>
  <c r="E75" i="17"/>
  <c r="E72" i="17"/>
  <c r="E82" i="17"/>
  <c r="E77" i="17"/>
  <c r="E87" i="17"/>
  <c r="E74" i="17"/>
  <c r="E84" i="17"/>
  <c r="E78" i="17"/>
  <c r="E88" i="17"/>
  <c r="E70" i="17"/>
  <c r="E80" i="17"/>
  <c r="E85" i="17"/>
  <c r="E79" i="17"/>
  <c r="E89" i="17"/>
  <c r="E73" i="17"/>
  <c r="E83" i="17"/>
  <c r="S47" i="14" l="1"/>
  <c r="R47" i="14"/>
  <c r="Q47" i="14"/>
  <c r="P47" i="14"/>
  <c r="O47" i="14"/>
  <c r="N47" i="14"/>
  <c r="L47" i="14"/>
  <c r="J91" i="14" s="1"/>
  <c r="J112" i="14" s="1"/>
  <c r="I47" i="14"/>
  <c r="I91" i="14" s="1"/>
  <c r="I112" i="14" s="1"/>
  <c r="H47" i="14"/>
  <c r="G47" i="14"/>
  <c r="F47" i="14"/>
  <c r="E47" i="14"/>
  <c r="D47" i="14"/>
  <c r="C47" i="14"/>
  <c r="B47" i="14"/>
  <c r="S46" i="14"/>
  <c r="R46" i="14"/>
  <c r="Q46" i="14"/>
  <c r="P46" i="14"/>
  <c r="O46" i="14"/>
  <c r="N46" i="14"/>
  <c r="L46" i="14"/>
  <c r="J90" i="14" s="1"/>
  <c r="J111" i="14" s="1"/>
  <c r="I46" i="14"/>
  <c r="I90" i="14" s="1"/>
  <c r="I111" i="14" s="1"/>
  <c r="H46" i="14"/>
  <c r="H90" i="14" s="1"/>
  <c r="H111" i="14" s="1"/>
  <c r="G46" i="14"/>
  <c r="F46" i="14"/>
  <c r="E46" i="14"/>
  <c r="D46" i="14"/>
  <c r="C46" i="14"/>
  <c r="B46" i="14"/>
  <c r="S45" i="14"/>
  <c r="R45" i="14"/>
  <c r="Q45" i="14"/>
  <c r="P45" i="14"/>
  <c r="O45" i="14"/>
  <c r="N45" i="14"/>
  <c r="L45" i="14"/>
  <c r="J89" i="14" s="1"/>
  <c r="I45" i="14"/>
  <c r="I89" i="14" s="1"/>
  <c r="H45" i="14"/>
  <c r="H89" i="14" s="1"/>
  <c r="H110" i="14" s="1"/>
  <c r="G45" i="14"/>
  <c r="F45" i="14"/>
  <c r="E45" i="14"/>
  <c r="D45" i="14"/>
  <c r="C45" i="14"/>
  <c r="B45" i="14"/>
  <c r="S44" i="14"/>
  <c r="R44" i="14"/>
  <c r="Q44" i="14"/>
  <c r="P44" i="14"/>
  <c r="O44" i="14"/>
  <c r="N44" i="14"/>
  <c r="L44" i="14"/>
  <c r="J88" i="14" s="1"/>
  <c r="J109" i="14" s="1"/>
  <c r="I44" i="14"/>
  <c r="I88" i="14" s="1"/>
  <c r="I109" i="14" s="1"/>
  <c r="H44" i="14"/>
  <c r="H88" i="14" s="1"/>
  <c r="H109" i="14" s="1"/>
  <c r="G44" i="14"/>
  <c r="F44" i="14"/>
  <c r="E44" i="14"/>
  <c r="D44" i="14"/>
  <c r="C44" i="14"/>
  <c r="B44" i="14"/>
  <c r="S43" i="14"/>
  <c r="R43" i="14"/>
  <c r="Q43" i="14"/>
  <c r="P43" i="14"/>
  <c r="O43" i="14"/>
  <c r="N43" i="14"/>
  <c r="L43" i="14"/>
  <c r="J87" i="14" s="1"/>
  <c r="J108" i="14" s="1"/>
  <c r="I43" i="14"/>
  <c r="H43" i="14"/>
  <c r="H87" i="14" s="1"/>
  <c r="H108" i="14" s="1"/>
  <c r="G43" i="14"/>
  <c r="F43" i="14"/>
  <c r="E43" i="14"/>
  <c r="D43" i="14"/>
  <c r="C43" i="14"/>
  <c r="B43" i="14"/>
  <c r="S42" i="14"/>
  <c r="R42" i="14"/>
  <c r="Q42" i="14"/>
  <c r="P42" i="14"/>
  <c r="O42" i="14"/>
  <c r="N42" i="14"/>
  <c r="L42" i="14"/>
  <c r="J86" i="14" s="1"/>
  <c r="J107" i="14" s="1"/>
  <c r="I42" i="14"/>
  <c r="I86" i="14" s="1"/>
  <c r="I107" i="14" s="1"/>
  <c r="H42" i="14"/>
  <c r="H86" i="14" s="1"/>
  <c r="H107" i="14" s="1"/>
  <c r="G42" i="14"/>
  <c r="F42" i="14"/>
  <c r="E42" i="14"/>
  <c r="D42" i="14"/>
  <c r="C42" i="14"/>
  <c r="B42" i="14"/>
  <c r="S41" i="14"/>
  <c r="R41" i="14"/>
  <c r="Q41" i="14"/>
  <c r="P41" i="14"/>
  <c r="O41" i="14"/>
  <c r="N41" i="14"/>
  <c r="L41" i="14"/>
  <c r="I41" i="14"/>
  <c r="I85" i="14" s="1"/>
  <c r="H41" i="14"/>
  <c r="H85" i="14" s="1"/>
  <c r="H106" i="14" s="1"/>
  <c r="G41" i="14"/>
  <c r="F41" i="14"/>
  <c r="E41" i="14"/>
  <c r="D41" i="14"/>
  <c r="C41" i="14"/>
  <c r="B41" i="14"/>
  <c r="S40" i="14"/>
  <c r="R40" i="14"/>
  <c r="Q40" i="14"/>
  <c r="P40" i="14"/>
  <c r="O40" i="14"/>
  <c r="N40" i="14"/>
  <c r="L40" i="14"/>
  <c r="J84" i="14" s="1"/>
  <c r="J105" i="14" s="1"/>
  <c r="I40" i="14"/>
  <c r="H40" i="14"/>
  <c r="H84" i="14" s="1"/>
  <c r="H105" i="14" s="1"/>
  <c r="G40" i="14"/>
  <c r="F40" i="14"/>
  <c r="E40" i="14"/>
  <c r="D40" i="14"/>
  <c r="C40" i="14"/>
  <c r="B40" i="14"/>
  <c r="S39" i="14"/>
  <c r="R39" i="14"/>
  <c r="Q39" i="14"/>
  <c r="P39" i="14"/>
  <c r="O39" i="14"/>
  <c r="N39" i="14"/>
  <c r="L39" i="14"/>
  <c r="J83" i="14" s="1"/>
  <c r="J104" i="14" s="1"/>
  <c r="I39" i="14"/>
  <c r="I83" i="14" s="1"/>
  <c r="H39" i="14"/>
  <c r="G39" i="14"/>
  <c r="F39" i="14"/>
  <c r="E39" i="14"/>
  <c r="D39" i="14"/>
  <c r="C39" i="14"/>
  <c r="B39" i="14"/>
  <c r="S38" i="14"/>
  <c r="R38" i="14"/>
  <c r="Q38" i="14"/>
  <c r="P38" i="14"/>
  <c r="O38" i="14"/>
  <c r="N38" i="14"/>
  <c r="L38" i="14"/>
  <c r="J82" i="14" s="1"/>
  <c r="J103" i="14" s="1"/>
  <c r="I38" i="14"/>
  <c r="I82" i="14" s="1"/>
  <c r="I103" i="14" s="1"/>
  <c r="H38" i="14"/>
  <c r="H82" i="14" s="1"/>
  <c r="H103" i="14" s="1"/>
  <c r="G38" i="14"/>
  <c r="F38" i="14"/>
  <c r="E38" i="14"/>
  <c r="D38" i="14"/>
  <c r="C38" i="14"/>
  <c r="B38" i="14"/>
  <c r="S37" i="14"/>
  <c r="R37" i="14"/>
  <c r="Q37" i="14"/>
  <c r="P37" i="14"/>
  <c r="O37" i="14"/>
  <c r="N37" i="14"/>
  <c r="L37" i="14"/>
  <c r="J81" i="14" s="1"/>
  <c r="J102" i="14" s="1"/>
  <c r="I37" i="14"/>
  <c r="I81" i="14" s="1"/>
  <c r="I102" i="14" s="1"/>
  <c r="H37" i="14"/>
  <c r="H81" i="14" s="1"/>
  <c r="H102" i="14" s="1"/>
  <c r="G37" i="14"/>
  <c r="F37" i="14"/>
  <c r="E37" i="14"/>
  <c r="D37" i="14"/>
  <c r="C37" i="14"/>
  <c r="B37" i="14"/>
  <c r="S36" i="14"/>
  <c r="R36" i="14"/>
  <c r="Q36" i="14"/>
  <c r="P36" i="14"/>
  <c r="O36" i="14"/>
  <c r="N36" i="14"/>
  <c r="L36" i="14"/>
  <c r="J80" i="14" s="1"/>
  <c r="J101" i="14" s="1"/>
  <c r="I36" i="14"/>
  <c r="I80" i="14" s="1"/>
  <c r="I101" i="14" s="1"/>
  <c r="H36" i="14"/>
  <c r="H80" i="14" s="1"/>
  <c r="H101" i="14" s="1"/>
  <c r="G36" i="14"/>
  <c r="F36" i="14"/>
  <c r="E36" i="14"/>
  <c r="D36" i="14"/>
  <c r="C36" i="14"/>
  <c r="B36" i="14"/>
  <c r="S35" i="14"/>
  <c r="R35" i="14"/>
  <c r="Q35" i="14"/>
  <c r="P35" i="14"/>
  <c r="O35" i="14"/>
  <c r="N35" i="14"/>
  <c r="L35" i="14"/>
  <c r="J79" i="14" s="1"/>
  <c r="J100" i="14" s="1"/>
  <c r="I35" i="14"/>
  <c r="I79" i="14" s="1"/>
  <c r="H35" i="14"/>
  <c r="H79" i="14" s="1"/>
  <c r="G35" i="14"/>
  <c r="F35" i="14"/>
  <c r="E35" i="14"/>
  <c r="D35" i="14"/>
  <c r="C35" i="14"/>
  <c r="B35" i="14"/>
  <c r="S34" i="14"/>
  <c r="R34" i="14"/>
  <c r="Q34" i="14"/>
  <c r="P34" i="14"/>
  <c r="O34" i="14"/>
  <c r="N34" i="14"/>
  <c r="L34" i="14"/>
  <c r="J78" i="14" s="1"/>
  <c r="I34" i="14"/>
  <c r="I78" i="14" s="1"/>
  <c r="H34" i="14"/>
  <c r="H78" i="14" s="1"/>
  <c r="G34" i="14"/>
  <c r="F34" i="14"/>
  <c r="E34" i="14"/>
  <c r="D34" i="14"/>
  <c r="C34" i="14"/>
  <c r="B34" i="14"/>
  <c r="S33" i="14"/>
  <c r="R33" i="14"/>
  <c r="Q33" i="14"/>
  <c r="P33" i="14"/>
  <c r="O33" i="14"/>
  <c r="N33" i="14"/>
  <c r="L33" i="14"/>
  <c r="I33" i="14"/>
  <c r="I77" i="14" s="1"/>
  <c r="H33" i="14"/>
  <c r="H77" i="14" s="1"/>
  <c r="H98" i="14" s="1"/>
  <c r="G33" i="14"/>
  <c r="F33" i="14"/>
  <c r="E33" i="14"/>
  <c r="D33" i="14"/>
  <c r="C33" i="14"/>
  <c r="B33" i="14"/>
  <c r="S32" i="14"/>
  <c r="R32" i="14"/>
  <c r="Q32" i="14"/>
  <c r="P32" i="14"/>
  <c r="O32" i="14"/>
  <c r="N32" i="14"/>
  <c r="L32" i="14"/>
  <c r="J76" i="14" s="1"/>
  <c r="J97" i="14" s="1"/>
  <c r="I32" i="14"/>
  <c r="H32" i="14"/>
  <c r="H76" i="14" s="1"/>
  <c r="G32" i="14"/>
  <c r="F32" i="14"/>
  <c r="E32" i="14"/>
  <c r="D32" i="14"/>
  <c r="C32" i="14"/>
  <c r="B32" i="14"/>
  <c r="S30" i="14"/>
  <c r="R30" i="14"/>
  <c r="Q30" i="14"/>
  <c r="P30" i="14"/>
  <c r="O30" i="14"/>
  <c r="N30" i="14"/>
  <c r="L30" i="14"/>
  <c r="J74" i="14" s="1"/>
  <c r="I30" i="14"/>
  <c r="I74" i="14" s="1"/>
  <c r="H30" i="14"/>
  <c r="G30" i="14"/>
  <c r="F30" i="14"/>
  <c r="E30" i="14"/>
  <c r="D30" i="14"/>
  <c r="C30" i="14"/>
  <c r="B30" i="14"/>
  <c r="S23" i="14"/>
  <c r="R23" i="14"/>
  <c r="Q23" i="14"/>
  <c r="P23" i="14"/>
  <c r="O23" i="14"/>
  <c r="N23" i="14"/>
  <c r="L23" i="14"/>
  <c r="J69" i="14" s="1"/>
  <c r="I23" i="14"/>
  <c r="I69" i="14" s="1"/>
  <c r="H23" i="14"/>
  <c r="H69" i="14" s="1"/>
  <c r="G23" i="14"/>
  <c r="F23" i="14"/>
  <c r="E23" i="14"/>
  <c r="D23" i="14"/>
  <c r="C23" i="14"/>
  <c r="B23" i="14"/>
  <c r="S22" i="14"/>
  <c r="R22" i="14"/>
  <c r="Q22" i="14"/>
  <c r="P22" i="14"/>
  <c r="O22" i="14"/>
  <c r="N22" i="14"/>
  <c r="L22" i="14"/>
  <c r="J68" i="14" s="1"/>
  <c r="I22" i="14"/>
  <c r="I68" i="14" s="1"/>
  <c r="H22" i="14"/>
  <c r="H68" i="14" s="1"/>
  <c r="G22" i="14"/>
  <c r="F22" i="14"/>
  <c r="E22" i="14"/>
  <c r="D22" i="14"/>
  <c r="C22" i="14"/>
  <c r="B22" i="14"/>
  <c r="S21" i="14"/>
  <c r="R21" i="14"/>
  <c r="Q21" i="14"/>
  <c r="P21" i="14"/>
  <c r="O21" i="14"/>
  <c r="N21" i="14"/>
  <c r="L21" i="14"/>
  <c r="J67" i="14" s="1"/>
  <c r="I21" i="14"/>
  <c r="I67" i="14" s="1"/>
  <c r="H21" i="14"/>
  <c r="H67" i="14" s="1"/>
  <c r="G21" i="14"/>
  <c r="F21" i="14"/>
  <c r="E21" i="14"/>
  <c r="D21" i="14"/>
  <c r="C21" i="14"/>
  <c r="B21" i="14"/>
  <c r="S20" i="14"/>
  <c r="R20" i="14"/>
  <c r="Q20" i="14"/>
  <c r="P20" i="14"/>
  <c r="O20" i="14"/>
  <c r="N20" i="14"/>
  <c r="L20" i="14"/>
  <c r="J66" i="14" s="1"/>
  <c r="I20" i="14"/>
  <c r="I66" i="14" s="1"/>
  <c r="H20" i="14"/>
  <c r="H66" i="14" s="1"/>
  <c r="G20" i="14"/>
  <c r="F20" i="14"/>
  <c r="E20" i="14"/>
  <c r="D20" i="14"/>
  <c r="C20" i="14"/>
  <c r="B20" i="14"/>
  <c r="S19" i="14"/>
  <c r="R19" i="14"/>
  <c r="Q19" i="14"/>
  <c r="P19" i="14"/>
  <c r="O19" i="14"/>
  <c r="N19" i="14"/>
  <c r="L19" i="14"/>
  <c r="J65" i="14" s="1"/>
  <c r="I19" i="14"/>
  <c r="I65" i="14" s="1"/>
  <c r="H19" i="14"/>
  <c r="H65" i="14" s="1"/>
  <c r="G19" i="14"/>
  <c r="F19" i="14"/>
  <c r="E19" i="14"/>
  <c r="D19" i="14"/>
  <c r="C19" i="14"/>
  <c r="B19" i="14"/>
  <c r="S18" i="14"/>
  <c r="R18" i="14"/>
  <c r="Q18" i="14"/>
  <c r="P18" i="14"/>
  <c r="O18" i="14"/>
  <c r="N18" i="14"/>
  <c r="L18" i="14"/>
  <c r="I18" i="14"/>
  <c r="I64" i="14" s="1"/>
  <c r="H18" i="14"/>
  <c r="H64" i="14" s="1"/>
  <c r="G18" i="14"/>
  <c r="F18" i="14"/>
  <c r="E18" i="14"/>
  <c r="D18" i="14"/>
  <c r="C18" i="14"/>
  <c r="B18" i="14"/>
  <c r="S17" i="14"/>
  <c r="R17" i="14"/>
  <c r="Q17" i="14"/>
  <c r="P17" i="14"/>
  <c r="O17" i="14"/>
  <c r="N17" i="14"/>
  <c r="L17" i="14"/>
  <c r="J63" i="14" s="1"/>
  <c r="I17" i="14"/>
  <c r="H17" i="14"/>
  <c r="H63" i="14" s="1"/>
  <c r="G17" i="14"/>
  <c r="F17" i="14"/>
  <c r="E17" i="14"/>
  <c r="D17" i="14"/>
  <c r="C17" i="14"/>
  <c r="B17" i="14"/>
  <c r="S16" i="14"/>
  <c r="R16" i="14"/>
  <c r="Q16" i="14"/>
  <c r="P16" i="14"/>
  <c r="O16" i="14"/>
  <c r="N16" i="14"/>
  <c r="L16" i="14"/>
  <c r="J62" i="14" s="1"/>
  <c r="I16" i="14"/>
  <c r="I62" i="14" s="1"/>
  <c r="H16" i="14"/>
  <c r="G16" i="14"/>
  <c r="F16" i="14"/>
  <c r="E16" i="14"/>
  <c r="D16" i="14"/>
  <c r="C16" i="14"/>
  <c r="B16" i="14"/>
  <c r="S15" i="14"/>
  <c r="R15" i="14"/>
  <c r="Q15" i="14"/>
  <c r="P15" i="14"/>
  <c r="O15" i="14"/>
  <c r="N15" i="14"/>
  <c r="L15" i="14"/>
  <c r="J61" i="14" s="1"/>
  <c r="I15" i="14"/>
  <c r="I61" i="14" s="1"/>
  <c r="H15" i="14"/>
  <c r="H61" i="14" s="1"/>
  <c r="G15" i="14"/>
  <c r="F15" i="14"/>
  <c r="E15" i="14"/>
  <c r="D15" i="14"/>
  <c r="C15" i="14"/>
  <c r="B15" i="14"/>
  <c r="S14" i="14"/>
  <c r="R14" i="14"/>
  <c r="Q14" i="14"/>
  <c r="P14" i="14"/>
  <c r="O14" i="14"/>
  <c r="N14" i="14"/>
  <c r="L14" i="14"/>
  <c r="J60" i="14" s="1"/>
  <c r="I14" i="14"/>
  <c r="I60" i="14" s="1"/>
  <c r="H14" i="14"/>
  <c r="H60" i="14" s="1"/>
  <c r="G14" i="14"/>
  <c r="F14" i="14"/>
  <c r="E14" i="14"/>
  <c r="D14" i="14"/>
  <c r="C14" i="14"/>
  <c r="B14" i="14"/>
  <c r="S13" i="14"/>
  <c r="R13" i="14"/>
  <c r="Q13" i="14"/>
  <c r="P13" i="14"/>
  <c r="O13" i="14"/>
  <c r="N13" i="14"/>
  <c r="L13" i="14"/>
  <c r="J59" i="14" s="1"/>
  <c r="I13" i="14"/>
  <c r="I59" i="14" s="1"/>
  <c r="H13" i="14"/>
  <c r="H59" i="14" s="1"/>
  <c r="G13" i="14"/>
  <c r="F13" i="14"/>
  <c r="E13" i="14"/>
  <c r="D13" i="14"/>
  <c r="C13" i="14"/>
  <c r="B13" i="14"/>
  <c r="S12" i="14"/>
  <c r="R12" i="14"/>
  <c r="Q12" i="14"/>
  <c r="P12" i="14"/>
  <c r="O12" i="14"/>
  <c r="N12" i="14"/>
  <c r="L12" i="14"/>
  <c r="J58" i="14" s="1"/>
  <c r="I12" i="14"/>
  <c r="I58" i="14" s="1"/>
  <c r="H12" i="14"/>
  <c r="H58" i="14" s="1"/>
  <c r="G12" i="14"/>
  <c r="F12" i="14"/>
  <c r="E12" i="14"/>
  <c r="D12" i="14"/>
  <c r="C12" i="14"/>
  <c r="B12" i="14"/>
  <c r="S11" i="14"/>
  <c r="R11" i="14"/>
  <c r="Q11" i="14"/>
  <c r="P11" i="14"/>
  <c r="O11" i="14"/>
  <c r="N11" i="14"/>
  <c r="L11" i="14"/>
  <c r="J57" i="14" s="1"/>
  <c r="I11" i="14"/>
  <c r="I57" i="14" s="1"/>
  <c r="H11" i="14"/>
  <c r="H57" i="14" s="1"/>
  <c r="G11" i="14"/>
  <c r="F11" i="14"/>
  <c r="E11" i="14"/>
  <c r="D11" i="14"/>
  <c r="C11" i="14"/>
  <c r="B11" i="14"/>
  <c r="S10" i="14"/>
  <c r="R10" i="14"/>
  <c r="Q10" i="14"/>
  <c r="P10" i="14"/>
  <c r="O10" i="14"/>
  <c r="N10" i="14"/>
  <c r="L10" i="14"/>
  <c r="I10" i="14"/>
  <c r="I56" i="14" s="1"/>
  <c r="H10" i="14"/>
  <c r="H56" i="14" s="1"/>
  <c r="G10" i="14"/>
  <c r="F10" i="14"/>
  <c r="E10" i="14"/>
  <c r="D10" i="14"/>
  <c r="C10" i="14"/>
  <c r="B10" i="14"/>
  <c r="S9" i="14"/>
  <c r="R9" i="14"/>
  <c r="Q9" i="14"/>
  <c r="P9" i="14"/>
  <c r="O9" i="14"/>
  <c r="N9" i="14"/>
  <c r="L9" i="14"/>
  <c r="J55" i="14" s="1"/>
  <c r="I9" i="14"/>
  <c r="H9" i="14"/>
  <c r="H55" i="14" s="1"/>
  <c r="G9" i="14"/>
  <c r="F9" i="14"/>
  <c r="E9" i="14"/>
  <c r="D9" i="14"/>
  <c r="C9" i="14"/>
  <c r="B9" i="14"/>
  <c r="S8" i="14"/>
  <c r="R8" i="14"/>
  <c r="Q8" i="14"/>
  <c r="P8" i="14"/>
  <c r="O8" i="14"/>
  <c r="N8" i="14"/>
  <c r="L8" i="14"/>
  <c r="J54" i="14" s="1"/>
  <c r="I8" i="14"/>
  <c r="I54" i="14" s="1"/>
  <c r="H8" i="14"/>
  <c r="G8" i="14"/>
  <c r="F8" i="14"/>
  <c r="E8" i="14"/>
  <c r="D8" i="14"/>
  <c r="C8" i="14"/>
  <c r="B8" i="14"/>
  <c r="S6" i="14"/>
  <c r="R6" i="14"/>
  <c r="Q6" i="14"/>
  <c r="P6" i="14"/>
  <c r="O6" i="14"/>
  <c r="N6" i="14"/>
  <c r="L6" i="14"/>
  <c r="J52" i="14" s="1"/>
  <c r="I6" i="14"/>
  <c r="I52" i="14" s="1"/>
  <c r="H6" i="14"/>
  <c r="H52" i="14" s="1"/>
  <c r="G6" i="14"/>
  <c r="F6" i="14"/>
  <c r="E6" i="14"/>
  <c r="D6" i="14"/>
  <c r="C6" i="14"/>
  <c r="B6" i="14"/>
  <c r="M545" i="18"/>
  <c r="M544" i="18"/>
  <c r="J513" i="18"/>
  <c r="I513" i="18"/>
  <c r="H513" i="18"/>
  <c r="H512" i="18"/>
  <c r="G512" i="18"/>
  <c r="J512" i="18"/>
  <c r="J511" i="18"/>
  <c r="I511" i="18"/>
  <c r="G511" i="18"/>
  <c r="H511" i="18"/>
  <c r="I510" i="18"/>
  <c r="H510" i="18"/>
  <c r="G510" i="18"/>
  <c r="J508" i="18"/>
  <c r="I508" i="18"/>
  <c r="H508" i="18"/>
  <c r="H507" i="18"/>
  <c r="F507" i="18"/>
  <c r="J506" i="18"/>
  <c r="I506" i="18"/>
  <c r="G506" i="18"/>
  <c r="I505" i="18"/>
  <c r="J505" i="18"/>
  <c r="H505" i="18"/>
  <c r="G505" i="18"/>
  <c r="J503" i="18"/>
  <c r="G503" i="18"/>
  <c r="I503" i="18"/>
  <c r="H503" i="18"/>
  <c r="I502" i="18"/>
  <c r="H502" i="18"/>
  <c r="G502" i="18"/>
  <c r="J502" i="18"/>
  <c r="J501" i="18"/>
  <c r="I501" i="18"/>
  <c r="G501" i="18"/>
  <c r="I500" i="18"/>
  <c r="H500" i="18"/>
  <c r="J500" i="18"/>
  <c r="G500" i="18"/>
  <c r="G498" i="18"/>
  <c r="J498" i="18"/>
  <c r="I498" i="18"/>
  <c r="H498" i="18"/>
  <c r="I497" i="18"/>
  <c r="G497" i="18"/>
  <c r="J497" i="18"/>
  <c r="H497" i="18"/>
  <c r="F497" i="18"/>
  <c r="K497" i="18" s="1"/>
  <c r="I496" i="18"/>
  <c r="G496" i="18"/>
  <c r="J496" i="18"/>
  <c r="I495" i="18"/>
  <c r="F493" i="18"/>
  <c r="J481" i="18"/>
  <c r="H481" i="18"/>
  <c r="I481" i="18"/>
  <c r="J480" i="18"/>
  <c r="I480" i="18"/>
  <c r="F480" i="18"/>
  <c r="K480" i="18" s="1"/>
  <c r="H480" i="18"/>
  <c r="G480" i="18"/>
  <c r="H479" i="18"/>
  <c r="F479" i="18"/>
  <c r="K479" i="18" s="1"/>
  <c r="J479" i="18"/>
  <c r="I479" i="18"/>
  <c r="G479" i="18"/>
  <c r="H478" i="18"/>
  <c r="J478" i="18"/>
  <c r="I478" i="18"/>
  <c r="J476" i="18"/>
  <c r="H476" i="18"/>
  <c r="I476" i="18"/>
  <c r="I475" i="18"/>
  <c r="H475" i="18"/>
  <c r="G474" i="18"/>
  <c r="J474" i="18"/>
  <c r="I474" i="18"/>
  <c r="J473" i="18"/>
  <c r="H473" i="18"/>
  <c r="I473" i="18"/>
  <c r="J471" i="18"/>
  <c r="H471" i="18"/>
  <c r="G471" i="18"/>
  <c r="I471" i="18"/>
  <c r="F471" i="18"/>
  <c r="K471" i="18" s="1"/>
  <c r="I470" i="18"/>
  <c r="H470" i="18"/>
  <c r="H469" i="18"/>
  <c r="I469" i="18"/>
  <c r="J468" i="18"/>
  <c r="I468" i="18"/>
  <c r="H468" i="18"/>
  <c r="F468" i="18"/>
  <c r="J466" i="18"/>
  <c r="H466" i="18"/>
  <c r="G466" i="18"/>
  <c r="I466" i="18"/>
  <c r="J465" i="18"/>
  <c r="I465" i="18"/>
  <c r="F465" i="18"/>
  <c r="K465" i="18" s="1"/>
  <c r="H465" i="18"/>
  <c r="G465" i="18"/>
  <c r="G464" i="18"/>
  <c r="J464" i="18"/>
  <c r="I464" i="18"/>
  <c r="I463" i="18"/>
  <c r="F461" i="18"/>
  <c r="T449" i="18"/>
  <c r="AC448" i="18"/>
  <c r="AA448" i="18"/>
  <c r="Z448" i="18"/>
  <c r="T448" i="18"/>
  <c r="H448" i="18"/>
  <c r="G448" i="18"/>
  <c r="J448" i="18"/>
  <c r="AC447" i="18"/>
  <c r="AA447" i="18"/>
  <c r="Z447" i="18"/>
  <c r="T447" i="18"/>
  <c r="O447" i="18"/>
  <c r="U447" i="18" s="1"/>
  <c r="H447" i="18"/>
  <c r="G447" i="18"/>
  <c r="F447" i="18"/>
  <c r="J447" i="18"/>
  <c r="AC446" i="18"/>
  <c r="AA446" i="18"/>
  <c r="Z446" i="18"/>
  <c r="T446" i="18"/>
  <c r="O446" i="18"/>
  <c r="U446" i="18" s="1"/>
  <c r="H446" i="18"/>
  <c r="F446" i="18"/>
  <c r="AC444" i="18"/>
  <c r="Z444" i="18"/>
  <c r="T444" i="18"/>
  <c r="G444" i="18"/>
  <c r="J444" i="18"/>
  <c r="AC443" i="18"/>
  <c r="Z443" i="18"/>
  <c r="T443" i="18"/>
  <c r="O443" i="18"/>
  <c r="U443" i="18" s="1"/>
  <c r="AC442" i="18"/>
  <c r="AA442" i="18"/>
  <c r="Z442" i="18"/>
  <c r="H442" i="18"/>
  <c r="G442" i="18"/>
  <c r="J442" i="18"/>
  <c r="AC441" i="18"/>
  <c r="AB441" i="18"/>
  <c r="Z441" i="18"/>
  <c r="T441" i="18"/>
  <c r="O441" i="18"/>
  <c r="U441" i="18" s="1"/>
  <c r="G441" i="18"/>
  <c r="F441" i="18"/>
  <c r="J441" i="18"/>
  <c r="I441" i="18"/>
  <c r="AC439" i="18"/>
  <c r="AA439" i="18"/>
  <c r="Z439" i="18"/>
  <c r="H439" i="18"/>
  <c r="G439" i="18"/>
  <c r="J439" i="18"/>
  <c r="O439" i="18"/>
  <c r="U439" i="18" s="1"/>
  <c r="AC438" i="18"/>
  <c r="AB438" i="18"/>
  <c r="Z438" i="18"/>
  <c r="T438" i="18"/>
  <c r="I438" i="18"/>
  <c r="AC437" i="18"/>
  <c r="Z437" i="18"/>
  <c r="AC436" i="18"/>
  <c r="AB436" i="18"/>
  <c r="AA436" i="18"/>
  <c r="O436" i="18"/>
  <c r="H436" i="18"/>
  <c r="F436" i="18"/>
  <c r="I436" i="18"/>
  <c r="Z436" i="18"/>
  <c r="AC434" i="18"/>
  <c r="AB434" i="18"/>
  <c r="T434" i="18"/>
  <c r="O434" i="18"/>
  <c r="U434" i="18" s="1"/>
  <c r="G434" i="18"/>
  <c r="F434" i="18"/>
  <c r="AD434" i="18" s="1"/>
  <c r="J434" i="18"/>
  <c r="I434" i="18"/>
  <c r="Z434" i="18"/>
  <c r="AC433" i="18"/>
  <c r="AA433" i="18"/>
  <c r="O433" i="18"/>
  <c r="U433" i="18" s="1"/>
  <c r="J433" i="18"/>
  <c r="H433" i="18"/>
  <c r="G433" i="18"/>
  <c r="P433" i="18"/>
  <c r="V433" i="18" s="1"/>
  <c r="Z433" i="18"/>
  <c r="AC432" i="18"/>
  <c r="AB432" i="18"/>
  <c r="T432" i="18"/>
  <c r="J432" i="18"/>
  <c r="G432" i="18"/>
  <c r="P432" i="18"/>
  <c r="V432" i="18" s="1"/>
  <c r="I432" i="18"/>
  <c r="Z432" i="18"/>
  <c r="AC431" i="18"/>
  <c r="P431" i="18"/>
  <c r="V431" i="18" s="1"/>
  <c r="T430" i="18"/>
  <c r="AC429" i="18"/>
  <c r="AB429" i="18"/>
  <c r="T429" i="18"/>
  <c r="P429" i="18"/>
  <c r="AA429" i="18"/>
  <c r="J416" i="18"/>
  <c r="H416" i="18"/>
  <c r="I416" i="18"/>
  <c r="H414" i="18"/>
  <c r="J413" i="18"/>
  <c r="H413" i="18"/>
  <c r="I413" i="18"/>
  <c r="J411" i="18"/>
  <c r="H411" i="18"/>
  <c r="F411" i="18"/>
  <c r="K411" i="18" s="1"/>
  <c r="I411" i="18"/>
  <c r="G411" i="18"/>
  <c r="J410" i="18"/>
  <c r="H410" i="18"/>
  <c r="G410" i="18"/>
  <c r="F410" i="18"/>
  <c r="K410" i="18" s="1"/>
  <c r="I410" i="18"/>
  <c r="I409" i="18"/>
  <c r="H409" i="18"/>
  <c r="F409" i="18"/>
  <c r="K409" i="18" s="1"/>
  <c r="J409" i="18"/>
  <c r="G409" i="18"/>
  <c r="J408" i="18"/>
  <c r="H408" i="18"/>
  <c r="G408" i="18"/>
  <c r="I408" i="18"/>
  <c r="F408" i="18"/>
  <c r="K408" i="18" s="1"/>
  <c r="H406" i="18"/>
  <c r="J406" i="18"/>
  <c r="G406" i="18"/>
  <c r="J405" i="18"/>
  <c r="H405" i="18"/>
  <c r="I405" i="18"/>
  <c r="H404" i="18"/>
  <c r="J404" i="18"/>
  <c r="I404" i="18"/>
  <c r="J403" i="18"/>
  <c r="G403" i="18"/>
  <c r="I403" i="18"/>
  <c r="H403" i="18"/>
  <c r="F403" i="18"/>
  <c r="K403" i="18" s="1"/>
  <c r="I401" i="18"/>
  <c r="H401" i="18"/>
  <c r="F401" i="18"/>
  <c r="K401" i="18" s="1"/>
  <c r="J401" i="18"/>
  <c r="G401" i="18"/>
  <c r="J400" i="18"/>
  <c r="H400" i="18"/>
  <c r="G400" i="18"/>
  <c r="F400" i="18"/>
  <c r="K400" i="18" s="1"/>
  <c r="I400" i="18"/>
  <c r="H399" i="18"/>
  <c r="J399" i="18"/>
  <c r="I399" i="18"/>
  <c r="G399" i="18"/>
  <c r="H398" i="18"/>
  <c r="F396" i="18"/>
  <c r="I382" i="18"/>
  <c r="H382" i="18"/>
  <c r="H381" i="18"/>
  <c r="I381" i="18"/>
  <c r="F381" i="18"/>
  <c r="H380" i="18"/>
  <c r="I379" i="18"/>
  <c r="H379" i="18"/>
  <c r="I376" i="18"/>
  <c r="H372" i="18"/>
  <c r="I371" i="18"/>
  <c r="H371" i="18"/>
  <c r="I370" i="18"/>
  <c r="H370" i="18"/>
  <c r="I369" i="18"/>
  <c r="H369" i="18"/>
  <c r="J367" i="18"/>
  <c r="H367" i="18"/>
  <c r="J369" i="18"/>
  <c r="J366" i="18"/>
  <c r="G366" i="18"/>
  <c r="I366" i="18"/>
  <c r="H366" i="18"/>
  <c r="J374" i="18"/>
  <c r="I349" i="18"/>
  <c r="J349" i="18"/>
  <c r="H349" i="18"/>
  <c r="G348" i="18"/>
  <c r="J348" i="18"/>
  <c r="I348" i="18"/>
  <c r="H348" i="18"/>
  <c r="H347" i="18"/>
  <c r="F347" i="18"/>
  <c r="I346" i="18"/>
  <c r="F344" i="18"/>
  <c r="H343" i="18"/>
  <c r="F342" i="18"/>
  <c r="H339" i="18"/>
  <c r="H338" i="18"/>
  <c r="I338" i="18"/>
  <c r="I337" i="18"/>
  <c r="J334" i="18"/>
  <c r="H337" i="18"/>
  <c r="I336" i="18"/>
  <c r="H336" i="18"/>
  <c r="G336" i="18"/>
  <c r="I334" i="18"/>
  <c r="F334" i="18"/>
  <c r="H334" i="18"/>
  <c r="I333" i="18"/>
  <c r="H333" i="18"/>
  <c r="G333" i="18"/>
  <c r="F333" i="18"/>
  <c r="H332" i="18"/>
  <c r="H331" i="18"/>
  <c r="F331" i="18"/>
  <c r="J316" i="18"/>
  <c r="H316" i="18"/>
  <c r="I316" i="18"/>
  <c r="J315" i="18"/>
  <c r="I315" i="18"/>
  <c r="H315" i="18"/>
  <c r="H314" i="18"/>
  <c r="I313" i="18"/>
  <c r="H313" i="18"/>
  <c r="H311" i="18"/>
  <c r="H310" i="18"/>
  <c r="J306" i="18"/>
  <c r="H306" i="18"/>
  <c r="H305" i="18"/>
  <c r="J305" i="18"/>
  <c r="I305" i="18"/>
  <c r="I304" i="18"/>
  <c r="H303" i="18"/>
  <c r="F303" i="18"/>
  <c r="K303" i="18" s="1"/>
  <c r="J303" i="18"/>
  <c r="I303" i="18"/>
  <c r="I301" i="18"/>
  <c r="H301" i="18"/>
  <c r="H300" i="18"/>
  <c r="J300" i="18"/>
  <c r="G300" i="18"/>
  <c r="J299" i="18"/>
  <c r="H299" i="18"/>
  <c r="H308" i="18"/>
  <c r="J298" i="18"/>
  <c r="I298" i="18"/>
  <c r="F298" i="18"/>
  <c r="F296" i="18"/>
  <c r="I284" i="18"/>
  <c r="H284" i="18"/>
  <c r="F284" i="18"/>
  <c r="I283" i="18"/>
  <c r="J283" i="18"/>
  <c r="H283" i="18"/>
  <c r="G283" i="18"/>
  <c r="H282" i="18"/>
  <c r="I281" i="18"/>
  <c r="G281" i="18"/>
  <c r="J281" i="18"/>
  <c r="I279" i="18"/>
  <c r="G279" i="18"/>
  <c r="J279" i="18"/>
  <c r="H279" i="18"/>
  <c r="I278" i="18"/>
  <c r="G278" i="18"/>
  <c r="F278" i="18"/>
  <c r="H278" i="18"/>
  <c r="I277" i="18"/>
  <c r="H277" i="18"/>
  <c r="G277" i="18"/>
  <c r="J277" i="18"/>
  <c r="J276" i="18"/>
  <c r="I276" i="18"/>
  <c r="H276" i="18"/>
  <c r="I274" i="18"/>
  <c r="H274" i="18"/>
  <c r="G274" i="18"/>
  <c r="J274" i="18"/>
  <c r="F274" i="18"/>
  <c r="K274" i="18" s="1"/>
  <c r="J273" i="18"/>
  <c r="I273" i="18"/>
  <c r="H273" i="18"/>
  <c r="I272" i="18"/>
  <c r="G272" i="18"/>
  <c r="J272" i="18"/>
  <c r="H272" i="18"/>
  <c r="J271" i="18"/>
  <c r="I271" i="18"/>
  <c r="H271" i="18"/>
  <c r="I269" i="18"/>
  <c r="H269" i="18"/>
  <c r="F269" i="18"/>
  <c r="J268" i="18"/>
  <c r="I268" i="18"/>
  <c r="H268" i="18"/>
  <c r="J267" i="18"/>
  <c r="G267" i="18"/>
  <c r="I267" i="18"/>
  <c r="H267" i="18"/>
  <c r="F267" i="18"/>
  <c r="K267" i="18" s="1"/>
  <c r="I266" i="18"/>
  <c r="H266" i="18"/>
  <c r="G266" i="18"/>
  <c r="J266" i="18"/>
  <c r="F266" i="18"/>
  <c r="K266" i="18" s="1"/>
  <c r="F264" i="18"/>
  <c r="Z252" i="18"/>
  <c r="T252" i="18"/>
  <c r="P252" i="18"/>
  <c r="V252" i="18" s="1"/>
  <c r="AC252" i="18"/>
  <c r="T251" i="18"/>
  <c r="P251" i="18"/>
  <c r="V251" i="18" s="1"/>
  <c r="AC251" i="18"/>
  <c r="AB251" i="18"/>
  <c r="F251" i="18"/>
  <c r="AB250" i="18"/>
  <c r="AA250" i="18"/>
  <c r="T250" i="18"/>
  <c r="G250" i="18"/>
  <c r="H250" i="18"/>
  <c r="AA249" i="18"/>
  <c r="Z249" i="18"/>
  <c r="T249" i="18"/>
  <c r="P249" i="18"/>
  <c r="V249" i="18" s="1"/>
  <c r="I249" i="18"/>
  <c r="H249" i="18"/>
  <c r="AB247" i="18"/>
  <c r="T247" i="18"/>
  <c r="P247" i="18"/>
  <c r="V247" i="18" s="1"/>
  <c r="F247" i="18"/>
  <c r="AD247" i="18" s="1"/>
  <c r="AC247" i="18"/>
  <c r="Z247" i="18"/>
  <c r="Z246" i="18"/>
  <c r="T246" i="18"/>
  <c r="H246" i="18"/>
  <c r="AB246" i="18"/>
  <c r="AA246" i="18"/>
  <c r="T245" i="18"/>
  <c r="AC245" i="18"/>
  <c r="AB245" i="18"/>
  <c r="AC244" i="18"/>
  <c r="T244" i="18"/>
  <c r="P244" i="18"/>
  <c r="V244" i="18" s="1"/>
  <c r="H244" i="18"/>
  <c r="AA244" i="18"/>
  <c r="AC242" i="18"/>
  <c r="T242" i="18"/>
  <c r="P242" i="18"/>
  <c r="V242" i="18" s="1"/>
  <c r="H242" i="18"/>
  <c r="AB242" i="18"/>
  <c r="AA242" i="18"/>
  <c r="T241" i="18"/>
  <c r="H241" i="18"/>
  <c r="AA241" i="18"/>
  <c r="O241" i="18"/>
  <c r="U241" i="18" s="1"/>
  <c r="T240" i="18"/>
  <c r="AA240" i="18"/>
  <c r="AC239" i="18"/>
  <c r="T239" i="18"/>
  <c r="P239" i="18"/>
  <c r="V239" i="18" s="1"/>
  <c r="AA239" i="18"/>
  <c r="T237" i="18"/>
  <c r="P237" i="18"/>
  <c r="V237" i="18" s="1"/>
  <c r="I237" i="18"/>
  <c r="AB237" i="18"/>
  <c r="O237" i="18"/>
  <c r="U237" i="18" s="1"/>
  <c r="Z236" i="18"/>
  <c r="T236" i="18"/>
  <c r="H236" i="18"/>
  <c r="AB236" i="18"/>
  <c r="AA236" i="18"/>
  <c r="T235" i="18"/>
  <c r="P235" i="18"/>
  <c r="V235" i="18" s="1"/>
  <c r="AB235" i="18"/>
  <c r="AC234" i="18"/>
  <c r="T234" i="18"/>
  <c r="P234" i="18"/>
  <c r="V234" i="18" s="1"/>
  <c r="H234" i="18"/>
  <c r="AA234" i="18"/>
  <c r="T233" i="18"/>
  <c r="Q233" i="18"/>
  <c r="P233" i="18"/>
  <c r="O233" i="18"/>
  <c r="AC232" i="18"/>
  <c r="T232" i="18"/>
  <c r="P232" i="18"/>
  <c r="AB232" i="18"/>
  <c r="AA232" i="18"/>
  <c r="G220" i="18"/>
  <c r="G219" i="18"/>
  <c r="G218" i="18"/>
  <c r="H218" i="18"/>
  <c r="H217" i="18"/>
  <c r="G217" i="18"/>
  <c r="G214" i="18"/>
  <c r="G213" i="18"/>
  <c r="H213" i="18"/>
  <c r="H212" i="18"/>
  <c r="G212" i="18"/>
  <c r="G210" i="18"/>
  <c r="G209" i="18"/>
  <c r="H208" i="18"/>
  <c r="G208" i="18"/>
  <c r="G207" i="18"/>
  <c r="H204" i="18"/>
  <c r="G203" i="18"/>
  <c r="H219" i="18"/>
  <c r="G188" i="18"/>
  <c r="F188" i="18"/>
  <c r="E188" i="18"/>
  <c r="G187" i="18"/>
  <c r="F187" i="18"/>
  <c r="F186" i="18"/>
  <c r="E186" i="18"/>
  <c r="G186" i="18"/>
  <c r="G185" i="18"/>
  <c r="F185" i="18"/>
  <c r="E185" i="18"/>
  <c r="F183" i="18"/>
  <c r="F182" i="18"/>
  <c r="E182" i="18"/>
  <c r="G182" i="18"/>
  <c r="G181" i="18"/>
  <c r="F181" i="18"/>
  <c r="F180" i="18"/>
  <c r="H180" i="18"/>
  <c r="F178" i="18"/>
  <c r="E178" i="18"/>
  <c r="G177" i="18"/>
  <c r="F177" i="18"/>
  <c r="H176" i="18"/>
  <c r="F176" i="18"/>
  <c r="E176" i="18"/>
  <c r="I176" i="18" s="1"/>
  <c r="G176" i="18"/>
  <c r="G175" i="18"/>
  <c r="F175" i="18"/>
  <c r="E175" i="18"/>
  <c r="G173" i="18"/>
  <c r="F173" i="18"/>
  <c r="H173" i="18"/>
  <c r="E173" i="18"/>
  <c r="I173" i="18" s="1"/>
  <c r="H172" i="18"/>
  <c r="F172" i="18"/>
  <c r="E172" i="18"/>
  <c r="I172" i="18" s="1"/>
  <c r="G172" i="18"/>
  <c r="F171" i="18"/>
  <c r="F170" i="18"/>
  <c r="G156" i="18"/>
  <c r="H156" i="18"/>
  <c r="H155" i="18"/>
  <c r="G155" i="18"/>
  <c r="G154" i="18"/>
  <c r="H153" i="18"/>
  <c r="G153" i="18"/>
  <c r="G151" i="18"/>
  <c r="H151" i="18"/>
  <c r="G150" i="18"/>
  <c r="G149" i="18"/>
  <c r="G146" i="18"/>
  <c r="G145" i="18"/>
  <c r="G143" i="18"/>
  <c r="H141" i="18"/>
  <c r="H140" i="18"/>
  <c r="G140" i="18"/>
  <c r="E136" i="18"/>
  <c r="F124" i="18"/>
  <c r="F123" i="18"/>
  <c r="E123" i="18"/>
  <c r="G122" i="18"/>
  <c r="F122" i="18"/>
  <c r="E122" i="18"/>
  <c r="F121" i="18"/>
  <c r="F119" i="18"/>
  <c r="E119" i="18"/>
  <c r="G118" i="18"/>
  <c r="F118" i="18"/>
  <c r="F117" i="18"/>
  <c r="H117" i="18"/>
  <c r="H116" i="18"/>
  <c r="F116" i="18"/>
  <c r="G114" i="18"/>
  <c r="F114" i="18"/>
  <c r="F113" i="18"/>
  <c r="F112" i="18"/>
  <c r="G111" i="18"/>
  <c r="F111" i="18"/>
  <c r="E111" i="18"/>
  <c r="F109" i="18"/>
  <c r="E109" i="18"/>
  <c r="G108" i="18"/>
  <c r="F108" i="18"/>
  <c r="E108" i="18"/>
  <c r="F107" i="18"/>
  <c r="F106" i="18"/>
  <c r="E106" i="18"/>
  <c r="E104" i="18"/>
  <c r="H92" i="18"/>
  <c r="G92" i="18"/>
  <c r="H87" i="18"/>
  <c r="G87" i="18"/>
  <c r="H86" i="18"/>
  <c r="G86" i="18"/>
  <c r="G85" i="18"/>
  <c r="H82" i="18"/>
  <c r="G82" i="18"/>
  <c r="G81" i="18"/>
  <c r="H80" i="18"/>
  <c r="G80" i="18"/>
  <c r="H84" i="18"/>
  <c r="G77" i="18"/>
  <c r="H76" i="18"/>
  <c r="G76" i="18"/>
  <c r="E72" i="18"/>
  <c r="H60" i="18"/>
  <c r="F60" i="18"/>
  <c r="H59" i="18"/>
  <c r="F59" i="18"/>
  <c r="H54" i="18"/>
  <c r="E59" i="18"/>
  <c r="F58" i="18"/>
  <c r="H58" i="18"/>
  <c r="E58" i="18"/>
  <c r="H57" i="18"/>
  <c r="F57" i="18"/>
  <c r="E57" i="18"/>
  <c r="H55" i="18"/>
  <c r="F55" i="18"/>
  <c r="E55" i="18"/>
  <c r="F54" i="18"/>
  <c r="E54" i="18"/>
  <c r="G54" i="18"/>
  <c r="H53" i="18"/>
  <c r="F53" i="18"/>
  <c r="E53" i="18"/>
  <c r="H52" i="18"/>
  <c r="F52" i="18"/>
  <c r="E52" i="18"/>
  <c r="H50" i="18"/>
  <c r="F50" i="18"/>
  <c r="E50" i="18"/>
  <c r="F49" i="18"/>
  <c r="E49" i="18"/>
  <c r="H48" i="18"/>
  <c r="F48" i="18"/>
  <c r="E48" i="18"/>
  <c r="H47" i="18"/>
  <c r="F47" i="18"/>
  <c r="E47" i="18"/>
  <c r="H45" i="18"/>
  <c r="F45" i="18"/>
  <c r="E45" i="18"/>
  <c r="H44" i="18"/>
  <c r="F44" i="18"/>
  <c r="E44" i="18"/>
  <c r="H43" i="18"/>
  <c r="F43" i="18"/>
  <c r="E43" i="18"/>
  <c r="H42" i="18"/>
  <c r="F42" i="18"/>
  <c r="E42" i="18"/>
  <c r="E40" i="18"/>
  <c r="AA28" i="18"/>
  <c r="E28" i="18"/>
  <c r="Q28" i="18" s="1"/>
  <c r="Z28" i="18"/>
  <c r="AA27" i="18"/>
  <c r="T27" i="18"/>
  <c r="P27" i="18"/>
  <c r="V27" i="18" s="1"/>
  <c r="AA26" i="18"/>
  <c r="Z26" i="18"/>
  <c r="T26" i="18"/>
  <c r="P26" i="18"/>
  <c r="G26" i="18"/>
  <c r="AB26" i="18"/>
  <c r="AA25" i="18"/>
  <c r="Z25" i="18"/>
  <c r="P25" i="18"/>
  <c r="E25" i="18"/>
  <c r="AB25" i="18"/>
  <c r="G25" i="18"/>
  <c r="O25" i="18"/>
  <c r="U25" i="18" s="1"/>
  <c r="AB23" i="18"/>
  <c r="Z23" i="18"/>
  <c r="E23" i="18"/>
  <c r="AC23" i="18" s="1"/>
  <c r="O23" i="18"/>
  <c r="U23" i="18" s="1"/>
  <c r="AB22" i="18"/>
  <c r="T22" i="18"/>
  <c r="P22" i="18"/>
  <c r="V22" i="18" s="1"/>
  <c r="H22" i="18"/>
  <c r="G22" i="18"/>
  <c r="AA22" i="18"/>
  <c r="Z22" i="18"/>
  <c r="AB21" i="18"/>
  <c r="AA21" i="18"/>
  <c r="Z21" i="18"/>
  <c r="T21" i="18"/>
  <c r="P21" i="18"/>
  <c r="V21" i="18" s="1"/>
  <c r="G21" i="18"/>
  <c r="E21" i="18"/>
  <c r="T20" i="18"/>
  <c r="P20" i="18"/>
  <c r="V20" i="18" s="1"/>
  <c r="AA20" i="18"/>
  <c r="AA18" i="18"/>
  <c r="E18" i="18"/>
  <c r="Q18" i="18" s="1"/>
  <c r="Z18" i="18"/>
  <c r="AB17" i="18"/>
  <c r="T17" i="18"/>
  <c r="P17" i="18"/>
  <c r="V17" i="18" s="1"/>
  <c r="G16" i="18"/>
  <c r="AA16" i="18"/>
  <c r="Z16" i="18"/>
  <c r="T16" i="18"/>
  <c r="P16" i="18"/>
  <c r="V16" i="18" s="1"/>
  <c r="F16" i="18"/>
  <c r="AB16" i="18"/>
  <c r="AA15" i="18"/>
  <c r="Z15" i="18"/>
  <c r="P15" i="18"/>
  <c r="H15" i="18"/>
  <c r="E15" i="18"/>
  <c r="AB15" i="18"/>
  <c r="G15" i="18"/>
  <c r="O15" i="18"/>
  <c r="U15" i="18" s="1"/>
  <c r="Z13" i="18"/>
  <c r="O13" i="18"/>
  <c r="U13" i="18" s="1"/>
  <c r="AB12" i="18"/>
  <c r="T12" i="18"/>
  <c r="P12" i="18"/>
  <c r="V12" i="18" s="1"/>
  <c r="G12" i="18"/>
  <c r="AA12" i="18"/>
  <c r="Z12" i="18"/>
  <c r="AB11" i="18"/>
  <c r="AA11" i="18"/>
  <c r="Z11" i="18"/>
  <c r="T11" i="18"/>
  <c r="P11" i="18"/>
  <c r="V11" i="18" s="1"/>
  <c r="H11" i="18"/>
  <c r="E11" i="18"/>
  <c r="Q11" i="18" s="1"/>
  <c r="AB10" i="18"/>
  <c r="T10" i="18"/>
  <c r="G10" i="18"/>
  <c r="P10" i="18"/>
  <c r="V10" i="18" s="1"/>
  <c r="AA10" i="18"/>
  <c r="T8" i="18"/>
  <c r="Z8" i="18"/>
  <c r="M530" i="17"/>
  <c r="M529" i="17"/>
  <c r="M528" i="17"/>
  <c r="M527" i="17"/>
  <c r="M526" i="17"/>
  <c r="F526" i="17"/>
  <c r="M525" i="17"/>
  <c r="M524" i="17"/>
  <c r="M523" i="17"/>
  <c r="M522" i="17"/>
  <c r="M521" i="17"/>
  <c r="F521" i="17"/>
  <c r="M520" i="17"/>
  <c r="M519" i="17"/>
  <c r="M518" i="17"/>
  <c r="M517" i="17"/>
  <c r="M516" i="17"/>
  <c r="F516" i="17"/>
  <c r="M515" i="17"/>
  <c r="M514" i="17"/>
  <c r="M513" i="17"/>
  <c r="M512" i="17"/>
  <c r="M511" i="17"/>
  <c r="F511" i="17"/>
  <c r="J499" i="17"/>
  <c r="I499" i="17"/>
  <c r="F499" i="17"/>
  <c r="K499" i="17" s="1"/>
  <c r="H499" i="17"/>
  <c r="G499" i="17"/>
  <c r="J498" i="17"/>
  <c r="I498" i="17"/>
  <c r="G498" i="17"/>
  <c r="H497" i="17"/>
  <c r="F497" i="17"/>
  <c r="K497" i="17" s="1"/>
  <c r="J497" i="17"/>
  <c r="I497" i="17"/>
  <c r="G497" i="17"/>
  <c r="I496" i="17"/>
  <c r="H496" i="17"/>
  <c r="J494" i="17"/>
  <c r="F494" i="17"/>
  <c r="K494" i="17" s="1"/>
  <c r="I494" i="17"/>
  <c r="H494" i="17"/>
  <c r="G494" i="17"/>
  <c r="I493" i="17"/>
  <c r="I492" i="17"/>
  <c r="H492" i="17"/>
  <c r="G492" i="17"/>
  <c r="J491" i="17"/>
  <c r="H491" i="17"/>
  <c r="G491" i="17"/>
  <c r="I491" i="17"/>
  <c r="J489" i="17"/>
  <c r="I489" i="17"/>
  <c r="G489" i="17"/>
  <c r="H488" i="17"/>
  <c r="G488" i="17"/>
  <c r="J488" i="17"/>
  <c r="I487" i="17"/>
  <c r="H487" i="17"/>
  <c r="G487" i="17"/>
  <c r="J487" i="17"/>
  <c r="J486" i="17"/>
  <c r="H486" i="17"/>
  <c r="G486" i="17"/>
  <c r="I486" i="17"/>
  <c r="J484" i="17"/>
  <c r="I484" i="17"/>
  <c r="F484" i="17"/>
  <c r="K484" i="17" s="1"/>
  <c r="H484" i="17"/>
  <c r="G484" i="17"/>
  <c r="G483" i="17"/>
  <c r="F483" i="17"/>
  <c r="K483" i="17" s="1"/>
  <c r="J483" i="17"/>
  <c r="I483" i="17"/>
  <c r="H483" i="17"/>
  <c r="I482" i="17"/>
  <c r="H482" i="17"/>
  <c r="G482" i="17"/>
  <c r="F482" i="17"/>
  <c r="K482" i="17" s="1"/>
  <c r="J482" i="17"/>
  <c r="I481" i="17"/>
  <c r="G481" i="17"/>
  <c r="F479" i="17"/>
  <c r="J468" i="17"/>
  <c r="I468" i="17"/>
  <c r="G468" i="17"/>
  <c r="F468" i="17"/>
  <c r="K468" i="17" s="1"/>
  <c r="H468" i="17"/>
  <c r="I467" i="17"/>
  <c r="H467" i="17"/>
  <c r="J467" i="17"/>
  <c r="G466" i="17"/>
  <c r="J466" i="17"/>
  <c r="I466" i="17"/>
  <c r="H466" i="17"/>
  <c r="H465" i="17"/>
  <c r="J465" i="17"/>
  <c r="I465" i="17"/>
  <c r="J463" i="17"/>
  <c r="I463" i="17"/>
  <c r="H463" i="17"/>
  <c r="G463" i="17"/>
  <c r="F463" i="17"/>
  <c r="K463" i="17" s="1"/>
  <c r="I462" i="17"/>
  <c r="H462" i="17"/>
  <c r="J461" i="17"/>
  <c r="G461" i="17"/>
  <c r="I461" i="17"/>
  <c r="H461" i="17"/>
  <c r="H460" i="17"/>
  <c r="G460" i="17"/>
  <c r="J460" i="17"/>
  <c r="J458" i="17"/>
  <c r="I458" i="17"/>
  <c r="G458" i="17"/>
  <c r="F458" i="17"/>
  <c r="K458" i="17" s="1"/>
  <c r="H458" i="17"/>
  <c r="I457" i="17"/>
  <c r="H457" i="17"/>
  <c r="G456" i="17"/>
  <c r="I456" i="17"/>
  <c r="H456" i="17"/>
  <c r="H455" i="17"/>
  <c r="G455" i="17"/>
  <c r="I455" i="17"/>
  <c r="J453" i="17"/>
  <c r="I453" i="17"/>
  <c r="H453" i="17"/>
  <c r="G453" i="17"/>
  <c r="F453" i="17"/>
  <c r="K453" i="17" s="1"/>
  <c r="J452" i="17"/>
  <c r="I452" i="17"/>
  <c r="H452" i="17"/>
  <c r="J451" i="17"/>
  <c r="G451" i="17"/>
  <c r="I451" i="17"/>
  <c r="I450" i="17"/>
  <c r="G450" i="17"/>
  <c r="F450" i="17"/>
  <c r="F448" i="17"/>
  <c r="J435" i="17"/>
  <c r="I435" i="17"/>
  <c r="H435" i="17"/>
  <c r="F434" i="17"/>
  <c r="I434" i="17"/>
  <c r="H434" i="17"/>
  <c r="J432" i="17"/>
  <c r="I432" i="17"/>
  <c r="H432" i="17"/>
  <c r="G432" i="17"/>
  <c r="F432" i="17"/>
  <c r="K432" i="17" s="1"/>
  <c r="H431" i="17"/>
  <c r="I431" i="17"/>
  <c r="J430" i="17"/>
  <c r="I430" i="17"/>
  <c r="H430" i="17"/>
  <c r="H429" i="17"/>
  <c r="G429" i="17"/>
  <c r="J429" i="17"/>
  <c r="J427" i="17"/>
  <c r="I427" i="17"/>
  <c r="H427" i="17"/>
  <c r="I426" i="17"/>
  <c r="H426" i="17"/>
  <c r="I425" i="17"/>
  <c r="H425" i="17"/>
  <c r="H424" i="17"/>
  <c r="I422" i="17"/>
  <c r="H422" i="17"/>
  <c r="J421" i="17"/>
  <c r="I421" i="17"/>
  <c r="H421" i="17"/>
  <c r="J420" i="17"/>
  <c r="I420" i="17"/>
  <c r="H420" i="17"/>
  <c r="J405" i="17"/>
  <c r="I405" i="17"/>
  <c r="H405" i="17"/>
  <c r="H404" i="17"/>
  <c r="F403" i="17"/>
  <c r="H403" i="17"/>
  <c r="I402" i="17"/>
  <c r="J402" i="17"/>
  <c r="H402" i="17"/>
  <c r="J400" i="17"/>
  <c r="I400" i="17"/>
  <c r="H400" i="17"/>
  <c r="H399" i="17"/>
  <c r="G399" i="17"/>
  <c r="J399" i="17"/>
  <c r="J398" i="17"/>
  <c r="I398" i="17"/>
  <c r="G398" i="17"/>
  <c r="F398" i="17"/>
  <c r="K398" i="17" s="1"/>
  <c r="H398" i="17"/>
  <c r="H397" i="17"/>
  <c r="J397" i="17"/>
  <c r="I397" i="17"/>
  <c r="G395" i="17"/>
  <c r="J395" i="17"/>
  <c r="H395" i="17"/>
  <c r="H394" i="17"/>
  <c r="G394" i="17"/>
  <c r="J394" i="17"/>
  <c r="J393" i="17"/>
  <c r="I393" i="17"/>
  <c r="H393" i="17"/>
  <c r="G393" i="17"/>
  <c r="F393" i="17"/>
  <c r="K393" i="17" s="1"/>
  <c r="J392" i="17"/>
  <c r="I392" i="17"/>
  <c r="H392" i="17"/>
  <c r="J390" i="17"/>
  <c r="G390" i="17"/>
  <c r="F390" i="17"/>
  <c r="K390" i="17" s="1"/>
  <c r="I390" i="17"/>
  <c r="H390" i="17"/>
  <c r="I389" i="17"/>
  <c r="H389" i="17"/>
  <c r="G389" i="17"/>
  <c r="F389" i="17"/>
  <c r="K389" i="17" s="1"/>
  <c r="J389" i="17"/>
  <c r="J388" i="17"/>
  <c r="I388" i="17"/>
  <c r="H388" i="17"/>
  <c r="J387" i="17"/>
  <c r="I387" i="17"/>
  <c r="H387" i="17"/>
  <c r="F385" i="17"/>
  <c r="I372" i="17"/>
  <c r="H372" i="17"/>
  <c r="I371" i="17"/>
  <c r="F370" i="17"/>
  <c r="H370" i="17"/>
  <c r="I369" i="17"/>
  <c r="H369" i="17"/>
  <c r="F369" i="17"/>
  <c r="I366" i="17"/>
  <c r="H366" i="17"/>
  <c r="F364" i="17"/>
  <c r="I362" i="17"/>
  <c r="H362" i="17"/>
  <c r="I361" i="17"/>
  <c r="H361" i="17"/>
  <c r="I360" i="17"/>
  <c r="I359" i="17"/>
  <c r="H359" i="17"/>
  <c r="F359" i="17"/>
  <c r="H357" i="17"/>
  <c r="I357" i="17"/>
  <c r="F356" i="17"/>
  <c r="K356" i="17" s="1"/>
  <c r="J356" i="17"/>
  <c r="H356" i="17"/>
  <c r="G356" i="17"/>
  <c r="J369" i="17"/>
  <c r="H340" i="17"/>
  <c r="G340" i="17"/>
  <c r="J340" i="17"/>
  <c r="J339" i="17"/>
  <c r="I339" i="17"/>
  <c r="G339" i="17"/>
  <c r="F339" i="17"/>
  <c r="K339" i="17" s="1"/>
  <c r="H339" i="17"/>
  <c r="H338" i="17"/>
  <c r="I337" i="17"/>
  <c r="H337" i="17"/>
  <c r="J332" i="17"/>
  <c r="F330" i="17"/>
  <c r="H330" i="17"/>
  <c r="I329" i="17"/>
  <c r="H329" i="17"/>
  <c r="F329" i="17"/>
  <c r="I328" i="17"/>
  <c r="H328" i="17"/>
  <c r="I327" i="17"/>
  <c r="H327" i="17"/>
  <c r="I325" i="17"/>
  <c r="H325" i="17"/>
  <c r="I324" i="17"/>
  <c r="F324" i="17"/>
  <c r="H324" i="17"/>
  <c r="H323" i="17"/>
  <c r="F320" i="17"/>
  <c r="J308" i="17"/>
  <c r="F308" i="17"/>
  <c r="K308" i="17" s="1"/>
  <c r="I308" i="17"/>
  <c r="H308" i="17"/>
  <c r="G308" i="17"/>
  <c r="J307" i="17"/>
  <c r="I307" i="17"/>
  <c r="G307" i="17"/>
  <c r="H306" i="17"/>
  <c r="I305" i="17"/>
  <c r="H305" i="17"/>
  <c r="F302" i="17"/>
  <c r="H302" i="17"/>
  <c r="F298" i="17"/>
  <c r="H298" i="17"/>
  <c r="I297" i="17"/>
  <c r="H297" i="17"/>
  <c r="J291" i="17"/>
  <c r="I296" i="17"/>
  <c r="H296" i="17"/>
  <c r="H295" i="17"/>
  <c r="I293" i="17"/>
  <c r="H293" i="17"/>
  <c r="I292" i="17"/>
  <c r="H292" i="17"/>
  <c r="F292" i="17"/>
  <c r="K292" i="17" s="1"/>
  <c r="J292" i="17"/>
  <c r="G292" i="17"/>
  <c r="F288" i="17"/>
  <c r="I277" i="17"/>
  <c r="F277" i="17"/>
  <c r="H277" i="17"/>
  <c r="I276" i="17"/>
  <c r="H276" i="17"/>
  <c r="J276" i="17"/>
  <c r="G276" i="17"/>
  <c r="H275" i="17"/>
  <c r="I274" i="17"/>
  <c r="H274" i="17"/>
  <c r="G274" i="17"/>
  <c r="I272" i="17"/>
  <c r="G272" i="17"/>
  <c r="J272" i="17"/>
  <c r="I271" i="17"/>
  <c r="H271" i="17"/>
  <c r="J270" i="17"/>
  <c r="H270" i="17"/>
  <c r="I270" i="17"/>
  <c r="J269" i="17"/>
  <c r="I269" i="17"/>
  <c r="H269" i="17"/>
  <c r="G267" i="17"/>
  <c r="J267" i="17"/>
  <c r="I267" i="17"/>
  <c r="I266" i="17"/>
  <c r="J266" i="17"/>
  <c r="G266" i="17"/>
  <c r="J265" i="17"/>
  <c r="H265" i="17"/>
  <c r="G265" i="17"/>
  <c r="I265" i="17"/>
  <c r="I264" i="17"/>
  <c r="H264" i="17"/>
  <c r="I262" i="17"/>
  <c r="H262" i="17"/>
  <c r="F262" i="17"/>
  <c r="J261" i="17"/>
  <c r="I261" i="17"/>
  <c r="H261" i="17"/>
  <c r="G277" i="17"/>
  <c r="J260" i="17"/>
  <c r="I260" i="17"/>
  <c r="H260" i="17"/>
  <c r="F260" i="17"/>
  <c r="K260" i="17" s="1"/>
  <c r="I259" i="17"/>
  <c r="G259" i="17"/>
  <c r="F259" i="17"/>
  <c r="K259" i="17" s="1"/>
  <c r="J259" i="17"/>
  <c r="H259" i="17"/>
  <c r="I246" i="17"/>
  <c r="H245" i="17"/>
  <c r="J245" i="17"/>
  <c r="H244" i="17"/>
  <c r="I244" i="17"/>
  <c r="I243" i="17"/>
  <c r="H243" i="17"/>
  <c r="J240" i="17"/>
  <c r="H240" i="17"/>
  <c r="J239" i="17"/>
  <c r="I238" i="17"/>
  <c r="H238" i="17"/>
  <c r="H236" i="17"/>
  <c r="J235" i="17"/>
  <c r="H235" i="17"/>
  <c r="I235" i="17"/>
  <c r="J234" i="17"/>
  <c r="I234" i="17"/>
  <c r="H234" i="17"/>
  <c r="J233" i="17"/>
  <c r="I233" i="17"/>
  <c r="H233" i="17"/>
  <c r="H231" i="17"/>
  <c r="I231" i="17"/>
  <c r="J230" i="17"/>
  <c r="H230" i="17"/>
  <c r="J244" i="17"/>
  <c r="I230" i="17"/>
  <c r="F230" i="17"/>
  <c r="J229" i="17"/>
  <c r="I229" i="17"/>
  <c r="F229" i="17"/>
  <c r="J228" i="17"/>
  <c r="I228" i="17"/>
  <c r="F226" i="17"/>
  <c r="H215" i="17"/>
  <c r="F215" i="17"/>
  <c r="H214" i="17"/>
  <c r="F214" i="17"/>
  <c r="H213" i="17"/>
  <c r="F213" i="17"/>
  <c r="H212" i="17"/>
  <c r="F212" i="17"/>
  <c r="E212" i="17"/>
  <c r="I212" i="17" s="1"/>
  <c r="H210" i="17"/>
  <c r="F210" i="17"/>
  <c r="E210" i="17"/>
  <c r="H209" i="17"/>
  <c r="G209" i="17"/>
  <c r="F209" i="17"/>
  <c r="E209" i="17"/>
  <c r="H208" i="17"/>
  <c r="G208" i="17"/>
  <c r="F208" i="17"/>
  <c r="E208" i="17"/>
  <c r="H207" i="17"/>
  <c r="G207" i="17"/>
  <c r="F207" i="17"/>
  <c r="E207" i="17"/>
  <c r="I207" i="17" s="1"/>
  <c r="H205" i="17"/>
  <c r="F205" i="17"/>
  <c r="H204" i="17"/>
  <c r="F204" i="17"/>
  <c r="H203" i="17"/>
  <c r="F203" i="17"/>
  <c r="H202" i="17"/>
  <c r="F202" i="17"/>
  <c r="E202" i="17"/>
  <c r="H200" i="17"/>
  <c r="F200" i="17"/>
  <c r="E200" i="17"/>
  <c r="H199" i="17"/>
  <c r="G199" i="17"/>
  <c r="F199" i="17"/>
  <c r="E199" i="17"/>
  <c r="I199" i="17" s="1"/>
  <c r="H198" i="17"/>
  <c r="G198" i="17"/>
  <c r="F198" i="17"/>
  <c r="E198" i="17"/>
  <c r="H197" i="17"/>
  <c r="F197" i="17"/>
  <c r="E197" i="17"/>
  <c r="E195" i="17"/>
  <c r="G184" i="17"/>
  <c r="E184" i="17"/>
  <c r="G183" i="17"/>
  <c r="G182" i="17"/>
  <c r="G181" i="17"/>
  <c r="G178" i="17"/>
  <c r="G177" i="17"/>
  <c r="E177" i="17"/>
  <c r="E176" i="17"/>
  <c r="G176" i="17"/>
  <c r="G174" i="17"/>
  <c r="G173" i="17"/>
  <c r="H172" i="17"/>
  <c r="G172" i="17"/>
  <c r="E172" i="17"/>
  <c r="I172" i="17" s="1"/>
  <c r="F172" i="17"/>
  <c r="G171" i="17"/>
  <c r="E171" i="17"/>
  <c r="H169" i="17"/>
  <c r="G169" i="17"/>
  <c r="E169" i="17"/>
  <c r="I169" i="17" s="1"/>
  <c r="F169" i="17"/>
  <c r="G168" i="17"/>
  <c r="E168" i="17"/>
  <c r="I168" i="17" s="1"/>
  <c r="H168" i="17"/>
  <c r="F168" i="17"/>
  <c r="H166" i="17"/>
  <c r="E164" i="17"/>
  <c r="H153" i="17"/>
  <c r="G153" i="17"/>
  <c r="F153" i="17"/>
  <c r="E153" i="17"/>
  <c r="I153" i="17" s="1"/>
  <c r="H152" i="17"/>
  <c r="G152" i="17"/>
  <c r="F152" i="17"/>
  <c r="E152" i="17"/>
  <c r="H151" i="17"/>
  <c r="G151" i="17"/>
  <c r="F151" i="17"/>
  <c r="E151" i="17"/>
  <c r="H150" i="17"/>
  <c r="G150" i="17"/>
  <c r="F150" i="17"/>
  <c r="E150" i="17"/>
  <c r="H148" i="17"/>
  <c r="G148" i="17"/>
  <c r="F148" i="17"/>
  <c r="E148" i="17"/>
  <c r="H147" i="17"/>
  <c r="G147" i="17"/>
  <c r="F147" i="17"/>
  <c r="E147" i="17"/>
  <c r="H146" i="17"/>
  <c r="G146" i="17"/>
  <c r="F146" i="17"/>
  <c r="E146" i="17"/>
  <c r="H145" i="17"/>
  <c r="G145" i="17"/>
  <c r="F145" i="17"/>
  <c r="E145" i="17"/>
  <c r="H143" i="17"/>
  <c r="G143" i="17"/>
  <c r="F143" i="17"/>
  <c r="E143" i="17"/>
  <c r="H142" i="17"/>
  <c r="G142" i="17"/>
  <c r="F142" i="17"/>
  <c r="E142" i="17"/>
  <c r="H141" i="17"/>
  <c r="G141" i="17"/>
  <c r="F141" i="17"/>
  <c r="E141" i="17"/>
  <c r="H140" i="17"/>
  <c r="G140" i="17"/>
  <c r="F140" i="17"/>
  <c r="E140" i="17"/>
  <c r="H138" i="17"/>
  <c r="G138" i="17"/>
  <c r="F138" i="17"/>
  <c r="E138" i="17"/>
  <c r="H137" i="17"/>
  <c r="G137" i="17"/>
  <c r="F137" i="17"/>
  <c r="E137" i="17"/>
  <c r="I137" i="17" s="1"/>
  <c r="H136" i="17"/>
  <c r="G136" i="17"/>
  <c r="F136" i="17"/>
  <c r="E136" i="17"/>
  <c r="H135" i="17"/>
  <c r="G135" i="17"/>
  <c r="F135" i="17"/>
  <c r="E135" i="17"/>
  <c r="G120" i="17"/>
  <c r="E120" i="17"/>
  <c r="G119" i="17"/>
  <c r="E119" i="17"/>
  <c r="E117" i="17"/>
  <c r="G116" i="17"/>
  <c r="E116" i="17"/>
  <c r="G115" i="17"/>
  <c r="H114" i="17"/>
  <c r="G114" i="17"/>
  <c r="G112" i="17"/>
  <c r="E110" i="17"/>
  <c r="G109" i="17"/>
  <c r="E109" i="17"/>
  <c r="H107" i="17"/>
  <c r="E107" i="17"/>
  <c r="G106" i="17"/>
  <c r="H106" i="17"/>
  <c r="F105" i="17"/>
  <c r="G110" i="17"/>
  <c r="E102" i="17"/>
  <c r="H90" i="17"/>
  <c r="G90" i="17"/>
  <c r="F90" i="17"/>
  <c r="E90" i="17"/>
  <c r="I90" i="17" s="1"/>
  <c r="H89" i="17"/>
  <c r="G89" i="17"/>
  <c r="F89" i="17"/>
  <c r="H88" i="17"/>
  <c r="G88" i="17"/>
  <c r="F88" i="17"/>
  <c r="H87" i="17"/>
  <c r="G87" i="17"/>
  <c r="F87" i="17"/>
  <c r="H85" i="17"/>
  <c r="G85" i="17"/>
  <c r="F85" i="17"/>
  <c r="I85" i="17"/>
  <c r="H84" i="17"/>
  <c r="G84" i="17"/>
  <c r="F84" i="17"/>
  <c r="I84" i="17"/>
  <c r="H83" i="17"/>
  <c r="G83" i="17"/>
  <c r="F83" i="17"/>
  <c r="H82" i="17"/>
  <c r="G82" i="17"/>
  <c r="F82" i="17"/>
  <c r="H80" i="17"/>
  <c r="G80" i="17"/>
  <c r="F80" i="17"/>
  <c r="H79" i="17"/>
  <c r="G79" i="17"/>
  <c r="F79" i="17"/>
  <c r="H78" i="17"/>
  <c r="G78" i="17"/>
  <c r="F78" i="17"/>
  <c r="I78" i="17"/>
  <c r="H77" i="17"/>
  <c r="G77" i="17"/>
  <c r="F77" i="17"/>
  <c r="H75" i="17"/>
  <c r="G75" i="17"/>
  <c r="F75" i="17"/>
  <c r="I75" i="17"/>
  <c r="H74" i="17"/>
  <c r="G74" i="17"/>
  <c r="F74" i="17"/>
  <c r="I74" i="17"/>
  <c r="H73" i="17"/>
  <c r="G73" i="17"/>
  <c r="F73" i="17"/>
  <c r="H72" i="17"/>
  <c r="G72" i="17"/>
  <c r="F72" i="17"/>
  <c r="G52" i="17"/>
  <c r="G42" i="17"/>
  <c r="H40" i="17"/>
  <c r="E38" i="17"/>
  <c r="H27" i="17"/>
  <c r="G27" i="17"/>
  <c r="F27" i="17"/>
  <c r="E27" i="17"/>
  <c r="H26" i="17"/>
  <c r="G26" i="17"/>
  <c r="F26" i="17"/>
  <c r="E26" i="17"/>
  <c r="H25" i="17"/>
  <c r="G25" i="17"/>
  <c r="F25" i="17"/>
  <c r="E25" i="17"/>
  <c r="H24" i="17"/>
  <c r="G24" i="17"/>
  <c r="F24" i="17"/>
  <c r="E24" i="17"/>
  <c r="H22" i="17"/>
  <c r="G22" i="17"/>
  <c r="F22" i="17"/>
  <c r="E22" i="17"/>
  <c r="H21" i="17"/>
  <c r="G21" i="17"/>
  <c r="F21" i="17"/>
  <c r="E21" i="17"/>
  <c r="H20" i="17"/>
  <c r="G20" i="17"/>
  <c r="F20" i="17"/>
  <c r="E20" i="17"/>
  <c r="H19" i="17"/>
  <c r="G19" i="17"/>
  <c r="F19" i="17"/>
  <c r="E19" i="17"/>
  <c r="H17" i="17"/>
  <c r="G17" i="17"/>
  <c r="F17" i="17"/>
  <c r="E17" i="17"/>
  <c r="H16" i="17"/>
  <c r="G16" i="17"/>
  <c r="F16" i="17"/>
  <c r="E16" i="17"/>
  <c r="H15" i="17"/>
  <c r="G15" i="17"/>
  <c r="F15" i="17"/>
  <c r="E15" i="17"/>
  <c r="H14" i="17"/>
  <c r="G14" i="17"/>
  <c r="F14" i="17"/>
  <c r="E14" i="17"/>
  <c r="H12" i="17"/>
  <c r="G12" i="17"/>
  <c r="F12" i="17"/>
  <c r="E12" i="17"/>
  <c r="H11" i="17"/>
  <c r="G11" i="17"/>
  <c r="F11" i="17"/>
  <c r="E11" i="17"/>
  <c r="H10" i="17"/>
  <c r="G10" i="17"/>
  <c r="F10" i="17"/>
  <c r="E10" i="17"/>
  <c r="H9" i="17"/>
  <c r="G9" i="17"/>
  <c r="F9" i="17"/>
  <c r="E9" i="17"/>
  <c r="E7" i="17"/>
  <c r="AO95" i="15"/>
  <c r="AN95" i="15"/>
  <c r="AM95" i="15"/>
  <c r="AL95" i="15"/>
  <c r="AK95" i="15"/>
  <c r="AJ95" i="15"/>
  <c r="AI95" i="15"/>
  <c r="AH95" i="15"/>
  <c r="AG95" i="15"/>
  <c r="AF95" i="15"/>
  <c r="AE95" i="15"/>
  <c r="AD95" i="15"/>
  <c r="AC95" i="15"/>
  <c r="AB95" i="15"/>
  <c r="AA95" i="15"/>
  <c r="Z95" i="15"/>
  <c r="AO93" i="15"/>
  <c r="AN93" i="15"/>
  <c r="AM93" i="15"/>
  <c r="AL93" i="15"/>
  <c r="AK93" i="15"/>
  <c r="AJ93" i="15"/>
  <c r="AI93" i="15"/>
  <c r="AH93" i="15"/>
  <c r="AG93" i="15"/>
  <c r="AF93" i="15"/>
  <c r="AE93" i="15"/>
  <c r="AD93" i="15"/>
  <c r="AC93" i="15"/>
  <c r="AB93" i="15"/>
  <c r="AA93" i="15"/>
  <c r="Z93" i="15"/>
  <c r="AO91" i="15"/>
  <c r="AN91" i="15"/>
  <c r="AM91" i="15"/>
  <c r="AL91" i="15"/>
  <c r="AK91" i="15"/>
  <c r="AJ91" i="15"/>
  <c r="AI91" i="15"/>
  <c r="AH91" i="15"/>
  <c r="AG91" i="15"/>
  <c r="AF91" i="15"/>
  <c r="AE91" i="15"/>
  <c r="AD91" i="15"/>
  <c r="AC91" i="15"/>
  <c r="AB91" i="15"/>
  <c r="AA91" i="15"/>
  <c r="Z91" i="15"/>
  <c r="AO89" i="15"/>
  <c r="AN89" i="15"/>
  <c r="AM89" i="15"/>
  <c r="AL89" i="15"/>
  <c r="AK89" i="15"/>
  <c r="AJ89" i="15"/>
  <c r="AI89" i="15"/>
  <c r="AH89" i="15"/>
  <c r="AG89" i="15"/>
  <c r="AF89" i="15"/>
  <c r="AE89" i="15"/>
  <c r="AD89" i="15"/>
  <c r="AC89" i="15"/>
  <c r="AB89" i="15"/>
  <c r="AA89" i="15"/>
  <c r="Z89" i="15"/>
  <c r="AO87" i="15"/>
  <c r="AN87" i="15"/>
  <c r="AM87" i="15"/>
  <c r="AL87" i="15"/>
  <c r="AK87" i="15"/>
  <c r="AJ87" i="15"/>
  <c r="AI87" i="15"/>
  <c r="AH87" i="15"/>
  <c r="AG87" i="15"/>
  <c r="AF87" i="15"/>
  <c r="AE87" i="15"/>
  <c r="AD87" i="15"/>
  <c r="AC87" i="15"/>
  <c r="AB87" i="15"/>
  <c r="AA87" i="15"/>
  <c r="Z87" i="15"/>
  <c r="AO85" i="15"/>
  <c r="AN85" i="15"/>
  <c r="AM85" i="15"/>
  <c r="AL85" i="15"/>
  <c r="AK85" i="15"/>
  <c r="AJ85" i="15"/>
  <c r="AI85" i="15"/>
  <c r="AH85" i="15"/>
  <c r="AG85" i="15"/>
  <c r="AF85" i="15"/>
  <c r="AE85" i="15"/>
  <c r="AD85" i="15"/>
  <c r="AC85" i="15"/>
  <c r="AB85" i="15"/>
  <c r="AA85" i="15"/>
  <c r="Z85" i="15"/>
  <c r="AO83" i="15"/>
  <c r="AN83" i="15"/>
  <c r="AM83" i="15"/>
  <c r="AL83" i="15"/>
  <c r="AK83" i="15"/>
  <c r="AJ83" i="15"/>
  <c r="AI83" i="15"/>
  <c r="AH83" i="15"/>
  <c r="AG83" i="15"/>
  <c r="AF83" i="15"/>
  <c r="AE83" i="15"/>
  <c r="AD83" i="15"/>
  <c r="AC83" i="15"/>
  <c r="AB83" i="15"/>
  <c r="AA83" i="15"/>
  <c r="Z83" i="15"/>
  <c r="AO81" i="15"/>
  <c r="AN81" i="15"/>
  <c r="AM81" i="15"/>
  <c r="AL81" i="15"/>
  <c r="AK81" i="15"/>
  <c r="AJ81" i="15"/>
  <c r="AI81" i="15"/>
  <c r="AH81" i="15"/>
  <c r="AG81" i="15"/>
  <c r="AF81" i="15"/>
  <c r="AE81" i="15"/>
  <c r="AD81" i="15"/>
  <c r="AC81" i="15"/>
  <c r="AB81" i="15"/>
  <c r="AA81" i="15"/>
  <c r="Z81" i="15"/>
  <c r="AO79" i="15"/>
  <c r="AN79" i="15"/>
  <c r="AM79" i="15"/>
  <c r="AL79" i="15"/>
  <c r="AK79" i="15"/>
  <c r="AJ79" i="15"/>
  <c r="AI79" i="15"/>
  <c r="AH79" i="15"/>
  <c r="AG79" i="15"/>
  <c r="AF79" i="15"/>
  <c r="AE79" i="15"/>
  <c r="AD79" i="15"/>
  <c r="AC79" i="15"/>
  <c r="AB79" i="15"/>
  <c r="AA79" i="15"/>
  <c r="Z79" i="15"/>
  <c r="AO77" i="15"/>
  <c r="AN77" i="15"/>
  <c r="AM77" i="15"/>
  <c r="AL77" i="15"/>
  <c r="AK77" i="15"/>
  <c r="AJ77" i="15"/>
  <c r="AI77" i="15"/>
  <c r="AH77" i="15"/>
  <c r="AG77" i="15"/>
  <c r="AF77" i="15"/>
  <c r="AE77" i="15"/>
  <c r="AD77" i="15"/>
  <c r="AC77" i="15"/>
  <c r="AB77" i="15"/>
  <c r="AA77" i="15"/>
  <c r="Z77" i="15"/>
  <c r="AO75" i="15"/>
  <c r="AN75" i="15"/>
  <c r="AM75" i="15"/>
  <c r="AL75" i="15"/>
  <c r="AK75" i="15"/>
  <c r="AJ75" i="15"/>
  <c r="AI75" i="15"/>
  <c r="AH75" i="15"/>
  <c r="AG75" i="15"/>
  <c r="AF75" i="15"/>
  <c r="AE75" i="15"/>
  <c r="AD75" i="15"/>
  <c r="AC75" i="15"/>
  <c r="AB75" i="15"/>
  <c r="AA75" i="15"/>
  <c r="Z75" i="15"/>
  <c r="AO73" i="15"/>
  <c r="AN73" i="15"/>
  <c r="AM73" i="15"/>
  <c r="AL73" i="15"/>
  <c r="AK73" i="15"/>
  <c r="AJ73" i="15"/>
  <c r="AI73" i="15"/>
  <c r="AH73" i="15"/>
  <c r="AG73" i="15"/>
  <c r="AF73" i="15"/>
  <c r="AE73" i="15"/>
  <c r="AD73" i="15"/>
  <c r="AC73" i="15"/>
  <c r="AB73" i="15"/>
  <c r="AA73" i="15"/>
  <c r="Z73" i="15"/>
  <c r="AO71" i="15"/>
  <c r="AN71" i="15"/>
  <c r="AM71" i="15"/>
  <c r="AL71" i="15"/>
  <c r="AK71" i="15"/>
  <c r="AJ71" i="15"/>
  <c r="AI71" i="15"/>
  <c r="AH71" i="15"/>
  <c r="AG71" i="15"/>
  <c r="AF71" i="15"/>
  <c r="AE71" i="15"/>
  <c r="AD71" i="15"/>
  <c r="AC71" i="15"/>
  <c r="AB71" i="15"/>
  <c r="AA71" i="15"/>
  <c r="Z71" i="15"/>
  <c r="AO69" i="15"/>
  <c r="AN69" i="15"/>
  <c r="AM69" i="15"/>
  <c r="AL69" i="15"/>
  <c r="AK69" i="15"/>
  <c r="AJ69" i="15"/>
  <c r="AI69" i="15"/>
  <c r="AH69" i="15"/>
  <c r="AG69" i="15"/>
  <c r="AF69" i="15"/>
  <c r="AE69" i="15"/>
  <c r="AD69" i="15"/>
  <c r="AC69" i="15"/>
  <c r="AB69" i="15"/>
  <c r="AA69" i="15"/>
  <c r="Z69" i="15"/>
  <c r="AO67" i="15"/>
  <c r="AN67" i="15"/>
  <c r="AM67" i="15"/>
  <c r="AL67" i="15"/>
  <c r="AK67" i="15"/>
  <c r="AJ67" i="15"/>
  <c r="AI67" i="15"/>
  <c r="AH67" i="15"/>
  <c r="AG67" i="15"/>
  <c r="AF67" i="15"/>
  <c r="AE67" i="15"/>
  <c r="AD67" i="15"/>
  <c r="AC67" i="15"/>
  <c r="AB67" i="15"/>
  <c r="AA67" i="15"/>
  <c r="Z67" i="15"/>
  <c r="AO65" i="15"/>
  <c r="AN65" i="15"/>
  <c r="AM65" i="15"/>
  <c r="AL65" i="15"/>
  <c r="AK65" i="15"/>
  <c r="AJ65" i="15"/>
  <c r="AI65" i="15"/>
  <c r="AH65" i="15"/>
  <c r="AG65" i="15"/>
  <c r="AF65" i="15"/>
  <c r="AE65" i="15"/>
  <c r="AD65" i="15"/>
  <c r="AC65" i="15"/>
  <c r="AB65" i="15"/>
  <c r="AA65" i="15"/>
  <c r="Z65" i="15"/>
  <c r="AO63" i="15"/>
  <c r="AN63" i="15"/>
  <c r="AM63" i="15"/>
  <c r="AL63" i="15"/>
  <c r="AK63" i="15"/>
  <c r="AJ63" i="15"/>
  <c r="AI63" i="15"/>
  <c r="AH63" i="15"/>
  <c r="AG63" i="15"/>
  <c r="AF63" i="15"/>
  <c r="AE63" i="15"/>
  <c r="AD63" i="15"/>
  <c r="AC63" i="15"/>
  <c r="AB63" i="15"/>
  <c r="AA63" i="15"/>
  <c r="Z63" i="15"/>
  <c r="AO61" i="15"/>
  <c r="AN61" i="15"/>
  <c r="AM61" i="15"/>
  <c r="AL61" i="15"/>
  <c r="AK61" i="15"/>
  <c r="AJ61" i="15"/>
  <c r="AI61" i="15"/>
  <c r="AH61" i="15"/>
  <c r="AG61" i="15"/>
  <c r="AF61" i="15"/>
  <c r="AE61" i="15"/>
  <c r="AD61" i="15"/>
  <c r="AC61" i="15"/>
  <c r="AB61" i="15"/>
  <c r="AA61" i="15"/>
  <c r="Z61" i="15"/>
  <c r="AO59" i="15"/>
  <c r="AN59" i="15"/>
  <c r="AM59" i="15"/>
  <c r="AL59" i="15"/>
  <c r="AK59" i="15"/>
  <c r="AJ59" i="15"/>
  <c r="AI59" i="15"/>
  <c r="AH59" i="15"/>
  <c r="AG59" i="15"/>
  <c r="AF59" i="15"/>
  <c r="AE59" i="15"/>
  <c r="AD59" i="15"/>
  <c r="AC59" i="15"/>
  <c r="AB59" i="15"/>
  <c r="AA59" i="15"/>
  <c r="Z59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AO55" i="15"/>
  <c r="AN55" i="15"/>
  <c r="AM55" i="15"/>
  <c r="AL55" i="15"/>
  <c r="AK55" i="15"/>
  <c r="AJ55" i="15"/>
  <c r="AI55" i="15"/>
  <c r="AH55" i="15"/>
  <c r="AG55" i="15"/>
  <c r="AF55" i="15"/>
  <c r="AE55" i="15"/>
  <c r="AD55" i="15"/>
  <c r="AC55" i="15"/>
  <c r="AB55" i="15"/>
  <c r="AA55" i="15"/>
  <c r="Z55" i="15"/>
  <c r="AO53" i="15"/>
  <c r="AN53" i="15"/>
  <c r="AM53" i="15"/>
  <c r="AL53" i="15"/>
  <c r="AK53" i="15"/>
  <c r="AJ53" i="15"/>
  <c r="AI53" i="15"/>
  <c r="AH53" i="15"/>
  <c r="AG53" i="15"/>
  <c r="AF53" i="15"/>
  <c r="AE53" i="15"/>
  <c r="AD53" i="15"/>
  <c r="AC53" i="15"/>
  <c r="AB53" i="15"/>
  <c r="AA53" i="15"/>
  <c r="Z53" i="15"/>
  <c r="AO51" i="15"/>
  <c r="AN51" i="15"/>
  <c r="AM51" i="15"/>
  <c r="AL51" i="15"/>
  <c r="AK51" i="15"/>
  <c r="AJ51" i="15"/>
  <c r="AI51" i="15"/>
  <c r="AH51" i="15"/>
  <c r="AG51" i="15"/>
  <c r="AF51" i="15"/>
  <c r="AE51" i="15"/>
  <c r="AD51" i="15"/>
  <c r="AC51" i="15"/>
  <c r="AB51" i="15"/>
  <c r="AA51" i="15"/>
  <c r="Z51" i="15"/>
  <c r="AO49" i="15"/>
  <c r="AN49" i="15"/>
  <c r="AM49" i="15"/>
  <c r="AL49" i="15"/>
  <c r="AK49" i="15"/>
  <c r="AJ49" i="15"/>
  <c r="AI49" i="15"/>
  <c r="AH49" i="15"/>
  <c r="AG49" i="15"/>
  <c r="AF49" i="15"/>
  <c r="AE49" i="15"/>
  <c r="AD49" i="15"/>
  <c r="AC49" i="15"/>
  <c r="AB49" i="15"/>
  <c r="AA49" i="15"/>
  <c r="Z49" i="15"/>
  <c r="AO47" i="15"/>
  <c r="AN47" i="15"/>
  <c r="AM47" i="15"/>
  <c r="AL47" i="15"/>
  <c r="AK47" i="15"/>
  <c r="AJ47" i="15"/>
  <c r="AI47" i="15"/>
  <c r="AH47" i="15"/>
  <c r="AG47" i="15"/>
  <c r="AF47" i="15"/>
  <c r="AE47" i="15"/>
  <c r="AD47" i="15"/>
  <c r="AC47" i="15"/>
  <c r="AB47" i="15"/>
  <c r="AA47" i="15"/>
  <c r="Z47" i="15"/>
  <c r="AO45" i="15"/>
  <c r="AN45" i="15"/>
  <c r="AM45" i="15"/>
  <c r="AL45" i="15"/>
  <c r="AK45" i="15"/>
  <c r="AJ45" i="15"/>
  <c r="AI45" i="15"/>
  <c r="AH45" i="15"/>
  <c r="AG45" i="15"/>
  <c r="AF45" i="15"/>
  <c r="AE45" i="15"/>
  <c r="AD45" i="15"/>
  <c r="AC45" i="15"/>
  <c r="AB45" i="15"/>
  <c r="AA45" i="15"/>
  <c r="Z45" i="15"/>
  <c r="AO43" i="15"/>
  <c r="AN43" i="15"/>
  <c r="AM43" i="15"/>
  <c r="AL43" i="15"/>
  <c r="AK43" i="15"/>
  <c r="AJ43" i="15"/>
  <c r="AI43" i="15"/>
  <c r="AH43" i="15"/>
  <c r="AG43" i="15"/>
  <c r="AF43" i="15"/>
  <c r="AE43" i="15"/>
  <c r="AD43" i="15"/>
  <c r="AC43" i="15"/>
  <c r="AB43" i="15"/>
  <c r="AA43" i="15"/>
  <c r="Z43" i="15"/>
  <c r="AO41" i="15"/>
  <c r="AN41" i="15"/>
  <c r="AM41" i="15"/>
  <c r="AL41" i="15"/>
  <c r="AK41" i="15"/>
  <c r="AJ41" i="15"/>
  <c r="AI41" i="15"/>
  <c r="AH41" i="15"/>
  <c r="AG41" i="15"/>
  <c r="AF41" i="15"/>
  <c r="AE41" i="15"/>
  <c r="AD41" i="15"/>
  <c r="AC41" i="15"/>
  <c r="AB41" i="15"/>
  <c r="AA41" i="15"/>
  <c r="Z41" i="15"/>
  <c r="AO39" i="15"/>
  <c r="AN39" i="15"/>
  <c r="AM39" i="15"/>
  <c r="AL39" i="15"/>
  <c r="AK39" i="15"/>
  <c r="AJ39" i="15"/>
  <c r="AI39" i="15"/>
  <c r="AH39" i="15"/>
  <c r="AG39" i="15"/>
  <c r="AF39" i="15"/>
  <c r="AE39" i="15"/>
  <c r="AD39" i="15"/>
  <c r="AC39" i="15"/>
  <c r="AB39" i="15"/>
  <c r="AA39" i="15"/>
  <c r="Z39" i="15"/>
  <c r="AO37" i="15"/>
  <c r="AN37" i="15"/>
  <c r="AM37" i="15"/>
  <c r="AL37" i="15"/>
  <c r="AK37" i="15"/>
  <c r="AJ37" i="15"/>
  <c r="AI37" i="15"/>
  <c r="AH37" i="15"/>
  <c r="AG37" i="15"/>
  <c r="AF37" i="15"/>
  <c r="AE37" i="15"/>
  <c r="AD37" i="15"/>
  <c r="AC37" i="15"/>
  <c r="AB37" i="15"/>
  <c r="AA37" i="15"/>
  <c r="Z37" i="15"/>
  <c r="AO35" i="15"/>
  <c r="AN35" i="15"/>
  <c r="AM35" i="15"/>
  <c r="AL35" i="15"/>
  <c r="AK35" i="15"/>
  <c r="AJ35" i="15"/>
  <c r="AI35" i="15"/>
  <c r="AH35" i="15"/>
  <c r="AG35" i="15"/>
  <c r="AF35" i="15"/>
  <c r="AE35" i="15"/>
  <c r="AD35" i="15"/>
  <c r="AC35" i="15"/>
  <c r="AB35" i="15"/>
  <c r="AA35" i="15"/>
  <c r="Z35" i="15"/>
  <c r="AO33" i="15"/>
  <c r="AN33" i="15"/>
  <c r="AM33" i="15"/>
  <c r="AL33" i="15"/>
  <c r="AK33" i="15"/>
  <c r="AJ33" i="15"/>
  <c r="AI33" i="15"/>
  <c r="AH33" i="15"/>
  <c r="AG33" i="15"/>
  <c r="AF33" i="15"/>
  <c r="AE33" i="15"/>
  <c r="AD33" i="15"/>
  <c r="AC33" i="15"/>
  <c r="AB33" i="15"/>
  <c r="AA33" i="15"/>
  <c r="Z33" i="15"/>
  <c r="AO31" i="15"/>
  <c r="AN31" i="15"/>
  <c r="AM31" i="15"/>
  <c r="AL31" i="15"/>
  <c r="AK31" i="15"/>
  <c r="AJ31" i="15"/>
  <c r="AI31" i="15"/>
  <c r="AH31" i="15"/>
  <c r="AG31" i="15"/>
  <c r="AF31" i="15"/>
  <c r="AE31" i="15"/>
  <c r="AD31" i="15"/>
  <c r="AC31" i="15"/>
  <c r="AB31" i="15"/>
  <c r="AA31" i="15"/>
  <c r="Z31" i="15"/>
  <c r="AO29" i="15"/>
  <c r="AN29" i="15"/>
  <c r="AM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Z29" i="15"/>
  <c r="AO27" i="15"/>
  <c r="AN27" i="15"/>
  <c r="AM27" i="15"/>
  <c r="AL27" i="15"/>
  <c r="AK27" i="15"/>
  <c r="AJ27" i="15"/>
  <c r="AI27" i="15"/>
  <c r="AH27" i="15"/>
  <c r="AG27" i="15"/>
  <c r="AF27" i="15"/>
  <c r="AE27" i="15"/>
  <c r="AD27" i="15"/>
  <c r="AC27" i="15"/>
  <c r="AB27" i="15"/>
  <c r="AA27" i="15"/>
  <c r="Z27" i="15"/>
  <c r="AO25" i="15"/>
  <c r="AN25" i="15"/>
  <c r="AM25" i="15"/>
  <c r="AL25" i="15"/>
  <c r="AK25" i="15"/>
  <c r="AJ25" i="15"/>
  <c r="AI25" i="15"/>
  <c r="AH25" i="15"/>
  <c r="AG25" i="15"/>
  <c r="AF25" i="15"/>
  <c r="AE25" i="15"/>
  <c r="AD25" i="15"/>
  <c r="AC25" i="15"/>
  <c r="AB25" i="15"/>
  <c r="AA25" i="15"/>
  <c r="Z25" i="15"/>
  <c r="AO23" i="15"/>
  <c r="AN23" i="15"/>
  <c r="AM23" i="15"/>
  <c r="AL23" i="15"/>
  <c r="AK23" i="15"/>
  <c r="AJ23" i="15"/>
  <c r="AI23" i="15"/>
  <c r="AH23" i="15"/>
  <c r="AG23" i="15"/>
  <c r="AF23" i="15"/>
  <c r="AE23" i="15"/>
  <c r="AD23" i="15"/>
  <c r="AC23" i="15"/>
  <c r="AB23" i="15"/>
  <c r="AA23" i="15"/>
  <c r="Z23" i="15"/>
  <c r="AO21" i="15"/>
  <c r="AN21" i="15"/>
  <c r="AM21" i="15"/>
  <c r="AL21" i="15"/>
  <c r="AK21" i="15"/>
  <c r="AJ21" i="15"/>
  <c r="AI21" i="15"/>
  <c r="AH21" i="15"/>
  <c r="AG21" i="15"/>
  <c r="AF21" i="15"/>
  <c r="AE21" i="15"/>
  <c r="AD21" i="15"/>
  <c r="AC21" i="15"/>
  <c r="AB21" i="15"/>
  <c r="AA21" i="15"/>
  <c r="Z21" i="15"/>
  <c r="AO19" i="15"/>
  <c r="AN19" i="15"/>
  <c r="AM19" i="15"/>
  <c r="AL19" i="15"/>
  <c r="AK19" i="15"/>
  <c r="AJ19" i="15"/>
  <c r="AI19" i="15"/>
  <c r="AH19" i="15"/>
  <c r="AG19" i="15"/>
  <c r="AF19" i="15"/>
  <c r="AE19" i="15"/>
  <c r="AD19" i="15"/>
  <c r="AC19" i="15"/>
  <c r="AB19" i="15"/>
  <c r="AA19" i="15"/>
  <c r="Z19" i="15"/>
  <c r="AO17" i="15"/>
  <c r="AN17" i="15"/>
  <c r="AM17" i="15"/>
  <c r="AL17" i="15"/>
  <c r="AK17" i="15"/>
  <c r="AJ17" i="15"/>
  <c r="AI17" i="15"/>
  <c r="AH17" i="15"/>
  <c r="AG17" i="15"/>
  <c r="AF17" i="15"/>
  <c r="AE17" i="15"/>
  <c r="AD17" i="15"/>
  <c r="AC17" i="15"/>
  <c r="AB17" i="15"/>
  <c r="AA17" i="15"/>
  <c r="Z17" i="15"/>
  <c r="AO15" i="15"/>
  <c r="AN15" i="15"/>
  <c r="AM15" i="15"/>
  <c r="AL15" i="15"/>
  <c r="AK15" i="15"/>
  <c r="AJ15" i="15"/>
  <c r="AI15" i="15"/>
  <c r="AH15" i="15"/>
  <c r="AG15" i="15"/>
  <c r="AF15" i="15"/>
  <c r="AE15" i="15"/>
  <c r="AD15" i="15"/>
  <c r="AC15" i="15"/>
  <c r="AB15" i="15"/>
  <c r="AA15" i="15"/>
  <c r="Z15" i="15"/>
  <c r="AO13" i="15"/>
  <c r="AN13" i="15"/>
  <c r="AM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Z13" i="15"/>
  <c r="AO11" i="15"/>
  <c r="AN11" i="15"/>
  <c r="AM11" i="15"/>
  <c r="AL11" i="15"/>
  <c r="AK11" i="15"/>
  <c r="AJ11" i="15"/>
  <c r="AI11" i="15"/>
  <c r="AH11" i="15"/>
  <c r="AG11" i="15"/>
  <c r="AF11" i="15"/>
  <c r="AE11" i="15"/>
  <c r="AD11" i="15"/>
  <c r="AC11" i="15"/>
  <c r="AB11" i="15"/>
  <c r="AA11" i="15"/>
  <c r="Z11" i="15"/>
  <c r="AO9" i="15"/>
  <c r="AN9" i="15"/>
  <c r="AM9" i="15"/>
  <c r="AL9" i="15"/>
  <c r="AK9" i="15"/>
  <c r="AJ9" i="15"/>
  <c r="AI9" i="15"/>
  <c r="AH9" i="15"/>
  <c r="AG9" i="15"/>
  <c r="AF9" i="15"/>
  <c r="AE9" i="15"/>
  <c r="AD9" i="15"/>
  <c r="AC9" i="15"/>
  <c r="AB9" i="15"/>
  <c r="AA9" i="15"/>
  <c r="Z9" i="15"/>
  <c r="AO7" i="15"/>
  <c r="AN7" i="15"/>
  <c r="AM7" i="15"/>
  <c r="AL7" i="15"/>
  <c r="AK7" i="15"/>
  <c r="AJ7" i="15"/>
  <c r="AI7" i="15"/>
  <c r="AH7" i="15"/>
  <c r="AG7" i="15"/>
  <c r="AF7" i="15"/>
  <c r="AE7" i="15"/>
  <c r="AD7" i="15"/>
  <c r="AC7" i="15"/>
  <c r="AB7" i="15"/>
  <c r="AA7" i="15"/>
  <c r="Z7" i="15"/>
  <c r="AO5" i="15"/>
  <c r="AN5" i="15"/>
  <c r="AM5" i="15"/>
  <c r="AL5" i="15"/>
  <c r="AK5" i="15"/>
  <c r="AJ5" i="15"/>
  <c r="AI5" i="15"/>
  <c r="AH5" i="15"/>
  <c r="AG5" i="15"/>
  <c r="AF5" i="15"/>
  <c r="AE5" i="15"/>
  <c r="AD5" i="15"/>
  <c r="AC5" i="15"/>
  <c r="AB5" i="15"/>
  <c r="AA5" i="15"/>
  <c r="Z5" i="15"/>
  <c r="H91" i="14"/>
  <c r="H112" i="14" s="1"/>
  <c r="I87" i="14"/>
  <c r="I108" i="14" s="1"/>
  <c r="J85" i="14"/>
  <c r="J106" i="14" s="1"/>
  <c r="I84" i="14"/>
  <c r="H83" i="14"/>
  <c r="H104" i="14" s="1"/>
  <c r="J77" i="14"/>
  <c r="J98" i="14" s="1"/>
  <c r="I76" i="14"/>
  <c r="H74" i="14"/>
  <c r="J64" i="14"/>
  <c r="I63" i="14"/>
  <c r="H62" i="14"/>
  <c r="J56" i="14"/>
  <c r="I55" i="14"/>
  <c r="H54" i="14"/>
  <c r="I150" i="17" l="1"/>
  <c r="I152" i="17"/>
  <c r="I104" i="14"/>
  <c r="D59" i="14"/>
  <c r="C66" i="14"/>
  <c r="D67" i="14"/>
  <c r="F69" i="14"/>
  <c r="G74" i="14"/>
  <c r="G95" i="14" s="1"/>
  <c r="B78" i="14"/>
  <c r="E81" i="14"/>
  <c r="F82" i="14"/>
  <c r="E89" i="14"/>
  <c r="E110" i="14" s="1"/>
  <c r="E62" i="14"/>
  <c r="D68" i="14"/>
  <c r="E69" i="14"/>
  <c r="B79" i="14"/>
  <c r="B100" i="14" s="1"/>
  <c r="B87" i="14"/>
  <c r="G52" i="14"/>
  <c r="E80" i="14"/>
  <c r="F81" i="14"/>
  <c r="F52" i="14"/>
  <c r="G54" i="14"/>
  <c r="B57" i="14"/>
  <c r="F61" i="14"/>
  <c r="G62" i="14"/>
  <c r="E68" i="14"/>
  <c r="C79" i="14"/>
  <c r="G83" i="14"/>
  <c r="G104" i="14" s="1"/>
  <c r="I148" i="17"/>
  <c r="C57" i="14"/>
  <c r="D88" i="14"/>
  <c r="D109" i="14" s="1"/>
  <c r="F90" i="14"/>
  <c r="G91" i="14"/>
  <c r="G112" i="14" s="1"/>
  <c r="D63" i="14"/>
  <c r="E64" i="14"/>
  <c r="C74" i="14"/>
  <c r="D76" i="14"/>
  <c r="G79" i="14"/>
  <c r="G100" i="14" s="1"/>
  <c r="G87" i="14"/>
  <c r="G108" i="14" s="1"/>
  <c r="E55" i="14"/>
  <c r="F56" i="14"/>
  <c r="G57" i="14"/>
  <c r="B60" i="14"/>
  <c r="D62" i="14"/>
  <c r="E63" i="14"/>
  <c r="F64" i="14"/>
  <c r="G65" i="14"/>
  <c r="B68" i="14"/>
  <c r="C69" i="14"/>
  <c r="E76" i="14"/>
  <c r="F77" i="14"/>
  <c r="G78" i="14"/>
  <c r="G99" i="14" s="1"/>
  <c r="F85" i="14"/>
  <c r="F106" i="14" s="1"/>
  <c r="G86" i="14"/>
  <c r="G107" i="14" s="1"/>
  <c r="B89" i="14"/>
  <c r="B110" i="14" s="1"/>
  <c r="C54" i="14"/>
  <c r="E56" i="14"/>
  <c r="F65" i="14"/>
  <c r="D52" i="14"/>
  <c r="E54" i="14"/>
  <c r="D61" i="14"/>
  <c r="G64" i="14"/>
  <c r="E91" i="14"/>
  <c r="G84" i="14"/>
  <c r="G105" i="14" s="1"/>
  <c r="K21" i="14"/>
  <c r="K35" i="14"/>
  <c r="J39" i="14"/>
  <c r="C68" i="14"/>
  <c r="E74" i="14"/>
  <c r="F76" i="14"/>
  <c r="C81" i="14"/>
  <c r="D82" i="14"/>
  <c r="D103" i="14" s="1"/>
  <c r="E83" i="14"/>
  <c r="W11" i="18"/>
  <c r="F84" i="14"/>
  <c r="G60" i="14"/>
  <c r="D57" i="14"/>
  <c r="G63" i="14"/>
  <c r="G68" i="14"/>
  <c r="B517" i="17"/>
  <c r="E517" i="17"/>
  <c r="J517" i="17" s="1"/>
  <c r="D517" i="17"/>
  <c r="I517" i="17" s="1"/>
  <c r="C517" i="17"/>
  <c r="H517" i="17" s="1"/>
  <c r="B522" i="17"/>
  <c r="E522" i="17"/>
  <c r="J522" i="17" s="1"/>
  <c r="D522" i="17"/>
  <c r="I522" i="17" s="1"/>
  <c r="C522" i="17"/>
  <c r="H522" i="17" s="1"/>
  <c r="E512" i="17"/>
  <c r="J512" i="17" s="1"/>
  <c r="D512" i="17"/>
  <c r="I512" i="17" s="1"/>
  <c r="C512" i="17"/>
  <c r="H512" i="17" s="1"/>
  <c r="B512" i="17"/>
  <c r="G512" i="17" s="1"/>
  <c r="E513" i="17"/>
  <c r="J513" i="17" s="1"/>
  <c r="B513" i="17"/>
  <c r="G513" i="17" s="1"/>
  <c r="D513" i="17"/>
  <c r="I513" i="17" s="1"/>
  <c r="C513" i="17"/>
  <c r="H513" i="17" s="1"/>
  <c r="B527" i="17"/>
  <c r="E527" i="17"/>
  <c r="J527" i="17" s="1"/>
  <c r="D527" i="17"/>
  <c r="I527" i="17" s="1"/>
  <c r="C527" i="17"/>
  <c r="H527" i="17" s="1"/>
  <c r="E528" i="17"/>
  <c r="J528" i="17" s="1"/>
  <c r="C528" i="17"/>
  <c r="H528" i="17" s="1"/>
  <c r="B528" i="17"/>
  <c r="G528" i="17" s="1"/>
  <c r="D528" i="17"/>
  <c r="I528" i="17" s="1"/>
  <c r="B529" i="17"/>
  <c r="G529" i="17" s="1"/>
  <c r="E529" i="17"/>
  <c r="J529" i="17" s="1"/>
  <c r="D529" i="17"/>
  <c r="I529" i="17" s="1"/>
  <c r="C529" i="17"/>
  <c r="H529" i="17" s="1"/>
  <c r="E518" i="17"/>
  <c r="J518" i="17" s="1"/>
  <c r="D518" i="17"/>
  <c r="I518" i="17" s="1"/>
  <c r="C518" i="17"/>
  <c r="H518" i="17" s="1"/>
  <c r="B518" i="17"/>
  <c r="G518" i="17" s="1"/>
  <c r="E524" i="17"/>
  <c r="J524" i="17" s="1"/>
  <c r="D524" i="17"/>
  <c r="I524" i="17" s="1"/>
  <c r="C524" i="17"/>
  <c r="H524" i="17" s="1"/>
  <c r="B524" i="17"/>
  <c r="G524" i="17" s="1"/>
  <c r="E437" i="17"/>
  <c r="J437" i="17" s="1"/>
  <c r="D437" i="17"/>
  <c r="I437" i="17" s="1"/>
  <c r="C437" i="17"/>
  <c r="H437" i="17" s="1"/>
  <c r="B437" i="17"/>
  <c r="E515" i="17"/>
  <c r="J515" i="17" s="1"/>
  <c r="C515" i="17"/>
  <c r="H515" i="17" s="1"/>
  <c r="D515" i="17"/>
  <c r="I515" i="17" s="1"/>
  <c r="B515" i="17"/>
  <c r="B519" i="17"/>
  <c r="E519" i="17"/>
  <c r="J519" i="17" s="1"/>
  <c r="D519" i="17"/>
  <c r="I519" i="17" s="1"/>
  <c r="C519" i="17"/>
  <c r="H519" i="17" s="1"/>
  <c r="E530" i="17"/>
  <c r="J530" i="17" s="1"/>
  <c r="D530" i="17"/>
  <c r="I530" i="17" s="1"/>
  <c r="C530" i="17"/>
  <c r="H530" i="17" s="1"/>
  <c r="B530" i="17"/>
  <c r="G530" i="17" s="1"/>
  <c r="D544" i="18"/>
  <c r="I544" i="18" s="1"/>
  <c r="C544" i="18"/>
  <c r="H544" i="18" s="1"/>
  <c r="E544" i="18"/>
  <c r="J544" i="18" s="1"/>
  <c r="B544" i="18"/>
  <c r="G544" i="18" s="1"/>
  <c r="E436" i="17"/>
  <c r="D436" i="17"/>
  <c r="I436" i="17" s="1"/>
  <c r="C436" i="17"/>
  <c r="B436" i="17"/>
  <c r="G436" i="17" s="1"/>
  <c r="E523" i="17"/>
  <c r="J523" i="17" s="1"/>
  <c r="D523" i="17"/>
  <c r="I523" i="17" s="1"/>
  <c r="C523" i="17"/>
  <c r="H523" i="17" s="1"/>
  <c r="B523" i="17"/>
  <c r="B514" i="17"/>
  <c r="G514" i="17" s="1"/>
  <c r="E514" i="17"/>
  <c r="J514" i="17" s="1"/>
  <c r="D514" i="17"/>
  <c r="I514" i="17" s="1"/>
  <c r="C514" i="17"/>
  <c r="H514" i="17" s="1"/>
  <c r="E520" i="17"/>
  <c r="J520" i="17" s="1"/>
  <c r="C520" i="17"/>
  <c r="H520" i="17" s="1"/>
  <c r="D520" i="17"/>
  <c r="I520" i="17" s="1"/>
  <c r="B520" i="17"/>
  <c r="G520" i="17" s="1"/>
  <c r="E525" i="17"/>
  <c r="J525" i="17" s="1"/>
  <c r="D525" i="17"/>
  <c r="I525" i="17" s="1"/>
  <c r="C525" i="17"/>
  <c r="H525" i="17" s="1"/>
  <c r="B525" i="17"/>
  <c r="D449" i="18"/>
  <c r="I449" i="18" s="1"/>
  <c r="B449" i="18"/>
  <c r="C449" i="18"/>
  <c r="E449" i="18"/>
  <c r="J437" i="18" s="1"/>
  <c r="B545" i="18"/>
  <c r="E545" i="18"/>
  <c r="J545" i="18" s="1"/>
  <c r="D545" i="18"/>
  <c r="I545" i="18" s="1"/>
  <c r="C545" i="18"/>
  <c r="H545" i="18" s="1"/>
  <c r="I17" i="17"/>
  <c r="I79" i="17"/>
  <c r="I141" i="17"/>
  <c r="AC28" i="18"/>
  <c r="K434" i="18"/>
  <c r="Q23" i="18"/>
  <c r="Q434" i="18"/>
  <c r="W434" i="18" s="1"/>
  <c r="Q247" i="18"/>
  <c r="W247" i="18" s="1"/>
  <c r="B54" i="14"/>
  <c r="C55" i="14"/>
  <c r="E57" i="14"/>
  <c r="F58" i="14"/>
  <c r="E65" i="14"/>
  <c r="F66" i="14"/>
  <c r="E78" i="14"/>
  <c r="G80" i="14"/>
  <c r="G101" i="14" s="1"/>
  <c r="E86" i="14"/>
  <c r="E107" i="14" s="1"/>
  <c r="F87" i="14"/>
  <c r="B91" i="14"/>
  <c r="E52" i="14"/>
  <c r="C59" i="14"/>
  <c r="E61" i="14"/>
  <c r="F62" i="14"/>
  <c r="B66" i="14"/>
  <c r="C67" i="14"/>
  <c r="G76" i="14"/>
  <c r="G97" i="14" s="1"/>
  <c r="C80" i="14"/>
  <c r="D81" i="14"/>
  <c r="D102" i="14" s="1"/>
  <c r="E82" i="14"/>
  <c r="C88" i="14"/>
  <c r="D89" i="14"/>
  <c r="D110" i="14" s="1"/>
  <c r="E90" i="14"/>
  <c r="E111" i="14" s="1"/>
  <c r="J6" i="14"/>
  <c r="B90" i="14"/>
  <c r="I110" i="14"/>
  <c r="H100" i="14"/>
  <c r="K23" i="14"/>
  <c r="K46" i="14"/>
  <c r="B59" i="14"/>
  <c r="J13" i="14"/>
  <c r="J36" i="14"/>
  <c r="B74" i="14"/>
  <c r="J30" i="14"/>
  <c r="K32" i="14"/>
  <c r="C76" i="14"/>
  <c r="G58" i="14"/>
  <c r="G66" i="14"/>
  <c r="B69" i="14"/>
  <c r="B82" i="14"/>
  <c r="D84" i="14"/>
  <c r="F86" i="14"/>
  <c r="F107" i="14" s="1"/>
  <c r="C91" i="14"/>
  <c r="K43" i="14"/>
  <c r="J95" i="14"/>
  <c r="K40" i="14"/>
  <c r="C84" i="14"/>
  <c r="F57" i="14"/>
  <c r="F78" i="14"/>
  <c r="C83" i="14"/>
  <c r="J110" i="14"/>
  <c r="I99" i="14"/>
  <c r="F55" i="14"/>
  <c r="G56" i="14"/>
  <c r="F63" i="14"/>
  <c r="B67" i="14"/>
  <c r="K30" i="14"/>
  <c r="G77" i="14"/>
  <c r="G98" i="14" s="1"/>
  <c r="B80" i="14"/>
  <c r="B101" i="14" s="1"/>
  <c r="G85" i="14"/>
  <c r="G106" i="14" s="1"/>
  <c r="B88" i="14"/>
  <c r="C89" i="14"/>
  <c r="C110" i="14" s="1"/>
  <c r="D90" i="14"/>
  <c r="J99" i="14"/>
  <c r="B55" i="14"/>
  <c r="C56" i="14"/>
  <c r="E58" i="14"/>
  <c r="D58" i="14"/>
  <c r="E59" i="14"/>
  <c r="F60" i="14"/>
  <c r="G61" i="14"/>
  <c r="C64" i="14"/>
  <c r="D65" i="14"/>
  <c r="E66" i="14"/>
  <c r="D66" i="14"/>
  <c r="F67" i="14"/>
  <c r="E67" i="14"/>
  <c r="F68" i="14"/>
  <c r="G69" i="14"/>
  <c r="I95" i="14"/>
  <c r="B76" i="14"/>
  <c r="C77" i="14"/>
  <c r="B77" i="14"/>
  <c r="D78" i="14"/>
  <c r="D99" i="14" s="1"/>
  <c r="E79" i="14"/>
  <c r="K36" i="14"/>
  <c r="G81" i="14"/>
  <c r="G102" i="14" s="1"/>
  <c r="G82" i="14"/>
  <c r="G103" i="14" s="1"/>
  <c r="B84" i="14"/>
  <c r="C85" i="14"/>
  <c r="B85" i="14"/>
  <c r="D86" i="14"/>
  <c r="E87" i="14"/>
  <c r="D87" i="14"/>
  <c r="D108" i="14" s="1"/>
  <c r="E88" i="14"/>
  <c r="G89" i="14"/>
  <c r="G110" i="14" s="1"/>
  <c r="F89" i="14"/>
  <c r="F110" i="14" s="1"/>
  <c r="I105" i="14"/>
  <c r="K47" i="14"/>
  <c r="K16" i="14"/>
  <c r="K10" i="14"/>
  <c r="F79" i="14"/>
  <c r="H97" i="14"/>
  <c r="H95" i="14"/>
  <c r="K41" i="14"/>
  <c r="H13" i="18"/>
  <c r="P13" i="18"/>
  <c r="V13" i="18" s="1"/>
  <c r="H25" i="18"/>
  <c r="H26" i="18"/>
  <c r="H12" i="18"/>
  <c r="H28" i="18"/>
  <c r="AB13" i="18"/>
  <c r="E13" i="18"/>
  <c r="H81" i="18"/>
  <c r="H109" i="18"/>
  <c r="H112" i="18"/>
  <c r="H122" i="18"/>
  <c r="H113" i="18"/>
  <c r="H365" i="18"/>
  <c r="F364" i="18"/>
  <c r="H364" i="18"/>
  <c r="F10" i="18"/>
  <c r="F23" i="18"/>
  <c r="F13" i="18"/>
  <c r="F15" i="18"/>
  <c r="Z10" i="18"/>
  <c r="E10" i="18"/>
  <c r="F25" i="18"/>
  <c r="F22" i="18"/>
  <c r="O10" i="18"/>
  <c r="U10" i="18" s="1"/>
  <c r="F26" i="18"/>
  <c r="H74" i="18"/>
  <c r="H89" i="18"/>
  <c r="H77" i="18"/>
  <c r="H79" i="18"/>
  <c r="E121" i="18"/>
  <c r="G121" i="18"/>
  <c r="H171" i="18"/>
  <c r="E171" i="18"/>
  <c r="H185" i="18"/>
  <c r="H182" i="18"/>
  <c r="H170" i="18"/>
  <c r="E183" i="18"/>
  <c r="G183" i="18"/>
  <c r="F207" i="18"/>
  <c r="E207" i="18"/>
  <c r="H214" i="18"/>
  <c r="AC246" i="18"/>
  <c r="P246" i="18"/>
  <c r="V246" i="18" s="1"/>
  <c r="J246" i="18"/>
  <c r="H444" i="18"/>
  <c r="O444" i="18"/>
  <c r="U444" i="18" s="1"/>
  <c r="F444" i="18"/>
  <c r="AA8" i="18"/>
  <c r="O8" i="18"/>
  <c r="U8" i="18" s="1"/>
  <c r="E8" i="18"/>
  <c r="F11" i="18"/>
  <c r="T25" i="18"/>
  <c r="V25" i="18"/>
  <c r="F74" i="18"/>
  <c r="E74" i="18"/>
  <c r="G139" i="18"/>
  <c r="G148" i="18"/>
  <c r="V15" i="18"/>
  <c r="T15" i="18"/>
  <c r="F21" i="18"/>
  <c r="H91" i="18"/>
  <c r="G106" i="18"/>
  <c r="I252" i="18"/>
  <c r="AB252" i="18"/>
  <c r="F252" i="18"/>
  <c r="P8" i="18"/>
  <c r="V8" i="18" s="1"/>
  <c r="AB8" i="18"/>
  <c r="G60" i="18"/>
  <c r="E60" i="18"/>
  <c r="I53" i="18" s="1"/>
  <c r="G204" i="18"/>
  <c r="G215" i="18"/>
  <c r="G205" i="18"/>
  <c r="AB239" i="18"/>
  <c r="I250" i="18"/>
  <c r="I239" i="18"/>
  <c r="H501" i="18"/>
  <c r="F501" i="18"/>
  <c r="K501" i="18" s="1"/>
  <c r="G58" i="18"/>
  <c r="H123" i="18"/>
  <c r="H186" i="18"/>
  <c r="F300" i="18"/>
  <c r="K300" i="18" s="1"/>
  <c r="I300" i="18"/>
  <c r="I308" i="18"/>
  <c r="F20" i="18"/>
  <c r="Z20" i="18"/>
  <c r="E20" i="18"/>
  <c r="O20" i="18"/>
  <c r="U20" i="18" s="1"/>
  <c r="G116" i="18"/>
  <c r="E116" i="18"/>
  <c r="I116" i="18" s="1"/>
  <c r="H202" i="18"/>
  <c r="H209" i="18"/>
  <c r="H215" i="18"/>
  <c r="H210" i="18"/>
  <c r="H205" i="18"/>
  <c r="H203" i="18"/>
  <c r="H220" i="18"/>
  <c r="AB240" i="18"/>
  <c r="I240" i="18"/>
  <c r="F12" i="18"/>
  <c r="H18" i="18"/>
  <c r="G144" i="18"/>
  <c r="F150" i="18"/>
  <c r="E150" i="18"/>
  <c r="H175" i="18"/>
  <c r="F218" i="18"/>
  <c r="E218" i="18"/>
  <c r="I218" i="18" s="1"/>
  <c r="AA444" i="18"/>
  <c r="AC21" i="18"/>
  <c r="E26" i="18"/>
  <c r="O26" i="18"/>
  <c r="U26" i="18" s="1"/>
  <c r="H27" i="18"/>
  <c r="G28" i="18"/>
  <c r="G48" i="18"/>
  <c r="G53" i="18"/>
  <c r="G59" i="18"/>
  <c r="F75" i="18"/>
  <c r="E75" i="18"/>
  <c r="G79" i="18"/>
  <c r="F86" i="18"/>
  <c r="E86" i="18"/>
  <c r="I86" i="18" s="1"/>
  <c r="H90" i="18"/>
  <c r="G113" i="18"/>
  <c r="H118" i="18"/>
  <c r="F145" i="18"/>
  <c r="E145" i="18"/>
  <c r="H177" i="18"/>
  <c r="E177" i="18"/>
  <c r="G178" i="18"/>
  <c r="H181" i="18"/>
  <c r="F210" i="18"/>
  <c r="E210" i="18"/>
  <c r="G249" i="18"/>
  <c r="J252" i="18"/>
  <c r="J247" i="18"/>
  <c r="AC235" i="18"/>
  <c r="J237" i="18"/>
  <c r="AC237" i="18"/>
  <c r="J245" i="18"/>
  <c r="G246" i="18"/>
  <c r="F246" i="18"/>
  <c r="G251" i="18"/>
  <c r="Z251" i="18"/>
  <c r="F341" i="18"/>
  <c r="H341" i="18"/>
  <c r="I365" i="18"/>
  <c r="I380" i="18"/>
  <c r="F376" i="18"/>
  <c r="H376" i="18"/>
  <c r="F413" i="18"/>
  <c r="K413" i="18" s="1"/>
  <c r="G413" i="18"/>
  <c r="AC11" i="18"/>
  <c r="E16" i="18"/>
  <c r="O16" i="18"/>
  <c r="U16" i="18" s="1"/>
  <c r="H17" i="18"/>
  <c r="G18" i="18"/>
  <c r="G27" i="18"/>
  <c r="G75" i="18"/>
  <c r="F89" i="18"/>
  <c r="E89" i="18"/>
  <c r="E118" i="18"/>
  <c r="H119" i="18"/>
  <c r="H149" i="18"/>
  <c r="E181" i="18"/>
  <c r="F202" i="18"/>
  <c r="E202" i="18"/>
  <c r="F213" i="18"/>
  <c r="E213" i="18"/>
  <c r="F232" i="18"/>
  <c r="O232" i="18"/>
  <c r="U232" i="18" s="1"/>
  <c r="Z232" i="18"/>
  <c r="J235" i="18"/>
  <c r="G236" i="18"/>
  <c r="F236" i="18"/>
  <c r="G239" i="18"/>
  <c r="F239" i="18"/>
  <c r="AB244" i="18"/>
  <c r="I244" i="18"/>
  <c r="J251" i="18"/>
  <c r="F276" i="18"/>
  <c r="K276" i="18" s="1"/>
  <c r="G276" i="18"/>
  <c r="J338" i="18"/>
  <c r="J347" i="18"/>
  <c r="AD446" i="18"/>
  <c r="Q446" i="18"/>
  <c r="W446" i="18" s="1"/>
  <c r="G470" i="18"/>
  <c r="F470" i="18"/>
  <c r="G17" i="18"/>
  <c r="AA17" i="18"/>
  <c r="AC18" i="18"/>
  <c r="H21" i="18"/>
  <c r="AB27" i="18"/>
  <c r="G47" i="18"/>
  <c r="H49" i="18"/>
  <c r="G52" i="18"/>
  <c r="G57" i="18"/>
  <c r="H75" i="18"/>
  <c r="F80" i="18"/>
  <c r="E80" i="18"/>
  <c r="I80" i="18" s="1"/>
  <c r="G84" i="18"/>
  <c r="F91" i="18"/>
  <c r="E91" i="18"/>
  <c r="H108" i="18"/>
  <c r="E112" i="18"/>
  <c r="E113" i="18"/>
  <c r="G117" i="18"/>
  <c r="E117" i="18"/>
  <c r="H139" i="18"/>
  <c r="H143" i="18"/>
  <c r="G180" i="18"/>
  <c r="E180" i="18"/>
  <c r="G202" i="18"/>
  <c r="F215" i="18"/>
  <c r="E215" i="18"/>
  <c r="AB234" i="18"/>
  <c r="I234" i="18"/>
  <c r="P245" i="18"/>
  <c r="V245" i="18" s="1"/>
  <c r="J250" i="18"/>
  <c r="O251" i="18"/>
  <c r="U251" i="18" s="1"/>
  <c r="H252" i="18"/>
  <c r="AA252" i="18"/>
  <c r="O252" i="18"/>
  <c r="U252" i="18" s="1"/>
  <c r="F282" i="18"/>
  <c r="F283" i="18"/>
  <c r="K283" i="18" s="1"/>
  <c r="H304" i="18"/>
  <c r="F304" i="18"/>
  <c r="F305" i="18"/>
  <c r="I311" i="18"/>
  <c r="I342" i="18"/>
  <c r="J341" i="18"/>
  <c r="I343" i="18"/>
  <c r="F365" i="18"/>
  <c r="G45" i="18"/>
  <c r="G55" i="18"/>
  <c r="F76" i="18"/>
  <c r="E76" i="18"/>
  <c r="I76" i="18" s="1"/>
  <c r="G89" i="18"/>
  <c r="G107" i="18"/>
  <c r="E107" i="18"/>
  <c r="H121" i="18"/>
  <c r="G138" i="18"/>
  <c r="F140" i="18"/>
  <c r="E140" i="18"/>
  <c r="I140" i="18" s="1"/>
  <c r="H154" i="18"/>
  <c r="AC236" i="18"/>
  <c r="P236" i="18"/>
  <c r="V236" i="18" s="1"/>
  <c r="AC240" i="18"/>
  <c r="P240" i="18"/>
  <c r="V240" i="18" s="1"/>
  <c r="J240" i="18"/>
  <c r="J242" i="18"/>
  <c r="Q251" i="18"/>
  <c r="W251" i="18" s="1"/>
  <c r="AD251" i="18"/>
  <c r="G273" i="18"/>
  <c r="F273" i="18"/>
  <c r="K273" i="18" s="1"/>
  <c r="G306" i="18"/>
  <c r="F306" i="18"/>
  <c r="H375" i="18"/>
  <c r="H496" i="18"/>
  <c r="H495" i="18"/>
  <c r="F496" i="18"/>
  <c r="K496" i="18" s="1"/>
  <c r="G11" i="18"/>
  <c r="H20" i="18"/>
  <c r="T23" i="18"/>
  <c r="F79" i="18"/>
  <c r="E79" i="18"/>
  <c r="H106" i="18"/>
  <c r="G112" i="18"/>
  <c r="G119" i="18"/>
  <c r="H124" i="18"/>
  <c r="E124" i="18"/>
  <c r="H148" i="18"/>
  <c r="G170" i="18"/>
  <c r="E170" i="18"/>
  <c r="H187" i="18"/>
  <c r="E187" i="18"/>
  <c r="F203" i="18"/>
  <c r="E203" i="18"/>
  <c r="H207" i="18"/>
  <c r="F212" i="18"/>
  <c r="E212" i="18"/>
  <c r="I212" i="18" s="1"/>
  <c r="H247" i="18"/>
  <c r="AA247" i="18"/>
  <c r="H281" i="18"/>
  <c r="F281" i="18"/>
  <c r="K281" i="18" s="1"/>
  <c r="J282" i="18"/>
  <c r="J278" i="18"/>
  <c r="I372" i="18"/>
  <c r="G469" i="18"/>
  <c r="G463" i="18"/>
  <c r="F463" i="18"/>
  <c r="T28" i="18"/>
  <c r="W28" i="18" s="1"/>
  <c r="G50" i="18"/>
  <c r="F85" i="18"/>
  <c r="E85" i="18"/>
  <c r="H183" i="18"/>
  <c r="F220" i="18"/>
  <c r="E220" i="18"/>
  <c r="G241" i="18"/>
  <c r="F241" i="18"/>
  <c r="J244" i="18"/>
  <c r="J337" i="18"/>
  <c r="F337" i="18"/>
  <c r="I367" i="18"/>
  <c r="F367" i="18"/>
  <c r="G370" i="18"/>
  <c r="F370" i="18"/>
  <c r="G375" i="18"/>
  <c r="G376" i="18"/>
  <c r="F437" i="18"/>
  <c r="O437" i="18"/>
  <c r="U437" i="18" s="1"/>
  <c r="H437" i="18"/>
  <c r="AA437" i="18"/>
  <c r="F476" i="18"/>
  <c r="K476" i="18" s="1"/>
  <c r="G476" i="18"/>
  <c r="T18" i="18"/>
  <c r="W18" i="18" s="1"/>
  <c r="O21" i="18"/>
  <c r="U21" i="18" s="1"/>
  <c r="AC25" i="18"/>
  <c r="Q25" i="18"/>
  <c r="G44" i="18"/>
  <c r="G141" i="18"/>
  <c r="V232" i="18"/>
  <c r="J234" i="18"/>
  <c r="G237" i="18"/>
  <c r="F237" i="18"/>
  <c r="AA245" i="18"/>
  <c r="H245" i="18"/>
  <c r="H10" i="18"/>
  <c r="O11" i="18"/>
  <c r="U11" i="18" s="1"/>
  <c r="T13" i="18"/>
  <c r="AC15" i="18"/>
  <c r="Q15" i="18"/>
  <c r="H16" i="18"/>
  <c r="G23" i="18"/>
  <c r="AA23" i="18"/>
  <c r="V26" i="18"/>
  <c r="F27" i="18"/>
  <c r="E27" i="18"/>
  <c r="Z27" i="18"/>
  <c r="O27" i="18"/>
  <c r="U27" i="18" s="1"/>
  <c r="P28" i="18"/>
  <c r="V28" i="18" s="1"/>
  <c r="AB28" i="18"/>
  <c r="G43" i="18"/>
  <c r="G49" i="18"/>
  <c r="G74" i="18"/>
  <c r="F81" i="18"/>
  <c r="E81" i="18"/>
  <c r="H85" i="18"/>
  <c r="F90" i="18"/>
  <c r="E90" i="18"/>
  <c r="G124" i="18"/>
  <c r="H111" i="18"/>
  <c r="G123" i="18"/>
  <c r="H138" i="18"/>
  <c r="H144" i="18"/>
  <c r="F155" i="18"/>
  <c r="E155" i="18"/>
  <c r="H188" i="18"/>
  <c r="H178" i="18"/>
  <c r="G171" i="18"/>
  <c r="F205" i="18"/>
  <c r="E205" i="18"/>
  <c r="AA235" i="18"/>
  <c r="H235" i="18"/>
  <c r="J236" i="18"/>
  <c r="AA237" i="18"/>
  <c r="H237" i="18"/>
  <c r="J239" i="18"/>
  <c r="Z239" i="18"/>
  <c r="AB241" i="18"/>
  <c r="I241" i="18"/>
  <c r="I242" i="18"/>
  <c r="O246" i="18"/>
  <c r="U246" i="18" s="1"/>
  <c r="I247" i="18"/>
  <c r="F249" i="18"/>
  <c r="AB249" i="18"/>
  <c r="F271" i="18"/>
  <c r="G271" i="18"/>
  <c r="G284" i="18"/>
  <c r="G309" i="18"/>
  <c r="F309" i="18"/>
  <c r="G316" i="18"/>
  <c r="F316" i="18"/>
  <c r="K316" i="18" s="1"/>
  <c r="J342" i="18"/>
  <c r="G347" i="18"/>
  <c r="G342" i="18"/>
  <c r="G341" i="18"/>
  <c r="G338" i="18"/>
  <c r="G337" i="18"/>
  <c r="G343" i="18"/>
  <c r="G339" i="18"/>
  <c r="G344" i="18"/>
  <c r="G334" i="18"/>
  <c r="G332" i="18"/>
  <c r="G382" i="18"/>
  <c r="F374" i="18"/>
  <c r="G374" i="18"/>
  <c r="I377" i="18"/>
  <c r="G381" i="18"/>
  <c r="J415" i="18"/>
  <c r="J398" i="18"/>
  <c r="J414" i="18"/>
  <c r="G13" i="18"/>
  <c r="AA13" i="18"/>
  <c r="F17" i="18"/>
  <c r="E17" i="18"/>
  <c r="Z17" i="18"/>
  <c r="O17" i="18"/>
  <c r="U17" i="18" s="1"/>
  <c r="P18" i="18"/>
  <c r="V18" i="18" s="1"/>
  <c r="AB18" i="18"/>
  <c r="G20" i="18"/>
  <c r="AB20" i="18"/>
  <c r="Q21" i="18"/>
  <c r="W21" i="18" s="1"/>
  <c r="H23" i="18"/>
  <c r="P23" i="18"/>
  <c r="V23" i="18" s="1"/>
  <c r="G42" i="18"/>
  <c r="F84" i="18"/>
  <c r="E84" i="18"/>
  <c r="G90" i="18"/>
  <c r="H107" i="18"/>
  <c r="G109" i="18"/>
  <c r="H114" i="18"/>
  <c r="E114" i="18"/>
  <c r="H146" i="18"/>
  <c r="E200" i="18"/>
  <c r="F208" i="18"/>
  <c r="E208" i="18"/>
  <c r="I208" i="18" s="1"/>
  <c r="F217" i="18"/>
  <c r="E217" i="18"/>
  <c r="I217" i="18" s="1"/>
  <c r="O236" i="18"/>
  <c r="U236" i="18" s="1"/>
  <c r="Z237" i="18"/>
  <c r="O239" i="18"/>
  <c r="U239" i="18" s="1"/>
  <c r="J241" i="18"/>
  <c r="Z241" i="18"/>
  <c r="O249" i="18"/>
  <c r="U249" i="18" s="1"/>
  <c r="Z250" i="18"/>
  <c r="O250" i="18"/>
  <c r="U250" i="18" s="1"/>
  <c r="F250" i="18"/>
  <c r="J284" i="18"/>
  <c r="F301" i="18"/>
  <c r="H298" i="18"/>
  <c r="G315" i="18"/>
  <c r="F315" i="18"/>
  <c r="K315" i="18" s="1"/>
  <c r="F366" i="18"/>
  <c r="K366" i="18" s="1"/>
  <c r="J370" i="18"/>
  <c r="J382" i="18"/>
  <c r="J372" i="18"/>
  <c r="J371" i="18"/>
  <c r="E12" i="18"/>
  <c r="F18" i="18"/>
  <c r="E22" i="18"/>
  <c r="F28" i="18"/>
  <c r="F139" i="18"/>
  <c r="E139" i="18"/>
  <c r="F144" i="18"/>
  <c r="E144" i="18"/>
  <c r="F149" i="18"/>
  <c r="E149" i="18"/>
  <c r="F154" i="18"/>
  <c r="E154" i="18"/>
  <c r="G235" i="18"/>
  <c r="F235" i="18"/>
  <c r="O235" i="18"/>
  <c r="U235" i="18" s="1"/>
  <c r="Z235" i="18"/>
  <c r="I236" i="18"/>
  <c r="H240" i="18"/>
  <c r="P241" i="18"/>
  <c r="V241" i="18" s="1"/>
  <c r="AC241" i="18"/>
  <c r="G245" i="18"/>
  <c r="F245" i="18"/>
  <c r="O245" i="18"/>
  <c r="U245" i="18" s="1"/>
  <c r="Z245" i="18"/>
  <c r="I246" i="18"/>
  <c r="I251" i="18"/>
  <c r="F272" i="18"/>
  <c r="K272" i="18" s="1"/>
  <c r="G310" i="18"/>
  <c r="F310" i="18"/>
  <c r="F314" i="18"/>
  <c r="F329" i="18"/>
  <c r="I341" i="18"/>
  <c r="H344" i="18"/>
  <c r="F348" i="18"/>
  <c r="K348" i="18" s="1"/>
  <c r="F375" i="18"/>
  <c r="G398" i="18"/>
  <c r="G415" i="18"/>
  <c r="F398" i="18"/>
  <c r="K398" i="18" s="1"/>
  <c r="G404" i="18"/>
  <c r="F404" i="18"/>
  <c r="K404" i="18" s="1"/>
  <c r="G416" i="18"/>
  <c r="F416" i="18"/>
  <c r="K416" i="18" s="1"/>
  <c r="U436" i="18"/>
  <c r="I437" i="18"/>
  <c r="AB437" i="18"/>
  <c r="H438" i="18"/>
  <c r="O438" i="18"/>
  <c r="U438" i="18" s="1"/>
  <c r="AA438" i="18"/>
  <c r="F438" i="18"/>
  <c r="AA443" i="18"/>
  <c r="H443" i="18"/>
  <c r="F443" i="18"/>
  <c r="AD447" i="18"/>
  <c r="Q447" i="18"/>
  <c r="W447" i="18" s="1"/>
  <c r="K447" i="18"/>
  <c r="G91" i="18"/>
  <c r="F138" i="18"/>
  <c r="E138" i="18"/>
  <c r="F143" i="18"/>
  <c r="E143" i="18"/>
  <c r="H145" i="18"/>
  <c r="F148" i="18"/>
  <c r="E148" i="18"/>
  <c r="H150" i="18"/>
  <c r="F153" i="18"/>
  <c r="E153" i="18"/>
  <c r="E168" i="18"/>
  <c r="G242" i="18"/>
  <c r="F242" i="18"/>
  <c r="O242" i="18"/>
  <c r="U242" i="18" s="1"/>
  <c r="Z242" i="18"/>
  <c r="AC249" i="18"/>
  <c r="J249" i="18"/>
  <c r="I299" i="18"/>
  <c r="F299" i="18"/>
  <c r="G303" i="18"/>
  <c r="G301" i="18"/>
  <c r="J308" i="18"/>
  <c r="I310" i="18"/>
  <c r="G313" i="18"/>
  <c r="F313" i="18"/>
  <c r="J336" i="18"/>
  <c r="J332" i="18"/>
  <c r="I398" i="18"/>
  <c r="I414" i="18"/>
  <c r="I431" i="18"/>
  <c r="AB431" i="18"/>
  <c r="T436" i="18"/>
  <c r="AD441" i="18"/>
  <c r="K441" i="18"/>
  <c r="O18" i="18"/>
  <c r="U18" i="18" s="1"/>
  <c r="O28" i="18"/>
  <c r="U28" i="18" s="1"/>
  <c r="F141" i="18"/>
  <c r="E141" i="18"/>
  <c r="F146" i="18"/>
  <c r="E146" i="18"/>
  <c r="F151" i="18"/>
  <c r="E151" i="18"/>
  <c r="F156" i="18"/>
  <c r="E156" i="18"/>
  <c r="I156" i="18" s="1"/>
  <c r="G240" i="18"/>
  <c r="F240" i="18"/>
  <c r="O240" i="18"/>
  <c r="U240" i="18" s="1"/>
  <c r="Z240" i="18"/>
  <c r="O247" i="18"/>
  <c r="U247" i="18" s="1"/>
  <c r="AC250" i="18"/>
  <c r="P250" i="18"/>
  <c r="V250" i="18" s="1"/>
  <c r="H251" i="18"/>
  <c r="AA251" i="18"/>
  <c r="G269" i="18"/>
  <c r="G282" i="18"/>
  <c r="G268" i="18"/>
  <c r="F268" i="18"/>
  <c r="K268" i="18" s="1"/>
  <c r="G299" i="18"/>
  <c r="H309" i="18"/>
  <c r="G314" i="18"/>
  <c r="I347" i="18"/>
  <c r="I344" i="18"/>
  <c r="I339" i="18"/>
  <c r="I331" i="18"/>
  <c r="J339" i="18"/>
  <c r="F339" i="18"/>
  <c r="H342" i="18"/>
  <c r="J343" i="18"/>
  <c r="F369" i="18"/>
  <c r="G372" i="18"/>
  <c r="F372" i="18"/>
  <c r="H374" i="18"/>
  <c r="F377" i="18"/>
  <c r="G377" i="18"/>
  <c r="H415" i="18"/>
  <c r="F415" i="18"/>
  <c r="H432" i="18"/>
  <c r="O432" i="18"/>
  <c r="U432" i="18" s="1"/>
  <c r="F432" i="18"/>
  <c r="AA432" i="18"/>
  <c r="I439" i="18"/>
  <c r="AB439" i="18"/>
  <c r="J510" i="18"/>
  <c r="O12" i="18"/>
  <c r="U12" i="18" s="1"/>
  <c r="O22" i="18"/>
  <c r="U22" i="18" s="1"/>
  <c r="F77" i="18"/>
  <c r="E77" i="18"/>
  <c r="I77" i="18" s="1"/>
  <c r="F82" i="18"/>
  <c r="E82" i="18"/>
  <c r="F87" i="18"/>
  <c r="E87" i="18"/>
  <c r="I87" i="18" s="1"/>
  <c r="F92" i="18"/>
  <c r="E92" i="18"/>
  <c r="I92" i="18" s="1"/>
  <c r="F204" i="18"/>
  <c r="E204" i="18"/>
  <c r="I204" i="18" s="1"/>
  <c r="F209" i="18"/>
  <c r="E209" i="18"/>
  <c r="F214" i="18"/>
  <c r="E214" i="18"/>
  <c r="F219" i="18"/>
  <c r="E219" i="18"/>
  <c r="G234" i="18"/>
  <c r="F234" i="18"/>
  <c r="O234" i="18"/>
  <c r="U234" i="18" s="1"/>
  <c r="Z234" i="18"/>
  <c r="I235" i="18"/>
  <c r="H239" i="18"/>
  <c r="G244" i="18"/>
  <c r="F244" i="18"/>
  <c r="O244" i="18"/>
  <c r="U244" i="18" s="1"/>
  <c r="Z244" i="18"/>
  <c r="I245" i="18"/>
  <c r="G247" i="18"/>
  <c r="G252" i="18"/>
  <c r="I282" i="18"/>
  <c r="G304" i="18"/>
  <c r="F311" i="18"/>
  <c r="G311" i="18"/>
  <c r="I332" i="18"/>
  <c r="G365" i="18"/>
  <c r="G364" i="18"/>
  <c r="I374" i="18"/>
  <c r="H377" i="18"/>
  <c r="G405" i="18"/>
  <c r="F405" i="18"/>
  <c r="K405" i="18" s="1"/>
  <c r="F406" i="18"/>
  <c r="K406" i="18" s="1"/>
  <c r="I406" i="18"/>
  <c r="G414" i="18"/>
  <c r="F414" i="18"/>
  <c r="Q441" i="18"/>
  <c r="W441" i="18" s="1"/>
  <c r="H464" i="18"/>
  <c r="H463" i="18"/>
  <c r="F464" i="18"/>
  <c r="K464" i="18" s="1"/>
  <c r="F474" i="18"/>
  <c r="K474" i="18" s="1"/>
  <c r="H474" i="18"/>
  <c r="G308" i="18"/>
  <c r="F308" i="18"/>
  <c r="I309" i="18"/>
  <c r="F346" i="18"/>
  <c r="H346" i="18"/>
  <c r="I364" i="18"/>
  <c r="J365" i="18"/>
  <c r="J364" i="18"/>
  <c r="G371" i="18"/>
  <c r="F371" i="18"/>
  <c r="J379" i="18"/>
  <c r="J380" i="18"/>
  <c r="F382" i="18"/>
  <c r="O431" i="18"/>
  <c r="U431" i="18" s="1"/>
  <c r="J495" i="18"/>
  <c r="J304" i="18"/>
  <c r="J301" i="18"/>
  <c r="G305" i="18"/>
  <c r="J311" i="18"/>
  <c r="F332" i="18"/>
  <c r="G331" i="18"/>
  <c r="F343" i="18"/>
  <c r="J346" i="18"/>
  <c r="G369" i="18"/>
  <c r="I375" i="18"/>
  <c r="G380" i="18"/>
  <c r="F380" i="18"/>
  <c r="AA431" i="18"/>
  <c r="AD436" i="18"/>
  <c r="Q436" i="18"/>
  <c r="T437" i="18"/>
  <c r="I448" i="18"/>
  <c r="AB448" i="18"/>
  <c r="F481" i="18"/>
  <c r="K481" i="18" s="1"/>
  <c r="G481" i="18"/>
  <c r="F513" i="18"/>
  <c r="K513" i="18" s="1"/>
  <c r="G513" i="18"/>
  <c r="I306" i="18"/>
  <c r="J309" i="18"/>
  <c r="J310" i="18"/>
  <c r="J313" i="18"/>
  <c r="J314" i="18"/>
  <c r="J344" i="18"/>
  <c r="G346" i="18"/>
  <c r="G349" i="18"/>
  <c r="F349" i="18"/>
  <c r="F362" i="18"/>
  <c r="G367" i="18"/>
  <c r="J375" i="18"/>
  <c r="F379" i="18"/>
  <c r="G379" i="18"/>
  <c r="F429" i="18"/>
  <c r="Z429" i="18"/>
  <c r="U429" i="18"/>
  <c r="F431" i="18"/>
  <c r="I433" i="18"/>
  <c r="AB433" i="18"/>
  <c r="T439" i="18"/>
  <c r="F478" i="18"/>
  <c r="J463" i="18"/>
  <c r="F469" i="18"/>
  <c r="H506" i="18"/>
  <c r="F506" i="18"/>
  <c r="K506" i="18" s="1"/>
  <c r="J269" i="18"/>
  <c r="F277" i="18"/>
  <c r="K277" i="18" s="1"/>
  <c r="G298" i="18"/>
  <c r="I314" i="18"/>
  <c r="J331" i="18"/>
  <c r="F336" i="18"/>
  <c r="F338" i="18"/>
  <c r="J377" i="18"/>
  <c r="AA434" i="18"/>
  <c r="H434" i="18"/>
  <c r="F442" i="18"/>
  <c r="O442" i="18"/>
  <c r="U442" i="18" s="1"/>
  <c r="T442" i="18"/>
  <c r="J469" i="18"/>
  <c r="J470" i="18"/>
  <c r="G473" i="18"/>
  <c r="F473" i="18"/>
  <c r="K473" i="18" s="1"/>
  <c r="G495" i="18"/>
  <c r="F512" i="18"/>
  <c r="K512" i="18" s="1"/>
  <c r="I512" i="18"/>
  <c r="F279" i="18"/>
  <c r="K279" i="18" s="1"/>
  <c r="J333" i="18"/>
  <c r="J376" i="18"/>
  <c r="V429" i="18"/>
  <c r="F433" i="18"/>
  <c r="AA441" i="18"/>
  <c r="H441" i="18"/>
  <c r="I442" i="18"/>
  <c r="AB442" i="18"/>
  <c r="O448" i="18"/>
  <c r="U448" i="18" s="1"/>
  <c r="J475" i="18"/>
  <c r="G478" i="18"/>
  <c r="F503" i="18"/>
  <c r="K503" i="18" s="1"/>
  <c r="I507" i="18"/>
  <c r="F511" i="18"/>
  <c r="K511" i="18" s="1"/>
  <c r="J381" i="18"/>
  <c r="F399" i="18"/>
  <c r="K399" i="18" s="1"/>
  <c r="T433" i="18"/>
  <c r="F439" i="18"/>
  <c r="F448" i="18"/>
  <c r="G475" i="18"/>
  <c r="F495" i="18"/>
  <c r="F508" i="18"/>
  <c r="K508" i="18" s="1"/>
  <c r="I415" i="18"/>
  <c r="T431" i="18"/>
  <c r="I443" i="18"/>
  <c r="AB443" i="18"/>
  <c r="I444" i="18"/>
  <c r="AB444" i="18"/>
  <c r="G468" i="18"/>
  <c r="F475" i="18"/>
  <c r="F498" i="18"/>
  <c r="K498" i="18" s="1"/>
  <c r="J507" i="18"/>
  <c r="G508" i="18"/>
  <c r="I446" i="18"/>
  <c r="AB446" i="18"/>
  <c r="I447" i="18"/>
  <c r="AB447" i="18"/>
  <c r="F466" i="18"/>
  <c r="K466" i="18" s="1"/>
  <c r="F502" i="18"/>
  <c r="G507" i="18"/>
  <c r="Z431" i="18"/>
  <c r="P434" i="18"/>
  <c r="V434" i="18" s="1"/>
  <c r="P436" i="18"/>
  <c r="V436" i="18" s="1"/>
  <c r="P437" i="18"/>
  <c r="V437" i="18" s="1"/>
  <c r="P438" i="18"/>
  <c r="V438" i="18" s="1"/>
  <c r="P439" i="18"/>
  <c r="V439" i="18" s="1"/>
  <c r="P441" i="18"/>
  <c r="V441" i="18" s="1"/>
  <c r="P442" i="18"/>
  <c r="V442" i="18" s="1"/>
  <c r="P443" i="18"/>
  <c r="V443" i="18" s="1"/>
  <c r="P444" i="18"/>
  <c r="V444" i="18" s="1"/>
  <c r="P446" i="18"/>
  <c r="V446" i="18" s="1"/>
  <c r="P447" i="18"/>
  <c r="V447" i="18" s="1"/>
  <c r="P448" i="18"/>
  <c r="V448" i="18" s="1"/>
  <c r="F500" i="18"/>
  <c r="K500" i="18" s="1"/>
  <c r="F505" i="18"/>
  <c r="K505" i="18" s="1"/>
  <c r="F510" i="18"/>
  <c r="F50" i="17"/>
  <c r="E50" i="17"/>
  <c r="H117" i="17"/>
  <c r="I151" i="17"/>
  <c r="E204" i="17"/>
  <c r="G204" i="17"/>
  <c r="H267" i="17"/>
  <c r="F267" i="17"/>
  <c r="K267" i="17" s="1"/>
  <c r="G40" i="17"/>
  <c r="G50" i="17"/>
  <c r="G57" i="17"/>
  <c r="H122" i="17"/>
  <c r="H112" i="17"/>
  <c r="H104" i="17"/>
  <c r="F167" i="17"/>
  <c r="H181" i="17"/>
  <c r="E213" i="17"/>
  <c r="I213" i="17" s="1"/>
  <c r="G213" i="17"/>
  <c r="H489" i="17"/>
  <c r="F489" i="17"/>
  <c r="K489" i="17" s="1"/>
  <c r="H498" i="17"/>
  <c r="F498" i="17"/>
  <c r="K498" i="17" s="1"/>
  <c r="H45" i="17"/>
  <c r="H50" i="17"/>
  <c r="H57" i="17"/>
  <c r="I77" i="17"/>
  <c r="F115" i="17"/>
  <c r="I138" i="17"/>
  <c r="G167" i="17"/>
  <c r="F174" i="17"/>
  <c r="E174" i="17"/>
  <c r="E181" i="17"/>
  <c r="H183" i="17"/>
  <c r="G240" i="17"/>
  <c r="F240" i="17"/>
  <c r="G246" i="17"/>
  <c r="J271" i="17"/>
  <c r="H266" i="17"/>
  <c r="F266" i="17"/>
  <c r="K266" i="17" s="1"/>
  <c r="J277" i="17"/>
  <c r="H301" i="17"/>
  <c r="G333" i="17"/>
  <c r="F333" i="17"/>
  <c r="G335" i="17"/>
  <c r="G325" i="17"/>
  <c r="G324" i="17"/>
  <c r="G322" i="17"/>
  <c r="I340" i="17"/>
  <c r="F340" i="17"/>
  <c r="G365" i="17"/>
  <c r="G355" i="17"/>
  <c r="G354" i="17"/>
  <c r="G370" i="17"/>
  <c r="F354" i="17"/>
  <c r="G357" i="17"/>
  <c r="G372" i="17"/>
  <c r="I14" i="17"/>
  <c r="I24" i="17"/>
  <c r="G105" i="17"/>
  <c r="F112" i="17"/>
  <c r="E112" i="17"/>
  <c r="F122" i="17"/>
  <c r="E122" i="17"/>
  <c r="I147" i="17"/>
  <c r="H167" i="17"/>
  <c r="E203" i="17"/>
  <c r="G203" i="17"/>
  <c r="E215" i="17"/>
  <c r="G215" i="17"/>
  <c r="G236" i="17"/>
  <c r="H246" i="17"/>
  <c r="F246" i="17"/>
  <c r="F270" i="17"/>
  <c r="K270" i="17" s="1"/>
  <c r="G270" i="17"/>
  <c r="I295" i="17"/>
  <c r="I290" i="17"/>
  <c r="I301" i="17"/>
  <c r="G329" i="17"/>
  <c r="G330" i="17"/>
  <c r="H371" i="17"/>
  <c r="H354" i="17"/>
  <c r="F371" i="17"/>
  <c r="H365" i="17"/>
  <c r="F400" i="17"/>
  <c r="K400" i="17" s="1"/>
  <c r="G400" i="17"/>
  <c r="J456" i="17"/>
  <c r="J462" i="17"/>
  <c r="F465" i="17"/>
  <c r="H481" i="17"/>
  <c r="F493" i="17"/>
  <c r="H493" i="17"/>
  <c r="I12" i="17"/>
  <c r="I22" i="17"/>
  <c r="F41" i="17"/>
  <c r="E41" i="17"/>
  <c r="F43" i="17"/>
  <c r="E43" i="17"/>
  <c r="F46" i="17"/>
  <c r="E46" i="17"/>
  <c r="F48" i="17"/>
  <c r="E48" i="17"/>
  <c r="F51" i="17"/>
  <c r="E51" i="17"/>
  <c r="F53" i="17"/>
  <c r="E53" i="17"/>
  <c r="F56" i="17"/>
  <c r="E56" i="17"/>
  <c r="F58" i="17"/>
  <c r="E58" i="17"/>
  <c r="H105" i="17"/>
  <c r="H110" i="17"/>
  <c r="H115" i="17"/>
  <c r="H120" i="17"/>
  <c r="G122" i="17"/>
  <c r="I136" i="17"/>
  <c r="I146" i="17"/>
  <c r="E167" i="17"/>
  <c r="F179" i="17"/>
  <c r="E179" i="17"/>
  <c r="G243" i="17"/>
  <c r="F243" i="17"/>
  <c r="G264" i="17"/>
  <c r="F264" i="17"/>
  <c r="F276" i="17"/>
  <c r="K276" i="17" s="1"/>
  <c r="G291" i="17"/>
  <c r="G293" i="17"/>
  <c r="G290" i="17"/>
  <c r="G296" i="17"/>
  <c r="G295" i="17"/>
  <c r="F293" i="17"/>
  <c r="G301" i="17"/>
  <c r="J306" i="17"/>
  <c r="I298" i="17"/>
  <c r="J301" i="17"/>
  <c r="F335" i="17"/>
  <c r="I334" i="17"/>
  <c r="I335" i="17"/>
  <c r="I330" i="17"/>
  <c r="I323" i="17"/>
  <c r="I27" i="17"/>
  <c r="F47" i="17"/>
  <c r="E47" i="17"/>
  <c r="F57" i="17"/>
  <c r="E57" i="17"/>
  <c r="I89" i="17"/>
  <c r="F183" i="17"/>
  <c r="E183" i="17"/>
  <c r="G238" i="17"/>
  <c r="F238" i="17"/>
  <c r="F244" i="17"/>
  <c r="G244" i="17"/>
  <c r="H272" i="17"/>
  <c r="F272" i="17"/>
  <c r="K272" i="17" s="1"/>
  <c r="G306" i="17"/>
  <c r="F306" i="17"/>
  <c r="G47" i="17"/>
  <c r="G55" i="17"/>
  <c r="I88" i="17"/>
  <c r="E106" i="17"/>
  <c r="H111" i="17"/>
  <c r="H121" i="17"/>
  <c r="F241" i="17"/>
  <c r="H241" i="17"/>
  <c r="H291" i="17"/>
  <c r="H300" i="17"/>
  <c r="H290" i="17"/>
  <c r="F291" i="17"/>
  <c r="J296" i="17"/>
  <c r="F296" i="17"/>
  <c r="F305" i="17"/>
  <c r="G305" i="17"/>
  <c r="J337" i="17"/>
  <c r="F337" i="17"/>
  <c r="J355" i="17"/>
  <c r="F355" i="17"/>
  <c r="J372" i="17"/>
  <c r="J354" i="17"/>
  <c r="G422" i="17"/>
  <c r="F422" i="17"/>
  <c r="K422" i="17" s="1"/>
  <c r="I424" i="17"/>
  <c r="F424" i="17"/>
  <c r="I15" i="17"/>
  <c r="I25" i="17"/>
  <c r="H42" i="17"/>
  <c r="H47" i="17"/>
  <c r="H52" i="17"/>
  <c r="H55" i="17"/>
  <c r="I87" i="17"/>
  <c r="I11" i="17"/>
  <c r="I21" i="17"/>
  <c r="G41" i="17"/>
  <c r="G43" i="17"/>
  <c r="G46" i="17"/>
  <c r="G48" i="17"/>
  <c r="G51" i="17"/>
  <c r="G53" i="17"/>
  <c r="G56" i="17"/>
  <c r="G58" i="17"/>
  <c r="I73" i="17"/>
  <c r="I83" i="17"/>
  <c r="E105" i="17"/>
  <c r="E115" i="17"/>
  <c r="I135" i="17"/>
  <c r="I145" i="17"/>
  <c r="H171" i="17"/>
  <c r="F173" i="17"/>
  <c r="E173" i="17"/>
  <c r="G179" i="17"/>
  <c r="E205" i="17"/>
  <c r="G205" i="17"/>
  <c r="G235" i="17"/>
  <c r="F235" i="17"/>
  <c r="F239" i="17"/>
  <c r="G239" i="17"/>
  <c r="G245" i="17"/>
  <c r="F245" i="17"/>
  <c r="G269" i="17"/>
  <c r="F269" i="17"/>
  <c r="K269" i="17" s="1"/>
  <c r="J275" i="17"/>
  <c r="J297" i="17"/>
  <c r="F300" i="17"/>
  <c r="G300" i="17"/>
  <c r="G327" i="17"/>
  <c r="J328" i="17"/>
  <c r="J333" i="17"/>
  <c r="I395" i="17"/>
  <c r="F395" i="17"/>
  <c r="K395" i="17" s="1"/>
  <c r="F42" i="17"/>
  <c r="E42" i="17"/>
  <c r="F55" i="17"/>
  <c r="E55" i="17"/>
  <c r="J274" i="17"/>
  <c r="F274" i="17"/>
  <c r="K274" i="17" s="1"/>
  <c r="G361" i="17"/>
  <c r="F361" i="17"/>
  <c r="I16" i="17"/>
  <c r="I26" i="17"/>
  <c r="G45" i="17"/>
  <c r="I10" i="17"/>
  <c r="I20" i="17"/>
  <c r="H41" i="17"/>
  <c r="H43" i="17"/>
  <c r="H46" i="17"/>
  <c r="H48" i="17"/>
  <c r="H51" i="17"/>
  <c r="H53" i="17"/>
  <c r="H56" i="17"/>
  <c r="H58" i="17"/>
  <c r="I72" i="17"/>
  <c r="I82" i="17"/>
  <c r="H109" i="17"/>
  <c r="F111" i="17"/>
  <c r="E111" i="17"/>
  <c r="H119" i="17"/>
  <c r="F121" i="17"/>
  <c r="E121" i="17"/>
  <c r="I143" i="17"/>
  <c r="F166" i="17"/>
  <c r="E166" i="17"/>
  <c r="E214" i="17"/>
  <c r="G214" i="17"/>
  <c r="G230" i="17"/>
  <c r="F234" i="17"/>
  <c r="G234" i="17"/>
  <c r="G275" i="17"/>
  <c r="F297" i="17"/>
  <c r="H307" i="17"/>
  <c r="F307" i="17"/>
  <c r="K307" i="17" s="1"/>
  <c r="J325" i="17"/>
  <c r="J327" i="17"/>
  <c r="J360" i="17"/>
  <c r="I364" i="17"/>
  <c r="F40" i="17"/>
  <c r="E40" i="17"/>
  <c r="F45" i="17"/>
  <c r="E45" i="17"/>
  <c r="F52" i="17"/>
  <c r="E52" i="17"/>
  <c r="G121" i="17"/>
  <c r="G111" i="17"/>
  <c r="G104" i="17"/>
  <c r="H116" i="17"/>
  <c r="G241" i="17"/>
  <c r="I140" i="17"/>
  <c r="I9" i="17"/>
  <c r="I19" i="17"/>
  <c r="I80" i="17"/>
  <c r="F104" i="17"/>
  <c r="E104" i="17"/>
  <c r="G107" i="17"/>
  <c r="F114" i="17"/>
  <c r="E114" i="17"/>
  <c r="I114" i="17" s="1"/>
  <c r="G117" i="17"/>
  <c r="E133" i="17"/>
  <c r="I142" i="17"/>
  <c r="G166" i="17"/>
  <c r="H176" i="17"/>
  <c r="G197" i="17"/>
  <c r="H229" i="17"/>
  <c r="G233" i="17"/>
  <c r="F233" i="17"/>
  <c r="I239" i="17"/>
  <c r="I245" i="17"/>
  <c r="F257" i="17"/>
  <c r="G261" i="17"/>
  <c r="F261" i="17"/>
  <c r="K261" i="17" s="1"/>
  <c r="J290" i="17"/>
  <c r="J303" i="17"/>
  <c r="J305" i="17"/>
  <c r="J323" i="17"/>
  <c r="J322" i="17"/>
  <c r="F325" i="17"/>
  <c r="F334" i="17"/>
  <c r="H334" i="17"/>
  <c r="H364" i="17"/>
  <c r="J359" i="17"/>
  <c r="G360" i="17"/>
  <c r="G388" i="17"/>
  <c r="F388" i="17"/>
  <c r="K388" i="17" s="1"/>
  <c r="G404" i="17"/>
  <c r="I394" i="17"/>
  <c r="F394" i="17"/>
  <c r="K394" i="17" s="1"/>
  <c r="G430" i="17"/>
  <c r="F430" i="17"/>
  <c r="K430" i="17" s="1"/>
  <c r="H174" i="17"/>
  <c r="F178" i="17"/>
  <c r="H179" i="17"/>
  <c r="F182" i="17"/>
  <c r="G228" i="17"/>
  <c r="G231" i="17"/>
  <c r="I240" i="17"/>
  <c r="I241" i="17"/>
  <c r="J246" i="17"/>
  <c r="G303" i="17"/>
  <c r="H333" i="17"/>
  <c r="J334" i="17"/>
  <c r="J404" i="17"/>
  <c r="F421" i="17"/>
  <c r="K421" i="17" s="1"/>
  <c r="G421" i="17"/>
  <c r="G427" i="17"/>
  <c r="F427" i="17"/>
  <c r="K427" i="17" s="1"/>
  <c r="H451" i="17"/>
  <c r="H450" i="17"/>
  <c r="J455" i="17"/>
  <c r="F455" i="17"/>
  <c r="I488" i="17"/>
  <c r="F488" i="17"/>
  <c r="F110" i="17"/>
  <c r="F120" i="17"/>
  <c r="H228" i="17"/>
  <c r="I236" i="17"/>
  <c r="J241" i="17"/>
  <c r="J298" i="17"/>
  <c r="G298" i="17"/>
  <c r="I300" i="17"/>
  <c r="H303" i="17"/>
  <c r="G328" i="17"/>
  <c r="F328" i="17"/>
  <c r="F332" i="17"/>
  <c r="G332" i="17"/>
  <c r="I338" i="17"/>
  <c r="J362" i="17"/>
  <c r="J371" i="17"/>
  <c r="J367" i="17"/>
  <c r="J357" i="17"/>
  <c r="J364" i="17"/>
  <c r="J365" i="17"/>
  <c r="J366" i="17"/>
  <c r="G420" i="17"/>
  <c r="F420" i="17"/>
  <c r="K420" i="17" s="1"/>
  <c r="J493" i="17"/>
  <c r="F109" i="17"/>
  <c r="F119" i="17"/>
  <c r="H173" i="17"/>
  <c r="H178" i="17"/>
  <c r="F184" i="17"/>
  <c r="J264" i="17"/>
  <c r="J300" i="17"/>
  <c r="G302" i="17"/>
  <c r="F425" i="17"/>
  <c r="F107" i="17"/>
  <c r="F117" i="17"/>
  <c r="E178" i="17"/>
  <c r="F181" i="17"/>
  <c r="E182" i="17"/>
  <c r="G202" i="17"/>
  <c r="G212" i="17"/>
  <c r="J231" i="17"/>
  <c r="F236" i="17"/>
  <c r="H239" i="17"/>
  <c r="J243" i="17"/>
  <c r="F275" i="17"/>
  <c r="J295" i="17"/>
  <c r="I332" i="17"/>
  <c r="I367" i="17"/>
  <c r="I356" i="17"/>
  <c r="F362" i="17"/>
  <c r="G362" i="17"/>
  <c r="F367" i="17"/>
  <c r="G367" i="17"/>
  <c r="F405" i="17"/>
  <c r="K405" i="17" s="1"/>
  <c r="G405" i="17"/>
  <c r="J492" i="17"/>
  <c r="F492" i="17"/>
  <c r="K492" i="17" s="1"/>
  <c r="F171" i="17"/>
  <c r="F177" i="17"/>
  <c r="H182" i="17"/>
  <c r="J236" i="17"/>
  <c r="I303" i="17"/>
  <c r="J422" i="17"/>
  <c r="I460" i="17"/>
  <c r="F460" i="17"/>
  <c r="K460" i="17" s="1"/>
  <c r="F481" i="17"/>
  <c r="G493" i="17"/>
  <c r="G496" i="17"/>
  <c r="F106" i="17"/>
  <c r="F116" i="17"/>
  <c r="F176" i="17"/>
  <c r="H177" i="17"/>
  <c r="H184" i="17"/>
  <c r="G200" i="17"/>
  <c r="G210" i="17"/>
  <c r="F228" i="17"/>
  <c r="G229" i="17"/>
  <c r="F231" i="17"/>
  <c r="J238" i="17"/>
  <c r="G260" i="17"/>
  <c r="G262" i="17"/>
  <c r="G271" i="17"/>
  <c r="F271" i="17"/>
  <c r="F301" i="17"/>
  <c r="I302" i="17"/>
  <c r="F303" i="17"/>
  <c r="F322" i="17"/>
  <c r="G337" i="17"/>
  <c r="G334" i="17"/>
  <c r="G366" i="17"/>
  <c r="F366" i="17"/>
  <c r="H367" i="17"/>
  <c r="G369" i="17"/>
  <c r="J403" i="17"/>
  <c r="F431" i="17"/>
  <c r="F290" i="17"/>
  <c r="J293" i="17"/>
  <c r="J302" i="17"/>
  <c r="I306" i="17"/>
  <c r="G323" i="17"/>
  <c r="F323" i="17"/>
  <c r="F327" i="17"/>
  <c r="H332" i="17"/>
  <c r="H335" i="17"/>
  <c r="J338" i="17"/>
  <c r="I355" i="17"/>
  <c r="I354" i="17"/>
  <c r="F426" i="17"/>
  <c r="I429" i="17"/>
  <c r="F429" i="17"/>
  <c r="K429" i="17" s="1"/>
  <c r="J450" i="17"/>
  <c r="J457" i="17"/>
  <c r="F265" i="17"/>
  <c r="K265" i="17" s="1"/>
  <c r="I291" i="17"/>
  <c r="F295" i="17"/>
  <c r="H322" i="17"/>
  <c r="J329" i="17"/>
  <c r="J335" i="17"/>
  <c r="F352" i="17"/>
  <c r="J361" i="17"/>
  <c r="G364" i="17"/>
  <c r="F365" i="17"/>
  <c r="G387" i="17"/>
  <c r="F387" i="17"/>
  <c r="K387" i="17" s="1"/>
  <c r="G403" i="17"/>
  <c r="I419" i="17"/>
  <c r="F419" i="17"/>
  <c r="G435" i="17"/>
  <c r="F435" i="17"/>
  <c r="K435" i="17" s="1"/>
  <c r="G462" i="17"/>
  <c r="F462" i="17"/>
  <c r="J262" i="17"/>
  <c r="I275" i="17"/>
  <c r="G297" i="17"/>
  <c r="I322" i="17"/>
  <c r="J324" i="17"/>
  <c r="J330" i="17"/>
  <c r="I333" i="17"/>
  <c r="G359" i="17"/>
  <c r="H360" i="17"/>
  <c r="F360" i="17"/>
  <c r="I403" i="17"/>
  <c r="I399" i="17"/>
  <c r="F399" i="17"/>
  <c r="K399" i="17" s="1"/>
  <c r="I404" i="17"/>
  <c r="F404" i="17"/>
  <c r="G452" i="17"/>
  <c r="F452" i="17"/>
  <c r="K452" i="17" s="1"/>
  <c r="F456" i="17"/>
  <c r="J496" i="17"/>
  <c r="J481" i="17"/>
  <c r="F487" i="17"/>
  <c r="K487" i="17" s="1"/>
  <c r="H355" i="17"/>
  <c r="I365" i="17"/>
  <c r="G371" i="17"/>
  <c r="F372" i="17"/>
  <c r="G392" i="17"/>
  <c r="F392" i="17"/>
  <c r="K392" i="17" s="1"/>
  <c r="F451" i="17"/>
  <c r="K451" i="17" s="1"/>
  <c r="G457" i="17"/>
  <c r="F457" i="17"/>
  <c r="G465" i="17"/>
  <c r="G338" i="17"/>
  <c r="F338" i="17"/>
  <c r="F357" i="17"/>
  <c r="I370" i="17"/>
  <c r="G397" i="17"/>
  <c r="F397" i="17"/>
  <c r="K397" i="17" s="1"/>
  <c r="F461" i="17"/>
  <c r="K461" i="17" s="1"/>
  <c r="G467" i="17"/>
  <c r="F467" i="17"/>
  <c r="K467" i="17" s="1"/>
  <c r="F486" i="17"/>
  <c r="K486" i="17" s="1"/>
  <c r="F510" i="17"/>
  <c r="J370" i="17"/>
  <c r="G402" i="17"/>
  <c r="F402" i="17"/>
  <c r="K402" i="17" s="1"/>
  <c r="F417" i="17"/>
  <c r="F466" i="17"/>
  <c r="K466" i="17" s="1"/>
  <c r="F491" i="17"/>
  <c r="K491" i="17" s="1"/>
  <c r="F496" i="17"/>
  <c r="I100" i="14"/>
  <c r="I98" i="14"/>
  <c r="J8" i="14"/>
  <c r="K13" i="14"/>
  <c r="J33" i="14"/>
  <c r="H99" i="14"/>
  <c r="J41" i="14"/>
  <c r="J44" i="14"/>
  <c r="K8" i="14"/>
  <c r="K33" i="14"/>
  <c r="C86" i="14"/>
  <c r="C107" i="14" s="1"/>
  <c r="K42" i="14"/>
  <c r="K44" i="14"/>
  <c r="J45" i="14"/>
  <c r="I106" i="14"/>
  <c r="D54" i="14"/>
  <c r="K9" i="14"/>
  <c r="J14" i="14"/>
  <c r="D77" i="14"/>
  <c r="K34" i="14"/>
  <c r="J35" i="14"/>
  <c r="J47" i="14"/>
  <c r="C60" i="14"/>
  <c r="E84" i="14"/>
  <c r="E85" i="14"/>
  <c r="C90" i="14"/>
  <c r="F54" i="14"/>
  <c r="D56" i="14"/>
  <c r="J11" i="14"/>
  <c r="G59" i="14"/>
  <c r="D60" i="14"/>
  <c r="B62" i="14"/>
  <c r="J16" i="14"/>
  <c r="F74" i="14"/>
  <c r="F95" i="14" s="1"/>
  <c r="D79" i="14"/>
  <c r="D100" i="14" s="1"/>
  <c r="J38" i="14"/>
  <c r="F88" i="14"/>
  <c r="D91" i="14"/>
  <c r="D112" i="14" s="1"/>
  <c r="C62" i="14"/>
  <c r="K11" i="14"/>
  <c r="C82" i="14"/>
  <c r="B58" i="14"/>
  <c r="J12" i="14"/>
  <c r="B64" i="14"/>
  <c r="J18" i="14"/>
  <c r="K20" i="14"/>
  <c r="J21" i="14"/>
  <c r="I97" i="14"/>
  <c r="F91" i="14"/>
  <c r="F112" i="14" s="1"/>
  <c r="D74" i="14"/>
  <c r="D95" i="14" s="1"/>
  <c r="B83" i="14"/>
  <c r="C87" i="14"/>
  <c r="K37" i="14"/>
  <c r="K38" i="14"/>
  <c r="C100" i="14"/>
  <c r="G55" i="14"/>
  <c r="C58" i="14"/>
  <c r="K17" i="14"/>
  <c r="C63" i="14"/>
  <c r="K18" i="14"/>
  <c r="C65" i="14"/>
  <c r="K19" i="14"/>
  <c r="J22" i="14"/>
  <c r="J32" i="14"/>
  <c r="F80" i="14"/>
  <c r="G90" i="14"/>
  <c r="D83" i="14"/>
  <c r="D104" i="14" s="1"/>
  <c r="J9" i="14"/>
  <c r="F59" i="14"/>
  <c r="F102" i="14" s="1"/>
  <c r="K14" i="14"/>
  <c r="J17" i="14"/>
  <c r="K22" i="14"/>
  <c r="J23" i="14"/>
  <c r="E77" i="14"/>
  <c r="C78" i="14"/>
  <c r="K39" i="14"/>
  <c r="J40" i="14"/>
  <c r="K45" i="14"/>
  <c r="J46" i="14"/>
  <c r="D69" i="14"/>
  <c r="B52" i="14"/>
  <c r="D55" i="14"/>
  <c r="K12" i="14"/>
  <c r="E60" i="14"/>
  <c r="B61" i="14"/>
  <c r="J15" i="14"/>
  <c r="G67" i="14"/>
  <c r="G88" i="14"/>
  <c r="G109" i="14" s="1"/>
  <c r="B63" i="14"/>
  <c r="C52" i="14"/>
  <c r="K6" i="14"/>
  <c r="B56" i="14"/>
  <c r="J10" i="14"/>
  <c r="C61" i="14"/>
  <c r="K15" i="14"/>
  <c r="D64" i="14"/>
  <c r="B65" i="14"/>
  <c r="J20" i="14"/>
  <c r="D80" i="14"/>
  <c r="D101" i="14" s="1"/>
  <c r="B81" i="14"/>
  <c r="J37" i="14"/>
  <c r="F83" i="14"/>
  <c r="D85" i="14"/>
  <c r="D106" i="14" s="1"/>
  <c r="B86" i="14"/>
  <c r="J43" i="14"/>
  <c r="J19" i="14"/>
  <c r="J34" i="14"/>
  <c r="J42" i="14"/>
  <c r="E112" i="14" l="1"/>
  <c r="B108" i="14"/>
  <c r="E105" i="14"/>
  <c r="I155" i="18"/>
  <c r="I153" i="18"/>
  <c r="C109" i="14"/>
  <c r="F103" i="14"/>
  <c r="E102" i="14"/>
  <c r="E97" i="14"/>
  <c r="D111" i="14"/>
  <c r="F111" i="14"/>
  <c r="K488" i="17"/>
  <c r="E106" i="14"/>
  <c r="K340" i="17"/>
  <c r="K502" i="18"/>
  <c r="K349" i="18"/>
  <c r="C112" i="14"/>
  <c r="F99" i="14"/>
  <c r="E101" i="14"/>
  <c r="M39" i="14"/>
  <c r="T39" i="14" s="1"/>
  <c r="E99" i="14"/>
  <c r="M6" i="14"/>
  <c r="T6" i="14" s="1"/>
  <c r="I151" i="18"/>
  <c r="C95" i="14"/>
  <c r="D105" i="14"/>
  <c r="F108" i="14"/>
  <c r="B103" i="14"/>
  <c r="C97" i="14"/>
  <c r="B111" i="14"/>
  <c r="E98" i="14"/>
  <c r="F98" i="14"/>
  <c r="E95" i="14"/>
  <c r="F105" i="14"/>
  <c r="M21" i="14"/>
  <c r="T21" i="14" s="1"/>
  <c r="M35" i="14"/>
  <c r="T35" i="14" s="1"/>
  <c r="C102" i="14"/>
  <c r="J431" i="17"/>
  <c r="C111" i="14"/>
  <c r="G111" i="14"/>
  <c r="F97" i="14"/>
  <c r="E104" i="14"/>
  <c r="F109" i="14"/>
  <c r="W25" i="18"/>
  <c r="W15" i="18"/>
  <c r="I58" i="18"/>
  <c r="I48" i="18"/>
  <c r="I52" i="18"/>
  <c r="E109" i="14"/>
  <c r="M36" i="14"/>
  <c r="T36" i="14" s="1"/>
  <c r="B112" i="14"/>
  <c r="F101" i="14"/>
  <c r="E108" i="14"/>
  <c r="M10" i="14"/>
  <c r="T10" i="14" s="1"/>
  <c r="I182" i="18"/>
  <c r="F512" i="17"/>
  <c r="K512" i="17" s="1"/>
  <c r="I185" i="18"/>
  <c r="I54" i="18"/>
  <c r="I55" i="18"/>
  <c r="I44" i="18"/>
  <c r="I57" i="18"/>
  <c r="F518" i="17"/>
  <c r="K518" i="17" s="1"/>
  <c r="I50" i="18"/>
  <c r="I47" i="18"/>
  <c r="I49" i="18"/>
  <c r="W23" i="18"/>
  <c r="F100" i="14"/>
  <c r="I21" i="18"/>
  <c r="I45" i="18"/>
  <c r="I59" i="18"/>
  <c r="B97" i="14"/>
  <c r="J434" i="17"/>
  <c r="J438" i="18"/>
  <c r="G419" i="17"/>
  <c r="F514" i="17"/>
  <c r="K514" i="17" s="1"/>
  <c r="I176" i="17"/>
  <c r="I120" i="17"/>
  <c r="F524" i="17"/>
  <c r="K524" i="17" s="1"/>
  <c r="AB449" i="18"/>
  <c r="K262" i="17"/>
  <c r="I107" i="17"/>
  <c r="K357" i="17"/>
  <c r="I214" i="17"/>
  <c r="K457" i="17"/>
  <c r="I184" i="17"/>
  <c r="K231" i="17"/>
  <c r="I52" i="17"/>
  <c r="K290" i="17"/>
  <c r="I167" i="17"/>
  <c r="W436" i="18"/>
  <c r="K310" i="18"/>
  <c r="I108" i="18"/>
  <c r="K372" i="18"/>
  <c r="K469" i="18"/>
  <c r="K247" i="18"/>
  <c r="I114" i="18"/>
  <c r="K342" i="18"/>
  <c r="K333" i="18"/>
  <c r="I149" i="18"/>
  <c r="I170" i="18"/>
  <c r="P58" i="22"/>
  <c r="F436" i="17"/>
  <c r="K436" i="17" s="1"/>
  <c r="F544" i="18"/>
  <c r="K544" i="18" s="1"/>
  <c r="G426" i="17"/>
  <c r="F529" i="17"/>
  <c r="K529" i="17" s="1"/>
  <c r="F530" i="17"/>
  <c r="K530" i="17" s="1"/>
  <c r="F528" i="17"/>
  <c r="K528" i="17" s="1"/>
  <c r="G431" i="17"/>
  <c r="F513" i="17"/>
  <c r="K513" i="17" s="1"/>
  <c r="G424" i="17"/>
  <c r="G434" i="17"/>
  <c r="J424" i="17"/>
  <c r="J419" i="17"/>
  <c r="J436" i="18"/>
  <c r="G545" i="18"/>
  <c r="F545" i="18"/>
  <c r="K545" i="18" s="1"/>
  <c r="J443" i="18"/>
  <c r="G425" i="17"/>
  <c r="G527" i="17"/>
  <c r="F527" i="17"/>
  <c r="K527" i="17" s="1"/>
  <c r="M19" i="14"/>
  <c r="T19" i="14" s="1"/>
  <c r="E100" i="14"/>
  <c r="B109" i="14"/>
  <c r="K52" i="14"/>
  <c r="C118" i="14" s="1"/>
  <c r="D118" i="14" s="1"/>
  <c r="A118" i="14" s="1"/>
  <c r="C101" i="14"/>
  <c r="C98" i="14"/>
  <c r="K56" i="14"/>
  <c r="C122" i="14" s="1"/>
  <c r="D122" i="14" s="1"/>
  <c r="A122" i="14" s="1"/>
  <c r="E103" i="14"/>
  <c r="K57" i="14"/>
  <c r="C123" i="14" s="1"/>
  <c r="D123" i="14" s="1"/>
  <c r="A123" i="14" s="1"/>
  <c r="B106" i="14"/>
  <c r="M23" i="14"/>
  <c r="T23" i="14" s="1"/>
  <c r="M44" i="14"/>
  <c r="T44" i="14" s="1"/>
  <c r="K68" i="14"/>
  <c r="C134" i="14" s="1"/>
  <c r="D134" i="14" s="1"/>
  <c r="A134" i="14" s="1"/>
  <c r="M15" i="14"/>
  <c r="T15" i="14" s="1"/>
  <c r="M41" i="14"/>
  <c r="T41" i="14" s="1"/>
  <c r="D107" i="14"/>
  <c r="K82" i="14"/>
  <c r="M46" i="14"/>
  <c r="T46" i="14" s="1"/>
  <c r="C106" i="14"/>
  <c r="K66" i="14"/>
  <c r="C132" i="14" s="1"/>
  <c r="D132" i="14" s="1"/>
  <c r="A132" i="14" s="1"/>
  <c r="C105" i="14"/>
  <c r="M47" i="14"/>
  <c r="T47" i="14" s="1"/>
  <c r="M33" i="14"/>
  <c r="T33" i="14" s="1"/>
  <c r="K84" i="14"/>
  <c r="B98" i="14"/>
  <c r="M42" i="14"/>
  <c r="T42" i="14" s="1"/>
  <c r="M40" i="14"/>
  <c r="T40" i="14" s="1"/>
  <c r="M30" i="14"/>
  <c r="T30" i="14" s="1"/>
  <c r="M9" i="14"/>
  <c r="T9" i="14" s="1"/>
  <c r="M16" i="14"/>
  <c r="T16" i="14" s="1"/>
  <c r="M38" i="14"/>
  <c r="T38" i="14" s="1"/>
  <c r="K59" i="14"/>
  <c r="C125" i="14" s="1"/>
  <c r="D125" i="14" s="1"/>
  <c r="A125" i="14" s="1"/>
  <c r="M43" i="14"/>
  <c r="T43" i="14" s="1"/>
  <c r="C99" i="14"/>
  <c r="K55" i="14"/>
  <c r="C121" i="14" s="1"/>
  <c r="D121" i="14" s="1"/>
  <c r="A121" i="14" s="1"/>
  <c r="K89" i="14"/>
  <c r="M14" i="14"/>
  <c r="T14" i="14" s="1"/>
  <c r="K69" i="14"/>
  <c r="C135" i="14" s="1"/>
  <c r="D135" i="14" s="1"/>
  <c r="A135" i="14" s="1"/>
  <c r="M32" i="14"/>
  <c r="T32" i="14" s="1"/>
  <c r="K64" i="14"/>
  <c r="C130" i="14" s="1"/>
  <c r="D130" i="14" s="1"/>
  <c r="A130" i="14" s="1"/>
  <c r="K76" i="14"/>
  <c r="M13" i="14"/>
  <c r="T13" i="14" s="1"/>
  <c r="M37" i="14"/>
  <c r="T37" i="14" s="1"/>
  <c r="C104" i="14"/>
  <c r="K67" i="14"/>
  <c r="C133" i="14" s="1"/>
  <c r="D133" i="14" s="1"/>
  <c r="A133" i="14" s="1"/>
  <c r="M17" i="14"/>
  <c r="T17" i="14" s="1"/>
  <c r="K54" i="14"/>
  <c r="C120" i="14" s="1"/>
  <c r="D120" i="14" s="1"/>
  <c r="A120" i="14" s="1"/>
  <c r="M8" i="14"/>
  <c r="T8" i="14" s="1"/>
  <c r="M18" i="14"/>
  <c r="T18" i="14" s="1"/>
  <c r="K60" i="14"/>
  <c r="C126" i="14" s="1"/>
  <c r="D126" i="14" s="1"/>
  <c r="A126" i="14" s="1"/>
  <c r="K79" i="14"/>
  <c r="K62" i="14"/>
  <c r="C128" i="14" s="1"/>
  <c r="D128" i="14" s="1"/>
  <c r="A128" i="14" s="1"/>
  <c r="M34" i="14"/>
  <c r="T34" i="14" s="1"/>
  <c r="B99" i="14"/>
  <c r="M12" i="14"/>
  <c r="T12" i="14" s="1"/>
  <c r="M45" i="14"/>
  <c r="T45" i="14" s="1"/>
  <c r="K85" i="14"/>
  <c r="K74" i="14"/>
  <c r="D97" i="14"/>
  <c r="K475" i="18"/>
  <c r="AA449" i="18"/>
  <c r="H449" i="18"/>
  <c r="K507" i="18"/>
  <c r="K379" i="18"/>
  <c r="K339" i="18"/>
  <c r="AD443" i="18"/>
  <c r="Q443" i="18"/>
  <c r="W443" i="18" s="1"/>
  <c r="K298" i="18"/>
  <c r="I84" i="18"/>
  <c r="I81" i="18"/>
  <c r="I79" i="18"/>
  <c r="K305" i="18"/>
  <c r="I180" i="18"/>
  <c r="K344" i="18"/>
  <c r="AD232" i="18"/>
  <c r="Q232" i="18"/>
  <c r="W232" i="18" s="1"/>
  <c r="I118" i="18"/>
  <c r="K376" i="18"/>
  <c r="I210" i="18"/>
  <c r="I145" i="18"/>
  <c r="K347" i="18"/>
  <c r="I183" i="18"/>
  <c r="K364" i="18"/>
  <c r="K381" i="18"/>
  <c r="AC13" i="18"/>
  <c r="I13" i="18"/>
  <c r="Q13" i="18"/>
  <c r="W13" i="18" s="1"/>
  <c r="K495" i="18"/>
  <c r="J449" i="18"/>
  <c r="J431" i="18"/>
  <c r="AC449" i="18"/>
  <c r="P449" i="18"/>
  <c r="V449" i="18" s="1"/>
  <c r="K338" i="18"/>
  <c r="K371" i="18"/>
  <c r="K308" i="18"/>
  <c r="K414" i="18"/>
  <c r="I209" i="18"/>
  <c r="I82" i="18"/>
  <c r="K377" i="18"/>
  <c r="K313" i="18"/>
  <c r="K278" i="18"/>
  <c r="I138" i="18"/>
  <c r="I154" i="18"/>
  <c r="I205" i="18"/>
  <c r="Q237" i="18"/>
  <c r="W237" i="18" s="1"/>
  <c r="K237" i="18"/>
  <c r="AD237" i="18"/>
  <c r="K337" i="18"/>
  <c r="I85" i="18"/>
  <c r="K306" i="18"/>
  <c r="K304" i="18"/>
  <c r="I91" i="18"/>
  <c r="Q239" i="18"/>
  <c r="W239" i="18" s="1"/>
  <c r="K239" i="18"/>
  <c r="AD239" i="18"/>
  <c r="I213" i="18"/>
  <c r="I109" i="18"/>
  <c r="AC20" i="18"/>
  <c r="I20" i="18"/>
  <c r="Q20" i="18"/>
  <c r="W20" i="18" s="1"/>
  <c r="K284" i="18"/>
  <c r="AC10" i="18"/>
  <c r="I10" i="18"/>
  <c r="Q10" i="18"/>
  <c r="W10" i="18" s="1"/>
  <c r="I15" i="18"/>
  <c r="I25" i="18"/>
  <c r="I18" i="18"/>
  <c r="G449" i="18"/>
  <c r="G443" i="18"/>
  <c r="O449" i="18"/>
  <c r="U449" i="18" s="1"/>
  <c r="G436" i="18"/>
  <c r="Z449" i="18"/>
  <c r="G437" i="18"/>
  <c r="F449" i="18"/>
  <c r="K438" i="18" s="1"/>
  <c r="G438" i="18"/>
  <c r="G431" i="18"/>
  <c r="K336" i="18"/>
  <c r="I146" i="18"/>
  <c r="G446" i="18"/>
  <c r="K375" i="18"/>
  <c r="Q22" i="18"/>
  <c r="W22" i="18" s="1"/>
  <c r="I22" i="18"/>
  <c r="AC22" i="18"/>
  <c r="AD250" i="18"/>
  <c r="Q250" i="18"/>
  <c r="W250" i="18" s="1"/>
  <c r="K250" i="18"/>
  <c r="I119" i="18"/>
  <c r="K271" i="18"/>
  <c r="AD437" i="18"/>
  <c r="Q437" i="18"/>
  <c r="W437" i="18" s="1"/>
  <c r="I89" i="18"/>
  <c r="I16" i="18"/>
  <c r="AC16" i="18"/>
  <c r="Q16" i="18"/>
  <c r="W16" i="18" s="1"/>
  <c r="I186" i="18"/>
  <c r="I123" i="18"/>
  <c r="I60" i="18"/>
  <c r="I42" i="18"/>
  <c r="I43" i="18"/>
  <c r="AD252" i="18"/>
  <c r="K252" i="18"/>
  <c r="Q252" i="18"/>
  <c r="W252" i="18" s="1"/>
  <c r="AD438" i="18"/>
  <c r="Q438" i="18"/>
  <c r="W438" i="18" s="1"/>
  <c r="K343" i="18"/>
  <c r="I117" i="18"/>
  <c r="K269" i="18"/>
  <c r="K468" i="18"/>
  <c r="AD442" i="18"/>
  <c r="Q442" i="18"/>
  <c r="W442" i="18" s="1"/>
  <c r="K442" i="18"/>
  <c r="K478" i="18"/>
  <c r="K311" i="18"/>
  <c r="Q244" i="18"/>
  <c r="W244" i="18" s="1"/>
  <c r="K244" i="18"/>
  <c r="AD244" i="18"/>
  <c r="I219" i="18"/>
  <c r="K369" i="18"/>
  <c r="I144" i="18"/>
  <c r="I90" i="18"/>
  <c r="K370" i="18"/>
  <c r="K251" i="18"/>
  <c r="I215" i="18"/>
  <c r="I28" i="18"/>
  <c r="I181" i="18"/>
  <c r="I150" i="18"/>
  <c r="I188" i="18"/>
  <c r="I178" i="18"/>
  <c r="I207" i="18"/>
  <c r="I141" i="18"/>
  <c r="Q429" i="18"/>
  <c r="W429" i="18" s="1"/>
  <c r="AD429" i="18"/>
  <c r="K331" i="18"/>
  <c r="K332" i="18"/>
  <c r="K382" i="18"/>
  <c r="K415" i="18"/>
  <c r="Q242" i="18"/>
  <c r="W242" i="18" s="1"/>
  <c r="AD242" i="18"/>
  <c r="K242" i="18"/>
  <c r="K309" i="18"/>
  <c r="I111" i="18"/>
  <c r="I220" i="18"/>
  <c r="I187" i="18"/>
  <c r="I113" i="18"/>
  <c r="I23" i="18"/>
  <c r="I177" i="18"/>
  <c r="I106" i="18"/>
  <c r="I26" i="18"/>
  <c r="AC26" i="18"/>
  <c r="Q26" i="18"/>
  <c r="W26" i="18" s="1"/>
  <c r="I175" i="18"/>
  <c r="I74" i="18"/>
  <c r="AD444" i="18"/>
  <c r="Q444" i="18"/>
  <c r="W444" i="18" s="1"/>
  <c r="K444" i="18"/>
  <c r="AD448" i="18"/>
  <c r="Q448" i="18"/>
  <c r="W448" i="18" s="1"/>
  <c r="K448" i="18"/>
  <c r="AD431" i="18"/>
  <c r="Q431" i="18"/>
  <c r="W431" i="18" s="1"/>
  <c r="Q234" i="18"/>
  <c r="W234" i="18" s="1"/>
  <c r="K234" i="18"/>
  <c r="AD234" i="18"/>
  <c r="AD432" i="18"/>
  <c r="Q432" i="18"/>
  <c r="W432" i="18" s="1"/>
  <c r="K432" i="18"/>
  <c r="K334" i="18"/>
  <c r="I124" i="18"/>
  <c r="I107" i="18"/>
  <c r="K365" i="18"/>
  <c r="K470" i="18"/>
  <c r="Q236" i="18"/>
  <c r="W236" i="18" s="1"/>
  <c r="AD236" i="18"/>
  <c r="K236" i="18"/>
  <c r="I202" i="18"/>
  <c r="I122" i="18"/>
  <c r="I75" i="18"/>
  <c r="Q8" i="18"/>
  <c r="W8" i="18" s="1"/>
  <c r="AC8" i="18"/>
  <c r="K510" i="18"/>
  <c r="AD439" i="18"/>
  <c r="Q439" i="18"/>
  <c r="W439" i="18" s="1"/>
  <c r="K439" i="18"/>
  <c r="AD433" i="18"/>
  <c r="K433" i="18"/>
  <c r="Q433" i="18"/>
  <c r="W433" i="18" s="1"/>
  <c r="H431" i="18"/>
  <c r="Q240" i="18"/>
  <c r="W240" i="18" s="1"/>
  <c r="K240" i="18"/>
  <c r="AD240" i="18"/>
  <c r="I148" i="18"/>
  <c r="Q12" i="18"/>
  <c r="W12" i="18" s="1"/>
  <c r="I12" i="18"/>
  <c r="AC12" i="18"/>
  <c r="Q17" i="18"/>
  <c r="W17" i="18" s="1"/>
  <c r="I17" i="18"/>
  <c r="AC17" i="18"/>
  <c r="K249" i="18"/>
  <c r="AD249" i="18"/>
  <c r="Q249" i="18"/>
  <c r="W249" i="18" s="1"/>
  <c r="Q27" i="18"/>
  <c r="W27" i="18" s="1"/>
  <c r="I27" i="18"/>
  <c r="AC27" i="18"/>
  <c r="Q241" i="18"/>
  <c r="W241" i="18" s="1"/>
  <c r="K241" i="18"/>
  <c r="AD241" i="18"/>
  <c r="I203" i="18"/>
  <c r="K282" i="18"/>
  <c r="I11" i="18"/>
  <c r="K341" i="18"/>
  <c r="I171" i="18"/>
  <c r="K380" i="18"/>
  <c r="K346" i="18"/>
  <c r="I214" i="18"/>
  <c r="K299" i="18"/>
  <c r="I143" i="18"/>
  <c r="J446" i="18"/>
  <c r="K314" i="18"/>
  <c r="Q245" i="18"/>
  <c r="W245" i="18" s="1"/>
  <c r="AD245" i="18"/>
  <c r="K245" i="18"/>
  <c r="Q235" i="18"/>
  <c r="W235" i="18" s="1"/>
  <c r="AD235" i="18"/>
  <c r="K235" i="18"/>
  <c r="I139" i="18"/>
  <c r="K301" i="18"/>
  <c r="K374" i="18"/>
  <c r="K367" i="18"/>
  <c r="K463" i="18"/>
  <c r="I112" i="18"/>
  <c r="Q246" i="18"/>
  <c r="W246" i="18" s="1"/>
  <c r="AD246" i="18"/>
  <c r="K246" i="18"/>
  <c r="I121" i="18"/>
  <c r="K324" i="17"/>
  <c r="K372" i="17"/>
  <c r="K403" i="17"/>
  <c r="G523" i="17"/>
  <c r="F523" i="17"/>
  <c r="K523" i="17" s="1"/>
  <c r="K275" i="17"/>
  <c r="F515" i="17"/>
  <c r="K515" i="17" s="1"/>
  <c r="G515" i="17"/>
  <c r="H436" i="17"/>
  <c r="H419" i="17"/>
  <c r="K300" i="17"/>
  <c r="K239" i="17"/>
  <c r="K244" i="17"/>
  <c r="I47" i="17"/>
  <c r="I179" i="17"/>
  <c r="I51" i="17"/>
  <c r="I41" i="17"/>
  <c r="K277" i="17"/>
  <c r="K333" i="17"/>
  <c r="F437" i="17"/>
  <c r="K437" i="17" s="1"/>
  <c r="G437" i="17"/>
  <c r="K322" i="17"/>
  <c r="K329" i="17"/>
  <c r="K367" i="17"/>
  <c r="I178" i="17"/>
  <c r="G525" i="17"/>
  <c r="F525" i="17"/>
  <c r="K525" i="17" s="1"/>
  <c r="K234" i="17"/>
  <c r="I121" i="17"/>
  <c r="J436" i="17"/>
  <c r="J426" i="17"/>
  <c r="J425" i="17"/>
  <c r="K235" i="17"/>
  <c r="K337" i="17"/>
  <c r="K238" i="17"/>
  <c r="K465" i="17"/>
  <c r="I203" i="17"/>
  <c r="I198" i="17"/>
  <c r="I209" i="17"/>
  <c r="I200" i="17"/>
  <c r="I210" i="17"/>
  <c r="I202" i="17"/>
  <c r="K240" i="17"/>
  <c r="I204" i="17"/>
  <c r="K233" i="17"/>
  <c r="K360" i="17"/>
  <c r="F522" i="17"/>
  <c r="K522" i="17" s="1"/>
  <c r="G522" i="17"/>
  <c r="K228" i="17"/>
  <c r="I205" i="17"/>
  <c r="K293" i="17"/>
  <c r="I56" i="17"/>
  <c r="I122" i="17"/>
  <c r="K462" i="17"/>
  <c r="K295" i="17"/>
  <c r="K323" i="17"/>
  <c r="K450" i="17"/>
  <c r="K271" i="17"/>
  <c r="K334" i="17"/>
  <c r="I42" i="17"/>
  <c r="K245" i="17"/>
  <c r="I208" i="17"/>
  <c r="I105" i="17"/>
  <c r="K296" i="17"/>
  <c r="K243" i="17"/>
  <c r="K298" i="17"/>
  <c r="K354" i="17"/>
  <c r="K370" i="17"/>
  <c r="I181" i="17"/>
  <c r="K302" i="17"/>
  <c r="I58" i="17"/>
  <c r="K330" i="17"/>
  <c r="K456" i="17"/>
  <c r="K362" i="17"/>
  <c r="K236" i="17"/>
  <c r="I183" i="17"/>
  <c r="K246" i="17"/>
  <c r="K230" i="17"/>
  <c r="K327" i="17"/>
  <c r="K301" i="17"/>
  <c r="K328" i="17"/>
  <c r="K229" i="17"/>
  <c r="K359" i="17"/>
  <c r="K241" i="17"/>
  <c r="I46" i="17"/>
  <c r="I50" i="17"/>
  <c r="K496" i="17"/>
  <c r="F517" i="17"/>
  <c r="K517" i="17" s="1"/>
  <c r="G517" i="17"/>
  <c r="K404" i="17"/>
  <c r="K365" i="17"/>
  <c r="K364" i="17"/>
  <c r="K481" i="17"/>
  <c r="F520" i="17"/>
  <c r="K520" i="17" s="1"/>
  <c r="K325" i="17"/>
  <c r="I104" i="17"/>
  <c r="I119" i="17"/>
  <c r="I109" i="17"/>
  <c r="I40" i="17"/>
  <c r="K297" i="17"/>
  <c r="I166" i="17"/>
  <c r="I177" i="17"/>
  <c r="K361" i="17"/>
  <c r="I57" i="17"/>
  <c r="I53" i="17"/>
  <c r="I43" i="17"/>
  <c r="I112" i="17"/>
  <c r="I174" i="17"/>
  <c r="I117" i="17"/>
  <c r="I171" i="17"/>
  <c r="K303" i="17"/>
  <c r="I48" i="17"/>
  <c r="K332" i="17"/>
  <c r="K455" i="17"/>
  <c r="I55" i="17"/>
  <c r="K306" i="17"/>
  <c r="K264" i="17"/>
  <c r="K338" i="17"/>
  <c r="K366" i="17"/>
  <c r="K369" i="17"/>
  <c r="I45" i="17"/>
  <c r="I111" i="17"/>
  <c r="I115" i="17"/>
  <c r="K305" i="17"/>
  <c r="I182" i="17"/>
  <c r="F519" i="17"/>
  <c r="K519" i="17" s="1"/>
  <c r="G519" i="17"/>
  <c r="I173" i="17"/>
  <c r="K355" i="17"/>
  <c r="K291" i="17"/>
  <c r="I106" i="17"/>
  <c r="K335" i="17"/>
  <c r="I197" i="17"/>
  <c r="K493" i="17"/>
  <c r="K371" i="17"/>
  <c r="I215" i="17"/>
  <c r="I110" i="17"/>
  <c r="I116" i="17"/>
  <c r="K77" i="14"/>
  <c r="K63" i="14"/>
  <c r="C129" i="14" s="1"/>
  <c r="D129" i="14" s="1"/>
  <c r="A129" i="14" s="1"/>
  <c r="M22" i="14"/>
  <c r="T22" i="14" s="1"/>
  <c r="B104" i="14"/>
  <c r="K83" i="14"/>
  <c r="B95" i="14"/>
  <c r="K86" i="14"/>
  <c r="K107" i="14" s="1"/>
  <c r="B130" i="14" s="1"/>
  <c r="B107" i="14"/>
  <c r="M20" i="14"/>
  <c r="T20" i="14" s="1"/>
  <c r="K61" i="14"/>
  <c r="C127" i="14" s="1"/>
  <c r="D127" i="14" s="1"/>
  <c r="A127" i="14" s="1"/>
  <c r="K90" i="14"/>
  <c r="K91" i="14"/>
  <c r="M11" i="14"/>
  <c r="T11" i="14" s="1"/>
  <c r="D98" i="14"/>
  <c r="K80" i="14"/>
  <c r="K88" i="14"/>
  <c r="B102" i="14"/>
  <c r="K81" i="14"/>
  <c r="K78" i="14"/>
  <c r="K58" i="14"/>
  <c r="C124" i="14" s="1"/>
  <c r="D124" i="14" s="1"/>
  <c r="A124" i="14" s="1"/>
  <c r="B105" i="14"/>
  <c r="K65" i="14"/>
  <c r="C131" i="14" s="1"/>
  <c r="D131" i="14" s="1"/>
  <c r="A131" i="14" s="1"/>
  <c r="C108" i="14"/>
  <c r="C103" i="14"/>
  <c r="K87" i="14"/>
  <c r="F104" i="14" l="1"/>
  <c r="K446" i="18"/>
  <c r="K102" i="14"/>
  <c r="B125" i="14" s="1"/>
  <c r="K437" i="18"/>
  <c r="K95" i="14"/>
  <c r="B118" i="14" s="1"/>
  <c r="K100" i="14"/>
  <c r="B123" i="14" s="1"/>
  <c r="K99" i="14"/>
  <c r="B122" i="14" s="1"/>
  <c r="K431" i="18"/>
  <c r="K443" i="18"/>
  <c r="K425" i="17"/>
  <c r="K98" i="14"/>
  <c r="B121" i="14" s="1"/>
  <c r="K111" i="14"/>
  <c r="B134" i="14" s="1"/>
  <c r="K97" i="14"/>
  <c r="B120" i="14" s="1"/>
  <c r="K103" i="14"/>
  <c r="B126" i="14" s="1"/>
  <c r="K110" i="14"/>
  <c r="B133" i="14" s="1"/>
  <c r="K109" i="14"/>
  <c r="B132" i="14" s="1"/>
  <c r="K112" i="14"/>
  <c r="B135" i="14" s="1"/>
  <c r="K104" i="14"/>
  <c r="B127" i="14" s="1"/>
  <c r="K108" i="14"/>
  <c r="B131" i="14" s="1"/>
  <c r="K105" i="14"/>
  <c r="B128" i="14" s="1"/>
  <c r="K106" i="14"/>
  <c r="B129" i="14" s="1"/>
  <c r="K436" i="18"/>
  <c r="AD449" i="18"/>
  <c r="Q449" i="18"/>
  <c r="W449" i="18" s="1"/>
  <c r="K449" i="18"/>
  <c r="K426" i="17"/>
  <c r="K419" i="17"/>
  <c r="K434" i="17"/>
  <c r="K424" i="17"/>
  <c r="K431" i="17"/>
  <c r="K101" i="14"/>
  <c r="B124" i="14" s="1"/>
  <c r="O10" i="23" l="1"/>
  <c r="O12" i="24" l="1"/>
  <c r="O56" i="22" l="1"/>
  <c r="Q16" i="21"/>
  <c r="N14" i="19"/>
  <c r="N43" i="21"/>
  <c r="D12" i="21"/>
  <c r="K56" i="22"/>
  <c r="R47" i="21"/>
  <c r="P34" i="21"/>
  <c r="E15" i="19"/>
  <c r="K48" i="21"/>
  <c r="I52" i="21"/>
  <c r="F13" i="21"/>
  <c r="F53" i="21"/>
  <c r="G18" i="21"/>
  <c r="K50" i="21"/>
  <c r="F51" i="22"/>
  <c r="J46" i="21"/>
  <c r="E21" i="21"/>
  <c r="D27" i="19"/>
  <c r="I22" i="19"/>
  <c r="N12" i="21"/>
  <c r="F19" i="19"/>
  <c r="Q12" i="22"/>
  <c r="T54" i="22"/>
  <c r="N34" i="22"/>
  <c r="P9" i="21"/>
  <c r="I8" i="21"/>
  <c r="B25" i="19"/>
  <c r="J8" i="21"/>
  <c r="P29" i="21"/>
  <c r="M35" i="21"/>
  <c r="D34" i="22"/>
  <c r="N38" i="22"/>
  <c r="I29" i="21"/>
  <c r="R30" i="22"/>
  <c r="I40" i="21"/>
  <c r="M7" i="19"/>
  <c r="D42" i="21"/>
  <c r="T42" i="21"/>
  <c r="J9" i="20"/>
  <c r="K11" i="21"/>
  <c r="D54" i="22"/>
  <c r="J17" i="20"/>
  <c r="N27" i="21"/>
  <c r="M12" i="21"/>
  <c r="I9" i="20"/>
  <c r="J40" i="22"/>
  <c r="K21" i="22"/>
  <c r="E44" i="21"/>
  <c r="C14" i="19"/>
  <c r="F26" i="19"/>
  <c r="J9" i="19"/>
  <c r="B24" i="19"/>
  <c r="O10" i="21"/>
  <c r="T8" i="21"/>
  <c r="J15" i="19"/>
  <c r="I39" i="21"/>
  <c r="L16" i="21"/>
  <c r="G18" i="20"/>
  <c r="F23" i="22"/>
  <c r="N30" i="21"/>
  <c r="K13" i="22"/>
  <c r="Q12" i="21"/>
  <c r="E24" i="20"/>
  <c r="J28" i="21"/>
  <c r="R11" i="21"/>
  <c r="C16" i="20"/>
  <c r="F20" i="21"/>
  <c r="D17" i="21"/>
  <c r="J27" i="19"/>
  <c r="J34" i="22"/>
  <c r="Q14" i="22"/>
  <c r="G26" i="20"/>
  <c r="N26" i="19"/>
  <c r="I31" i="21"/>
  <c r="O16" i="22"/>
  <c r="I17" i="20"/>
  <c r="F11" i="19"/>
  <c r="M19" i="21"/>
  <c r="F12" i="19"/>
  <c r="N18" i="20"/>
  <c r="O8" i="21"/>
  <c r="G14" i="20"/>
  <c r="N29" i="20"/>
  <c r="Q33" i="21"/>
  <c r="D17" i="20"/>
  <c r="E17" i="20"/>
  <c r="R39" i="21"/>
  <c r="K8" i="21"/>
  <c r="K27" i="21"/>
  <c r="R56" i="22"/>
  <c r="H20" i="22"/>
  <c r="I45" i="21"/>
  <c r="L17" i="20"/>
  <c r="F29" i="20"/>
  <c r="J14" i="20"/>
  <c r="Q53" i="22"/>
  <c r="I40" i="22"/>
  <c r="E34" i="22"/>
  <c r="E56" i="22"/>
  <c r="S32" i="22"/>
  <c r="D27" i="21"/>
  <c r="Q48" i="22"/>
  <c r="T31" i="22"/>
  <c r="D57" i="22"/>
  <c r="T39" i="21"/>
  <c r="Q38" i="21"/>
  <c r="T29" i="21"/>
  <c r="D49" i="21"/>
  <c r="N22" i="20"/>
  <c r="L14" i="19"/>
  <c r="L14" i="22"/>
  <c r="Q13" i="22"/>
  <c r="O40" i="22"/>
  <c r="D47" i="21"/>
  <c r="K57" i="22"/>
  <c r="K12" i="22"/>
  <c r="D19" i="21"/>
  <c r="O14" i="22"/>
  <c r="G34" i="22"/>
  <c r="K35" i="21"/>
  <c r="D41" i="22"/>
  <c r="K38" i="22"/>
  <c r="B9" i="19"/>
  <c r="J53" i="21"/>
  <c r="C27" i="20"/>
  <c r="F36" i="22"/>
  <c r="F21" i="20"/>
  <c r="M25" i="19"/>
  <c r="N38" i="21"/>
  <c r="T5" i="21"/>
  <c r="S19" i="21"/>
  <c r="I33" i="21"/>
  <c r="K16" i="19"/>
  <c r="I12" i="19"/>
  <c r="H49" i="21"/>
  <c r="D9" i="21"/>
  <c r="K7" i="19"/>
  <c r="S14" i="21"/>
  <c r="H11" i="21"/>
  <c r="I16" i="19"/>
  <c r="M10" i="22"/>
  <c r="F46" i="22"/>
  <c r="N23" i="20"/>
  <c r="J41" i="21"/>
  <c r="M56" i="22"/>
  <c r="N54" i="22"/>
  <c r="N26" i="20"/>
  <c r="S31" i="21"/>
  <c r="C19" i="19"/>
  <c r="G51" i="21"/>
  <c r="Q51" i="21"/>
  <c r="M12" i="19"/>
  <c r="I41" i="21"/>
  <c r="N21" i="21"/>
  <c r="J11" i="19"/>
  <c r="N46" i="21"/>
  <c r="I54" i="22"/>
  <c r="N57" i="22"/>
  <c r="G10" i="19"/>
  <c r="N37" i="22"/>
  <c r="N17" i="21"/>
  <c r="L8" i="21"/>
  <c r="G33" i="21"/>
  <c r="K24" i="19"/>
  <c r="M13" i="20"/>
  <c r="F41" i="21"/>
  <c r="T36" i="22"/>
  <c r="C9" i="19"/>
  <c r="M16" i="21"/>
  <c r="E20" i="21"/>
  <c r="F25" i="19"/>
  <c r="S11" i="22"/>
  <c r="Q40" i="22"/>
  <c r="Q38" i="22"/>
  <c r="S37" i="21"/>
  <c r="H5" i="21"/>
  <c r="E14" i="19"/>
  <c r="E51" i="21"/>
  <c r="L14" i="21"/>
  <c r="G14" i="21"/>
  <c r="C28" i="20"/>
  <c r="E11" i="21"/>
  <c r="T41" i="21"/>
  <c r="N23" i="22"/>
  <c r="P44" i="21"/>
  <c r="T55" i="22"/>
  <c r="B7" i="19"/>
  <c r="S51" i="21"/>
  <c r="J37" i="21"/>
  <c r="S10" i="21"/>
  <c r="M10" i="19"/>
  <c r="J25" i="19"/>
  <c r="E38" i="22"/>
  <c r="G20" i="19"/>
  <c r="I28" i="20"/>
  <c r="F15" i="22"/>
  <c r="K20" i="21"/>
  <c r="T40" i="21"/>
  <c r="J22" i="21"/>
  <c r="R13" i="22"/>
  <c r="D5" i="21"/>
  <c r="I52" i="22"/>
  <c r="O18" i="22"/>
  <c r="M22" i="20"/>
  <c r="D26" i="20"/>
  <c r="D38" i="22"/>
  <c r="Q8" i="21"/>
  <c r="B26" i="20"/>
  <c r="S12" i="21"/>
  <c r="T50" i="22"/>
  <c r="D12" i="20"/>
  <c r="E54" i="22"/>
  <c r="O39" i="21"/>
  <c r="G12" i="20"/>
  <c r="T28" i="21"/>
  <c r="T49" i="22"/>
  <c r="T51" i="21"/>
  <c r="R17" i="21"/>
  <c r="G15" i="22"/>
  <c r="E17" i="21"/>
  <c r="D19" i="20"/>
  <c r="E32" i="22"/>
  <c r="E43" i="21"/>
  <c r="L30" i="22"/>
  <c r="P14" i="21"/>
  <c r="F53" i="22"/>
  <c r="T47" i="22"/>
  <c r="T47" i="21"/>
  <c r="K53" i="21"/>
  <c r="E23" i="22"/>
  <c r="H53" i="21"/>
  <c r="F46" i="21"/>
  <c r="G43" i="22"/>
  <c r="T52" i="21"/>
  <c r="L40" i="22"/>
  <c r="L18" i="20"/>
  <c r="R30" i="21"/>
  <c r="I34" i="21"/>
  <c r="S22" i="22"/>
  <c r="L13" i="22"/>
  <c r="G10" i="22"/>
  <c r="F14" i="22"/>
  <c r="G20" i="22"/>
  <c r="G40" i="22"/>
  <c r="R48" i="21"/>
  <c r="B21" i="19"/>
  <c r="N53" i="21"/>
  <c r="I18" i="20"/>
  <c r="L18" i="22"/>
  <c r="I51" i="22"/>
  <c r="P16" i="21"/>
  <c r="F47" i="21"/>
  <c r="S47" i="21"/>
  <c r="S38" i="22"/>
  <c r="F10" i="22"/>
  <c r="G12" i="19"/>
  <c r="F48" i="21"/>
  <c r="F51" i="21"/>
  <c r="I17" i="19"/>
  <c r="E9" i="21"/>
  <c r="J31" i="22"/>
  <c r="L13" i="20"/>
  <c r="R34" i="21"/>
  <c r="E48" i="21"/>
  <c r="E12" i="19"/>
  <c r="S5" i="21"/>
  <c r="F12" i="20"/>
  <c r="L12" i="22"/>
  <c r="F19" i="21"/>
  <c r="E27" i="21"/>
  <c r="D19" i="19"/>
  <c r="F13" i="20"/>
  <c r="O37" i="22"/>
  <c r="J34" i="21"/>
  <c r="Q11" i="21"/>
  <c r="L18" i="21"/>
  <c r="K25" i="19"/>
  <c r="D9" i="20"/>
  <c r="T51" i="22"/>
  <c r="M21" i="20"/>
  <c r="M16" i="19"/>
  <c r="Q36" i="22"/>
  <c r="H47" i="21"/>
  <c r="D48" i="22"/>
  <c r="M38" i="21"/>
  <c r="M14" i="22"/>
  <c r="S34" i="21"/>
  <c r="M33" i="21"/>
  <c r="K31" i="22"/>
  <c r="B9" i="20"/>
  <c r="H35" i="21"/>
  <c r="M49" i="21"/>
  <c r="G19" i="21"/>
  <c r="K11" i="19"/>
  <c r="J23" i="22"/>
  <c r="D11" i="20"/>
  <c r="M16" i="22"/>
  <c r="N24" i="22"/>
  <c r="F16" i="22"/>
  <c r="D48" i="21"/>
  <c r="R18" i="21"/>
  <c r="H13" i="22"/>
  <c r="F42" i="22"/>
  <c r="D51" i="21"/>
  <c r="F34" i="22"/>
  <c r="J16" i="20"/>
  <c r="M51" i="21"/>
  <c r="M9" i="21"/>
  <c r="I10" i="19"/>
  <c r="Q45" i="21"/>
  <c r="F15" i="19"/>
  <c r="G27" i="19"/>
  <c r="D54" i="21"/>
  <c r="K18" i="22"/>
  <c r="O5" i="21"/>
  <c r="F48" i="22"/>
  <c r="E14" i="20"/>
  <c r="M8" i="21"/>
  <c r="M11" i="21"/>
  <c r="N16" i="22"/>
  <c r="C29" i="20"/>
  <c r="T43" i="21"/>
  <c r="N7" i="19"/>
  <c r="E47" i="22"/>
  <c r="S22" i="21"/>
  <c r="G16" i="22"/>
  <c r="H57" i="22"/>
  <c r="H36" i="22"/>
  <c r="K24" i="22"/>
  <c r="L28" i="20"/>
  <c r="F10" i="19"/>
  <c r="L11" i="22"/>
  <c r="M19" i="20"/>
  <c r="H42" i="21"/>
  <c r="N13" i="21"/>
  <c r="J10" i="19"/>
  <c r="I48" i="21"/>
  <c r="M43" i="22"/>
  <c r="J28" i="20"/>
  <c r="G21" i="19"/>
  <c r="G28" i="21"/>
  <c r="B17" i="20"/>
  <c r="E14" i="22"/>
  <c r="N55" i="22"/>
  <c r="S16" i="22"/>
  <c r="I24" i="22"/>
  <c r="G22" i="20"/>
  <c r="L41" i="21"/>
  <c r="E41" i="22"/>
  <c r="E44" i="22"/>
  <c r="M54" i="22"/>
  <c r="H55" i="22"/>
  <c r="O19" i="22"/>
  <c r="S18" i="22"/>
  <c r="P50" i="21"/>
  <c r="F37" i="21"/>
  <c r="P49" i="21"/>
  <c r="Q24" i="22"/>
  <c r="L53" i="21"/>
  <c r="S14" i="22"/>
  <c r="I28" i="21"/>
  <c r="D45" i="21"/>
  <c r="J16" i="19"/>
  <c r="M13" i="22"/>
  <c r="J38" i="22"/>
  <c r="M52" i="22"/>
  <c r="T23" i="22"/>
  <c r="L42" i="22"/>
  <c r="G12" i="22"/>
  <c r="N45" i="22"/>
  <c r="C27" i="19"/>
  <c r="L41" i="22"/>
  <c r="R41" i="21"/>
  <c r="P48" i="21"/>
  <c r="Q20" i="21"/>
  <c r="G26" i="19"/>
  <c r="E22" i="22"/>
  <c r="S15" i="22"/>
  <c r="M28" i="20"/>
  <c r="I31" i="22"/>
  <c r="I25" i="19"/>
  <c r="N34" i="21"/>
  <c r="O20" i="21"/>
  <c r="G9" i="19"/>
  <c r="I30" i="21"/>
  <c r="D53" i="21"/>
  <c r="L25" i="19"/>
  <c r="K7" i="22"/>
  <c r="E5" i="21"/>
  <c r="N24" i="20"/>
  <c r="M27" i="19"/>
  <c r="T56" i="22"/>
  <c r="J19" i="20"/>
  <c r="H19" i="21"/>
  <c r="N42" i="22"/>
  <c r="J11" i="21"/>
  <c r="G14" i="19"/>
  <c r="O11" i="21"/>
  <c r="E21" i="20"/>
  <c r="J21" i="21"/>
  <c r="I10" i="21"/>
  <c r="M43" i="21"/>
  <c r="K15" i="19"/>
  <c r="E47" i="21"/>
  <c r="I32" i="22"/>
  <c r="L24" i="20"/>
  <c r="F21" i="21"/>
  <c r="L27" i="20"/>
  <c r="J20" i="19"/>
  <c r="Q33" i="22"/>
  <c r="T30" i="21"/>
  <c r="Q22" i="22"/>
  <c r="F9" i="19"/>
  <c r="H40" i="21"/>
  <c r="I27" i="19"/>
  <c r="M20" i="21"/>
  <c r="O14" i="21"/>
  <c r="S45" i="22"/>
  <c r="F11" i="20"/>
  <c r="J53" i="22"/>
  <c r="Q14" i="21"/>
  <c r="D20" i="19"/>
  <c r="M40" i="21"/>
  <c r="E29" i="20"/>
  <c r="F28" i="20"/>
  <c r="J20" i="22"/>
  <c r="D23" i="22"/>
  <c r="I26" i="20"/>
  <c r="E9" i="19"/>
  <c r="D13" i="20"/>
  <c r="N47" i="21"/>
  <c r="T45" i="21"/>
  <c r="R22" i="22"/>
  <c r="N27" i="19"/>
  <c r="K19" i="20"/>
  <c r="T18" i="22"/>
  <c r="L19" i="22"/>
  <c r="G38" i="22"/>
  <c r="R55" i="22"/>
  <c r="B16" i="19"/>
  <c r="R21" i="21"/>
  <c r="J24" i="20"/>
  <c r="M46" i="22"/>
  <c r="R40" i="21"/>
  <c r="N13" i="20"/>
  <c r="B14" i="19"/>
  <c r="S42" i="21"/>
  <c r="E9" i="20"/>
  <c r="L20" i="19"/>
  <c r="N52" i="21"/>
  <c r="M11" i="19"/>
  <c r="P22" i="21"/>
  <c r="S18" i="21"/>
  <c r="R54" i="21"/>
  <c r="B23" i="20"/>
  <c r="G57" i="22"/>
  <c r="R11" i="22"/>
  <c r="K9" i="20"/>
  <c r="C19" i="20"/>
  <c r="I11" i="21"/>
  <c r="D20" i="22"/>
  <c r="E13" i="20"/>
  <c r="L27" i="21"/>
  <c r="S8" i="21"/>
  <c r="C17" i="20"/>
  <c r="G50" i="22"/>
  <c r="R5" i="21"/>
  <c r="L28" i="21"/>
  <c r="I5" i="21"/>
  <c r="T57" i="22"/>
  <c r="G10" i="21"/>
  <c r="G52" i="21"/>
  <c r="D16" i="20"/>
  <c r="G11" i="19"/>
  <c r="K39" i="21"/>
  <c r="S48" i="22"/>
  <c r="G54" i="22"/>
  <c r="D51" i="22"/>
  <c r="I50" i="21"/>
  <c r="I22" i="21"/>
  <c r="D28" i="21"/>
  <c r="G43" i="21"/>
  <c r="P21" i="21"/>
  <c r="T32" i="22"/>
  <c r="K11" i="22"/>
  <c r="D38" i="21"/>
  <c r="P53" i="21"/>
  <c r="L22" i="19"/>
  <c r="I7" i="19"/>
  <c r="F18" i="21"/>
  <c r="K12" i="21"/>
  <c r="J40" i="21"/>
  <c r="S40" i="21"/>
  <c r="H10" i="21"/>
  <c r="H56" i="22"/>
  <c r="L10" i="21"/>
  <c r="K46" i="22"/>
  <c r="I14" i="20"/>
  <c r="H38" i="21"/>
  <c r="R14" i="21"/>
  <c r="E53" i="21"/>
  <c r="I14" i="21"/>
  <c r="L21" i="19"/>
  <c r="L48" i="22"/>
  <c r="N22" i="19"/>
  <c r="Q10" i="21"/>
  <c r="S33" i="22"/>
  <c r="M47" i="21"/>
  <c r="G11" i="20"/>
  <c r="G15" i="19"/>
  <c r="R36" i="22"/>
  <c r="L26" i="20"/>
  <c r="M21" i="22"/>
  <c r="Q5" i="21"/>
  <c r="J42" i="21"/>
  <c r="J23" i="20"/>
  <c r="J43" i="21"/>
  <c r="D21" i="19"/>
  <c r="K20" i="19"/>
  <c r="O13" i="21"/>
  <c r="N10" i="19"/>
  <c r="I44" i="22"/>
  <c r="O15" i="22"/>
  <c r="H12" i="22"/>
  <c r="N12" i="19"/>
  <c r="K11" i="20"/>
  <c r="F8" i="21"/>
  <c r="T9" i="21"/>
  <c r="Q46" i="22"/>
  <c r="T14" i="22"/>
  <c r="J22" i="19"/>
  <c r="F16" i="20"/>
  <c r="T20" i="21"/>
  <c r="B29" i="20"/>
  <c r="E38" i="21"/>
  <c r="I48" i="22"/>
  <c r="F49" i="22"/>
  <c r="F33" i="22"/>
  <c r="E16" i="21"/>
  <c r="D50" i="22"/>
  <c r="F26" i="20"/>
  <c r="N5" i="21"/>
  <c r="G17" i="20"/>
  <c r="K55" i="22"/>
  <c r="D21" i="22"/>
  <c r="N54" i="21"/>
  <c r="K28" i="20"/>
  <c r="I20" i="19"/>
  <c r="F19" i="20"/>
  <c r="D11" i="19"/>
  <c r="L11" i="21"/>
  <c r="J19" i="21"/>
  <c r="P28" i="21"/>
  <c r="E16" i="20"/>
  <c r="R12" i="21"/>
  <c r="N21" i="19"/>
  <c r="E17" i="19"/>
  <c r="K23" i="22"/>
  <c r="R19" i="21"/>
  <c r="D21" i="20"/>
  <c r="I46" i="21"/>
  <c r="I43" i="21"/>
  <c r="K21" i="20"/>
  <c r="L15" i="22"/>
  <c r="L16" i="20"/>
  <c r="M26" i="20"/>
  <c r="Q7" i="22"/>
  <c r="K29" i="21"/>
  <c r="E57" i="22"/>
  <c r="N11" i="19"/>
  <c r="M24" i="20"/>
  <c r="F49" i="21"/>
  <c r="S48" i="21"/>
  <c r="M26" i="19"/>
  <c r="B26" i="19"/>
  <c r="N11" i="20"/>
  <c r="C15" i="19"/>
  <c r="L30" i="21"/>
  <c r="I22" i="20"/>
  <c r="K52" i="22"/>
  <c r="I20" i="21"/>
  <c r="L24" i="22"/>
  <c r="J47" i="22"/>
  <c r="E10" i="19"/>
  <c r="T13" i="21"/>
  <c r="M5" i="21"/>
  <c r="G20" i="21"/>
  <c r="D12" i="19"/>
  <c r="O10" i="22"/>
  <c r="J20" i="21"/>
  <c r="R44" i="21"/>
  <c r="Q44" i="22"/>
  <c r="M12" i="22"/>
  <c r="G22" i="21"/>
  <c r="J11" i="22"/>
  <c r="B17" i="19"/>
  <c r="I18" i="21"/>
  <c r="O41" i="22"/>
  <c r="F7" i="19"/>
  <c r="C14" i="20"/>
  <c r="K18" i="21"/>
  <c r="P11" i="21"/>
  <c r="E11" i="22"/>
  <c r="J10" i="22"/>
  <c r="O50" i="21"/>
  <c r="P27" i="21"/>
  <c r="R38" i="22"/>
  <c r="S34" i="22"/>
  <c r="R44" i="22"/>
  <c r="D44" i="21"/>
  <c r="H37" i="21"/>
  <c r="T11" i="22"/>
  <c r="D35" i="21"/>
  <c r="R38" i="21"/>
  <c r="E24" i="19"/>
  <c r="D56" i="22"/>
  <c r="S53" i="21"/>
  <c r="L54" i="21"/>
  <c r="K9" i="19"/>
  <c r="N49" i="22"/>
  <c r="K47" i="21"/>
  <c r="E42" i="22"/>
  <c r="C10" i="19"/>
  <c r="S56" i="22"/>
  <c r="N13" i="22"/>
  <c r="F34" i="21"/>
  <c r="F56" i="22"/>
  <c r="O53" i="22"/>
  <c r="J5" i="21"/>
  <c r="N14" i="21"/>
  <c r="S50" i="21"/>
  <c r="F20" i="19"/>
  <c r="L19" i="20"/>
  <c r="K54" i="22"/>
  <c r="M17" i="20"/>
  <c r="F44" i="21"/>
  <c r="F54" i="21"/>
  <c r="F23" i="20"/>
  <c r="I21" i="19"/>
  <c r="C21" i="20"/>
  <c r="N20" i="19"/>
  <c r="N8" i="21"/>
  <c r="G39" i="21"/>
  <c r="M12" i="20"/>
  <c r="H8" i="21"/>
  <c r="M53" i="21"/>
  <c r="M14" i="19"/>
  <c r="E53" i="22"/>
  <c r="O11" i="22"/>
  <c r="R19" i="22"/>
  <c r="N9" i="20"/>
  <c r="L54" i="22"/>
  <c r="P17" i="21"/>
  <c r="K34" i="22"/>
  <c r="L43" i="21"/>
  <c r="R42" i="21"/>
  <c r="B19" i="19"/>
  <c r="J24" i="22"/>
  <c r="Q16" i="22"/>
  <c r="M46" i="21"/>
  <c r="C13" i="20"/>
  <c r="Q9" i="21"/>
  <c r="B21" i="20"/>
  <c r="R10" i="22"/>
  <c r="S45" i="21"/>
  <c r="F17" i="20"/>
  <c r="F18" i="20"/>
  <c r="D21" i="21"/>
  <c r="M14" i="20"/>
  <c r="D8" i="21"/>
  <c r="S41" i="21"/>
  <c r="E45" i="22"/>
  <c r="I27" i="20"/>
  <c r="M28" i="21"/>
  <c r="K19" i="21"/>
  <c r="L15" i="19"/>
  <c r="Q55" i="22"/>
  <c r="F22" i="19"/>
  <c r="K18" i="20"/>
  <c r="J21" i="22"/>
  <c r="F44" i="22"/>
  <c r="M9" i="20"/>
  <c r="K51" i="21"/>
  <c r="E22" i="20"/>
  <c r="B11" i="19"/>
  <c r="D29" i="21"/>
  <c r="S42" i="22"/>
  <c r="M22" i="19"/>
  <c r="T18" i="21"/>
  <c r="T7" i="22"/>
  <c r="E27" i="19"/>
  <c r="Q30" i="21"/>
  <c r="L10" i="19"/>
  <c r="L22" i="20"/>
  <c r="O37" i="21"/>
  <c r="K21" i="19"/>
  <c r="G17" i="21"/>
  <c r="M22" i="22"/>
  <c r="F14" i="20"/>
  <c r="G16" i="20"/>
  <c r="O38" i="21"/>
  <c r="M15" i="19"/>
  <c r="K22" i="19"/>
  <c r="R8" i="21"/>
  <c r="D22" i="19"/>
  <c r="K37" i="21"/>
  <c r="R27" i="21"/>
  <c r="F14" i="19"/>
  <c r="F19" i="22"/>
  <c r="D32" i="22"/>
  <c r="D15" i="22"/>
  <c r="E16" i="19"/>
  <c r="C17" i="19"/>
  <c r="G47" i="22"/>
  <c r="E37" i="21"/>
  <c r="M16" i="20"/>
  <c r="F40" i="21"/>
  <c r="P33" i="21"/>
  <c r="D17" i="19"/>
  <c r="H41" i="22"/>
  <c r="H14" i="21"/>
  <c r="T38" i="21"/>
  <c r="E14" i="21"/>
  <c r="O48" i="22"/>
  <c r="F57" i="22"/>
  <c r="G7" i="22"/>
  <c r="E11" i="19"/>
  <c r="P18" i="21"/>
  <c r="N16" i="19"/>
  <c r="Q41" i="21"/>
  <c r="Q20" i="22"/>
  <c r="I23" i="22"/>
  <c r="L40" i="21"/>
  <c r="R49" i="22"/>
  <c r="M37" i="22"/>
  <c r="D23" i="20"/>
  <c r="P19" i="21"/>
  <c r="L27" i="19"/>
  <c r="M55" i="22"/>
  <c r="G14" i="22"/>
  <c r="G52" i="22"/>
  <c r="G46" i="21"/>
  <c r="G42" i="21"/>
  <c r="N12" i="20"/>
  <c r="D22" i="22"/>
  <c r="H44" i="22"/>
  <c r="S43" i="22"/>
  <c r="O19" i="21"/>
  <c r="R45" i="21"/>
  <c r="Q28" i="21"/>
  <c r="M36" i="22"/>
  <c r="G24" i="22"/>
  <c r="L47" i="21"/>
  <c r="K14" i="22"/>
  <c r="K10" i="21"/>
  <c r="E7" i="22"/>
  <c r="E49" i="21"/>
  <c r="K10" i="19"/>
  <c r="C22" i="19"/>
  <c r="I35" i="21"/>
  <c r="I13" i="20"/>
  <c r="G30" i="21"/>
  <c r="G13" i="20"/>
  <c r="D13" i="21"/>
  <c r="E13" i="21"/>
  <c r="I9" i="19"/>
  <c r="I11" i="22"/>
  <c r="N22" i="22"/>
  <c r="K26" i="20"/>
  <c r="M29" i="20"/>
  <c r="N51" i="21"/>
  <c r="O32" i="22"/>
  <c r="G33" i="22"/>
  <c r="L51" i="21"/>
  <c r="R31" i="21"/>
  <c r="T42" i="22"/>
  <c r="E48" i="22"/>
  <c r="N22" i="21"/>
  <c r="G44" i="22"/>
  <c r="L11" i="20"/>
  <c r="L45" i="22"/>
  <c r="C9" i="20"/>
  <c r="N42" i="21"/>
  <c r="M50" i="21"/>
  <c r="O44" i="21"/>
  <c r="I19" i="20"/>
  <c r="K54" i="21"/>
  <c r="E20" i="19"/>
  <c r="Q13" i="21"/>
  <c r="Q57" i="22"/>
  <c r="F9" i="20"/>
  <c r="N19" i="21"/>
  <c r="P39" i="21"/>
  <c r="F27" i="21"/>
  <c r="I19" i="19"/>
  <c r="I43" i="22"/>
  <c r="N17" i="19"/>
  <c r="D24" i="19"/>
  <c r="D31" i="21"/>
  <c r="F31" i="21"/>
  <c r="L23" i="20"/>
  <c r="N50" i="21"/>
  <c r="E28" i="20"/>
  <c r="H32" i="22"/>
  <c r="S35" i="21"/>
  <c r="M11" i="20"/>
  <c r="H31" i="22"/>
  <c r="D43" i="22"/>
  <c r="L33" i="21"/>
  <c r="K14" i="19"/>
  <c r="R46" i="21"/>
  <c r="M37" i="21"/>
  <c r="C7" i="19"/>
  <c r="F47" i="22"/>
  <c r="E45" i="21"/>
  <c r="N24" i="19"/>
  <c r="L11" i="19"/>
  <c r="Q17" i="21"/>
  <c r="C11" i="20"/>
  <c r="D13" i="22"/>
  <c r="Q47" i="21"/>
  <c r="H13" i="21"/>
  <c r="F13" i="22"/>
  <c r="B15" i="19"/>
  <c r="J12" i="20"/>
  <c r="H49" i="22"/>
  <c r="I12" i="20"/>
  <c r="F17" i="19"/>
  <c r="F43" i="21"/>
  <c r="G22" i="19"/>
  <c r="P31" i="21"/>
  <c r="E22" i="21"/>
  <c r="D27" i="20"/>
  <c r="I14" i="19"/>
  <c r="D42" i="22"/>
  <c r="K33" i="22"/>
  <c r="K17" i="20"/>
  <c r="K23" i="20"/>
  <c r="H50" i="21"/>
  <c r="M30" i="21"/>
  <c r="L16" i="19"/>
  <c r="J26" i="20"/>
  <c r="E23" i="20"/>
  <c r="B24" i="20"/>
  <c r="J38" i="21"/>
  <c r="F35" i="21"/>
  <c r="D40" i="21"/>
  <c r="S41" i="22"/>
  <c r="O54" i="22"/>
  <c r="B14" i="20"/>
  <c r="I36" i="22"/>
  <c r="Q29" i="21"/>
  <c r="F21" i="19"/>
  <c r="S17" i="21"/>
  <c r="T48" i="21"/>
  <c r="C12" i="20"/>
  <c r="R22" i="21"/>
  <c r="M45" i="21"/>
  <c r="G28" i="20"/>
  <c r="R29" i="21"/>
  <c r="B10" i="19"/>
  <c r="I49" i="22"/>
  <c r="R10" i="21"/>
  <c r="G41" i="22"/>
  <c r="T21" i="22"/>
  <c r="G37" i="22"/>
  <c r="J49" i="21"/>
  <c r="J33" i="22"/>
  <c r="I21" i="20"/>
  <c r="L43" i="22"/>
  <c r="G19" i="20"/>
  <c r="L9" i="21"/>
  <c r="K46" i="21"/>
  <c r="L33" i="22"/>
  <c r="R16" i="21"/>
  <c r="K29" i="20"/>
  <c r="Q51" i="22"/>
  <c r="O52" i="21"/>
  <c r="S43" i="21"/>
  <c r="D34" i="21"/>
  <c r="R21" i="22"/>
  <c r="H38" i="22"/>
  <c r="I42" i="22"/>
  <c r="J39" i="21"/>
  <c r="K13" i="20"/>
  <c r="D41" i="21"/>
  <c r="J7" i="22"/>
  <c r="C26" i="20"/>
  <c r="D53" i="22"/>
  <c r="E12" i="21"/>
  <c r="L46" i="21"/>
  <c r="B22" i="20"/>
  <c r="D14" i="21"/>
  <c r="I26" i="19"/>
  <c r="L17" i="21"/>
  <c r="E29" i="21"/>
  <c r="K12" i="20"/>
  <c r="O36" i="22"/>
  <c r="E40" i="21"/>
  <c r="N17" i="20"/>
  <c r="P12" i="21"/>
  <c r="K20" i="22"/>
  <c r="J17" i="19"/>
  <c r="D26" i="19"/>
  <c r="K19" i="22"/>
  <c r="H12" i="21"/>
  <c r="L17" i="19"/>
  <c r="J47" i="21"/>
  <c r="I29" i="20"/>
  <c r="G21" i="21"/>
  <c r="H20" i="21"/>
  <c r="J31" i="21"/>
  <c r="L22" i="21"/>
  <c r="Q22" i="21"/>
  <c r="N25" i="19"/>
  <c r="G23" i="20"/>
  <c r="L12" i="19"/>
  <c r="D18" i="22"/>
  <c r="L9" i="19"/>
  <c r="D16" i="21"/>
  <c r="F52" i="21"/>
  <c r="N9" i="19"/>
  <c r="N49" i="21"/>
  <c r="M24" i="19"/>
  <c r="M17" i="19"/>
  <c r="H31" i="21"/>
  <c r="Q52" i="21"/>
  <c r="E18" i="20"/>
  <c r="I54" i="21"/>
  <c r="R35" i="21"/>
  <c r="D22" i="20"/>
  <c r="K49" i="22"/>
  <c r="J43" i="22"/>
  <c r="H46" i="22"/>
  <c r="G12" i="21"/>
  <c r="G8" i="21"/>
  <c r="I24" i="19"/>
  <c r="D16" i="19"/>
  <c r="O50" i="22"/>
  <c r="J16" i="21"/>
  <c r="N16" i="20"/>
  <c r="S9" i="21"/>
  <c r="G24" i="19"/>
  <c r="F16" i="19"/>
  <c r="D50" i="21"/>
  <c r="J24" i="19"/>
  <c r="D25" i="19"/>
  <c r="G24" i="20"/>
  <c r="E19" i="19"/>
  <c r="L5" i="21"/>
  <c r="F24" i="19"/>
  <c r="B12" i="19"/>
  <c r="Q44" i="21"/>
  <c r="D47" i="22"/>
  <c r="B12" i="20"/>
  <c r="T45" i="22"/>
  <c r="E41" i="21"/>
  <c r="D52" i="21"/>
  <c r="L44" i="22"/>
  <c r="J19" i="19"/>
  <c r="L21" i="20"/>
  <c r="T53" i="22"/>
  <c r="L35" i="21"/>
  <c r="Q48" i="21"/>
  <c r="G27" i="20"/>
  <c r="G21" i="20"/>
  <c r="D10" i="22"/>
  <c r="E26" i="19"/>
  <c r="I24" i="20"/>
  <c r="T48" i="22"/>
  <c r="F5" i="21"/>
  <c r="L24" i="19"/>
  <c r="D20" i="21"/>
  <c r="D24" i="20"/>
  <c r="H33" i="21"/>
  <c r="I21" i="21"/>
  <c r="G53" i="22"/>
  <c r="M31" i="22"/>
  <c r="T41" i="22"/>
  <c r="D33" i="21"/>
  <c r="J27" i="20"/>
  <c r="I16" i="22"/>
  <c r="L9" i="20"/>
  <c r="Q50" i="22"/>
  <c r="O45" i="22"/>
  <c r="M51" i="22"/>
  <c r="K53" i="22"/>
  <c r="G13" i="21"/>
  <c r="H51" i="22"/>
  <c r="I27" i="21"/>
  <c r="T15" i="22"/>
  <c r="M42" i="22"/>
  <c r="S21" i="22"/>
  <c r="H30" i="22"/>
  <c r="H9" i="21"/>
  <c r="L49" i="21"/>
  <c r="D49" i="22"/>
  <c r="T34" i="22"/>
  <c r="H50" i="22"/>
  <c r="B18" i="20"/>
  <c r="F52" i="22"/>
  <c r="G47" i="21"/>
  <c r="J50" i="21"/>
  <c r="O33" i="21"/>
  <c r="H51" i="21"/>
  <c r="T30" i="22"/>
  <c r="F42" i="21"/>
  <c r="O24" i="22"/>
  <c r="R54" i="22"/>
  <c r="G48" i="21"/>
  <c r="T12" i="22"/>
  <c r="Q35" i="21"/>
  <c r="Q32" i="22"/>
  <c r="M20" i="19"/>
  <c r="G21" i="22"/>
  <c r="E50" i="21"/>
  <c r="O45" i="21"/>
  <c r="F24" i="20"/>
  <c r="F22" i="21"/>
  <c r="Q37" i="22"/>
  <c r="R28" i="21"/>
  <c r="O23" i="22"/>
  <c r="L49" i="22"/>
  <c r="J50" i="22"/>
  <c r="T43" i="22"/>
  <c r="O13" i="22"/>
  <c r="S36" i="22"/>
  <c r="N33" i="22"/>
  <c r="R20" i="22"/>
  <c r="I53" i="22"/>
  <c r="E21" i="22"/>
  <c r="K16" i="22"/>
  <c r="B13" i="20"/>
  <c r="B27" i="20"/>
  <c r="L32" i="22"/>
  <c r="O51" i="22"/>
  <c r="Q21" i="22"/>
  <c r="M18" i="21"/>
  <c r="L31" i="22"/>
  <c r="G51" i="22"/>
  <c r="Q40" i="21"/>
  <c r="M23" i="22"/>
  <c r="G36" i="22"/>
  <c r="J12" i="22"/>
  <c r="F22" i="20"/>
  <c r="L34" i="22"/>
  <c r="N14" i="20"/>
  <c r="C21" i="19"/>
  <c r="G53" i="21"/>
  <c r="P37" i="21"/>
  <c r="I33" i="22"/>
  <c r="N31" i="22"/>
  <c r="H47" i="22"/>
  <c r="D37" i="22"/>
  <c r="S31" i="22"/>
  <c r="T20" i="22"/>
  <c r="J18" i="22"/>
  <c r="G38" i="21"/>
  <c r="N30" i="22"/>
  <c r="K41" i="22"/>
  <c r="F50" i="22"/>
  <c r="G19" i="19"/>
  <c r="I37" i="21"/>
  <c r="S44" i="21"/>
  <c r="P20" i="21"/>
  <c r="G45" i="21"/>
  <c r="H18" i="22"/>
  <c r="J52" i="22"/>
  <c r="S21" i="21"/>
  <c r="O46" i="22"/>
  <c r="S23" i="22"/>
  <c r="K36" i="22"/>
  <c r="R52" i="21"/>
  <c r="E51" i="22"/>
  <c r="F16" i="21"/>
  <c r="L26" i="19"/>
  <c r="L48" i="21"/>
  <c r="G23" i="22"/>
  <c r="N10" i="21"/>
  <c r="O57" i="22"/>
  <c r="S46" i="21"/>
  <c r="E7" i="19"/>
  <c r="F14" i="21"/>
  <c r="I10" i="22"/>
  <c r="K12" i="19"/>
  <c r="Q34" i="22"/>
  <c r="N19" i="20"/>
  <c r="H11" i="22"/>
  <c r="N11" i="21"/>
  <c r="E31" i="21"/>
  <c r="I19" i="22"/>
  <c r="S10" i="22"/>
  <c r="N19" i="22"/>
  <c r="L34" i="21"/>
  <c r="N53" i="22"/>
  <c r="L55" i="22"/>
  <c r="I44" i="21"/>
  <c r="I38" i="21"/>
  <c r="N9" i="21"/>
  <c r="M45" i="22"/>
  <c r="S13" i="21"/>
  <c r="N37" i="21"/>
  <c r="D9" i="19"/>
  <c r="P43" i="21"/>
  <c r="P13" i="21"/>
  <c r="R15" i="22"/>
  <c r="Q23" i="22"/>
  <c r="Q47" i="22"/>
  <c r="J46" i="22"/>
  <c r="S49" i="22"/>
  <c r="R40" i="22"/>
  <c r="O9" i="21"/>
  <c r="L29" i="21"/>
  <c r="H48" i="22"/>
  <c r="I11" i="20"/>
  <c r="I13" i="21"/>
  <c r="O18" i="21"/>
  <c r="R14" i="22"/>
  <c r="M57" i="22"/>
  <c r="E43" i="22"/>
  <c r="S12" i="22"/>
  <c r="T37" i="22"/>
  <c r="M39" i="21"/>
  <c r="K17" i="21"/>
  <c r="J21" i="20"/>
  <c r="J51" i="22"/>
  <c r="T33" i="22"/>
  <c r="Q37" i="21"/>
  <c r="T38" i="22"/>
  <c r="I7" i="22"/>
  <c r="J29" i="21"/>
  <c r="C24" i="20"/>
  <c r="G35" i="21"/>
  <c r="S52" i="21"/>
  <c r="E13" i="22"/>
  <c r="J37" i="22"/>
  <c r="E10" i="21"/>
  <c r="G11" i="22"/>
  <c r="I55" i="22"/>
  <c r="M18" i="22"/>
  <c r="S11" i="21"/>
  <c r="J55" i="22"/>
  <c r="F43" i="22"/>
  <c r="D29" i="20"/>
  <c r="H53" i="22"/>
  <c r="L46" i="22"/>
  <c r="P38" i="21"/>
  <c r="K37" i="22"/>
  <c r="F27" i="20"/>
  <c r="H54" i="21"/>
  <c r="J14" i="22"/>
  <c r="F11" i="22"/>
  <c r="I12" i="21"/>
  <c r="E19" i="21"/>
  <c r="T13" i="22"/>
  <c r="E22" i="19"/>
  <c r="I34" i="22"/>
  <c r="I41" i="22"/>
  <c r="O44" i="22"/>
  <c r="O21" i="22"/>
  <c r="P41" i="21"/>
  <c r="H27" i="21"/>
  <c r="E49" i="22"/>
  <c r="G16" i="19"/>
  <c r="L38" i="21"/>
  <c r="M24" i="22"/>
  <c r="T31" i="21"/>
  <c r="N36" i="22"/>
  <c r="Q52" i="22"/>
  <c r="I12" i="22"/>
  <c r="E36" i="22"/>
  <c r="O35" i="21"/>
  <c r="L52" i="21"/>
  <c r="O16" i="21"/>
  <c r="Q43" i="22"/>
  <c r="K41" i="21"/>
  <c r="L22" i="22"/>
  <c r="N15" i="19"/>
  <c r="E16" i="22"/>
  <c r="J54" i="22"/>
  <c r="G45" i="22"/>
  <c r="N7" i="22"/>
  <c r="N41" i="21"/>
  <c r="L56" i="22"/>
  <c r="N29" i="21"/>
  <c r="K38" i="21"/>
  <c r="M52" i="21"/>
  <c r="H52" i="21"/>
  <c r="E10" i="22"/>
  <c r="M44" i="21"/>
  <c r="R37" i="21"/>
  <c r="L12" i="21"/>
  <c r="M54" i="21"/>
  <c r="F32" i="22"/>
  <c r="H18" i="21"/>
  <c r="L44" i="21"/>
  <c r="Q42" i="22"/>
  <c r="T12" i="21"/>
  <c r="N21" i="20"/>
  <c r="J44" i="21"/>
  <c r="H24" i="22"/>
  <c r="J49" i="22"/>
  <c r="S49" i="21"/>
  <c r="N21" i="22"/>
  <c r="T22" i="21"/>
  <c r="K24" i="20"/>
  <c r="K22" i="21"/>
  <c r="G37" i="21"/>
  <c r="Q19" i="21"/>
  <c r="N32" i="22"/>
  <c r="R51" i="22"/>
  <c r="D46" i="21"/>
  <c r="I15" i="19"/>
  <c r="P45" i="21"/>
  <c r="K34" i="21"/>
  <c r="T46" i="22"/>
  <c r="I23" i="20"/>
  <c r="R37" i="22"/>
  <c r="D33" i="22"/>
  <c r="Q42" i="21"/>
  <c r="L31" i="21"/>
  <c r="J33" i="21"/>
  <c r="K47" i="22"/>
  <c r="M50" i="22"/>
  <c r="K13" i="21"/>
  <c r="E31" i="22"/>
  <c r="E46" i="22"/>
  <c r="P30" i="21"/>
  <c r="R42" i="22"/>
  <c r="K52" i="21"/>
  <c r="G41" i="21"/>
  <c r="T35" i="21"/>
  <c r="M48" i="22"/>
  <c r="E30" i="22"/>
  <c r="F39" i="21"/>
  <c r="D14" i="20"/>
  <c r="O48" i="21"/>
  <c r="O49" i="21"/>
  <c r="T33" i="21"/>
  <c r="O51" i="21"/>
  <c r="O43" i="21"/>
  <c r="H46" i="21"/>
  <c r="N44" i="22"/>
  <c r="I9" i="21"/>
  <c r="G18" i="22"/>
  <c r="F18" i="22"/>
  <c r="N33" i="21"/>
  <c r="Q27" i="21"/>
  <c r="J16" i="22"/>
  <c r="N40" i="22"/>
  <c r="L42" i="21"/>
  <c r="F10" i="21"/>
  <c r="K10" i="22"/>
  <c r="T10" i="21"/>
  <c r="S20" i="22"/>
  <c r="K22" i="20"/>
  <c r="Q31" i="22"/>
  <c r="K50" i="22"/>
  <c r="E24" i="22"/>
  <c r="Q45" i="22"/>
  <c r="R52" i="22"/>
  <c r="D55" i="22"/>
  <c r="F12" i="21"/>
  <c r="L16" i="22"/>
  <c r="O22" i="21"/>
  <c r="M48" i="21"/>
  <c r="E25" i="19"/>
  <c r="O17" i="21"/>
  <c r="H37" i="22"/>
  <c r="L20" i="21"/>
  <c r="P42" i="21"/>
  <c r="H54" i="22"/>
  <c r="C12" i="19"/>
  <c r="H21" i="21"/>
  <c r="K40" i="21"/>
  <c r="I57" i="22"/>
  <c r="L13" i="21"/>
  <c r="K42" i="21"/>
  <c r="J29" i="20"/>
  <c r="L47" i="22"/>
  <c r="Q10" i="22"/>
  <c r="G30" i="22"/>
  <c r="G7" i="19"/>
  <c r="H21" i="22"/>
  <c r="J57" i="22"/>
  <c r="D43" i="21"/>
  <c r="E12" i="22"/>
  <c r="G5" i="21"/>
  <c r="F30" i="22"/>
  <c r="N28" i="20"/>
  <c r="E15" i="22"/>
  <c r="E54" i="21"/>
  <c r="M30" i="22"/>
  <c r="I56" i="22"/>
  <c r="I15" i="22"/>
  <c r="N47" i="22"/>
  <c r="H29" i="21"/>
  <c r="J12" i="19"/>
  <c r="N28" i="21"/>
  <c r="R12" i="22"/>
  <c r="T19" i="21"/>
  <c r="G16" i="21"/>
  <c r="O34" i="21"/>
  <c r="N35" i="21"/>
  <c r="S29" i="21"/>
  <c r="O53" i="21"/>
  <c r="S44" i="22"/>
  <c r="J30" i="22"/>
  <c r="R51" i="21"/>
  <c r="K51" i="22"/>
  <c r="E52" i="22"/>
  <c r="I45" i="22"/>
  <c r="D45" i="22"/>
  <c r="J22" i="22"/>
  <c r="E55" i="22"/>
  <c r="K14" i="21"/>
  <c r="L53" i="22"/>
  <c r="F22" i="22"/>
  <c r="Q39" i="21"/>
  <c r="L29" i="20"/>
  <c r="O46" i="21"/>
  <c r="I47" i="22"/>
  <c r="F11" i="21"/>
  <c r="M53" i="22"/>
  <c r="R43" i="22"/>
  <c r="Q18" i="21"/>
  <c r="K19" i="19"/>
  <c r="N14" i="22"/>
  <c r="M14" i="21"/>
  <c r="E19" i="22"/>
  <c r="C16" i="19"/>
  <c r="R16" i="22"/>
  <c r="R33" i="22"/>
  <c r="D18" i="20"/>
  <c r="H28" i="21"/>
  <c r="T34" i="21"/>
  <c r="G25" i="19"/>
  <c r="I46" i="22"/>
  <c r="O33" i="22"/>
  <c r="K48" i="22"/>
  <c r="T22" i="22"/>
  <c r="K43" i="22"/>
  <c r="Q43" i="21"/>
  <c r="M40" i="22"/>
  <c r="K17" i="19"/>
  <c r="S55" i="22"/>
  <c r="E26" i="20"/>
  <c r="N52" i="22"/>
  <c r="T24" i="22"/>
  <c r="T16" i="22"/>
  <c r="N40" i="21"/>
  <c r="O43" i="22"/>
  <c r="J17" i="21"/>
  <c r="C22" i="20"/>
  <c r="B16" i="20"/>
  <c r="O31" i="21"/>
  <c r="F21" i="22"/>
  <c r="D30" i="22"/>
  <c r="R41" i="22"/>
  <c r="L38" i="22"/>
  <c r="N39" i="21"/>
  <c r="O42" i="21"/>
  <c r="N43" i="22"/>
  <c r="D10" i="21"/>
  <c r="D7" i="22"/>
  <c r="J44" i="22"/>
  <c r="M19" i="19"/>
  <c r="G54" i="21"/>
  <c r="Q53" i="21"/>
  <c r="S7" i="22"/>
  <c r="T11" i="21"/>
  <c r="M19" i="22"/>
  <c r="F12" i="22"/>
  <c r="J42" i="22"/>
  <c r="S47" i="22"/>
  <c r="O52" i="22"/>
  <c r="J14" i="21"/>
  <c r="E50" i="22"/>
  <c r="G48" i="22"/>
  <c r="R43" i="21"/>
  <c r="O40" i="21"/>
  <c r="M17" i="21"/>
  <c r="S28" i="21"/>
  <c r="N27" i="20"/>
  <c r="L39" i="21"/>
  <c r="C18" i="20"/>
  <c r="M15" i="22"/>
  <c r="K30" i="22"/>
  <c r="D18" i="21"/>
  <c r="J45" i="22"/>
  <c r="I21" i="22"/>
  <c r="M31" i="21"/>
  <c r="S13" i="22"/>
  <c r="M34" i="21"/>
  <c r="J10" i="21"/>
  <c r="Q30" i="22"/>
  <c r="L19" i="19"/>
  <c r="O42" i="22"/>
  <c r="J12" i="21"/>
  <c r="E34" i="21"/>
  <c r="F55" i="22"/>
  <c r="T44" i="22"/>
  <c r="E21" i="19"/>
  <c r="H44" i="21"/>
  <c r="F41" i="22"/>
  <c r="O12" i="21"/>
  <c r="T52" i="22"/>
  <c r="F45" i="21"/>
  <c r="D11" i="21"/>
  <c r="Q54" i="22"/>
  <c r="J18" i="21"/>
  <c r="J13" i="20"/>
  <c r="Q31" i="21"/>
  <c r="E40" i="22"/>
  <c r="O41" i="21"/>
  <c r="D44" i="22"/>
  <c r="N12" i="22"/>
  <c r="K28" i="21"/>
  <c r="M32" i="22"/>
  <c r="N20" i="22"/>
  <c r="R50" i="21"/>
  <c r="E52" i="21"/>
  <c r="T21" i="21"/>
  <c r="H45" i="22"/>
  <c r="I30" i="22"/>
  <c r="D24" i="22"/>
  <c r="O47" i="22"/>
  <c r="N10" i="22"/>
  <c r="Q56" i="22"/>
  <c r="L50" i="21"/>
  <c r="L37" i="21"/>
  <c r="H42" i="22"/>
  <c r="M44" i="22"/>
  <c r="N46" i="22"/>
  <c r="O21" i="21"/>
  <c r="Q15" i="22"/>
  <c r="E11" i="20"/>
  <c r="L23" i="22"/>
  <c r="I37" i="22"/>
  <c r="L50" i="22"/>
  <c r="Q18" i="22"/>
  <c r="H22" i="22"/>
  <c r="P40" i="21"/>
  <c r="G9" i="21"/>
  <c r="I18" i="22"/>
  <c r="L7" i="22"/>
  <c r="F37" i="22"/>
  <c r="B28" i="20"/>
  <c r="E20" i="22"/>
  <c r="L12" i="20"/>
  <c r="N48" i="21"/>
  <c r="G55" i="22"/>
  <c r="F24" i="22"/>
  <c r="D14" i="22"/>
  <c r="I14" i="22"/>
  <c r="M21" i="21"/>
  <c r="M13" i="21"/>
  <c r="E46" i="21"/>
  <c r="C11" i="19"/>
  <c r="J11" i="20"/>
  <c r="J41" i="22"/>
  <c r="J27" i="21"/>
  <c r="I13" i="22"/>
  <c r="C23" i="20"/>
  <c r="L10" i="22"/>
  <c r="J52" i="21"/>
  <c r="R31" i="22"/>
  <c r="C20" i="19"/>
  <c r="L51" i="22"/>
  <c r="L45" i="21"/>
  <c r="P5" i="21"/>
  <c r="P47" i="21"/>
  <c r="B20" i="19"/>
  <c r="M21" i="19"/>
  <c r="E12" i="20"/>
  <c r="T10" i="22"/>
  <c r="O38" i="22"/>
  <c r="G11" i="21"/>
  <c r="M11" i="22"/>
  <c r="K15" i="22"/>
  <c r="H16" i="22"/>
  <c r="T40" i="22"/>
  <c r="O20" i="22"/>
  <c r="Q49" i="21"/>
  <c r="H43" i="21"/>
  <c r="H52" i="22"/>
  <c r="E30" i="21"/>
  <c r="N56" i="22"/>
  <c r="J13" i="21"/>
  <c r="K27" i="20"/>
  <c r="O29" i="21"/>
  <c r="N20" i="21"/>
  <c r="Q11" i="22"/>
  <c r="J36" i="22"/>
  <c r="I51" i="21"/>
  <c r="P46" i="21"/>
  <c r="N18" i="22"/>
  <c r="O12" i="22"/>
  <c r="P51" i="21"/>
  <c r="R33" i="21"/>
  <c r="T50" i="21"/>
  <c r="Q50" i="21"/>
  <c r="H16" i="21"/>
  <c r="Q34" i="21"/>
  <c r="F40" i="22"/>
  <c r="G29" i="20"/>
  <c r="G34" i="21"/>
  <c r="R7" i="22"/>
  <c r="G31" i="21"/>
  <c r="D22" i="21"/>
  <c r="G27" i="21"/>
  <c r="K9" i="21"/>
  <c r="Q41" i="22"/>
  <c r="E27" i="20"/>
  <c r="H15" i="22"/>
  <c r="M9" i="19"/>
  <c r="T46" i="21"/>
  <c r="S33" i="21"/>
  <c r="D14" i="19"/>
  <c r="N16" i="21"/>
  <c r="P10" i="21"/>
  <c r="R57" i="22"/>
  <c r="R49" i="21"/>
  <c r="M27" i="21"/>
  <c r="J7" i="19"/>
  <c r="J22" i="20"/>
  <c r="K26" i="19"/>
  <c r="J48" i="22"/>
  <c r="N41" i="22"/>
  <c r="T14" i="21"/>
  <c r="T16" i="21"/>
  <c r="J56" i="22"/>
  <c r="R53" i="22"/>
  <c r="H33" i="22"/>
  <c r="E18" i="22"/>
  <c r="K16" i="20"/>
  <c r="R47" i="22"/>
  <c r="F7" i="22"/>
  <c r="N18" i="21"/>
  <c r="H41" i="21"/>
  <c r="L21" i="22"/>
  <c r="O49" i="22"/>
  <c r="L19" i="21"/>
  <c r="J45" i="21"/>
  <c r="E37" i="22"/>
  <c r="J30" i="21"/>
  <c r="F9" i="21"/>
  <c r="S30" i="22"/>
  <c r="H10" i="22"/>
  <c r="T27" i="21"/>
  <c r="F38" i="22"/>
  <c r="D19" i="22"/>
  <c r="S24" i="22"/>
  <c r="T19" i="22"/>
  <c r="I42" i="21"/>
  <c r="D52" i="22"/>
  <c r="I20" i="22"/>
  <c r="Q19" i="22"/>
  <c r="M47" i="22"/>
  <c r="D37" i="21"/>
  <c r="Q54" i="21"/>
  <c r="H39" i="21"/>
  <c r="M42" i="21"/>
  <c r="G29" i="21"/>
  <c r="R23" i="22"/>
  <c r="K44" i="22"/>
  <c r="Q49" i="22"/>
  <c r="M49" i="22"/>
  <c r="I19" i="21"/>
  <c r="E39" i="21"/>
  <c r="H34" i="21"/>
  <c r="M27" i="20"/>
  <c r="T49" i="21"/>
  <c r="S19" i="22"/>
  <c r="S54" i="22"/>
  <c r="H30" i="21"/>
  <c r="T37" i="21"/>
  <c r="N11" i="22"/>
  <c r="L36" i="22"/>
  <c r="R24" i="22"/>
  <c r="O55" i="22"/>
  <c r="R13" i="21"/>
  <c r="N31" i="21"/>
  <c r="J32" i="22"/>
  <c r="S54" i="21"/>
  <c r="J26" i="19"/>
  <c r="L21" i="21"/>
  <c r="K44" i="21"/>
  <c r="I16" i="20"/>
  <c r="L52" i="22"/>
  <c r="L20" i="22"/>
  <c r="N51" i="22"/>
  <c r="G22" i="22"/>
  <c r="L7" i="19"/>
  <c r="S30" i="21"/>
  <c r="G40" i="21"/>
  <c r="E18" i="21"/>
  <c r="K27" i="19"/>
  <c r="D40" i="22"/>
  <c r="J13" i="22"/>
  <c r="G44" i="21"/>
  <c r="D39" i="21"/>
  <c r="E42" i="21"/>
  <c r="O54" i="21"/>
  <c r="J21" i="19"/>
  <c r="H23" i="22"/>
  <c r="K40" i="22"/>
  <c r="K49" i="21"/>
  <c r="F28" i="21"/>
  <c r="K30" i="21"/>
  <c r="R20" i="21"/>
  <c r="D11" i="22"/>
  <c r="H34" i="22"/>
  <c r="S27" i="21"/>
  <c r="G56" i="22"/>
  <c r="K43" i="21"/>
  <c r="R9" i="21"/>
  <c r="C24" i="19"/>
  <c r="I11" i="19"/>
  <c r="D28" i="20"/>
  <c r="K45" i="21"/>
  <c r="N45" i="21"/>
  <c r="G9" i="20"/>
  <c r="P35" i="21"/>
  <c r="E19" i="20"/>
  <c r="M20" i="22"/>
  <c r="Q21" i="21"/>
  <c r="I50" i="22"/>
  <c r="E33" i="22"/>
  <c r="J51" i="21"/>
  <c r="K16" i="21"/>
  <c r="T54" i="21"/>
  <c r="J9" i="21"/>
  <c r="B27" i="19"/>
  <c r="J18" i="20"/>
  <c r="J14" i="19"/>
  <c r="R32" i="22"/>
  <c r="O30" i="21"/>
  <c r="D12" i="22"/>
  <c r="T17" i="21"/>
  <c r="L57" i="22"/>
  <c r="F31" i="22"/>
  <c r="M38" i="22"/>
  <c r="N48" i="22"/>
  <c r="R34" i="22"/>
  <c r="G49" i="21"/>
  <c r="R46" i="22"/>
  <c r="O47" i="21"/>
  <c r="S38" i="21"/>
  <c r="K22" i="22"/>
  <c r="S20" i="21"/>
  <c r="R18" i="22"/>
  <c r="F30" i="21"/>
  <c r="K5" i="21"/>
  <c r="T44" i="21"/>
  <c r="R50" i="22"/>
  <c r="N50" i="22"/>
  <c r="K21" i="21"/>
  <c r="O34" i="22"/>
  <c r="M7" i="22"/>
  <c r="M34" i="22"/>
  <c r="M23" i="20"/>
  <c r="M10" i="21"/>
  <c r="N44" i="21"/>
  <c r="H7" i="22"/>
  <c r="C26" i="19"/>
  <c r="R53" i="21"/>
  <c r="M29" i="21"/>
  <c r="E33" i="21"/>
  <c r="G32" i="22"/>
  <c r="D36" i="22"/>
  <c r="F45" i="22"/>
  <c r="F33" i="21"/>
  <c r="J54" i="21"/>
  <c r="H48" i="21"/>
  <c r="H40" i="22"/>
  <c r="C25" i="19"/>
  <c r="P54" i="21"/>
  <c r="M33" i="22"/>
  <c r="M41" i="21"/>
  <c r="E28" i="21"/>
  <c r="T53" i="21"/>
  <c r="D16" i="22"/>
  <c r="S51" i="22"/>
  <c r="L14" i="20"/>
  <c r="F20" i="22"/>
  <c r="G42" i="22"/>
  <c r="M41" i="22"/>
  <c r="H45" i="21"/>
  <c r="G31" i="22"/>
  <c r="G19" i="22"/>
  <c r="S46" i="22"/>
  <c r="I17" i="21"/>
  <c r="I38" i="22"/>
  <c r="D31" i="22"/>
  <c r="S16" i="21"/>
  <c r="P52" i="21"/>
  <c r="S40" i="22"/>
  <c r="D46" i="22"/>
  <c r="H22" i="21"/>
  <c r="J15" i="22"/>
  <c r="J48" i="21"/>
  <c r="D15" i="19"/>
  <c r="K14" i="20"/>
  <c r="F50" i="21"/>
  <c r="B11" i="20"/>
  <c r="K42" i="22"/>
  <c r="N19" i="19"/>
  <c r="G50" i="21"/>
  <c r="Q46" i="21"/>
  <c r="E8" i="21"/>
  <c r="K32" i="22"/>
  <c r="N15" i="22"/>
  <c r="G13" i="22"/>
  <c r="I16" i="21"/>
  <c r="M18" i="20"/>
  <c r="S53" i="22"/>
  <c r="F17" i="21"/>
  <c r="P8" i="21"/>
  <c r="I53" i="21"/>
  <c r="H14" i="22"/>
  <c r="K45" i="22"/>
  <c r="J19" i="22"/>
  <c r="E35" i="21"/>
  <c r="K33" i="21"/>
  <c r="J35" i="21"/>
  <c r="H17" i="21"/>
  <c r="F27" i="19"/>
  <c r="G17" i="19"/>
  <c r="K31" i="21"/>
  <c r="S50" i="22"/>
  <c r="S52" i="22"/>
  <c r="I47" i="21"/>
  <c r="H19" i="22"/>
  <c r="R45" i="22"/>
  <c r="B22" i="19"/>
  <c r="G46" i="22"/>
  <c r="S57" i="22"/>
  <c r="R48" i="22"/>
  <c r="O22" i="22"/>
  <c r="I49" i="21"/>
  <c r="D30" i="21"/>
  <c r="G49" i="22"/>
  <c r="S39" i="21"/>
  <c r="F38" i="21"/>
  <c r="B19" i="20"/>
  <c r="I22" i="22"/>
  <c r="M22" i="21"/>
  <c r="F29" i="21"/>
  <c r="S37" i="22"/>
  <c r="F54" i="22"/>
  <c r="L37" i="22"/>
  <c r="H43" i="22"/>
  <c r="M9" i="23" l="1"/>
  <c r="H19" i="20"/>
  <c r="S18" i="24"/>
  <c r="H22" i="19"/>
  <c r="K11" i="23"/>
  <c r="K32" i="21"/>
  <c r="K12" i="23" s="1"/>
  <c r="I15" i="23"/>
  <c r="P6" i="21"/>
  <c r="I15" i="21"/>
  <c r="I8" i="23" s="1"/>
  <c r="E6" i="21"/>
  <c r="H11" i="20"/>
  <c r="H9" i="23"/>
  <c r="S39" i="22"/>
  <c r="S15" i="24" s="1"/>
  <c r="P14" i="23"/>
  <c r="S15" i="21"/>
  <c r="S8" i="23" s="1"/>
  <c r="T15" i="23"/>
  <c r="P16" i="23"/>
  <c r="H39" i="22"/>
  <c r="H15" i="24" s="1"/>
  <c r="J16" i="23"/>
  <c r="F32" i="21"/>
  <c r="F12" i="23" s="1"/>
  <c r="D35" i="22"/>
  <c r="D14" i="24" s="1"/>
  <c r="E32" i="21"/>
  <c r="E12" i="23" s="1"/>
  <c r="R15" i="23"/>
  <c r="H7" i="24"/>
  <c r="H9" i="24" s="1"/>
  <c r="M13" i="24"/>
  <c r="M7" i="24"/>
  <c r="O13" i="24"/>
  <c r="K5" i="23"/>
  <c r="R17" i="22"/>
  <c r="R10" i="24" s="1"/>
  <c r="R13" i="24"/>
  <c r="L18" i="24"/>
  <c r="O14" i="19"/>
  <c r="O18" i="20"/>
  <c r="H27" i="19"/>
  <c r="T16" i="23"/>
  <c r="K15" i="21"/>
  <c r="K8" i="23" s="1"/>
  <c r="G17" i="24"/>
  <c r="S26" i="21"/>
  <c r="S10" i="23" s="1"/>
  <c r="H13" i="24"/>
  <c r="K39" i="22"/>
  <c r="K15" i="24" s="1"/>
  <c r="O21" i="19"/>
  <c r="O16" i="23"/>
  <c r="D39" i="22"/>
  <c r="D15" i="24" s="1"/>
  <c r="O26" i="19"/>
  <c r="S16" i="23"/>
  <c r="N11" i="23"/>
  <c r="O16" i="24"/>
  <c r="R11" i="24"/>
  <c r="L35" i="22"/>
  <c r="L14" i="24" s="1"/>
  <c r="T36" i="21"/>
  <c r="T13" i="23" s="1"/>
  <c r="Q16" i="23"/>
  <c r="D36" i="21"/>
  <c r="D13" i="23" s="1"/>
  <c r="S11" i="24"/>
  <c r="T26" i="21"/>
  <c r="T10" i="23" s="1"/>
  <c r="H8" i="22"/>
  <c r="S29" i="22"/>
  <c r="S12" i="24" s="1"/>
  <c r="F7" i="24"/>
  <c r="E17" i="22"/>
  <c r="E10" i="24" s="1"/>
  <c r="J17" i="24"/>
  <c r="T15" i="21"/>
  <c r="T8" i="23" s="1"/>
  <c r="O22" i="20"/>
  <c r="O7" i="19"/>
  <c r="M26" i="21"/>
  <c r="M10" i="23" s="1"/>
  <c r="R18" i="24"/>
  <c r="N15" i="21"/>
  <c r="N8" i="23" s="1"/>
  <c r="S32" i="21"/>
  <c r="S12" i="23" s="1"/>
  <c r="G26" i="21"/>
  <c r="G10" i="23" s="1"/>
  <c r="D9" i="23"/>
  <c r="G11" i="23"/>
  <c r="R7" i="24"/>
  <c r="F39" i="22"/>
  <c r="F15" i="24" s="1"/>
  <c r="H15" i="21"/>
  <c r="H8" i="23" s="1"/>
  <c r="R32" i="21"/>
  <c r="R12" i="23" s="1"/>
  <c r="N17" i="22"/>
  <c r="N10" i="24" s="1"/>
  <c r="J35" i="22"/>
  <c r="J14" i="24" s="1"/>
  <c r="N17" i="24"/>
  <c r="T39" i="22"/>
  <c r="T15" i="24" s="1"/>
  <c r="T8" i="22"/>
  <c r="H20" i="19"/>
  <c r="P5" i="23"/>
  <c r="J14" i="23"/>
  <c r="L8" i="22"/>
  <c r="J26" i="21"/>
  <c r="J10" i="23" s="1"/>
  <c r="O11" i="20"/>
  <c r="F11" i="24"/>
  <c r="G16" i="24"/>
  <c r="H28" i="20"/>
  <c r="L7" i="24"/>
  <c r="I17" i="22"/>
  <c r="I10" i="24" s="1"/>
  <c r="Q17" i="22"/>
  <c r="Q10" i="24" s="1"/>
  <c r="L36" i="21"/>
  <c r="L13" i="23" s="1"/>
  <c r="Q17" i="24"/>
  <c r="N8" i="22"/>
  <c r="D11" i="24"/>
  <c r="I29" i="22"/>
  <c r="I12" i="24" s="1"/>
  <c r="E14" i="23"/>
  <c r="E39" i="22"/>
  <c r="E15" i="24" s="1"/>
  <c r="Q11" i="23"/>
  <c r="O13" i="20"/>
  <c r="F16" i="24"/>
  <c r="Q29" i="22"/>
  <c r="Q12" i="24" s="1"/>
  <c r="M11" i="23"/>
  <c r="K29" i="22"/>
  <c r="K12" i="24" s="1"/>
  <c r="S7" i="24"/>
  <c r="Q15" i="23"/>
  <c r="G16" i="23"/>
  <c r="D7" i="24"/>
  <c r="D29" i="22"/>
  <c r="D12" i="24" s="1"/>
  <c r="O11" i="23"/>
  <c r="H16" i="20"/>
  <c r="T11" i="24"/>
  <c r="S16" i="24"/>
  <c r="M39" i="22"/>
  <c r="M15" i="24" s="1"/>
  <c r="E16" i="24"/>
  <c r="J29" i="22"/>
  <c r="J12" i="24" s="1"/>
  <c r="O15" i="23"/>
  <c r="G15" i="21"/>
  <c r="G8" i="23" s="1"/>
  <c r="O12" i="19"/>
  <c r="I17" i="24"/>
  <c r="M29" i="22"/>
  <c r="M12" i="24" s="1"/>
  <c r="E16" i="23"/>
  <c r="F29" i="22"/>
  <c r="F12" i="24" s="1"/>
  <c r="G5" i="23"/>
  <c r="J18" i="24"/>
  <c r="G29" i="22"/>
  <c r="G12" i="24" s="1"/>
  <c r="Q8" i="22"/>
  <c r="O29" i="20"/>
  <c r="I18" i="24"/>
  <c r="O9" i="23"/>
  <c r="D16" i="24"/>
  <c r="E11" i="24"/>
  <c r="K8" i="22"/>
  <c r="N39" i="22"/>
  <c r="N15" i="24" s="1"/>
  <c r="Q26" i="21"/>
  <c r="Q10" i="23" s="1"/>
  <c r="N32" i="21"/>
  <c r="N12" i="23" s="1"/>
  <c r="F17" i="22"/>
  <c r="F10" i="24" s="1"/>
  <c r="G17" i="22"/>
  <c r="G10" i="24" s="1"/>
  <c r="T32" i="21"/>
  <c r="T12" i="23" s="1"/>
  <c r="E29" i="22"/>
  <c r="E12" i="24" s="1"/>
  <c r="K14" i="23"/>
  <c r="J32" i="21"/>
  <c r="J12" i="23" s="1"/>
  <c r="L11" i="23"/>
  <c r="G36" i="21"/>
  <c r="G13" i="23" s="1"/>
  <c r="K9" i="23"/>
  <c r="T9" i="23"/>
  <c r="H11" i="24"/>
  <c r="M16" i="23"/>
  <c r="R36" i="21"/>
  <c r="R13" i="23" s="1"/>
  <c r="E8" i="22"/>
  <c r="H14" i="23"/>
  <c r="M14" i="23"/>
  <c r="L17" i="24"/>
  <c r="N7" i="24"/>
  <c r="O15" i="21"/>
  <c r="O8" i="23" s="1"/>
  <c r="L14" i="23"/>
  <c r="E35" i="22"/>
  <c r="E14" i="24" s="1"/>
  <c r="N35" i="22"/>
  <c r="N14" i="24" s="1"/>
  <c r="T11" i="23"/>
  <c r="M11" i="24"/>
  <c r="H26" i="21"/>
  <c r="H10" i="23" s="1"/>
  <c r="I13" i="24"/>
  <c r="H16" i="23"/>
  <c r="J16" i="24"/>
  <c r="M17" i="22"/>
  <c r="M10" i="24" s="1"/>
  <c r="I16" i="24"/>
  <c r="S14" i="23"/>
  <c r="I7" i="24"/>
  <c r="Q36" i="21"/>
  <c r="Q13" i="23" s="1"/>
  <c r="O21" i="20"/>
  <c r="M18" i="24"/>
  <c r="R39" i="22"/>
  <c r="R15" i="24" s="1"/>
  <c r="N36" i="21"/>
  <c r="N13" i="23" s="1"/>
  <c r="L16" i="24"/>
  <c r="S8" i="22"/>
  <c r="E11" i="23"/>
  <c r="Q13" i="24"/>
  <c r="I8" i="22"/>
  <c r="O18" i="24"/>
  <c r="F15" i="21"/>
  <c r="F8" i="23" s="1"/>
  <c r="R14" i="23"/>
  <c r="K35" i="22"/>
  <c r="K14" i="24" s="1"/>
  <c r="H17" i="22"/>
  <c r="H10" i="24" s="1"/>
  <c r="I36" i="21"/>
  <c r="I13" i="23" s="1"/>
  <c r="N29" i="22"/>
  <c r="N12" i="24" s="1"/>
  <c r="J17" i="22"/>
  <c r="J10" i="24" s="1"/>
  <c r="P36" i="21"/>
  <c r="P13" i="23" s="1"/>
  <c r="G15" i="23"/>
  <c r="L13" i="24"/>
  <c r="G35" i="22"/>
  <c r="G14" i="24" s="1"/>
  <c r="H27" i="20"/>
  <c r="H13" i="20"/>
  <c r="S35" i="22"/>
  <c r="S14" i="24" s="1"/>
  <c r="F9" i="23"/>
  <c r="O11" i="24"/>
  <c r="T29" i="22"/>
  <c r="T12" i="24" s="1"/>
  <c r="O32" i="21"/>
  <c r="O12" i="23" s="1"/>
  <c r="H18" i="20"/>
  <c r="T13" i="24"/>
  <c r="H29" i="22"/>
  <c r="H12" i="24" s="1"/>
  <c r="I26" i="21"/>
  <c r="I10" i="23" s="1"/>
  <c r="O27" i="20"/>
  <c r="D32" i="21"/>
  <c r="D12" i="23" s="1"/>
  <c r="H32" i="21"/>
  <c r="H12" i="23" s="1"/>
  <c r="F5" i="23"/>
  <c r="D8" i="22"/>
  <c r="O19" i="19"/>
  <c r="D14" i="23"/>
  <c r="H12" i="20"/>
  <c r="H12" i="19"/>
  <c r="L5" i="23"/>
  <c r="O24" i="19"/>
  <c r="J15" i="21"/>
  <c r="J8" i="23" s="1"/>
  <c r="G6" i="21"/>
  <c r="I16" i="23"/>
  <c r="Q14" i="23"/>
  <c r="H11" i="23"/>
  <c r="F14" i="23"/>
  <c r="D15" i="21"/>
  <c r="D8" i="23" s="1"/>
  <c r="D17" i="22"/>
  <c r="D10" i="24" s="1"/>
  <c r="Q9" i="23"/>
  <c r="L9" i="23"/>
  <c r="J11" i="23"/>
  <c r="O17" i="19"/>
  <c r="O35" i="22"/>
  <c r="O14" i="24" s="1"/>
  <c r="H22" i="20"/>
  <c r="J7" i="24"/>
  <c r="O14" i="23"/>
  <c r="R15" i="21"/>
  <c r="R8" i="23" s="1"/>
  <c r="H10" i="19"/>
  <c r="R9" i="23"/>
  <c r="I35" i="22"/>
  <c r="I14" i="24" s="1"/>
  <c r="H14" i="20"/>
  <c r="H24" i="20"/>
  <c r="O26" i="20"/>
  <c r="E9" i="23"/>
  <c r="P11" i="23"/>
  <c r="O12" i="20"/>
  <c r="P12" i="20" s="1"/>
  <c r="AC12" i="20" s="1"/>
  <c r="H15" i="19"/>
  <c r="M36" i="21"/>
  <c r="M13" i="23" s="1"/>
  <c r="L32" i="21"/>
  <c r="L12" i="23" s="1"/>
  <c r="F11" i="23"/>
  <c r="D11" i="23"/>
  <c r="F26" i="21"/>
  <c r="F10" i="23" s="1"/>
  <c r="Q18" i="24"/>
  <c r="K16" i="23"/>
  <c r="N9" i="23"/>
  <c r="R11" i="23"/>
  <c r="E7" i="24"/>
  <c r="G11" i="24"/>
  <c r="M35" i="22"/>
  <c r="M14" i="24" s="1"/>
  <c r="M16" i="24"/>
  <c r="G7" i="24"/>
  <c r="F18" i="24"/>
  <c r="P32" i="21"/>
  <c r="P12" i="23" s="1"/>
  <c r="E36" i="21"/>
  <c r="E13" i="23" s="1"/>
  <c r="R26" i="21"/>
  <c r="R10" i="23" s="1"/>
  <c r="K36" i="21"/>
  <c r="K13" i="23" s="1"/>
  <c r="R6" i="21"/>
  <c r="O36" i="21"/>
  <c r="O13" i="23" s="1"/>
  <c r="T7" i="24"/>
  <c r="H11" i="19"/>
  <c r="Q16" i="24"/>
  <c r="D6" i="21"/>
  <c r="R8" i="22"/>
  <c r="H21" i="20"/>
  <c r="J11" i="24"/>
  <c r="H19" i="19"/>
  <c r="K13" i="24"/>
  <c r="M15" i="23"/>
  <c r="H6" i="21"/>
  <c r="N6" i="21"/>
  <c r="F16" i="23"/>
  <c r="J5" i="23"/>
  <c r="F17" i="24"/>
  <c r="S17" i="24"/>
  <c r="L16" i="23"/>
  <c r="S15" i="23"/>
  <c r="D17" i="24"/>
  <c r="H36" i="21"/>
  <c r="H13" i="23" s="1"/>
  <c r="S13" i="24"/>
  <c r="P26" i="21"/>
  <c r="P10" i="23" s="1"/>
  <c r="J8" i="22"/>
  <c r="H17" i="19"/>
  <c r="G9" i="23"/>
  <c r="O8" i="22"/>
  <c r="M5" i="23"/>
  <c r="L11" i="24"/>
  <c r="H26" i="19"/>
  <c r="E18" i="24"/>
  <c r="Q7" i="24"/>
  <c r="N16" i="23"/>
  <c r="K16" i="24"/>
  <c r="N5" i="23"/>
  <c r="E15" i="21"/>
  <c r="E8" i="23" s="1"/>
  <c r="H29" i="20"/>
  <c r="O22" i="19"/>
  <c r="P22" i="19" s="1"/>
  <c r="AC22" i="19" s="1"/>
  <c r="F6" i="21"/>
  <c r="O23" i="20"/>
  <c r="Q5" i="23"/>
  <c r="R35" i="22"/>
  <c r="R14" i="24" s="1"/>
  <c r="E15" i="23"/>
  <c r="H17" i="24"/>
  <c r="P15" i="23"/>
  <c r="I9" i="23"/>
  <c r="G14" i="23"/>
  <c r="T18" i="24"/>
  <c r="I5" i="23"/>
  <c r="R5" i="23"/>
  <c r="S6" i="21"/>
  <c r="L26" i="21"/>
  <c r="L10" i="23" s="1"/>
  <c r="G18" i="24"/>
  <c r="H23" i="20"/>
  <c r="R16" i="23"/>
  <c r="P9" i="23"/>
  <c r="N14" i="23"/>
  <c r="H14" i="19"/>
  <c r="O24" i="20"/>
  <c r="H16" i="19"/>
  <c r="R16" i="24"/>
  <c r="T17" i="22"/>
  <c r="T10" i="24" s="1"/>
  <c r="O20" i="19"/>
  <c r="O19" i="20"/>
  <c r="T17" i="24"/>
  <c r="E5" i="23"/>
  <c r="K7" i="24"/>
  <c r="D15" i="23"/>
  <c r="O16" i="19"/>
  <c r="L15" i="23"/>
  <c r="Q11" i="24"/>
  <c r="F36" i="21"/>
  <c r="F13" i="23" s="1"/>
  <c r="S17" i="22"/>
  <c r="S10" i="24" s="1"/>
  <c r="H16" i="24"/>
  <c r="I11" i="24"/>
  <c r="N16" i="24"/>
  <c r="H17" i="20"/>
  <c r="O28" i="20"/>
  <c r="O10" i="19"/>
  <c r="K11" i="24"/>
  <c r="H35" i="22"/>
  <c r="H14" i="24" s="1"/>
  <c r="H18" i="24"/>
  <c r="S9" i="23"/>
  <c r="M6" i="21"/>
  <c r="O5" i="23"/>
  <c r="O7" i="23" s="1"/>
  <c r="K17" i="22"/>
  <c r="K10" i="24" s="1"/>
  <c r="D16" i="23"/>
  <c r="O16" i="20"/>
  <c r="F13" i="24"/>
  <c r="N11" i="24"/>
  <c r="H9" i="20"/>
  <c r="M32" i="21"/>
  <c r="M12" i="23" s="1"/>
  <c r="Q35" i="22"/>
  <c r="Q14" i="24" s="1"/>
  <c r="E26" i="21"/>
  <c r="E10" i="23" s="1"/>
  <c r="S5" i="23"/>
  <c r="F8" i="22"/>
  <c r="P15" i="21"/>
  <c r="P8" i="23" s="1"/>
  <c r="L17" i="22"/>
  <c r="L10" i="24" s="1"/>
  <c r="N15" i="23"/>
  <c r="H21" i="19"/>
  <c r="G39" i="22"/>
  <c r="G15" i="24" s="1"/>
  <c r="G8" i="22"/>
  <c r="L39" i="22"/>
  <c r="L15" i="24" s="1"/>
  <c r="T14" i="23"/>
  <c r="H15" i="23"/>
  <c r="K15" i="23"/>
  <c r="L29" i="22"/>
  <c r="L12" i="24" s="1"/>
  <c r="H26" i="20"/>
  <c r="Q6" i="21"/>
  <c r="O17" i="22"/>
  <c r="O10" i="24" s="1"/>
  <c r="D5" i="23"/>
  <c r="J9" i="23"/>
  <c r="O25" i="19"/>
  <c r="J36" i="21"/>
  <c r="J13" i="23" s="1"/>
  <c r="H7" i="19"/>
  <c r="T16" i="24"/>
  <c r="H5" i="23"/>
  <c r="H7" i="23" s="1"/>
  <c r="S36" i="21"/>
  <c r="S13" i="23" s="1"/>
  <c r="Q39" i="22"/>
  <c r="Q15" i="24" s="1"/>
  <c r="M15" i="21"/>
  <c r="M8" i="23" s="1"/>
  <c r="T35" i="22"/>
  <c r="T14" i="24" s="1"/>
  <c r="G32" i="21"/>
  <c r="G12" i="23" s="1"/>
  <c r="L6" i="21"/>
  <c r="N18" i="24"/>
  <c r="O11" i="19"/>
  <c r="P11" i="19" s="1"/>
  <c r="Z11" i="19" s="1"/>
  <c r="S11" i="23"/>
  <c r="M17" i="24"/>
  <c r="M8" i="22"/>
  <c r="I32" i="21"/>
  <c r="I12" i="23" s="1"/>
  <c r="T5" i="23"/>
  <c r="F35" i="22"/>
  <c r="F14" i="24" s="1"/>
  <c r="J15" i="23"/>
  <c r="H9" i="19"/>
  <c r="G13" i="24"/>
  <c r="K18" i="24"/>
  <c r="O39" i="22"/>
  <c r="O15" i="24" s="1"/>
  <c r="D18" i="24"/>
  <c r="D26" i="21"/>
  <c r="D10" i="23" s="1"/>
  <c r="E17" i="24"/>
  <c r="E13" i="24"/>
  <c r="I39" i="22"/>
  <c r="I15" i="24" s="1"/>
  <c r="O14" i="20"/>
  <c r="P14" i="20" s="1"/>
  <c r="AC14" i="20" s="1"/>
  <c r="R17" i="24"/>
  <c r="K26" i="21"/>
  <c r="K10" i="23" s="1"/>
  <c r="K6" i="21"/>
  <c r="Q32" i="21"/>
  <c r="Q12" i="23" s="1"/>
  <c r="O6" i="21"/>
  <c r="I11" i="23"/>
  <c r="J13" i="24"/>
  <c r="O27" i="19"/>
  <c r="P27" i="19" s="1"/>
  <c r="AB27" i="19" s="1"/>
  <c r="L15" i="21"/>
  <c r="L8" i="23" s="1"/>
  <c r="O15" i="19"/>
  <c r="T6" i="21"/>
  <c r="H24" i="19"/>
  <c r="O9" i="19"/>
  <c r="J39" i="22"/>
  <c r="J15" i="24" s="1"/>
  <c r="N26" i="21"/>
  <c r="N10" i="23" s="1"/>
  <c r="O17" i="20"/>
  <c r="P17" i="20" s="1"/>
  <c r="AD17" i="20" s="1"/>
  <c r="O9" i="20"/>
  <c r="R29" i="22"/>
  <c r="R12" i="24" s="1"/>
  <c r="D13" i="24"/>
  <c r="J6" i="21"/>
  <c r="H25" i="19"/>
  <c r="I6" i="21"/>
  <c r="N13" i="24"/>
  <c r="F15" i="23"/>
  <c r="I14" i="23"/>
  <c r="K17" i="24"/>
  <c r="Q15" i="21"/>
  <c r="Q8" i="23" s="1"/>
  <c r="O17" i="24"/>
  <c r="P11" i="20" l="1"/>
  <c r="AA17" i="20"/>
  <c r="T17" i="20"/>
  <c r="W12" i="20"/>
  <c r="AE22" i="19"/>
  <c r="W17" i="20"/>
  <c r="AA11" i="20"/>
  <c r="P16" i="20"/>
  <c r="P13" i="20"/>
  <c r="W13" i="20" s="1"/>
  <c r="P10" i="19"/>
  <c r="AB10" i="19" s="1"/>
  <c r="P20" i="19"/>
  <c r="U20" i="19" s="1"/>
  <c r="AB22" i="19"/>
  <c r="AE17" i="20"/>
  <c r="U17" i="20"/>
  <c r="O17" i="23"/>
  <c r="P16" i="19"/>
  <c r="AA27" i="19"/>
  <c r="V17" i="20"/>
  <c r="AB17" i="20"/>
  <c r="Z11" i="20"/>
  <c r="AF13" i="20"/>
  <c r="P9" i="20"/>
  <c r="V9" i="20" s="1"/>
  <c r="U11" i="20"/>
  <c r="W22" i="19"/>
  <c r="AF11" i="20"/>
  <c r="P22" i="20"/>
  <c r="T22" i="20" s="1"/>
  <c r="AF17" i="20"/>
  <c r="Z17" i="20"/>
  <c r="AC17" i="20"/>
  <c r="P28" i="20"/>
  <c r="AD28" i="20" s="1"/>
  <c r="P19" i="20"/>
  <c r="AE19" i="20" s="1"/>
  <c r="AA12" i="20"/>
  <c r="P15" i="19"/>
  <c r="T15" i="19" s="1"/>
  <c r="AA14" i="20"/>
  <c r="AF16" i="20"/>
  <c r="AE20" i="19"/>
  <c r="U13" i="20"/>
  <c r="X13" i="20"/>
  <c r="I6" i="23"/>
  <c r="I7" i="23" s="1"/>
  <c r="I17" i="23" s="1"/>
  <c r="I7" i="21"/>
  <c r="I55" i="21" s="1"/>
  <c r="U12" i="20"/>
  <c r="J6" i="23"/>
  <c r="J7" i="23" s="1"/>
  <c r="J17" i="23" s="1"/>
  <c r="J7" i="21"/>
  <c r="J55" i="21" s="1"/>
  <c r="X14" i="20"/>
  <c r="AB16" i="19"/>
  <c r="X12" i="20"/>
  <c r="S16" i="19"/>
  <c r="Z14" i="20"/>
  <c r="U27" i="19"/>
  <c r="P9" i="19"/>
  <c r="O19" i="24"/>
  <c r="S17" i="20"/>
  <c r="AA22" i="19"/>
  <c r="V16" i="20"/>
  <c r="AD12" i="20"/>
  <c r="D6" i="23"/>
  <c r="D7" i="21"/>
  <c r="D55" i="21" s="1"/>
  <c r="S11" i="19"/>
  <c r="X22" i="19"/>
  <c r="T16" i="19"/>
  <c r="P18" i="20"/>
  <c r="T27" i="19"/>
  <c r="R7" i="21"/>
  <c r="R55" i="21" s="1"/>
  <c r="R6" i="23"/>
  <c r="R7" i="23" s="1"/>
  <c r="R17" i="23" s="1"/>
  <c r="V14" i="20"/>
  <c r="L7" i="21"/>
  <c r="L55" i="21" s="1"/>
  <c r="L6" i="23"/>
  <c r="L7" i="23" s="1"/>
  <c r="L17" i="23" s="1"/>
  <c r="F8" i="24"/>
  <c r="F9" i="24" s="1"/>
  <c r="F19" i="24" s="1"/>
  <c r="F9" i="22"/>
  <c r="F58" i="22" s="1"/>
  <c r="S9" i="20"/>
  <c r="AD14" i="20"/>
  <c r="Z22" i="19"/>
  <c r="AF14" i="20"/>
  <c r="H17" i="23"/>
  <c r="AB11" i="19"/>
  <c r="W15" i="19"/>
  <c r="AD11" i="19"/>
  <c r="V13" i="20"/>
  <c r="U16" i="20"/>
  <c r="P23" i="20"/>
  <c r="AF22" i="19"/>
  <c r="X17" i="20"/>
  <c r="AE11" i="19"/>
  <c r="T14" i="20"/>
  <c r="H6" i="23"/>
  <c r="H7" i="21"/>
  <c r="H55" i="21" s="1"/>
  <c r="T13" i="20"/>
  <c r="W14" i="20"/>
  <c r="V11" i="19"/>
  <c r="W9" i="20"/>
  <c r="AD11" i="20"/>
  <c r="AE16" i="20"/>
  <c r="P27" i="20"/>
  <c r="X16" i="19"/>
  <c r="P12" i="19"/>
  <c r="N9" i="22"/>
  <c r="N58" i="22" s="1"/>
  <c r="N8" i="24"/>
  <c r="N9" i="24" s="1"/>
  <c r="N19" i="24" s="1"/>
  <c r="V12" i="20"/>
  <c r="P7" i="19"/>
  <c r="AB16" i="20"/>
  <c r="P21" i="19"/>
  <c r="E6" i="23"/>
  <c r="E7" i="23" s="1"/>
  <c r="E17" i="23" s="1"/>
  <c r="E7" i="21"/>
  <c r="E55" i="21" s="1"/>
  <c r="Z16" i="19"/>
  <c r="AF11" i="19"/>
  <c r="X27" i="19"/>
  <c r="AA16" i="19"/>
  <c r="P24" i="20"/>
  <c r="X11" i="19"/>
  <c r="J8" i="24"/>
  <c r="J9" i="24" s="1"/>
  <c r="J19" i="24" s="1"/>
  <c r="J9" i="22"/>
  <c r="J58" i="22" s="1"/>
  <c r="AD22" i="19"/>
  <c r="V16" i="19"/>
  <c r="AE16" i="19"/>
  <c r="P26" i="20"/>
  <c r="T12" i="20"/>
  <c r="AB12" i="20"/>
  <c r="AC9" i="20"/>
  <c r="S9" i="22"/>
  <c r="S58" i="22" s="1"/>
  <c r="S8" i="24"/>
  <c r="S9" i="24" s="1"/>
  <c r="S19" i="24" s="1"/>
  <c r="K9" i="22"/>
  <c r="K58" i="22" s="1"/>
  <c r="K8" i="24"/>
  <c r="K9" i="24" s="1"/>
  <c r="K19" i="24" s="1"/>
  <c r="L9" i="22"/>
  <c r="L58" i="22" s="1"/>
  <c r="L8" i="24"/>
  <c r="L9" i="24" s="1"/>
  <c r="L19" i="24" s="1"/>
  <c r="T8" i="24"/>
  <c r="T9" i="24" s="1"/>
  <c r="T19" i="24" s="1"/>
  <c r="T9" i="22"/>
  <c r="T58" i="22" s="1"/>
  <c r="P26" i="19"/>
  <c r="S22" i="19"/>
  <c r="K7" i="21"/>
  <c r="K55" i="21" s="1"/>
  <c r="K6" i="23"/>
  <c r="K7" i="23" s="1"/>
  <c r="K17" i="23" s="1"/>
  <c r="Z27" i="19"/>
  <c r="Z9" i="20"/>
  <c r="AF9" i="20"/>
  <c r="T7" i="21"/>
  <c r="T55" i="21" s="1"/>
  <c r="T6" i="23"/>
  <c r="T7" i="23" s="1"/>
  <c r="T17" i="23" s="1"/>
  <c r="AF27" i="19"/>
  <c r="W11" i="19"/>
  <c r="M8" i="24"/>
  <c r="M9" i="24" s="1"/>
  <c r="M19" i="24" s="1"/>
  <c r="M9" i="22"/>
  <c r="M58" i="22" s="1"/>
  <c r="AA11" i="19"/>
  <c r="P25" i="19"/>
  <c r="Q7" i="21"/>
  <c r="Q55" i="21" s="1"/>
  <c r="Q6" i="23"/>
  <c r="Q7" i="23" s="1"/>
  <c r="Q17" i="23" s="1"/>
  <c r="AF16" i="19"/>
  <c r="AE27" i="19"/>
  <c r="S7" i="21"/>
  <c r="S55" i="21" s="1"/>
  <c r="S6" i="23"/>
  <c r="S7" i="23" s="1"/>
  <c r="S17" i="23" s="1"/>
  <c r="W16" i="20"/>
  <c r="T22" i="19"/>
  <c r="AF12" i="20"/>
  <c r="W16" i="19"/>
  <c r="P19" i="19"/>
  <c r="P21" i="20"/>
  <c r="U14" i="20"/>
  <c r="Z16" i="20"/>
  <c r="P14" i="19"/>
  <c r="O8" i="24"/>
  <c r="O9" i="22"/>
  <c r="O58" i="22" s="1"/>
  <c r="R8" i="24"/>
  <c r="R9" i="24" s="1"/>
  <c r="R19" i="24" s="1"/>
  <c r="R9" i="22"/>
  <c r="R58" i="22" s="1"/>
  <c r="V27" i="19"/>
  <c r="AC27" i="19"/>
  <c r="T9" i="20"/>
  <c r="P29" i="20"/>
  <c r="T11" i="19"/>
  <c r="H8" i="24"/>
  <c r="H9" i="22"/>
  <c r="H58" i="22" s="1"/>
  <c r="S27" i="19"/>
  <c r="H19" i="24"/>
  <c r="P7" i="21"/>
  <c r="P55" i="21" s="1"/>
  <c r="P6" i="23"/>
  <c r="P7" i="23" s="1"/>
  <c r="P17" i="23" s="1"/>
  <c r="G7" i="21"/>
  <c r="G55" i="21" s="1"/>
  <c r="G6" i="23"/>
  <c r="G7" i="23" s="1"/>
  <c r="G17" i="23" s="1"/>
  <c r="I8" i="24"/>
  <c r="I9" i="24" s="1"/>
  <c r="I19" i="24" s="1"/>
  <c r="I9" i="22"/>
  <c r="I58" i="22" s="1"/>
  <c r="E9" i="22"/>
  <c r="E58" i="22" s="1"/>
  <c r="E8" i="24"/>
  <c r="E9" i="24" s="1"/>
  <c r="E19" i="24" s="1"/>
  <c r="Q9" i="22"/>
  <c r="Q58" i="22" s="1"/>
  <c r="Q8" i="24"/>
  <c r="Q9" i="24" s="1"/>
  <c r="Q19" i="24" s="1"/>
  <c r="AB14" i="20"/>
  <c r="U22" i="19"/>
  <c r="AE12" i="20"/>
  <c r="Z12" i="20"/>
  <c r="S14" i="20"/>
  <c r="P24" i="19"/>
  <c r="S12" i="20"/>
  <c r="AE14" i="20"/>
  <c r="V22" i="19"/>
  <c r="O6" i="23"/>
  <c r="O7" i="21"/>
  <c r="O55" i="21" s="1"/>
  <c r="G8" i="24"/>
  <c r="G9" i="24" s="1"/>
  <c r="G19" i="24" s="1"/>
  <c r="G9" i="22"/>
  <c r="G58" i="22" s="1"/>
  <c r="M7" i="21"/>
  <c r="M55" i="21" s="1"/>
  <c r="M6" i="23"/>
  <c r="M7" i="23" s="1"/>
  <c r="M17" i="23" s="1"/>
  <c r="AD27" i="19"/>
  <c r="F7" i="21"/>
  <c r="F55" i="21" s="1"/>
  <c r="F6" i="23"/>
  <c r="F7" i="23" s="1"/>
  <c r="F17" i="23" s="1"/>
  <c r="U11" i="19"/>
  <c r="N6" i="23"/>
  <c r="N7" i="23" s="1"/>
  <c r="N17" i="23" s="1"/>
  <c r="N7" i="21"/>
  <c r="N55" i="21" s="1"/>
  <c r="AC11" i="19"/>
  <c r="AC16" i="19"/>
  <c r="P17" i="19"/>
  <c r="D9" i="22"/>
  <c r="D58" i="22" s="1"/>
  <c r="D8" i="24"/>
  <c r="W27" i="19"/>
  <c r="AD10" i="19" l="1"/>
  <c r="AC13" i="20"/>
  <c r="W11" i="20"/>
  <c r="AB11" i="20"/>
  <c r="AB22" i="20"/>
  <c r="Z13" i="20"/>
  <c r="S11" i="20"/>
  <c r="AB13" i="20"/>
  <c r="V22" i="20"/>
  <c r="AC10" i="19"/>
  <c r="AD22" i="20"/>
  <c r="AE11" i="20"/>
  <c r="V11" i="20"/>
  <c r="Y11" i="20" s="1"/>
  <c r="AG11" i="20" s="1"/>
  <c r="U10" i="19"/>
  <c r="AE13" i="20"/>
  <c r="AD13" i="20"/>
  <c r="AC11" i="20"/>
  <c r="X11" i="20"/>
  <c r="T11" i="20"/>
  <c r="W10" i="19"/>
  <c r="AF10" i="19"/>
  <c r="AA22" i="20"/>
  <c r="AF22" i="20"/>
  <c r="S20" i="19"/>
  <c r="S10" i="19"/>
  <c r="X10" i="19"/>
  <c r="AA13" i="20"/>
  <c r="S13" i="20"/>
  <c r="Y13" i="20" s="1"/>
  <c r="AG13" i="20" s="1"/>
  <c r="U15" i="19"/>
  <c r="AD9" i="20"/>
  <c r="X9" i="20"/>
  <c r="AE15" i="19"/>
  <c r="AE10" i="19"/>
  <c r="U16" i="19"/>
  <c r="AD16" i="19"/>
  <c r="S16" i="20"/>
  <c r="Y16" i="20" s="1"/>
  <c r="AG16" i="20" s="1"/>
  <c r="AC16" i="20"/>
  <c r="AD16" i="20"/>
  <c r="T16" i="20"/>
  <c r="AA16" i="20"/>
  <c r="V20" i="19"/>
  <c r="Z20" i="19"/>
  <c r="T10" i="19"/>
  <c r="V10" i="19"/>
  <c r="AF20" i="19"/>
  <c r="AD15" i="19"/>
  <c r="T20" i="19"/>
  <c r="AE9" i="20"/>
  <c r="U9" i="20"/>
  <c r="Y9" i="20" s="1"/>
  <c r="AG9" i="20" s="1"/>
  <c r="S15" i="19"/>
  <c r="AA20" i="19"/>
  <c r="Z10" i="19"/>
  <c r="AC20" i="19"/>
  <c r="X20" i="19"/>
  <c r="X16" i="20"/>
  <c r="AB15" i="19"/>
  <c r="W20" i="19"/>
  <c r="AD20" i="19"/>
  <c r="AB20" i="19"/>
  <c r="AC15" i="19"/>
  <c r="AA10" i="19"/>
  <c r="V19" i="20"/>
  <c r="Z19" i="20"/>
  <c r="AA19" i="20"/>
  <c r="W19" i="20"/>
  <c r="AB19" i="20"/>
  <c r="S19" i="20"/>
  <c r="Z22" i="20"/>
  <c r="U19" i="20"/>
  <c r="AC19" i="20"/>
  <c r="Y22" i="19"/>
  <c r="AG22" i="19" s="1"/>
  <c r="AE22" i="20"/>
  <c r="U28" i="20"/>
  <c r="W28" i="20"/>
  <c r="S28" i="20"/>
  <c r="V28" i="20"/>
  <c r="X19" i="20"/>
  <c r="AE28" i="20"/>
  <c r="AA28" i="20"/>
  <c r="AF28" i="20"/>
  <c r="T28" i="20"/>
  <c r="Z28" i="20"/>
  <c r="X28" i="20"/>
  <c r="AB28" i="20"/>
  <c r="AF19" i="20"/>
  <c r="AC28" i="20"/>
  <c r="T19" i="20"/>
  <c r="Z15" i="19"/>
  <c r="AF15" i="19"/>
  <c r="AA15" i="19"/>
  <c r="X15" i="19"/>
  <c r="V15" i="19"/>
  <c r="Y14" i="20"/>
  <c r="AG14" i="20" s="1"/>
  <c r="AB9" i="20"/>
  <c r="AA9" i="20"/>
  <c r="AD19" i="20"/>
  <c r="S22" i="20"/>
  <c r="W22" i="20"/>
  <c r="U22" i="20"/>
  <c r="X22" i="20"/>
  <c r="AC22" i="20"/>
  <c r="U24" i="19"/>
  <c r="T24" i="19"/>
  <c r="Z24" i="19"/>
  <c r="AD24" i="19"/>
  <c r="AE24" i="19"/>
  <c r="V24" i="19"/>
  <c r="AF24" i="19"/>
  <c r="AA24" i="19"/>
  <c r="AC24" i="19"/>
  <c r="W24" i="19"/>
  <c r="X24" i="19"/>
  <c r="AB24" i="19"/>
  <c r="S24" i="19"/>
  <c r="AB19" i="19"/>
  <c r="U19" i="19"/>
  <c r="AC19" i="19"/>
  <c r="S19" i="19"/>
  <c r="AD19" i="19"/>
  <c r="X19" i="19"/>
  <c r="Z19" i="19"/>
  <c r="W19" i="19"/>
  <c r="AA19" i="19"/>
  <c r="AF19" i="19"/>
  <c r="V19" i="19"/>
  <c r="AE19" i="19"/>
  <c r="T19" i="19"/>
  <c r="V25" i="19"/>
  <c r="U25" i="19"/>
  <c r="AE25" i="19"/>
  <c r="T25" i="19"/>
  <c r="AC25" i="19"/>
  <c r="X25" i="19"/>
  <c r="AF25" i="19"/>
  <c r="S25" i="19"/>
  <c r="AD25" i="19"/>
  <c r="AB25" i="19"/>
  <c r="AA25" i="19"/>
  <c r="Z25" i="19"/>
  <c r="W25" i="19"/>
  <c r="Y27" i="19"/>
  <c r="AG27" i="19" s="1"/>
  <c r="AB26" i="20"/>
  <c r="V26" i="20"/>
  <c r="T26" i="20"/>
  <c r="AD26" i="20"/>
  <c r="AC26" i="20"/>
  <c r="U26" i="20"/>
  <c r="AF26" i="20"/>
  <c r="W26" i="20"/>
  <c r="AE26" i="20"/>
  <c r="S26" i="20"/>
  <c r="AA26" i="20"/>
  <c r="Z26" i="20"/>
  <c r="X26" i="20"/>
  <c r="T24" i="20"/>
  <c r="W24" i="20"/>
  <c r="U24" i="20"/>
  <c r="S24" i="20"/>
  <c r="AB24" i="20"/>
  <c r="AD24" i="20"/>
  <c r="Z24" i="20"/>
  <c r="AA24" i="20"/>
  <c r="V24" i="20"/>
  <c r="AC24" i="20"/>
  <c r="X24" i="20"/>
  <c r="AE24" i="20"/>
  <c r="AC29" i="20"/>
  <c r="X29" i="20"/>
  <c r="AF29" i="20"/>
  <c r="U29" i="20"/>
  <c r="AA29" i="20"/>
  <c r="Z29" i="20"/>
  <c r="AB29" i="20"/>
  <c r="AD29" i="20"/>
  <c r="T29" i="20"/>
  <c r="W29" i="20"/>
  <c r="AE29" i="20"/>
  <c r="V29" i="20"/>
  <c r="S29" i="20"/>
  <c r="AA12" i="19"/>
  <c r="AE12" i="19"/>
  <c r="W12" i="19"/>
  <c r="AB12" i="19"/>
  <c r="S12" i="19"/>
  <c r="U12" i="19"/>
  <c r="V12" i="19"/>
  <c r="AD12" i="19"/>
  <c r="AF12" i="19"/>
  <c r="T12" i="19"/>
  <c r="AC12" i="19"/>
  <c r="X12" i="19"/>
  <c r="Z12" i="19"/>
  <c r="AA23" i="20"/>
  <c r="X23" i="20"/>
  <c r="AC23" i="20"/>
  <c r="Z23" i="20"/>
  <c r="AB23" i="20"/>
  <c r="AE23" i="20"/>
  <c r="S23" i="20"/>
  <c r="AD23" i="20"/>
  <c r="V23" i="20"/>
  <c r="U23" i="20"/>
  <c r="W23" i="20"/>
  <c r="T23" i="20"/>
  <c r="AF23" i="20"/>
  <c r="Y12" i="20"/>
  <c r="AG12" i="20" s="1"/>
  <c r="AF21" i="19"/>
  <c r="T21" i="19"/>
  <c r="Z21" i="19"/>
  <c r="U21" i="19"/>
  <c r="W21" i="19"/>
  <c r="AE21" i="19"/>
  <c r="AC21" i="19"/>
  <c r="S21" i="19"/>
  <c r="AA21" i="19"/>
  <c r="AD21" i="19"/>
  <c r="V21" i="19"/>
  <c r="AB21" i="19"/>
  <c r="X21" i="19"/>
  <c r="AF27" i="20"/>
  <c r="X27" i="20"/>
  <c r="AB27" i="20"/>
  <c r="W27" i="20"/>
  <c r="U27" i="20"/>
  <c r="AD27" i="20"/>
  <c r="AE27" i="20"/>
  <c r="S27" i="20"/>
  <c r="Z27" i="20"/>
  <c r="T27" i="20"/>
  <c r="V27" i="20"/>
  <c r="AA27" i="20"/>
  <c r="AC27" i="20"/>
  <c r="AA18" i="20"/>
  <c r="AF18" i="20"/>
  <c r="S18" i="20"/>
  <c r="W18" i="20"/>
  <c r="Z18" i="20"/>
  <c r="AD18" i="20"/>
  <c r="T18" i="20"/>
  <c r="V18" i="20"/>
  <c r="U18" i="20"/>
  <c r="AB18" i="20"/>
  <c r="AE18" i="20"/>
  <c r="X18" i="20"/>
  <c r="AC18" i="20"/>
  <c r="Y16" i="19"/>
  <c r="AG16" i="19" s="1"/>
  <c r="D9" i="24"/>
  <c r="D19" i="24" s="1"/>
  <c r="C9" i="24"/>
  <c r="Z21" i="20"/>
  <c r="T21" i="20"/>
  <c r="X21" i="20"/>
  <c r="AB21" i="20"/>
  <c r="AC21" i="20"/>
  <c r="U21" i="20"/>
  <c r="AD21" i="20"/>
  <c r="W21" i="20"/>
  <c r="AA21" i="20"/>
  <c r="S21" i="20"/>
  <c r="AF21" i="20"/>
  <c r="AE21" i="20"/>
  <c r="V21" i="20"/>
  <c r="T26" i="19"/>
  <c r="AB26" i="19"/>
  <c r="S26" i="19"/>
  <c r="AD26" i="19"/>
  <c r="AC26" i="19"/>
  <c r="AA26" i="19"/>
  <c r="Z26" i="19"/>
  <c r="X26" i="19"/>
  <c r="W26" i="19"/>
  <c r="AF26" i="19"/>
  <c r="V26" i="19"/>
  <c r="U26" i="19"/>
  <c r="AE26" i="19"/>
  <c r="U7" i="19"/>
  <c r="AA7" i="19"/>
  <c r="X7" i="19"/>
  <c r="Z7" i="19"/>
  <c r="AC7" i="19"/>
  <c r="V7" i="19"/>
  <c r="AD7" i="19"/>
  <c r="AE7" i="19"/>
  <c r="AB7" i="19"/>
  <c r="S7" i="19"/>
  <c r="AF7" i="19"/>
  <c r="W7" i="19"/>
  <c r="T7" i="19"/>
  <c r="Y11" i="19"/>
  <c r="AG11" i="19" s="1"/>
  <c r="Z9" i="19"/>
  <c r="AA9" i="19"/>
  <c r="W9" i="19"/>
  <c r="U9" i="19"/>
  <c r="AE9" i="19"/>
  <c r="AC9" i="19"/>
  <c r="AB9" i="19"/>
  <c r="AD9" i="19"/>
  <c r="V9" i="19"/>
  <c r="X9" i="19"/>
  <c r="AF9" i="19"/>
  <c r="S9" i="19"/>
  <c r="T9" i="19"/>
  <c r="Y17" i="20"/>
  <c r="AG17" i="20" s="1"/>
  <c r="D7" i="23"/>
  <c r="D17" i="23" s="1"/>
  <c r="C7" i="23"/>
  <c r="T17" i="19"/>
  <c r="AD17" i="19"/>
  <c r="W17" i="19"/>
  <c r="AF17" i="19"/>
  <c r="U17" i="19"/>
  <c r="S17" i="19"/>
  <c r="AA17" i="19"/>
  <c r="AB17" i="19"/>
  <c r="AE17" i="19"/>
  <c r="V17" i="19"/>
  <c r="AC17" i="19"/>
  <c r="Z17" i="19"/>
  <c r="X17" i="19"/>
  <c r="Z14" i="19"/>
  <c r="S14" i="19"/>
  <c r="U14" i="19"/>
  <c r="AB14" i="19"/>
  <c r="AD14" i="19"/>
  <c r="AE14" i="19"/>
  <c r="AA14" i="19"/>
  <c r="V14" i="19"/>
  <c r="AC14" i="19"/>
  <c r="AF14" i="19"/>
  <c r="W14" i="19"/>
  <c r="T14" i="19"/>
  <c r="X14" i="19"/>
  <c r="Y19" i="20" l="1"/>
  <c r="AG19" i="20" s="1"/>
  <c r="Y20" i="19"/>
  <c r="AG20" i="19" s="1"/>
  <c r="Y22" i="20"/>
  <c r="AG22" i="20" s="1"/>
  <c r="Y15" i="19"/>
  <c r="AG15" i="19" s="1"/>
  <c r="Y28" i="20"/>
  <c r="AG28" i="20" s="1"/>
  <c r="Y10" i="19"/>
  <c r="AG10" i="19" s="1"/>
  <c r="Y17" i="19"/>
  <c r="AG17" i="19" s="1"/>
  <c r="Y24" i="20"/>
  <c r="Y7" i="19"/>
  <c r="AG7" i="19" s="1"/>
  <c r="Y18" i="20"/>
  <c r="AG18" i="20" s="1"/>
  <c r="Y27" i="20"/>
  <c r="AG27" i="20" s="1"/>
  <c r="Y29" i="20"/>
  <c r="AG29" i="20" s="1"/>
  <c r="Y14" i="19"/>
  <c r="AG14" i="19" s="1"/>
  <c r="Y21" i="20"/>
  <c r="AG21" i="20" s="1"/>
  <c r="Y24" i="19"/>
  <c r="AG24" i="19" s="1"/>
  <c r="Y26" i="19"/>
  <c r="AG26" i="19" s="1"/>
  <c r="Y12" i="19"/>
  <c r="AG12" i="19" s="1"/>
  <c r="Y23" i="20"/>
  <c r="AG23" i="20" s="1"/>
  <c r="Y21" i="19"/>
  <c r="AG21" i="19" s="1"/>
  <c r="Y26" i="20"/>
  <c r="AG26" i="20" s="1"/>
  <c r="Y25" i="19"/>
  <c r="AG25" i="19" s="1"/>
  <c r="Y9" i="19"/>
  <c r="AG9" i="19" s="1"/>
  <c r="Y19" i="19"/>
  <c r="AG19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  <author>Lisa Cowan</author>
  </authors>
  <commentList>
    <comment ref="H9" authorId="0" shapeId="0" xr:uid="{6B6FB631-B732-4687-A63F-85BC56C4F751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Formula manually changed, due to zero state ed. special purpose funding</t>
        </r>
      </text>
    </comment>
    <comment ref="O9" authorId="1" shapeId="0" xr:uid="{FC14F348-610A-4F1C-860B-E2EB4D0F7C14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Formula manually changed, due to zero state ed. special purpose funding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  <author>Lisa Cowan</author>
  </authors>
  <commentList>
    <comment ref="H7" authorId="0" shapeId="0" xr:uid="{A297DEDF-ED4F-443F-B81B-23158B9CEA00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Formula manually changed, due to zero state ed. special purpose funding</t>
        </r>
      </text>
    </comment>
    <comment ref="O7" authorId="1" shapeId="0" xr:uid="{91B7E96F-9A40-442F-98CB-6DBE212575AB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Formula manually changed, due to zero state ed. special purpose funding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Aycock</author>
  </authors>
  <commentList>
    <comment ref="O29" authorId="0" shapeId="0" xr:uid="{5FFBE5C1-E84E-47D0-AEB9-626B32F9F7F3}">
      <text>
        <r>
          <rPr>
            <b/>
            <sz val="9"/>
            <color indexed="81"/>
            <rFont val="Tahoma"/>
            <family val="2"/>
          </rPr>
          <t>Robert Aycock:</t>
        </r>
        <r>
          <rPr>
            <sz val="9"/>
            <color indexed="81"/>
            <rFont val="Tahoma"/>
            <family val="2"/>
          </rPr>
          <t xml:space="preserve">
formula manually edited to reflect submisson.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Aycock</author>
  </authors>
  <commentList>
    <comment ref="O26" authorId="0" shapeId="0" xr:uid="{311A74C8-E2A8-4870-82E6-C8289BBE76A1}">
      <text>
        <r>
          <rPr>
            <b/>
            <sz val="9"/>
            <color indexed="81"/>
            <rFont val="Tahoma"/>
            <family val="2"/>
          </rPr>
          <t>Robert Aycock:</t>
        </r>
        <r>
          <rPr>
            <sz val="9"/>
            <color indexed="81"/>
            <rFont val="Tahoma"/>
            <family val="2"/>
          </rPr>
          <t xml:space="preserve">
formula manually edited to reflect submisson.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Aycock</author>
    <author>Julian Rogers</author>
    <author>Excel Validator</author>
    <author>ryan.kaffenberger</author>
  </authors>
  <commentList>
    <comment ref="C26" authorId="0" shapeId="0" xr:uid="{9FAEE367-35BC-471D-8113-69024F755FC0}">
      <text>
        <r>
          <rPr>
            <b/>
            <sz val="9"/>
            <color indexed="81"/>
            <rFont val="Tahoma"/>
            <family val="2"/>
          </rPr>
          <t>Robert Aycock:</t>
        </r>
        <r>
          <rPr>
            <sz val="9"/>
            <color indexed="81"/>
            <rFont val="Tahoma"/>
            <family val="2"/>
          </rPr>
          <t xml:space="preserve">
Requested data correction to previously submtted data
</t>
        </r>
      </text>
    </comment>
    <comment ref="G26" authorId="0" shapeId="0" xr:uid="{BB55A83A-67C6-48CC-91B5-F9F68BC39F39}">
      <text>
        <r>
          <rPr>
            <b/>
            <sz val="9"/>
            <color indexed="81"/>
            <rFont val="Tahoma"/>
            <family val="2"/>
          </rPr>
          <t>Robert Aycock:</t>
        </r>
        <r>
          <rPr>
            <sz val="9"/>
            <color indexed="81"/>
            <rFont val="Tahoma"/>
            <family val="2"/>
          </rPr>
          <t xml:space="preserve">
revised data per institution request</t>
        </r>
      </text>
    </comment>
    <comment ref="C70" authorId="1" shapeId="0" xr:uid="{9E5EBDA7-5897-4F84-80A9-9817E1E87F0B}">
      <text>
        <r>
          <rPr>
            <sz val="12"/>
            <color rgb="FF000000"/>
            <rFont val="AGaramond"/>
            <family val="2"/>
          </rPr>
          <t xml:space="preserve">Julian Rogers:
New LINE
</t>
        </r>
      </text>
    </comment>
    <comment ref="F70" authorId="2" shapeId="0" xr:uid="{A3067FF0-2682-4E07-82FC-64946329FF2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AJ70" authorId="1" shapeId="0" xr:uid="{49F90022-E7BE-4872-9B6A-C7BD6E8F978C}">
      <text/>
    </comment>
    <comment ref="F144" authorId="2" shapeId="0" xr:uid="{9657517F-00EF-4CCD-87FD-9E3A7721FA15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145" authorId="1" shapeId="0" xr:uid="{6D0AE933-255A-45A0-AE10-2A352E42E57A}">
      <text>
        <r>
          <rPr>
            <sz val="12"/>
            <color rgb="FF000000"/>
            <rFont val="AGaramond"/>
            <family val="2"/>
          </rPr>
          <t xml:space="preserve">Julian Rogers: New Line $2M under Medical
</t>
        </r>
      </text>
    </comment>
    <comment ref="AJ145" authorId="1" shapeId="0" xr:uid="{D0B29329-8964-4E30-9920-417C6A5E26A5}">
      <text/>
    </comment>
    <comment ref="F219" authorId="2" shapeId="0" xr:uid="{164513FE-F95E-4388-8871-88326E79DAA9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220" authorId="1" shapeId="0" xr:uid="{9B0D16EC-28BD-4B42-8C8A-F236F3236B79}">
      <text>
        <r>
          <rPr>
            <sz val="12"/>
            <color rgb="FF000000"/>
            <rFont val="AGaramond"/>
            <family val="2"/>
          </rPr>
          <t xml:space="preserve">Julian Rogers:  New Line
</t>
        </r>
      </text>
    </comment>
    <comment ref="F220" authorId="2" shapeId="0" xr:uid="{EA1F4F03-4F1A-4EBA-A649-0ECA027BD354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AJ220" authorId="1" shapeId="0" xr:uid="{F94D61B8-7208-45B2-A515-36A22725F8B9}">
      <text/>
    </comment>
    <comment ref="F221" authorId="2" shapeId="0" xr:uid="{7DCECE7F-0264-4FFE-A933-704AD1E34C2D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P238" authorId="2" shapeId="0" xr:uid="{1150A0E0-0366-4E26-8B84-A5EBB2C779BB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242" authorId="2" shapeId="0" xr:uid="{4884F0A2-3513-43C0-B256-6C2A7EFBCC5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45" authorId="2" shapeId="0" xr:uid="{CFAC803A-5FE2-4047-8C6A-BCB78CDF8610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L266" authorId="2" shapeId="0" xr:uid="{3079A252-84C6-4A61-8AB1-9A056F84B14E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269" authorId="2" shapeId="0" xr:uid="{9D8A5C5A-C4CE-4376-BE7F-B30C2EC576F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72" authorId="2" shapeId="0" xr:uid="{7D4C9AA3-05B2-4855-8CE9-E4887D93C77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L278" authorId="2" shapeId="0" xr:uid="{A67224E0-70A8-4BD3-9528-8B1B15C21AE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79" authorId="2" shapeId="0" xr:uid="{DD737827-AF5F-4537-94DF-C55F9121E4D7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84" authorId="2" shapeId="0" xr:uid="{AC13F21F-FAEE-4A74-8623-054EA53CCEE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303" authorId="2" shapeId="0" xr:uid="{9485F83E-B43D-4A02-9F40-2154C2D969E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304" authorId="2" shapeId="0" xr:uid="{35F7B9B0-B679-4373-AA53-B8D5FDCD22A5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V305" authorId="2" shapeId="0" xr:uid="{AC73625F-BD5E-4475-A7A1-04B98781DC9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314" authorId="2" shapeId="0" xr:uid="{CC64E896-8551-40C8-BD0A-205FDA48C19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318" authorId="2" shapeId="0" xr:uid="{C7D4E829-1C9C-4813-A1DC-D6F44567551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338" authorId="2" shapeId="0" xr:uid="{60CD991E-FF1B-4A1C-B637-A741B66872A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341" authorId="2" shapeId="0" xr:uid="{3BC5FE24-4920-4369-A6D6-A482DC3FEA45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367" authorId="2" shapeId="0" xr:uid="{7ECFD976-1C5E-4C2C-BE59-3616DDE6ECC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397" authorId="2" shapeId="0" xr:uid="{40120549-DB35-471E-8359-A36D030FC828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409" authorId="2" shapeId="0" xr:uid="{7DE6CA94-9970-4BC4-AB13-E7A3C33AFA70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445" authorId="2" shapeId="0" xr:uid="{4B6C6915-FB29-45B1-903C-DCFC9F5D5A50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467" authorId="2" shapeId="0" xr:uid="{CBDA4803-3B30-49CF-8960-1557E69E3925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474" authorId="2" shapeId="0" xr:uid="{423EA61B-18DB-43C6-9DBC-EA8F4654EEEE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481" authorId="2" shapeId="0" xr:uid="{ACEC4D09-E57A-4A24-BA0F-556B804A241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484" authorId="2" shapeId="0" xr:uid="{EF22C397-2362-41DD-B264-EB0A4D6B362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491" authorId="2" shapeId="0" xr:uid="{45931390-BAF2-4485-AB62-547134B3487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495" authorId="2" shapeId="0" xr:uid="{FDA5A63C-AD5E-4916-8164-57B0B19E597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498" authorId="2" shapeId="0" xr:uid="{AA471B59-6B9E-4D82-8155-5B8983D738FB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502" authorId="2" shapeId="0" xr:uid="{C00AE4A0-4565-42D3-BDFA-3AF470421082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509" authorId="2" shapeId="0" xr:uid="{5E9F7184-E19A-4F13-9367-C126E1C4055E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516" authorId="2" shapeId="0" xr:uid="{83ED7C68-80B3-4923-B8E8-C9C6DB6AA15E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537" authorId="2" shapeId="0" xr:uid="{6D385804-1A6A-4A7A-831A-2816BD2C1B66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540" authorId="2" shapeId="0" xr:uid="{AF0E0447-1C1C-4402-B553-08121E78E8F5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551" authorId="2" shapeId="0" xr:uid="{F117E3F5-F4BB-499A-8F22-BFC264C3BC14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554" authorId="2" shapeId="0" xr:uid="{64D7812F-F97F-4B06-8FE2-6237D6E54071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Q748" authorId="2" shapeId="0" xr:uid="{576B44C9-72D9-4074-9D01-6B2EFBA2B826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J752" authorId="2" shapeId="0" xr:uid="{3C5AC05D-2F2F-4ACA-BE41-01DA18F14DD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J754" authorId="2" shapeId="0" xr:uid="{A728CB67-094B-4271-98C4-D30BCD3CEB29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C755" authorId="3" shapeId="0" xr:uid="{6448FB15-C28E-409E-B1AD-EC2786D4665E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55" authorId="2" shapeId="0" xr:uid="{A1530673-E7D9-40FC-AF12-A0620B4A027F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J755" authorId="2" shapeId="0" xr:uid="{34378C48-EFD3-4603-A78F-0DEBEC1310C4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C756" authorId="3" shapeId="0" xr:uid="{9BA31A2F-261E-45F1-8B8C-D7E863FC6D63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56" authorId="2" shapeId="0" xr:uid="{40FCF959-B12B-4E19-8A64-E51008446F9C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J756" authorId="2" shapeId="0" xr:uid="{7B81BCCC-6D8B-48F0-8416-43FD28F7940F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J761" authorId="2" shapeId="0" xr:uid="{ACADC1CD-CEEF-4F00-884B-2FA14267247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C764" authorId="3" shapeId="0" xr:uid="{C7167604-3140-47A3-BB55-09E1F33A344B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64" authorId="2" shapeId="0" xr:uid="{8C00902A-1071-4629-B311-537DC7C7B570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J764" authorId="2" shapeId="0" xr:uid="{35596B72-6535-4E7C-A2C9-B21807D62EE4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C765" authorId="3" shapeId="0" xr:uid="{5ECCF229-5BC9-4421-8D93-CAE2E1A0C6E9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65" authorId="2" shapeId="0" xr:uid="{78547DF6-6AC0-485D-BA3E-C0AFFF1B848F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J765" authorId="2" shapeId="0" xr:uid="{10988228-0796-4B4E-9034-6D8FC04EF9EB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C766" authorId="3" shapeId="0" xr:uid="{F6B08F6B-D49D-4D05-8DB1-3CC85BE93624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66" authorId="2" shapeId="0" xr:uid="{443510DE-0850-432A-ABCE-447A2C9B884D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J766" authorId="2" shapeId="0" xr:uid="{5571E5F1-38A4-42FB-9C2C-33B0232557AA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AD768" authorId="2" shapeId="0" xr:uid="{672B4279-FB86-4045-83B7-A6EB9714F3C7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J770" authorId="2" shapeId="0" xr:uid="{0B1F3732-BBB6-45B0-8C98-0D58707ED65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J772" authorId="2" shapeId="0" xr:uid="{5BCEDB9A-71BF-448A-990C-1822B166A956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J776" authorId="2" shapeId="0" xr:uid="{4DFD0602-42E3-4771-9E61-F003F980A711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C781" authorId="3" shapeId="0" xr:uid="{F2EA9386-6513-40CF-9E76-4C407025B68B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81" authorId="2" shapeId="0" xr:uid="{D3AEA5E7-96E5-4855-A734-FBDCCCAE9418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J781" authorId="2" shapeId="0" xr:uid="{73859A59-DC5D-4AF5-AB71-F0561B6232DE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P793" authorId="2" shapeId="0" xr:uid="{EA5E88C8-8E23-4B47-8A4E-D7FE4B22781B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794" authorId="2" shapeId="0" xr:uid="{31D7CC5E-5F72-4878-B8B8-A497B50BCE17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Q807" authorId="2" shapeId="0" xr:uid="{5BCD5406-9575-42CA-8396-BCA8CF375094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815" authorId="2" shapeId="0" xr:uid="{93C6CE6D-D401-4E54-8D5B-B01AD58B716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J818" authorId="2" shapeId="0" xr:uid="{A6A80229-5B38-4EB0-9B95-9DD8C9781DD3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C821" authorId="3" shapeId="0" xr:uid="{13CD8550-7C16-4D2B-94E1-C13C905FCB55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In FY21, there was a one-time reduction in General Fund support.</t>
        </r>
      </text>
    </comment>
    <comment ref="J821" authorId="2" shapeId="0" xr:uid="{04FC636B-7278-4565-8EAF-BFEFC83802D9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C822" authorId="3" shapeId="0" xr:uid="{8E298DAC-336F-4766-A6AC-BBC7B1DDBF71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In FY21, there was a one-time reduction in General Fund support.</t>
        </r>
      </text>
    </comment>
    <comment ref="J822" authorId="2" shapeId="0" xr:uid="{ACBC63BF-76DC-4A67-86FC-A7F29F0A939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C823" authorId="3" shapeId="0" xr:uid="{FD0B9C65-E732-422A-814A-5C7FB07994A3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This program was moved out of the Council on Postsecondary Education and into the Education and Workforce Development Cabinet. This is no longer specifically line-itemed in the Budget of the Commonwealth.</t>
        </r>
      </text>
    </comment>
    <comment ref="J823" authorId="2" shapeId="0" xr:uid="{58C96CF6-C9A4-435B-AFA6-8DD410E46ECA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C824" authorId="3" shapeId="0" xr:uid="{DA9B08B6-6968-488A-988C-4123FD1AF70B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This program was moved out of the Council on Postsecondary Education and into the Education and Workforce Development Cabinet. This is no longer specifically line-itemed in the Budget of the Commonwealth.</t>
        </r>
      </text>
    </comment>
    <comment ref="J824" authorId="2" shapeId="0" xr:uid="{DFF32EA0-BB93-4AA5-B9D7-C3E4B3D6362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C825" authorId="3" shapeId="0" xr:uid="{A1059996-DF2C-49F5-9035-EFE9F2B8B8A1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This program was moved out of the Council on Postsecondary Education and into the Education and Workforce Development Cabinet. This is no longer specifically line-itemed in the Budget of the Commonwealth.</t>
        </r>
      </text>
    </comment>
    <comment ref="C828" authorId="3" shapeId="0" xr:uid="{F6AAE83F-491F-4A32-85FF-A6697D789434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In FY 2020-21, there was a one-time policy introduced that reduced CPE's General Fund appropriations for agency operations in order to have CPE restricted fund balances.</t>
        </r>
      </text>
    </comment>
    <comment ref="V828" authorId="2" shapeId="0" xr:uid="{D01FB5EC-1AAF-4454-911C-77376AA9CF05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833" authorId="2" shapeId="0" xr:uid="{2B9E7262-97A6-4D7D-AC2A-C426C17BAA31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H879" authorId="2" shapeId="0" xr:uid="{B05A6C30-E898-43D9-9A50-79FBF6AA583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881" authorId="2" shapeId="0" xr:uid="{144A6A58-5D18-424B-AE2A-D6DA6715CF20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882" authorId="2" shapeId="0" xr:uid="{51CA959F-8936-467B-949F-080001A92AF4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883" authorId="2" shapeId="0" xr:uid="{3F3BD3EC-6618-4D4F-AE64-D72EDB65D64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887" authorId="2" shapeId="0" xr:uid="{61A4C929-C0A5-46FC-9217-688733157838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888" authorId="2" shapeId="0" xr:uid="{2B4AB62D-FBCA-4A0E-8996-387102177AAD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890" authorId="2" shapeId="0" xr:uid="{106F8562-D956-4CCD-B968-2099514D0EA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893" authorId="2" shapeId="0" xr:uid="{60DD78E6-20D7-44CF-88E8-1591C8A0265F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896" authorId="2" shapeId="0" xr:uid="{BFB48396-DE32-4D26-814C-9B550AA84A3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900" authorId="2" shapeId="0" xr:uid="{2A70C928-62A6-451E-9A50-B9397BAF78B4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H907" authorId="2" shapeId="0" xr:uid="{8B471C4F-E90C-47A6-A98E-9AE765854B3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913" authorId="2" shapeId="0" xr:uid="{A308D48B-7C27-4615-BD25-8AEF36CAE20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J914" authorId="2" shapeId="0" xr:uid="{4A7A3943-655F-4948-B435-5CE125DCB170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J917" authorId="2" shapeId="0" xr:uid="{F7D324E6-EB04-4D78-9C0E-1C23C77355DA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J918" authorId="2" shapeId="0" xr:uid="{15C76D71-2259-46EB-A5C9-D4226C5EB0CA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J919" authorId="2" shapeId="0" xr:uid="{27C02985-EC34-4C1B-9A82-9FD64D2B767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J921" authorId="2" shapeId="0" xr:uid="{79B8D46E-6E13-4DBA-9250-6248B0C452F7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924" authorId="2" shapeId="0" xr:uid="{90937312-7DB5-4CB4-8FE5-23515FD62CCB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V929" authorId="2" shapeId="0" xr:uid="{D89A7E06-9971-42C6-AA8F-6CEA69251D0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964" authorId="2" shapeId="0" xr:uid="{470B6894-8332-45C2-A8E5-E29B63DDCBAE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1018" authorId="2" shapeId="0" xr:uid="{82A1B002-06C3-4304-A81E-E0A87197A90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1039" authorId="2" shapeId="0" xr:uid="{98F47DA4-C867-4C37-82E0-01A1F6845B5A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1054" authorId="2" shapeId="0" xr:uid="{108D1F5D-58C3-40C2-883C-E74482991A4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1071" authorId="2" shapeId="0" xr:uid="{A02E43D1-5CD4-4B43-AA80-7D07958D30D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1105" authorId="2" shapeId="0" xr:uid="{50433F8F-08E1-422A-A327-6B0D530D1B1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1112" authorId="2" shapeId="0" xr:uid="{77EF0E01-603E-4D20-A6F4-DC4FF521A5FE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1119" authorId="2" shapeId="0" xr:uid="{59C9692E-0E50-4EEE-A474-A90FB85A422D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V1122" authorId="2" shapeId="0" xr:uid="{4AE08272-427E-4B36-808D-3B0016FE84EF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1133" authorId="2" shapeId="0" xr:uid="{D6EA6BFF-838B-4276-9A5E-A3E64A5C5775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1136" authorId="2" shapeId="0" xr:uid="{7C7A104A-8471-4536-9904-ED666429F0DD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V1150" authorId="2" shapeId="0" xr:uid="{E96C5CB9-FC9C-4CBC-87CA-9F2BF1CF837B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V1163" authorId="2" shapeId="0" xr:uid="{A48F11A0-A4B0-415C-8A96-BD01184511B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L1478" authorId="2" shapeId="0" xr:uid="{2D20702A-94FD-4F39-82D4-3C1E0BAFC334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J1505" authorId="2" shapeId="0" xr:uid="{2F35D715-F268-4411-B975-D0DB950F4CFA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1525" authorId="2" shapeId="0" xr:uid="{A9918B48-C688-4DCF-8157-DBB8D55B495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1530" authorId="2" shapeId="0" xr:uid="{F0EF21F3-FB86-4F61-891B-38A84FFCCC8D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P1574" authorId="2" shapeId="0" xr:uid="{CC119DF4-1EF0-4D3C-A541-0798B4F80217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J1601" authorId="2" shapeId="0" xr:uid="{8702ECFA-99AD-4817-B23A-DE41C4C915A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1621" authorId="2" shapeId="0" xr:uid="{F23066B4-C084-4A38-A400-D86D79D4907F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1649" authorId="2" shapeId="0" xr:uid="{3CDA1546-9496-46FF-9387-CB4CB139C204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1653" authorId="2" shapeId="0" xr:uid="{83EACD9F-BFBB-4166-9E27-136D58A1553B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1653" authorId="2" shapeId="0" xr:uid="{8DBC2EEB-5AA7-41AF-ADC1-BAEA77CAADC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J1683" authorId="2" shapeId="0" xr:uid="{036EF2A6-8091-4026-9226-C88A51BFA30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J1684" authorId="2" shapeId="0" xr:uid="{DA489ACF-3883-442E-92A0-7713ED15F4A3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689" authorId="2" shapeId="0" xr:uid="{640C98D8-A3D3-408D-9FDA-E6B0850EE205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1695" authorId="2" shapeId="0" xr:uid="{386CB6B5-2ECA-4B6E-AAC1-69FD66A3DD9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698" authorId="2" shapeId="0" xr:uid="{22E2AD43-ACC8-409B-870D-D73D4533F08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1715" authorId="2" shapeId="0" xr:uid="{4C5E9B09-D780-4D7D-B2EF-CBC917857E82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1717" authorId="2" shapeId="0" xr:uid="{98C9D182-D6CC-42CE-92AA-B0F30EF61C4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1728" authorId="2" shapeId="0" xr:uid="{C293A7ED-BCAA-47E1-9CBA-8518AD903A3A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1729" authorId="2" shapeId="0" xr:uid="{8F04396C-CA59-4BA5-A6FB-C5B6009570A8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1736" authorId="2" shapeId="0" xr:uid="{27AD3ABB-7301-42A5-B26C-5AEBEAF09F9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H1738" authorId="2" shapeId="0" xr:uid="{8976461A-6AC6-4E7C-B9FD-1CE2A65C26E2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1738" authorId="2" shapeId="0" xr:uid="{FC0389D9-7AE6-422C-894D-2C434AFCEAC7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1739" authorId="2" shapeId="0" xr:uid="{622687C3-71C3-47B3-B1EC-08B76F3DEAA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189" authorId="2" shapeId="0" xr:uid="{6DEB5E5D-3ED1-4EA1-85EF-FD1F3830776D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2189" authorId="2" shapeId="0" xr:uid="{B2605294-9B64-4685-86B6-3C55EF9C7AB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H2190" authorId="2" shapeId="0" xr:uid="{F67BE8A4-F2B3-4E1F-A556-2FC98A0A9045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P2191" authorId="2" shapeId="0" xr:uid="{3F7FA835-1E3E-47EF-B696-BFB4DA4BE80E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2191" authorId="2" shapeId="0" xr:uid="{4DBCA0DE-9FB1-4C94-B2B9-2774E05D817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2192" authorId="2" shapeId="0" xr:uid="{76AFDE5F-5360-4F94-85BA-EB69272B40D9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2192" authorId="2" shapeId="0" xr:uid="{CDE7BC3A-4449-48AD-AB4C-E79F0313E5F9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Q2204" authorId="2" shapeId="0" xr:uid="{5BD28CA3-887E-49CE-A70C-44E4709003F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2217" authorId="2" shapeId="0" xr:uid="{61E77B1A-5F8B-4AEE-A790-3FB3E9AA49E4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219" authorId="2" shapeId="0" xr:uid="{7626B468-570C-48F2-A641-713E92E20D9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225" authorId="2" shapeId="0" xr:uid="{ABF8CE40-5912-4535-92B2-347BD8FA421A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241" authorId="2" shapeId="0" xr:uid="{EEA2096B-65ED-414A-838A-2DBA8B733D44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2288" authorId="2" shapeId="0" xr:uid="{562EDAE2-56F5-4812-B110-AA966BF489D4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J2290" authorId="2" shapeId="0" xr:uid="{ABB3C71D-E863-4233-8555-A0F5E1DB738D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AD2290" authorId="2" shapeId="0" xr:uid="{B2837938-8A9D-4B36-B300-C525B156D49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2291" authorId="2" shapeId="0" xr:uid="{6FC84E64-60C6-4E00-B668-C9935EE95345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2292" authorId="2" shapeId="0" xr:uid="{EC6166B9-C737-475E-9904-83933B40FC45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J2293" authorId="2" shapeId="0" xr:uid="{7266EEA4-46A9-4446-97DE-070CDEB9729D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H2294" authorId="2" shapeId="0" xr:uid="{718D6FDF-CFB1-4A1B-8DBF-9129D56981A4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2295" authorId="2" shapeId="0" xr:uid="{9F3111CD-6F21-44AC-A3C1-1C6DDE59DE75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2296" authorId="2" shapeId="0" xr:uid="{592449C3-45A4-4A38-94C2-75874D1D0A4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J2297" authorId="2" shapeId="0" xr:uid="{971230C4-37B5-4F00-A0F8-0C9DEF04F330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J2299" authorId="2" shapeId="0" xr:uid="{D10F21E7-76DA-4012-8866-DBEDDC639CF8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306" authorId="2" shapeId="0" xr:uid="{544922E0-1CC5-489E-B768-949ECA5F9EB3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M2316" authorId="2" shapeId="0" xr:uid="{FAB46C7C-2631-462F-8EEA-017C204E7757}">
      <text>
        <r>
          <rPr>
            <sz val="8"/>
            <color rgb="FF000000"/>
            <rFont val="Tahoma"/>
            <family val="2"/>
          </rPr>
          <t>Moderate Warning  AA005:  Metric must be null or a numeric values greater than or equal to zero.</t>
        </r>
      </text>
    </comment>
    <comment ref="P2325" authorId="2" shapeId="0" xr:uid="{BB6762B3-9CFC-4970-8964-229761BAD33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354" authorId="2" shapeId="0" xr:uid="{86D31A1B-0109-4AD0-B748-750B239BA378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360" authorId="2" shapeId="0" xr:uid="{C5CB970E-AED9-4FFA-817D-78BAD76A37A2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2363" authorId="2" shapeId="0" xr:uid="{D7A3751C-B047-45F9-9812-956C187C74F5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367" authorId="2" shapeId="0" xr:uid="{3EFA3A28-57DB-47EC-BF95-E2FA647A609F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371" authorId="2" shapeId="0" xr:uid="{75EC5C46-2A8D-429A-BA20-2F3A1F4E2DA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373" authorId="2" shapeId="0" xr:uid="{27640825-4DA0-40C4-94B2-F94F15D56042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374" authorId="2" shapeId="0" xr:uid="{FB2D6A92-6ACD-407B-ABEC-6B2C08A727B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P2375" authorId="2" shapeId="0" xr:uid="{B3964AAB-CF2E-4E65-9C13-B236AECA102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376" authorId="2" shapeId="0" xr:uid="{8CAA4B84-E42D-4FBB-A029-5F10D1DDBF10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382" authorId="2" shapeId="0" xr:uid="{0677C580-19C4-4EC8-A95E-5631182D76ED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384" authorId="2" shapeId="0" xr:uid="{04361EF4-D219-4360-B204-1E413C9EC7A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385" authorId="2" shapeId="0" xr:uid="{32085128-9572-40F6-9D08-BC4EBD2CCEF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P2390" authorId="2" shapeId="0" xr:uid="{117B60F7-B9DD-4308-B70C-2DE5ECE52CC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C2396" authorId="2" shapeId="0" xr:uid="{75863264-4151-4B58-9421-9461DF3F23AF}">
      <text>
        <r>
          <rPr>
            <sz val="8"/>
            <color rgb="FF000000"/>
            <rFont val="Tahoma"/>
            <family val="2"/>
          </rPr>
          <t xml:space="preserve">Corrected Classification </t>
        </r>
      </text>
    </comment>
    <comment ref="AG2397" authorId="2" shapeId="0" xr:uid="{A2A6DDF1-3F58-411C-BEAC-54D2F1746A68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AG2398" authorId="2" shapeId="0" xr:uid="{10CEE061-F73D-4804-BDE6-A3766B76A2F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AG2400" authorId="2" shapeId="0" xr:uid="{EAB5EE0E-0361-4C65-B1E4-79141484D1A9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AG2401" authorId="2" shapeId="0" xr:uid="{021C8F64-F6BE-40A3-8000-4416B70134F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AG2402" authorId="2" shapeId="0" xr:uid="{D35A1806-2690-4C97-861C-9ACF8847018A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G2403" authorId="2" shapeId="0" xr:uid="{7BF36B3A-3C06-4C0E-92E3-3957E7B06CF2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AG2406" authorId="2" shapeId="0" xr:uid="{1133F928-8918-478F-A7B8-660ED8246AFA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G2407" authorId="2" shapeId="0" xr:uid="{C27DBC24-1424-4C6F-8A8F-87BB9B92E82F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AG2409" authorId="2" shapeId="0" xr:uid="{AD8E309B-39C9-4520-886F-20E9EE1D337D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V2420" authorId="2" shapeId="0" xr:uid="{3251EBF8-C56F-4DD9-B18C-5DC681E5E55A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V2432" authorId="2" shapeId="0" xr:uid="{46AA9F75-CC35-4935-B06A-A619E783BE9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H2438" authorId="2" shapeId="0" xr:uid="{4A06D64A-1DF6-48E7-93ED-EF53F2A7E2EE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2440" authorId="2" shapeId="0" xr:uid="{7E27EEB8-0CF7-4DFE-88EC-9777679DCC1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AG2441" authorId="2" shapeId="0" xr:uid="{006F2B11-7E3C-45A6-B8D6-E72C3E86509F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J2454" authorId="2" shapeId="0" xr:uid="{FA752C09-FA02-497D-97F6-E70719F0F0F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F2482" authorId="2" shapeId="0" xr:uid="{C99ED395-0454-49B0-A458-E9FFBA3CF210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J2482" authorId="2" shapeId="0" xr:uid="{9A25E2D8-ED71-452F-A9DA-45F86E0B998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J2487" authorId="2" shapeId="0" xr:uid="{868971DA-D790-4EDD-A5E5-2333BFF59D70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F2488" authorId="2" shapeId="0" xr:uid="{EDA6C615-73B6-46FC-B8FC-950675F81F0D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89" authorId="2" shapeId="0" xr:uid="{1BFD162E-52E7-4CE7-9121-3D4B77207D80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90" authorId="2" shapeId="0" xr:uid="{5086744A-8161-4684-87EA-D82F5680772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91" authorId="2" shapeId="0" xr:uid="{9DBD41EF-D4EE-4E9E-B398-80FD2A494EF8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07" authorId="2" shapeId="0" xr:uid="{FA9445C0-3C28-4F2A-BBC5-081BD3CF9ABE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J2511" authorId="2" shapeId="0" xr:uid="{E9163103-8372-4829-8486-199E55D1A8A5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  <comment ref="F2534" authorId="2" shapeId="0" xr:uid="{2F77F85D-EECF-436E-8AD8-08D6C0380343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35" authorId="2" shapeId="0" xr:uid="{07AED314-D930-4E35-B120-56B6F0F9DE2C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36" authorId="2" shapeId="0" xr:uid="{8ADDC912-25BD-40C6-9B51-9F3BFE27022A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37" authorId="2" shapeId="0" xr:uid="{EC5F2598-B850-44C4-B0B9-5770952607AC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38" authorId="2" shapeId="0" xr:uid="{63DE01DE-F52C-4215-873B-BC1733D9A197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39" authorId="2" shapeId="0" xr:uid="{6D8268D7-0F85-4614-9DAF-C29F916637E6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H2712" authorId="2" shapeId="0" xr:uid="{6EFA0CE1-DA38-43F3-890C-972F48835E2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5%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B117" authorId="0" shapeId="0" xr:uid="{D3D1C3B3-4C76-4826-9A64-CCFC3647034C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Must be range valued to sort right. But don't. See note above.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 Rogers</author>
    <author>Excel Validator</author>
    <author>ryan.kaffenberger</author>
  </authors>
  <commentList>
    <comment ref="C61" authorId="0" shapeId="0" xr:uid="{38DA7105-380E-4614-B045-190A62449BCE}">
      <text>
        <r>
          <rPr>
            <sz val="12"/>
            <color rgb="FF000000"/>
            <rFont val="AGaramond"/>
            <family val="2"/>
          </rPr>
          <t xml:space="preserve">Julian Rogers:
New LINE
</t>
        </r>
      </text>
    </comment>
    <comment ref="F61" authorId="1" shapeId="0" xr:uid="{0EAB081B-E3FF-46B6-84DE-1BE81D602296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135" authorId="1" shapeId="0" xr:uid="{93668297-39B1-4658-804E-2C356314F17A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136" authorId="0" shapeId="0" xr:uid="{EF8F5F19-3E86-4051-9305-A3DBCC474F64}">
      <text>
        <r>
          <rPr>
            <sz val="12"/>
            <color rgb="FF000000"/>
            <rFont val="AGaramond"/>
            <family val="2"/>
          </rPr>
          <t xml:space="preserve">Julian Rogers: New Line $2M under Medical
</t>
        </r>
      </text>
    </comment>
    <comment ref="F210" authorId="1" shapeId="0" xr:uid="{64861525-706C-43A4-BF08-6A58CD0D7887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211" authorId="0" shapeId="0" xr:uid="{8E198AC3-31C5-4C2A-BFE6-10B931D15AC6}">
      <text>
        <r>
          <rPr>
            <sz val="12"/>
            <color rgb="FF000000"/>
            <rFont val="AGaramond"/>
            <family val="2"/>
          </rPr>
          <t xml:space="preserve">Julian Rogers:  New Line
</t>
        </r>
      </text>
    </comment>
    <comment ref="F211" authorId="1" shapeId="0" xr:uid="{21D7F570-895F-4788-8628-DA78D699BDA2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12" authorId="1" shapeId="0" xr:uid="{88104035-C4F1-40BB-8436-7F6EDF029C39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746" authorId="2" shapeId="0" xr:uid="{B4778935-D566-4692-BF02-07E30C7971D1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46" authorId="1" shapeId="0" xr:uid="{37063826-DECA-4AA5-A28E-8825D787E116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747" authorId="2" shapeId="0" xr:uid="{4F1DFD28-8E15-47FA-BBB9-A234ABD85851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47" authorId="1" shapeId="0" xr:uid="{A8073587-7E46-459E-A325-0C0F35C82C08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755" authorId="2" shapeId="0" xr:uid="{232F78DE-CE7E-472C-AC25-720832ED5F86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55" authorId="1" shapeId="0" xr:uid="{084DBE77-E6DD-4DEC-AB78-D791EBF865DD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756" authorId="2" shapeId="0" xr:uid="{474B2326-FAE3-4472-A85C-2BEB7E4FD768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56" authorId="1" shapeId="0" xr:uid="{C0921C2E-35B0-4690-BA13-EA6283DB3857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757" authorId="2" shapeId="0" xr:uid="{AA40F37C-88E5-42CB-9F87-D8659F297928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57" authorId="1" shapeId="0" xr:uid="{BFAF6B34-5E6D-4F79-AEEA-AB84D5F19C5C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772" authorId="2" shapeId="0" xr:uid="{77511B6D-B2BA-4EDB-BF26-D34B9404416D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Ky now line-items mandated programs (State Educational Special Purpose) in the Budget of the Commonwealth. This is a new program.</t>
        </r>
      </text>
    </comment>
    <comment ref="F772" authorId="1" shapeId="0" xr:uid="{6C25B4E7-E00F-4876-9528-C78D53B6711D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C812" authorId="2" shapeId="0" xr:uid="{93E4EDEE-F692-4F6E-AC34-A098C8D274A2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In FY21, there was a one-time reduction in General Fund support.</t>
        </r>
      </text>
    </comment>
    <comment ref="C813" authorId="2" shapeId="0" xr:uid="{D1000DFA-67C3-4D96-A159-08EE786DDA28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In FY21, there was a one-time reduction in General Fund support.</t>
        </r>
      </text>
    </comment>
    <comment ref="C814" authorId="2" shapeId="0" xr:uid="{F694FC2A-0937-43E3-80D6-E1FC0E6F50EF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This program was moved out of the Council on Postsecondary Education and into the Education and Workforce Development Cabinet. This is no longer specifically line-itemed in the Budget of the Commonwealth.</t>
        </r>
      </text>
    </comment>
    <comment ref="C815" authorId="2" shapeId="0" xr:uid="{28442FCD-1EA5-40A1-AAE5-6155504B1965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This program was moved out of the Council on Postsecondary Education and into the Education and Workforce Development Cabinet. This is no longer specifically line-itemed in the Budget of the Commonwealth.</t>
        </r>
      </text>
    </comment>
    <comment ref="C816" authorId="2" shapeId="0" xr:uid="{E1C577D5-3A22-4372-989B-7B76E1821E85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This program was moved out of the Council on Postsecondary Education and into the Education and Workforce Development Cabinet. This is no longer specifically line-itemed in the Budget of the Commonwealth.</t>
        </r>
      </text>
    </comment>
    <comment ref="C819" authorId="2" shapeId="0" xr:uid="{ABB63747-2BB7-42AE-BDB5-8CE13F663C22}">
      <text>
        <r>
          <rPr>
            <b/>
            <sz val="9"/>
            <color rgb="FF000000"/>
            <rFont val="Tahoma"/>
            <family val="2"/>
          </rPr>
          <t>ryan.kaffenberger:</t>
        </r>
        <r>
          <rPr>
            <sz val="9"/>
            <color rgb="FF000000"/>
            <rFont val="Tahoma"/>
            <family val="2"/>
          </rPr>
          <t xml:space="preserve">
In FY 2020-21, there was a one-time policy introduced that reduced CPE's General Fund appropriations for agency operations in order to have CPE restricted fund balances.</t>
        </r>
      </text>
    </comment>
    <comment ref="C2387" authorId="1" shapeId="0" xr:uid="{316783D7-BE93-480B-9EF5-28E497CE51AD}">
      <text>
        <r>
          <rPr>
            <sz val="8"/>
            <color rgb="FF000000"/>
            <rFont val="Tahoma"/>
            <family val="2"/>
          </rPr>
          <t>Moderate Warning  AA003:  Institution name is invalid.</t>
        </r>
      </text>
    </comment>
    <comment ref="F2473" authorId="1" shapeId="0" xr:uid="{A8871423-262B-4AE8-905E-E87B80CCA56B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79" authorId="1" shapeId="0" xr:uid="{5CE3E9CB-9A6F-473C-A3B2-28B9DBB971E5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80" authorId="1" shapeId="0" xr:uid="{1BDFDA76-C132-4D80-8535-CA8E21AA1056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81" authorId="1" shapeId="0" xr:uid="{845C60FF-61AC-4A46-B9AD-4C992B21019C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82" authorId="1" shapeId="0" xr:uid="{15C9DAAF-13A4-44BE-A154-0D2ECDC1C68A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498" authorId="1" shapeId="0" xr:uid="{19EA72D9-9007-40AD-A866-5E7CD8B6EA15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25" authorId="1" shapeId="0" xr:uid="{6EC2C275-1E1D-4420-9D5E-23A133F65660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26" authorId="1" shapeId="0" xr:uid="{658E73A6-C569-44DE-A780-730F1E895B46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27" authorId="1" shapeId="0" xr:uid="{907CD016-1300-4803-8DC9-6BAE7F7E995A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28" authorId="1" shapeId="0" xr:uid="{B5127E76-33A6-49E5-93EA-2A12B2DAA764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29" authorId="1" shapeId="0" xr:uid="{88165983-A007-4265-953A-DDB19658F1CF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  <comment ref="F2530" authorId="1" shapeId="0" xr:uid="{AD5C8D9D-3013-44A2-B484-59A6DA7BFA6D}">
      <text>
        <r>
          <rPr>
            <sz val="8"/>
            <color rgb="FF000000"/>
            <rFont val="Tahoma"/>
            <family val="2"/>
          </rPr>
          <t>Moderate Warning  AA007:  Catergory is invalid (use 99 for none institution items)</t>
        </r>
      </text>
    </comment>
  </commentList>
</comments>
</file>

<file path=xl/sharedStrings.xml><?xml version="1.0" encoding="utf-8"?>
<sst xmlns="http://schemas.openxmlformats.org/spreadsheetml/2006/main" count="19893" uniqueCount="1817">
  <si>
    <r>
      <rPr>
        <b/>
        <sz val="10"/>
        <color theme="0"/>
        <rFont val="Arial"/>
        <family val="2"/>
      </rPr>
      <t>Part 6: Funds</t>
    </r>
    <r>
      <rPr>
        <b/>
        <vertAlign val="superscript"/>
        <sz val="10"/>
        <color theme="0"/>
        <rFont val="Arial"/>
        <family val="2"/>
      </rPr>
      <t>1</t>
    </r>
    <r>
      <rPr>
        <b/>
        <sz val="10"/>
        <color theme="0"/>
        <rFont val="Arial"/>
        <family val="2"/>
      </rPr>
      <t xml:space="preserve"> for Public Colleges, Universities and Technical Institutes and for Other</t>
    </r>
    <r>
      <rPr>
        <b/>
        <vertAlign val="superscript"/>
        <sz val="10"/>
        <color theme="0"/>
        <rFont val="Arial"/>
        <family val="2"/>
      </rPr>
      <t>2</t>
    </r>
    <r>
      <rPr>
        <b/>
        <sz val="10"/>
        <color theme="0"/>
        <rFont val="Arial"/>
        <family val="2"/>
      </rPr>
      <t xml:space="preserve"> Higher Education-Related Operating Expenses</t>
    </r>
  </si>
  <si>
    <r>
      <rPr>
        <sz val="10"/>
        <color rgb="FF000000"/>
        <rFont val="Arial"/>
        <family val="2"/>
      </rPr>
      <t>(</t>
    </r>
    <r>
      <rPr>
        <vertAlign val="superscript"/>
        <sz val="10"/>
        <color rgb="FF000000"/>
        <rFont val="Arial"/>
        <family val="2"/>
      </rPr>
      <t xml:space="preserve">1 </t>
    </r>
    <r>
      <rPr>
        <sz val="10"/>
        <color rgb="FF000000"/>
        <rFont val="Arial"/>
        <family val="2"/>
      </rPr>
      <t xml:space="preserve">State + local + tuition and fees. </t>
    </r>
    <r>
      <rPr>
        <vertAlign val="superscript"/>
        <sz val="10"/>
        <color rgb="FF000000"/>
        <rFont val="Arial"/>
        <family val="2"/>
      </rPr>
      <t xml:space="preserve"> 2</t>
    </r>
    <r>
      <rPr>
        <sz val="10"/>
        <color rgb="FF000000"/>
        <rFont val="Arial"/>
        <family val="2"/>
      </rPr>
      <t>System operations, state support to private colleges other than student aid, contract education and statewide student financial aid administered off campus and Special Purpose institutions.)</t>
    </r>
  </si>
  <si>
    <t>A. Funds for E&amp;G Operations</t>
  </si>
  <si>
    <t>B. Other Special Purpose Funds and Funds for Health Professions Education</t>
  </si>
  <si>
    <t>Calculated</t>
  </si>
  <si>
    <t>Comments:  Please look for comments and answer questions; add comments as needed</t>
  </si>
  <si>
    <t>State General Purpose</t>
  </si>
  <si>
    <t>State Educational Special Purpose</t>
  </si>
  <si>
    <t>Local</t>
  </si>
  <si>
    <t>Tuition and Fee Revenue (estm.)</t>
  </si>
  <si>
    <r>
      <rPr>
        <b/>
        <sz val="10"/>
        <color rgb="FF0000FF"/>
        <rFont val="Arial"/>
        <family val="2"/>
      </rPr>
      <t xml:space="preserve">Total for Operations                         </t>
    </r>
    <r>
      <rPr>
        <i/>
        <sz val="10"/>
        <color rgb="FF0000FF"/>
        <rFont val="Arial"/>
        <family val="2"/>
      </rPr>
      <t>(Net Debt Service)</t>
    </r>
  </si>
  <si>
    <t>1. System Operations, State Support to Private Colleges other than student aid, contract education and statewide student aid adm. off campus and non-med Special purp insts.</t>
  </si>
  <si>
    <t>2. Health Professions Education &amp; Institutions</t>
  </si>
  <si>
    <t>Total Funds (A+B+C)</t>
  </si>
  <si>
    <t>For Operations</t>
  </si>
  <si>
    <t>For Debt Service</t>
  </si>
  <si>
    <t>Sub-Total Revenue</t>
  </si>
  <si>
    <t>Non-Med Specialized Tuition and Fee Revenue (estimated)</t>
  </si>
  <si>
    <t>Med-Specialized Tuition &amp; Fee Revenue (estimated)</t>
  </si>
  <si>
    <t>Item Group</t>
  </si>
  <si>
    <t>State</t>
  </si>
  <si>
    <t>Institution</t>
  </si>
  <si>
    <t>Classification Notes</t>
  </si>
  <si>
    <t>IPEDS #</t>
  </si>
  <si>
    <t>Category</t>
  </si>
  <si>
    <t>state</t>
  </si>
  <si>
    <t>group</t>
  </si>
  <si>
    <t>item</t>
  </si>
  <si>
    <t>Classificatin Notes</t>
  </si>
  <si>
    <t>ID #</t>
  </si>
  <si>
    <t>category</t>
  </si>
  <si>
    <t>State Gen Purp-Old</t>
  </si>
  <si>
    <t>State Gen Purp-New</t>
  </si>
  <si>
    <t>State Ed Spec Purp-Old</t>
  </si>
  <si>
    <t>State Ed Spec Purp-New</t>
  </si>
  <si>
    <t>Local-Old</t>
  </si>
  <si>
    <t>Local-New</t>
  </si>
  <si>
    <t>Tuition Ops-Old</t>
  </si>
  <si>
    <t>Tuition Debt-Old</t>
  </si>
  <si>
    <t>Tuition Tot-Old</t>
  </si>
  <si>
    <t>Tuition Ops-New</t>
  </si>
  <si>
    <t>Tuition Debt-New</t>
  </si>
  <si>
    <t>Tuition Tot-New</t>
  </si>
  <si>
    <t>Total E&amp;G-Old</t>
  </si>
  <si>
    <t>Total E&amp;G-New</t>
  </si>
  <si>
    <t>Other Spec Purp State-Old</t>
  </si>
  <si>
    <t>Other Spec Purp State-New</t>
  </si>
  <si>
    <t>Tuition SP Ops-Old</t>
  </si>
  <si>
    <t>Tuition SP Debt-Old</t>
  </si>
  <si>
    <t>Tuition SP Tot-Old</t>
  </si>
  <si>
    <t>Tuition SP Ops-New</t>
  </si>
  <si>
    <t>Tuition SP Debt-New</t>
  </si>
  <si>
    <t>Tuition SP Tot-New</t>
  </si>
  <si>
    <t>Health State-Old</t>
  </si>
  <si>
    <t>Health State-New</t>
  </si>
  <si>
    <t>Health Tuition-Old</t>
  </si>
  <si>
    <t>Health Tuition Debt - Old</t>
  </si>
  <si>
    <t>Health Tuition-New</t>
  </si>
  <si>
    <t>Health Tuition Debt - New</t>
  </si>
  <si>
    <t>Total Funds-Old</t>
  </si>
  <si>
    <t>Total Funds-New</t>
  </si>
  <si>
    <t>AL</t>
  </si>
  <si>
    <t>1A</t>
  </si>
  <si>
    <t xml:space="preserve">Auburn University  </t>
  </si>
  <si>
    <t>1D</t>
  </si>
  <si>
    <t>Health Professions Education</t>
  </si>
  <si>
    <t>Veterinary School</t>
  </si>
  <si>
    <t>1B</t>
  </si>
  <si>
    <t>Educational Special-Purpose funds to public campuses</t>
  </si>
  <si>
    <t>1B1</t>
  </si>
  <si>
    <t>Community or public service units</t>
  </si>
  <si>
    <t>1B2</t>
  </si>
  <si>
    <t>Non-credit continuing education</t>
  </si>
  <si>
    <t>Teacher In-service Center</t>
  </si>
  <si>
    <t>1B3</t>
  </si>
  <si>
    <t>Agricultural cooperative extension</t>
  </si>
  <si>
    <t>1B4</t>
  </si>
  <si>
    <t>Agricultural experiment stations</t>
  </si>
  <si>
    <t>1B6</t>
  </si>
  <si>
    <t>Research centers/institutes</t>
  </si>
  <si>
    <t xml:space="preserve">University of Alabama </t>
  </si>
  <si>
    <t>Health Center</t>
  </si>
  <si>
    <t>University of Alabama at Birmingham</t>
  </si>
  <si>
    <t>Medical Center</t>
  </si>
  <si>
    <t>Medical Center - Research Centers</t>
  </si>
  <si>
    <t>University of Alabama in Huntsville</t>
  </si>
  <si>
    <t>Alabama Agricultural &amp; Mechanical University</t>
  </si>
  <si>
    <t>Agricultural</t>
  </si>
  <si>
    <t>AL Agricultural LG Alliance</t>
  </si>
  <si>
    <t xml:space="preserve">Jacksonville State University </t>
  </si>
  <si>
    <t>Troy University</t>
  </si>
  <si>
    <t>University of South Alabama</t>
  </si>
  <si>
    <t xml:space="preserve">Alabama State University </t>
  </si>
  <si>
    <t>Auburn University at Montgomery</t>
  </si>
  <si>
    <t>University of North Alabama</t>
  </si>
  <si>
    <t>University of Montevallo</t>
  </si>
  <si>
    <t>University of West Alabama</t>
  </si>
  <si>
    <t>Athens State University</t>
  </si>
  <si>
    <t>Jefferson State Community College</t>
  </si>
  <si>
    <t>1B7</t>
  </si>
  <si>
    <t>Special line items for education operations</t>
  </si>
  <si>
    <t>Bevill State Community College</t>
  </si>
  <si>
    <t>Bishop State Community College</t>
  </si>
  <si>
    <t>Enterprise State Community College</t>
  </si>
  <si>
    <t>Gadsden State Community College</t>
  </si>
  <si>
    <t>George C. Wallace Community College - Dothan</t>
  </si>
  <si>
    <t xml:space="preserve">Lawson State Community College </t>
  </si>
  <si>
    <t xml:space="preserve">Northwest-Shoals Community College </t>
  </si>
  <si>
    <t>Shelton State Community College</t>
  </si>
  <si>
    <t>Southern Union State Community College</t>
  </si>
  <si>
    <t>Central Alabama Community College</t>
  </si>
  <si>
    <t>George Corley Wallace State Community College - Selma</t>
  </si>
  <si>
    <t xml:space="preserve">Lurleen B. Wallace Community College </t>
  </si>
  <si>
    <t xml:space="preserve">Snead State Community College </t>
  </si>
  <si>
    <t xml:space="preserve">J.F. Ingram State Technical College </t>
  </si>
  <si>
    <t xml:space="preserve">Reid State Technical College </t>
  </si>
  <si>
    <t>1F</t>
  </si>
  <si>
    <t>Marion Military Institute</t>
  </si>
  <si>
    <t>1C</t>
  </si>
  <si>
    <t>Educational special purpose funds - to statewide units</t>
  </si>
  <si>
    <t>1C6</t>
  </si>
  <si>
    <t>Exprmntl Prog. for the Stimulation of Competitive Rsrch (EPSCOR) Consort.</t>
  </si>
  <si>
    <t>MESC/Dauphin Isl Sealab/Marine Environmental Sci Consort.</t>
  </si>
  <si>
    <t>1C7</t>
  </si>
  <si>
    <t>Network of Al Academic Libraries (NAAL)</t>
  </si>
  <si>
    <t>AL Firefighters' Personnel Standards &amp; Ed Commission’s “Alabama Fire College”</t>
  </si>
  <si>
    <t>Special line items for education operations - 2 Year colleges</t>
  </si>
  <si>
    <t>Alabama Technology Network</t>
  </si>
  <si>
    <t>Prison Education - Therapeutic Training</t>
  </si>
  <si>
    <t>LifeTech</t>
  </si>
  <si>
    <t>Continuing Ed for EMT Personnel</t>
  </si>
  <si>
    <t>Mine Safety Training Pgm</t>
  </si>
  <si>
    <t>1G</t>
  </si>
  <si>
    <t>Educational special purpose funds - all other</t>
  </si>
  <si>
    <t xml:space="preserve">Articulation </t>
  </si>
  <si>
    <t>Arts Council</t>
  </si>
  <si>
    <t>Adaptive &amp; Disability Sports ED</t>
  </si>
  <si>
    <t>Alabama Innovation Fund</t>
  </si>
  <si>
    <t>2A</t>
  </si>
  <si>
    <t>Statewide System Operations</t>
  </si>
  <si>
    <t>2A1</t>
  </si>
  <si>
    <t>Colleges and universities</t>
  </si>
  <si>
    <t>2A2</t>
  </si>
  <si>
    <t>Two-year system(s), if any</t>
  </si>
  <si>
    <t>Two Year College appropriation not yet Distributed</t>
  </si>
  <si>
    <t>2A3</t>
  </si>
  <si>
    <t>National or regional associations, compacts or consortia</t>
  </si>
  <si>
    <t>SREB Membership  *</t>
  </si>
  <si>
    <t>SREB ACHE Administrative Costs</t>
  </si>
  <si>
    <t>2A4</t>
  </si>
  <si>
    <t>Adm. of Statewide Student Aid Progs. (including centralized guaranteed student loans)</t>
  </si>
  <si>
    <t>2B</t>
  </si>
  <si>
    <t>State Support to Private Colleges Other Than Student Aid</t>
  </si>
  <si>
    <t>AL A&amp;M-Miles College Consortium</t>
  </si>
  <si>
    <t>Talladega College</t>
  </si>
  <si>
    <t>Tuskegee University</t>
  </si>
  <si>
    <t>AL Agricultural LG Alliance Tuskegee University</t>
  </si>
  <si>
    <t>2C3</t>
  </si>
  <si>
    <t>Other contract education programs</t>
  </si>
  <si>
    <t>2D</t>
  </si>
  <si>
    <t>Statewide Student Financial Aid Programs Administered Off Campus</t>
  </si>
  <si>
    <t>2D1</t>
  </si>
  <si>
    <t>Available to public &amp; private sector students</t>
  </si>
  <si>
    <t>for medical students</t>
  </si>
  <si>
    <t>2D1a</t>
  </si>
  <si>
    <t>Need-based</t>
  </si>
  <si>
    <t>2D1b</t>
  </si>
  <si>
    <t>Non need-based</t>
  </si>
  <si>
    <t>for dental students</t>
  </si>
  <si>
    <t>for optometry students</t>
  </si>
  <si>
    <t>2D1c</t>
  </si>
  <si>
    <t>Amount to public sector students</t>
  </si>
  <si>
    <t>2D1c1</t>
  </si>
  <si>
    <t>2D1c2</t>
  </si>
  <si>
    <t>Board of Nursing program</t>
  </si>
  <si>
    <t>SREB minority doctoral fellows</t>
  </si>
  <si>
    <t>2D1d</t>
  </si>
  <si>
    <t>Amount to private sector students</t>
  </si>
  <si>
    <t>2D1d2</t>
  </si>
  <si>
    <t>Alabama Student Assistance Program</t>
  </si>
  <si>
    <t>2D1d1</t>
  </si>
  <si>
    <t>Dependents of blind parents program</t>
  </si>
  <si>
    <t>Department of Veterans Affairs programs</t>
  </si>
  <si>
    <t>Police Officer's scholarships</t>
  </si>
  <si>
    <t>Fostering Hope Scholarship Program</t>
  </si>
  <si>
    <t>National Guard Ed Assistance</t>
  </si>
  <si>
    <t>Math &amp; Science Teacher Ed Program</t>
  </si>
  <si>
    <t>2D2</t>
  </si>
  <si>
    <t>Limited to public college students only</t>
  </si>
  <si>
    <t>American Legion program</t>
  </si>
  <si>
    <t>2D2a</t>
  </si>
  <si>
    <t>2D2b</t>
  </si>
  <si>
    <t>2D3</t>
  </si>
  <si>
    <t>Limited to private college students only</t>
  </si>
  <si>
    <t>Alabama Student Grant Program</t>
  </si>
  <si>
    <t>2D3a</t>
  </si>
  <si>
    <t>2D3b</t>
  </si>
  <si>
    <t>AR</t>
  </si>
  <si>
    <t>University of Arkansas, Fayetteville</t>
  </si>
  <si>
    <t>1C3</t>
  </si>
  <si>
    <t>Univ of Ark. System Divison of Agriculture</t>
  </si>
  <si>
    <t>Univ of Ark. System Archeological Survey</t>
  </si>
  <si>
    <t>Univ of Ark. System Criminal Justice Institute</t>
  </si>
  <si>
    <t>Univ. of Ark. System Arkansas School of Mathematics, Sciences and the Arts</t>
  </si>
  <si>
    <t>Clinton School for Public Service</t>
  </si>
  <si>
    <t>University of Arkansas at Little Rock</t>
  </si>
  <si>
    <t>Research and Public Service Unit</t>
  </si>
  <si>
    <t>Arkansas State University</t>
  </si>
  <si>
    <t>Arkansas Tech University</t>
  </si>
  <si>
    <t>Arkansas Tech University - Ozark</t>
  </si>
  <si>
    <t xml:space="preserve">University of Central Arkansas </t>
  </si>
  <si>
    <t xml:space="preserve">Henderson State University </t>
  </si>
  <si>
    <t xml:space="preserve">Henderson State Community Education Center </t>
  </si>
  <si>
    <t>Southern Arkansas University</t>
  </si>
  <si>
    <t>University of Arkansas at Monticello</t>
  </si>
  <si>
    <t>UAM College of Technology-McGehee</t>
  </si>
  <si>
    <t xml:space="preserve">UAM College of Technology-Crossett </t>
  </si>
  <si>
    <t>University of Arkansas at Fort Smith</t>
  </si>
  <si>
    <t>University of Arkansas at Pine Bluff</t>
  </si>
  <si>
    <t xml:space="preserve">Northwest Arkansas Community College </t>
  </si>
  <si>
    <t>Arkansas State University-Beebe</t>
  </si>
  <si>
    <t>National Park College</t>
  </si>
  <si>
    <t>Arkansas Northeastern College</t>
  </si>
  <si>
    <t>Arkansas State University Mid-South</t>
  </si>
  <si>
    <t>Arkansas State University Mountain Home</t>
  </si>
  <si>
    <t>Arkansas State University-Newport</t>
  </si>
  <si>
    <t>Black River Technical College</t>
  </si>
  <si>
    <t>Cossatot Community College of the University of Arkansas</t>
  </si>
  <si>
    <t xml:space="preserve">East Arkansas Community College </t>
  </si>
  <si>
    <t>North Arkansas College</t>
  </si>
  <si>
    <t xml:space="preserve">Ozarka College </t>
  </si>
  <si>
    <t>Phillips Community College of the Univ of Arkansas</t>
  </si>
  <si>
    <t>South Arkansas Community College</t>
  </si>
  <si>
    <t>Southeast Arkansas College</t>
  </si>
  <si>
    <t>Southern Arkansas University Tech</t>
  </si>
  <si>
    <t>Environmental Control Academy &amp; Fire Control Academy</t>
  </si>
  <si>
    <t>University of Arkansas Community College at Batesville</t>
  </si>
  <si>
    <t>University of Arkansas Community College at Morrilton</t>
  </si>
  <si>
    <t>1E</t>
  </si>
  <si>
    <t>University of Arkansas for Medical Sciences</t>
  </si>
  <si>
    <t>All Other State Operating Appropriations Related to Postsecondary Education</t>
  </si>
  <si>
    <t>Y.O.U. Program for At-Risk Youth</t>
  </si>
  <si>
    <t>Tuition Waiver Adjustments</t>
  </si>
  <si>
    <t>Higher Education Coordinating Board</t>
  </si>
  <si>
    <t>Univ. of Ark System Office</t>
  </si>
  <si>
    <t>Arkansas State University System Office</t>
  </si>
  <si>
    <t>SREB Membership</t>
  </si>
  <si>
    <t>Adm. of Statewide Student Aid Progs. (incldng centralized guaranteed student loans)</t>
  </si>
  <si>
    <t>2C</t>
  </si>
  <si>
    <t>Contract Education Programs</t>
  </si>
  <si>
    <t>2C1</t>
  </si>
  <si>
    <t>SREB contract program with private colleges</t>
  </si>
  <si>
    <t>Ohio College of Podiatric Medicine</t>
  </si>
  <si>
    <t>Meharry Medical College (Dentistry)</t>
  </si>
  <si>
    <t>Rosalind Franklin University</t>
  </si>
  <si>
    <t>Southern College of Optometry</t>
  </si>
  <si>
    <t>Virginia College of Osteopathic Medicine</t>
  </si>
  <si>
    <t>Southeastern University College of Osteopathic Medicine (NOVA)</t>
  </si>
  <si>
    <t>2C2</t>
  </si>
  <si>
    <t>SREB contract program with public colleges</t>
  </si>
  <si>
    <t>Louisiana State Univ. Medical Center (Dentistry)</t>
  </si>
  <si>
    <t>Mississippi State University (Veterinary Medicine)</t>
  </si>
  <si>
    <t>Oklahoma State University (Osteopathic Medicine)</t>
  </si>
  <si>
    <t>University of Tennessee (Dentistry)</t>
  </si>
  <si>
    <t>University of Oklahoma (Dentistry)</t>
  </si>
  <si>
    <t>Baylor College of Medicine-Texas A&amp;M (Dentistry)</t>
  </si>
  <si>
    <t>Louisiana State University (Veterinary Medicine)</t>
  </si>
  <si>
    <t>Northeastern University (Optometry)</t>
  </si>
  <si>
    <t>University of Louisville (Dentistry)</t>
  </si>
  <si>
    <t>Governor's Scholars</t>
  </si>
  <si>
    <t>Arkansas Academic Challenge Scholarship</t>
  </si>
  <si>
    <t>Higher Education Opportunities Grant (GO! Opportunities Grant)</t>
  </si>
  <si>
    <t>Teacher Opportunity Program</t>
  </si>
  <si>
    <t>Second Effort Scholarships</t>
  </si>
  <si>
    <t>MIA/KIA Dependents' Scholarship</t>
  </si>
  <si>
    <t>National Guard Scholarships</t>
  </si>
  <si>
    <t>Junior/Senior Minority Scholarships</t>
  </si>
  <si>
    <t>Minority Master's Fellows Program</t>
  </si>
  <si>
    <t>SREB Doctoral Scholars Program</t>
  </si>
  <si>
    <t>Geographical Critical Needs Teacher Scholarship</t>
  </si>
  <si>
    <t>Workforce Improvement Grant</t>
  </si>
  <si>
    <t>State Teacher Education Program</t>
  </si>
  <si>
    <t>Surviving Chidren of Law Enforcement Offs.</t>
  </si>
  <si>
    <t>DE</t>
  </si>
  <si>
    <t>University of Delaware</t>
  </si>
  <si>
    <t>Community/Public Service</t>
  </si>
  <si>
    <t>The College School</t>
  </si>
  <si>
    <t>Delaware Biotech Institute Operating Funds</t>
  </si>
  <si>
    <t>Sea Grant</t>
  </si>
  <si>
    <t>Urban Agent</t>
  </si>
  <si>
    <t>Public Service &amp; Applied Research Projects</t>
  </si>
  <si>
    <t>Local Government Research &amp; Assistance</t>
  </si>
  <si>
    <t>Research on School Finance</t>
  </si>
  <si>
    <t>Delaware Education Research &amp; Development Center</t>
  </si>
  <si>
    <t>Geological Survey</t>
  </si>
  <si>
    <t>Delaware State University</t>
  </si>
  <si>
    <t>Delaware Technical and Community College--Terry</t>
  </si>
  <si>
    <t>Educational special-purpose funds-- all other</t>
  </si>
  <si>
    <t>Matching Funds Minority Engineering Recruitment</t>
  </si>
  <si>
    <t>Matching Funds; Advancement of Minorities in Engineering</t>
  </si>
  <si>
    <t>Associate in Arts Program (joint Del. Tech - UD program administered by Del Tech)</t>
  </si>
  <si>
    <t>Statewide system operations</t>
  </si>
  <si>
    <t>DE Higher Education Commission</t>
  </si>
  <si>
    <t>Delaware Tech College System Office</t>
  </si>
  <si>
    <t>SREB</t>
  </si>
  <si>
    <t>Adm. of Statewide Student Aid Programs (including centralized guaranteed student loans)</t>
  </si>
  <si>
    <t>Support to private colleges other than student financial aid</t>
  </si>
  <si>
    <t>Contract education programs</t>
  </si>
  <si>
    <t>Del Institute for Medical Ed &amp; Rsch (DIMER)</t>
  </si>
  <si>
    <t>Del Institute for Vet Medical Education (DIVME)</t>
  </si>
  <si>
    <t>Del Institute for Dental Ed &amp; Rsch (DIDER)</t>
  </si>
  <si>
    <t>Statewide student financial aid programs administered off campus</t>
  </si>
  <si>
    <t>Scholarship Incentive Program</t>
  </si>
  <si>
    <t>To public sector students</t>
  </si>
  <si>
    <t>To private sector students</t>
  </si>
  <si>
    <t>Diamond State Scholarship</t>
  </si>
  <si>
    <t>Ed Benefits for Children of Deceased Vets &amp; Others</t>
  </si>
  <si>
    <t>Christa McAuliffe Teacher Scholarship Loan</t>
  </si>
  <si>
    <t>Librarian and Archivist Incentive Program</t>
  </si>
  <si>
    <t>Delaware Nursing Incentive Program</t>
  </si>
  <si>
    <t>B. Bradford Barnes Memorial Scholarship</t>
  </si>
  <si>
    <t>Speech/Language Pathologist Incentive Program</t>
  </si>
  <si>
    <t>Herman M. Holloway, Sr. Memorial Scholarship</t>
  </si>
  <si>
    <t>Charles L. Hebner Memorial Scholarship</t>
  </si>
  <si>
    <t>Del. Institute for Med. Ed. &amp; Research</t>
  </si>
  <si>
    <t>Michael C. Ferguson Achievement Scholarship</t>
  </si>
  <si>
    <t>Delaware Optometric Institutional Aid</t>
  </si>
  <si>
    <t>Critical Need Scholarship</t>
  </si>
  <si>
    <t>DE State Loan Repayment Program/Physicians &amp; Dentists</t>
  </si>
  <si>
    <t>DE Institute for Dental Education &amp; Research Scholarships</t>
  </si>
  <si>
    <t>Inspire Scholarship</t>
  </si>
  <si>
    <t>Limited to public college students</t>
  </si>
  <si>
    <t>Limited to private college students</t>
  </si>
  <si>
    <t>FL</t>
  </si>
  <si>
    <t>Medical School</t>
  </si>
  <si>
    <t>Education special purpose funds -all other</t>
  </si>
  <si>
    <t>1C1</t>
  </si>
  <si>
    <t>SREB membership</t>
  </si>
  <si>
    <t xml:space="preserve">Broward College </t>
  </si>
  <si>
    <t xml:space="preserve">Chipola College </t>
  </si>
  <si>
    <t>College of Central Florida</t>
  </si>
  <si>
    <t xml:space="preserve">Daytona State College </t>
  </si>
  <si>
    <t>Florida SouthWestern State College</t>
  </si>
  <si>
    <t>Florida State College at Jacksonville</t>
  </si>
  <si>
    <t xml:space="preserve">Gulf Coast State College </t>
  </si>
  <si>
    <t xml:space="preserve">Indian River State College </t>
  </si>
  <si>
    <t xml:space="preserve">Miami Dade College </t>
  </si>
  <si>
    <t>Northwest Florida State College</t>
  </si>
  <si>
    <t xml:space="preserve">Palm Beach State College </t>
  </si>
  <si>
    <t xml:space="preserve">Pensacola State College </t>
  </si>
  <si>
    <t xml:space="preserve">Polk State College </t>
  </si>
  <si>
    <t xml:space="preserve">Santa Fe College </t>
  </si>
  <si>
    <t>Seminole State College of Florida</t>
  </si>
  <si>
    <t xml:space="preserve">St. Johns River State College </t>
  </si>
  <si>
    <t xml:space="preserve">St. Petersburg College </t>
  </si>
  <si>
    <t>State College of Florida, Manatee-Sarasota</t>
  </si>
  <si>
    <t xml:space="preserve">Valencia College </t>
  </si>
  <si>
    <t>Eastern Florida State College</t>
  </si>
  <si>
    <t xml:space="preserve">Hillsborough Community College </t>
  </si>
  <si>
    <t xml:space="preserve">Pasco-Hernando State College </t>
  </si>
  <si>
    <t xml:space="preserve">Tallahassee Community College </t>
  </si>
  <si>
    <t>Florida Gateway College</t>
  </si>
  <si>
    <t xml:space="preserve">Lake-Sumter State College </t>
  </si>
  <si>
    <t xml:space="preserve">South Florida State College </t>
  </si>
  <si>
    <t xml:space="preserve">Division of Florida Colleges Central Office </t>
  </si>
  <si>
    <t>GA</t>
  </si>
  <si>
    <t xml:space="preserve">Georgia State University </t>
  </si>
  <si>
    <t>University of Georgia</t>
  </si>
  <si>
    <t>Heatlh Professions Education</t>
  </si>
  <si>
    <t>College of Veterinary Medicine</t>
  </si>
  <si>
    <t>Vet Med Teaching Hospital</t>
  </si>
  <si>
    <t>Public Service Units</t>
  </si>
  <si>
    <t>Ag Cooperative Extension Service</t>
  </si>
  <si>
    <t>Ag Experiment Stations</t>
  </si>
  <si>
    <t>Research Units</t>
  </si>
  <si>
    <t>Marine Extension Service</t>
  </si>
  <si>
    <t>Vet Med Exp Station</t>
  </si>
  <si>
    <t>Marine Institute</t>
  </si>
  <si>
    <t>Forest Research</t>
  </si>
  <si>
    <t>Skidaway Inst of Oceanography</t>
  </si>
  <si>
    <t>Georgia Institute of Technology</t>
  </si>
  <si>
    <t>1B5</t>
  </si>
  <si>
    <t>Eng Experiment Station (Ga. Tech. Resch Inst.)</t>
  </si>
  <si>
    <t>Georgia Southern University</t>
  </si>
  <si>
    <t>Kennesaw State University</t>
  </si>
  <si>
    <t>University of West Georgia</t>
  </si>
  <si>
    <t>Valdosta State University</t>
  </si>
  <si>
    <t xml:space="preserve">Albany State University </t>
  </si>
  <si>
    <t>Clayton State University</t>
  </si>
  <si>
    <t>Columbus State University</t>
  </si>
  <si>
    <t>Fort Valley State University</t>
  </si>
  <si>
    <t>Georgia College and State University</t>
  </si>
  <si>
    <t>Augusta University</t>
  </si>
  <si>
    <t>University of North Georgia</t>
  </si>
  <si>
    <t>Georgia Southwestern State University</t>
  </si>
  <si>
    <t>Savannah State University</t>
  </si>
  <si>
    <t>College of Coastal Georgia</t>
  </si>
  <si>
    <t xml:space="preserve">Dalton State College </t>
  </si>
  <si>
    <t>Georgia Gwinnett College</t>
  </si>
  <si>
    <t>Middle Georgia State University</t>
  </si>
  <si>
    <t xml:space="preserve">Abraham Baldwin Agricultural College </t>
  </si>
  <si>
    <t xml:space="preserve">Gordon State College </t>
  </si>
  <si>
    <t>Atlanta Metropolitan State College</t>
  </si>
  <si>
    <t>East Georgia State College</t>
  </si>
  <si>
    <t xml:space="preserve">Georgia Highlands College </t>
  </si>
  <si>
    <t>South Georgia State College</t>
  </si>
  <si>
    <t>Statewide Special-Purpose Units</t>
  </si>
  <si>
    <t>Georgia Archives</t>
  </si>
  <si>
    <t>Georgia Public Libraries</t>
  </si>
  <si>
    <t>Residence Instruction Reserve</t>
  </si>
  <si>
    <t>Office of Information and Instructional Technology</t>
  </si>
  <si>
    <t>(SHARED SERVICES) University System Regents</t>
  </si>
  <si>
    <t>"RCO A"</t>
  </si>
  <si>
    <t>"RCO B"</t>
  </si>
  <si>
    <t>Doctoral Scholars</t>
  </si>
  <si>
    <t>Ga Student Finance Commission</t>
  </si>
  <si>
    <t>Ga Military College</t>
  </si>
  <si>
    <t>Mercer University (Medicine)</t>
  </si>
  <si>
    <t>Morehouse School of Medicine</t>
  </si>
  <si>
    <t>Georgia Military College</t>
  </si>
  <si>
    <t>Southern College (Optometry)</t>
  </si>
  <si>
    <t xml:space="preserve"> </t>
  </si>
  <si>
    <t>Nova Southeastern University (Osteopathic Medicine)</t>
  </si>
  <si>
    <t>University of Alabama at Birmingham (Medicine)</t>
  </si>
  <si>
    <t>Other contracted programs (Med. Student Capitation Grants)</t>
  </si>
  <si>
    <t>Emory University (Medicine)</t>
  </si>
  <si>
    <t xml:space="preserve">Philadelphia College of Osteopathic Medicine – Georgia Campus </t>
  </si>
  <si>
    <t>Public Safety Memorial Grant</t>
  </si>
  <si>
    <t>Engineer Scholarships</t>
  </si>
  <si>
    <t>HOPE Scholarships</t>
  </si>
  <si>
    <t>Georgia Military College Scholarships</t>
  </si>
  <si>
    <t>Education special purpose funds -statewide units</t>
  </si>
  <si>
    <t>KY</t>
  </si>
  <si>
    <t>University of Kentucky</t>
  </si>
  <si>
    <t>Livestock Disease Diagnostic Laboratory</t>
  </si>
  <si>
    <t>Agriculture Public Service</t>
  </si>
  <si>
    <t>Kentucky Geological Survey</t>
  </si>
  <si>
    <t>University Press</t>
  </si>
  <si>
    <t>Center on Aging</t>
  </si>
  <si>
    <t>Center for Entrepreneurship</t>
  </si>
  <si>
    <t>Center for Applied Energy Research</t>
  </si>
  <si>
    <t>Rural Health Care</t>
  </si>
  <si>
    <t>University of Louisville</t>
  </si>
  <si>
    <t>Community Cancer Program</t>
  </si>
  <si>
    <t xml:space="preserve">Eastern Kentucky University </t>
  </si>
  <si>
    <t>Community Operations Board</t>
  </si>
  <si>
    <t>Model Laboratory School</t>
  </si>
  <si>
    <t xml:space="preserve">Morehead State University </t>
  </si>
  <si>
    <t>KY Folk Art Center</t>
  </si>
  <si>
    <t>Craft Academy for Excellence in Science and Mathematics</t>
  </si>
  <si>
    <t xml:space="preserve">Murray State University </t>
  </si>
  <si>
    <t>Breathitt Veterinary Clinic</t>
  </si>
  <si>
    <t xml:space="preserve">Northern Kentucky University </t>
  </si>
  <si>
    <t>Kentucky Center for Mathematics</t>
  </si>
  <si>
    <t xml:space="preserve">Western Kentucky University </t>
  </si>
  <si>
    <t>Kentucky Mesonet</t>
  </si>
  <si>
    <t xml:space="preserve">Kentucky State University </t>
  </si>
  <si>
    <t>Bluegrass Community and Technical College</t>
  </si>
  <si>
    <t xml:space="preserve">Jefferson Community and Technical College </t>
  </si>
  <si>
    <t>Ashland Community and Technical College</t>
  </si>
  <si>
    <t xml:space="preserve">Big Sandy Community and Technical College </t>
  </si>
  <si>
    <t xml:space="preserve">Elizabethtown Community and Technical College </t>
  </si>
  <si>
    <t xml:space="preserve">Hopkinsville Community College </t>
  </si>
  <si>
    <t>Madisonville Community College</t>
  </si>
  <si>
    <t xml:space="preserve">Maysville Community and Technical College </t>
  </si>
  <si>
    <t xml:space="preserve">Owensboro Community and Technical College </t>
  </si>
  <si>
    <t xml:space="preserve">Somerset Community College </t>
  </si>
  <si>
    <t>Southeast Kentucky Community and Technical College</t>
  </si>
  <si>
    <t>West Kentucky Community and Technical College</t>
  </si>
  <si>
    <t>Hazard Community and Technical College</t>
  </si>
  <si>
    <t xml:space="preserve">Henderson Community College </t>
  </si>
  <si>
    <t>Gateway Community and Technical College</t>
  </si>
  <si>
    <t>Southcentral Kentucky Community and Technical College</t>
  </si>
  <si>
    <t>University Health Insurance Premium Supplement</t>
  </si>
  <si>
    <t>Kentucky Board of Emergency Medical Services</t>
  </si>
  <si>
    <t>Fire Commission</t>
  </si>
  <si>
    <t>Education special purpose funds — all other</t>
  </si>
  <si>
    <t>KY Postsecondary Education Network</t>
  </si>
  <si>
    <t>Adult Education Operations</t>
  </si>
  <si>
    <t>Science and Technology Trust Fund</t>
  </si>
  <si>
    <t>Ky Community and Technical College System operations</t>
  </si>
  <si>
    <t>SREB (General Operations + Small Grants)</t>
  </si>
  <si>
    <t>SREB Doctoral Scholar Program</t>
  </si>
  <si>
    <t>Tuskegee University (Veterinary Medicine)</t>
  </si>
  <si>
    <t>Auburn University (Veterinary Medicine)</t>
  </si>
  <si>
    <t>University of Alabama at Birmingham (Optometry)</t>
  </si>
  <si>
    <t>Other contract education programs (University of Pikeville)</t>
  </si>
  <si>
    <t>Other contract education programs (Indiana University)</t>
  </si>
  <si>
    <t>KEES Kentucky Educational Excellence Scholarship</t>
  </si>
  <si>
    <t>College Access Program(CAP)</t>
  </si>
  <si>
    <t>Kentucky Tuition Grant (KTG)</t>
  </si>
  <si>
    <t>Pikeville College Osteopathic Medicine Scholarship</t>
  </si>
  <si>
    <t>LA</t>
  </si>
  <si>
    <t>Louisiana State University and A &amp; M College</t>
  </si>
  <si>
    <t>Paul M. Hebert Law Center</t>
  </si>
  <si>
    <t>Health professions education</t>
  </si>
  <si>
    <t>Vet School</t>
  </si>
  <si>
    <t>Agricultural Center</t>
  </si>
  <si>
    <t>Administration</t>
  </si>
  <si>
    <t xml:space="preserve">Louisiana Tech University </t>
  </si>
  <si>
    <t>University of Louisiana at Lafayette</t>
  </si>
  <si>
    <t>University of New Orleans</t>
  </si>
  <si>
    <t xml:space="preserve">Southeastern Louisiana University </t>
  </si>
  <si>
    <t xml:space="preserve">Southern University and A&amp;M College at Baton Rouge </t>
  </si>
  <si>
    <t>Agriculture Center</t>
  </si>
  <si>
    <t>University of Louisiana at Monroe</t>
  </si>
  <si>
    <t>Grambling State University</t>
  </si>
  <si>
    <t>Louisiana State University in Shreveport</t>
  </si>
  <si>
    <t>McNeese State University</t>
  </si>
  <si>
    <t xml:space="preserve">Nicholls State University </t>
  </si>
  <si>
    <t>Northwestern State University</t>
  </si>
  <si>
    <t>Southern University at New Orleans</t>
  </si>
  <si>
    <t>Louisiana State University at Alexandria</t>
  </si>
  <si>
    <t>Baton Rouge Community College</t>
  </si>
  <si>
    <t>Bossier Parish Community College</t>
  </si>
  <si>
    <t xml:space="preserve">Delgado Community College </t>
  </si>
  <si>
    <t>Louisiana Delta Community College</t>
  </si>
  <si>
    <t>South Louisiana Community College</t>
  </si>
  <si>
    <t>Southern University in Shreveport</t>
  </si>
  <si>
    <t>Louisiana State University at Eunice</t>
  </si>
  <si>
    <t>Nunez Community College</t>
  </si>
  <si>
    <t>River Parishes Community College</t>
  </si>
  <si>
    <t>L.E. Fletcher Technical Community College</t>
  </si>
  <si>
    <t>Northshore Technical College</t>
  </si>
  <si>
    <t>Northwest LA Technical College</t>
  </si>
  <si>
    <t>Sowela Technical Community College</t>
  </si>
  <si>
    <t>Louisiana State University Health Sciences Center—New Orleans</t>
  </si>
  <si>
    <t>Louisiana State University Health Sciences Center — Shreveport</t>
  </si>
  <si>
    <t>Center for Innovative Teaching and Learning (CITAL)</t>
  </si>
  <si>
    <t>LA Universities' Marine Consortium</t>
  </si>
  <si>
    <t>Pennington Biomedical Research Center</t>
  </si>
  <si>
    <t>Health Care WorkForce</t>
  </si>
  <si>
    <t>Distance learning</t>
  </si>
  <si>
    <t>LA Online Library Network (LOUIS)</t>
  </si>
  <si>
    <t>LA Endowment for the Humanities</t>
  </si>
  <si>
    <t>Endowed Chairs/Professorships</t>
  </si>
  <si>
    <t>Endowed Scholarships</t>
  </si>
  <si>
    <t>LONI</t>
  </si>
  <si>
    <t>Other Initiatives</t>
  </si>
  <si>
    <t>Adult Education</t>
  </si>
  <si>
    <t>Board of Regents</t>
  </si>
  <si>
    <t>Southern University System Office</t>
  </si>
  <si>
    <t>LA State University System Office</t>
  </si>
  <si>
    <t>Univ. of LA System Office</t>
  </si>
  <si>
    <t>LA Community and Technical College System Office</t>
  </si>
  <si>
    <t>Louisiana Office of Student Financial Aid (LOSFA)</t>
  </si>
  <si>
    <t>State Support to Private Colleges Other Than Student Aid (ATI)</t>
  </si>
  <si>
    <t>TOPS,GO GRANT, LEAP</t>
  </si>
  <si>
    <t>ROCKEFELLER/DUAL ENROLLMENT</t>
  </si>
  <si>
    <t>MD</t>
  </si>
  <si>
    <t>University of Maryland College Park</t>
  </si>
  <si>
    <t>Non-Credit Continuing Education</t>
  </si>
  <si>
    <t>Center for Environmental Science</t>
  </si>
  <si>
    <t>Morgan State University</t>
  </si>
  <si>
    <t>University of Maryland, Baltimore County</t>
  </si>
  <si>
    <t xml:space="preserve">Towson University </t>
  </si>
  <si>
    <t>University of Baltimore</t>
  </si>
  <si>
    <t xml:space="preserve">Bowie State University </t>
  </si>
  <si>
    <t xml:space="preserve">Frostburg State University </t>
  </si>
  <si>
    <t xml:space="preserve">Salisbury University </t>
  </si>
  <si>
    <t xml:space="preserve">University of Maryland Eastern Shore </t>
  </si>
  <si>
    <t>Coppin State University</t>
  </si>
  <si>
    <t>Saint Mary's College of Maryland</t>
  </si>
  <si>
    <t xml:space="preserve">Anne Arundel Community College </t>
  </si>
  <si>
    <t>College of Southern Maryland</t>
  </si>
  <si>
    <t>Community College of Baltimore County</t>
  </si>
  <si>
    <t xml:space="preserve">Howard Community College </t>
  </si>
  <si>
    <t>Montgomery College</t>
  </si>
  <si>
    <t xml:space="preserve">Prince George's Community College </t>
  </si>
  <si>
    <t>Allegany College of Maryland</t>
  </si>
  <si>
    <t>Baltimore City Community College</t>
  </si>
  <si>
    <t>Carroll Community College</t>
  </si>
  <si>
    <t xml:space="preserve">Frederick Community College </t>
  </si>
  <si>
    <t xml:space="preserve">Hagerstown Community College </t>
  </si>
  <si>
    <t xml:space="preserve">Harford Community College </t>
  </si>
  <si>
    <t xml:space="preserve">Cecil Community College </t>
  </si>
  <si>
    <t xml:space="preserve">Chesapeake College </t>
  </si>
  <si>
    <t xml:space="preserve">Garrett College </t>
  </si>
  <si>
    <t xml:space="preserve">Wor-Wic Community College </t>
  </si>
  <si>
    <t>University of Maryland at Baltimore</t>
  </si>
  <si>
    <t>Community College Statewide Programs</t>
  </si>
  <si>
    <t>Univ MD System Adm</t>
  </si>
  <si>
    <t>Md Commission on Higher Education</t>
  </si>
  <si>
    <t>Campus-Based Educational Assistance Grant</t>
  </si>
  <si>
    <t>Educational Excellence Awards</t>
  </si>
  <si>
    <t>Senatorial Scholarship</t>
  </si>
  <si>
    <t>Edward Conroy Grant</t>
  </si>
  <si>
    <t>Non-need based</t>
  </si>
  <si>
    <t>Delegate Scholarship</t>
  </si>
  <si>
    <t>Distinguished Scholar Award</t>
  </si>
  <si>
    <t>Jack F. Tolbert Memorial Student Grant Program</t>
  </si>
  <si>
    <t>Child Care Providers Scholarship</t>
  </si>
  <si>
    <t xml:space="preserve">Developmental Disabilities, Mental Health, Child Welfare, and Juvenile Justice Workforce Tuition Assistance Program </t>
  </si>
  <si>
    <t>Distinguished Scholar Community College Transfer Program</t>
  </si>
  <si>
    <t>Gear Up Scholarship</t>
  </si>
  <si>
    <t xml:space="preserve">Graduate Nursing Faculy Scholarship </t>
  </si>
  <si>
    <t xml:space="preserve">Graduate Nursing Faculy Living Expenses Grant </t>
  </si>
  <si>
    <t xml:space="preserve">Veterans of Afghanistan and Iraq Conflicts Scholarship </t>
  </si>
  <si>
    <t>Workforce Shortage Student Assistance Grant</t>
  </si>
  <si>
    <t>MS</t>
  </si>
  <si>
    <t>Mississippi State University</t>
  </si>
  <si>
    <t>Vet Med School</t>
  </si>
  <si>
    <t>Agricultural Cooperative Extension</t>
  </si>
  <si>
    <t>Agricultural Experiment Stations</t>
  </si>
  <si>
    <t>State Chemical Lab</t>
  </si>
  <si>
    <t>Forest/wildlife Research Center</t>
  </si>
  <si>
    <t>Water resources institute</t>
  </si>
  <si>
    <t>Stennis Institute</t>
  </si>
  <si>
    <t>Advanced Vehicular Systems</t>
  </si>
  <si>
    <t>University of Southern Mississippi</t>
  </si>
  <si>
    <t>Gulf-Coast Research Lab</t>
  </si>
  <si>
    <t>Polymer Institute</t>
  </si>
  <si>
    <t>Stennis Center</t>
  </si>
  <si>
    <t xml:space="preserve">Jackson State University </t>
  </si>
  <si>
    <t>Urban Research Center</t>
  </si>
  <si>
    <t>University of Mississippi</t>
  </si>
  <si>
    <t>Community/Public Service  Units</t>
  </si>
  <si>
    <t>Small Business Development Ctr.</t>
  </si>
  <si>
    <t>Pharmaceutical research</t>
  </si>
  <si>
    <t>Law Research Institute</t>
  </si>
  <si>
    <t>Mineral Resources Institute</t>
  </si>
  <si>
    <t>Supercomputer</t>
  </si>
  <si>
    <t xml:space="preserve">Center for Manufacturing Excellence </t>
  </si>
  <si>
    <t>Alcorn State University</t>
  </si>
  <si>
    <t>Agricultural Units</t>
  </si>
  <si>
    <t>Delta State University</t>
  </si>
  <si>
    <t>Mississippi Valley State University</t>
  </si>
  <si>
    <t>Mississippi University for Women</t>
  </si>
  <si>
    <t>Volunteer Commission</t>
  </si>
  <si>
    <t>Ms Board of Trustees I.H.L</t>
  </si>
  <si>
    <t>Student Financial Aid Administration</t>
  </si>
  <si>
    <t>University of Houston (Optometry)</t>
  </si>
  <si>
    <t>Higher Education Legislative Plan</t>
  </si>
  <si>
    <t>Scholarship/Grant Programs</t>
  </si>
  <si>
    <t>MS Resident Tuition Assistance Grant</t>
  </si>
  <si>
    <t>MS Eminent Scholars Grant</t>
  </si>
  <si>
    <t>NC</t>
  </si>
  <si>
    <t xml:space="preserve">North Carolina State University </t>
  </si>
  <si>
    <t>Agricultural Research Service</t>
  </si>
  <si>
    <t xml:space="preserve">University of North Carolina at Chapel Hill </t>
  </si>
  <si>
    <t>University of North Carolina at Charlotte</t>
  </si>
  <si>
    <t>University of North Carolina at Greensboro</t>
  </si>
  <si>
    <t xml:space="preserve">East Carolina University </t>
  </si>
  <si>
    <t xml:space="preserve">Appalachian State University </t>
  </si>
  <si>
    <t>North Carolina Agricultural &amp; Technical State University</t>
  </si>
  <si>
    <t xml:space="preserve">North Carolina Central University </t>
  </si>
  <si>
    <t>University of North Carolina at Wilmington</t>
  </si>
  <si>
    <t xml:space="preserve">Western Carolina University </t>
  </si>
  <si>
    <t xml:space="preserve">Fayetteville State University </t>
  </si>
  <si>
    <t>University of North Carolina at Pembroke</t>
  </si>
  <si>
    <t xml:space="preserve">Winston-Salem State University </t>
  </si>
  <si>
    <t xml:space="preserve">Elizabeth City State University </t>
  </si>
  <si>
    <t>University of North Carolina at Asheville</t>
  </si>
  <si>
    <t>Education special purpose funds- statewide units</t>
  </si>
  <si>
    <t>Statewide Educational TV</t>
  </si>
  <si>
    <t>Univ Syst Community Service Programs</t>
  </si>
  <si>
    <t>Univ Syst Educational Computing Service</t>
  </si>
  <si>
    <t>UNC Hospitals</t>
  </si>
  <si>
    <t>UNC Area Health Education Centers Program</t>
  </si>
  <si>
    <t>Microelectronic Computing Center of North Carolina</t>
  </si>
  <si>
    <t>Education special purpose funds- all other</t>
  </si>
  <si>
    <t>UNC Reserve for Future Allocation</t>
  </si>
  <si>
    <t>UNC General Administration</t>
  </si>
  <si>
    <t>Capitation pymnts &amp; fnncl ad for rsdnt stdnts nrlld at prvt md schls</t>
  </si>
  <si>
    <t>Meharry Medical College (Dentistry, Medicine, Special Aid)</t>
  </si>
  <si>
    <t>Board of Governors Medical Scholarships</t>
  </si>
  <si>
    <t>NC Student Incentive Grant</t>
  </si>
  <si>
    <t>NC Student Loan Program for Health, Science and Mathematics</t>
  </si>
  <si>
    <t>Nurse Education Scholarship/Loans</t>
  </si>
  <si>
    <t>Graduate Nurse Scholars Program</t>
  </si>
  <si>
    <t>Prospective Teacher Scholarship Loan Program</t>
  </si>
  <si>
    <t>Future Teachers of North Carolina Scholarship Loan Program</t>
  </si>
  <si>
    <t>Nurse Scholars Program</t>
  </si>
  <si>
    <t>NC Veterans Scholarships</t>
  </si>
  <si>
    <t>Forgivable Education Loans for Service</t>
  </si>
  <si>
    <t>UNC Need-Based Grant</t>
  </si>
  <si>
    <t>NCSSM Tuition Grant</t>
  </si>
  <si>
    <t>Teacher Assistant Scholarships</t>
  </si>
  <si>
    <t>Board of Governor's Dental Scholarships</t>
  </si>
  <si>
    <t>Principal Fellows Program</t>
  </si>
  <si>
    <t>State Contractual Scholarship Fund</t>
  </si>
  <si>
    <t>Private College Need Based Aid</t>
  </si>
  <si>
    <t>Legislative Tuition Grant</t>
  </si>
  <si>
    <t>Asheville-Buncombe Technical Community College</t>
  </si>
  <si>
    <t>Nursing / allied health supplement</t>
  </si>
  <si>
    <t>1C2</t>
  </si>
  <si>
    <t>Cape Fear Community College</t>
  </si>
  <si>
    <t xml:space="preserve">Central Piedmont Community College </t>
  </si>
  <si>
    <t>Fayetteville Technical Community College</t>
  </si>
  <si>
    <t>Forsyth Technical Community College</t>
  </si>
  <si>
    <t>Guilford Technical Community College</t>
  </si>
  <si>
    <t>Pitt Community College</t>
  </si>
  <si>
    <t>Rowan-Cabarrus Community College</t>
  </si>
  <si>
    <t>Wake Technical Community College</t>
  </si>
  <si>
    <t>Alamance Community College</t>
  </si>
  <si>
    <t>Caldwell Community College &amp; Technical Institute</t>
  </si>
  <si>
    <t>Catawba Valley Community College</t>
  </si>
  <si>
    <t>Central Carolina Commuity College</t>
  </si>
  <si>
    <t>Cleveland Community College</t>
  </si>
  <si>
    <t xml:space="preserve">Coastal Carolina Community College </t>
  </si>
  <si>
    <t xml:space="preserve">Craven Community College </t>
  </si>
  <si>
    <t>Durham Technical Community College</t>
  </si>
  <si>
    <t>Edgecombe Community College</t>
  </si>
  <si>
    <t xml:space="preserve">Gaston College </t>
  </si>
  <si>
    <t>Johnston Community College</t>
  </si>
  <si>
    <t xml:space="preserve">Lenoir Community College </t>
  </si>
  <si>
    <t xml:space="preserve">Mitchell Community College </t>
  </si>
  <si>
    <t>Nash Community College</t>
  </si>
  <si>
    <t>Randolph Community College</t>
  </si>
  <si>
    <t>Richmond Community College</t>
  </si>
  <si>
    <t>Robeson Community College</t>
  </si>
  <si>
    <t xml:space="preserve">Sandhills Community College </t>
  </si>
  <si>
    <t>Stanly Community College</t>
  </si>
  <si>
    <t xml:space="preserve">Surry Community College </t>
  </si>
  <si>
    <t xml:space="preserve">Vance-Granville Community College </t>
  </si>
  <si>
    <t>Wayne Community College</t>
  </si>
  <si>
    <t xml:space="preserve">Western Piedmont Community College </t>
  </si>
  <si>
    <t xml:space="preserve">Wilkes Community College </t>
  </si>
  <si>
    <t xml:space="preserve">Beaufort County Community College </t>
  </si>
  <si>
    <t>Bladen Community College</t>
  </si>
  <si>
    <t>Blue Ridge Community College</t>
  </si>
  <si>
    <t>Brunswick Community College</t>
  </si>
  <si>
    <t>Carteret Community College</t>
  </si>
  <si>
    <t xml:space="preserve">Halifax Community College </t>
  </si>
  <si>
    <t>Haywood Community College</t>
  </si>
  <si>
    <t xml:space="preserve">Isothermal Community College </t>
  </si>
  <si>
    <t>James Sprunt Community College</t>
  </si>
  <si>
    <t xml:space="preserve">Martin Community College </t>
  </si>
  <si>
    <t>Mayland Community College</t>
  </si>
  <si>
    <t>McDowell Technical Community College</t>
  </si>
  <si>
    <t>Montgomery Community College</t>
  </si>
  <si>
    <t>Pamlico Community College</t>
  </si>
  <si>
    <t>Piedmont Community College</t>
  </si>
  <si>
    <t>Roanoke-Chowan Community College</t>
  </si>
  <si>
    <t xml:space="preserve">Rockingham Community College </t>
  </si>
  <si>
    <t>Sampson Community College</t>
  </si>
  <si>
    <t>South Piedmont Community College</t>
  </si>
  <si>
    <t xml:space="preserve">Southeastern Community College </t>
  </si>
  <si>
    <t xml:space="preserve">Southwestern Community College </t>
  </si>
  <si>
    <t xml:space="preserve">Tri-County Community College </t>
  </si>
  <si>
    <t>Wilson Technical Community College</t>
  </si>
  <si>
    <t>Educational special-purpose funds to statewide units</t>
  </si>
  <si>
    <t>Prison Education</t>
  </si>
  <si>
    <t>New &amp; Expanding Industry</t>
  </si>
  <si>
    <t>NC State Board for Community Colleges</t>
  </si>
  <si>
    <t>OK</t>
  </si>
  <si>
    <t>SC</t>
  </si>
  <si>
    <t>TN</t>
  </si>
  <si>
    <t>TX</t>
  </si>
  <si>
    <t>1C5</t>
  </si>
  <si>
    <t>VA</t>
  </si>
  <si>
    <t>WV</t>
  </si>
  <si>
    <t>Engineering experiment stations</t>
  </si>
  <si>
    <t>Data</t>
  </si>
  <si>
    <t>Sum of State Gen Purp-Old</t>
  </si>
  <si>
    <t>Sum of State Gen Purp-New</t>
  </si>
  <si>
    <t>Sum of State Ed Spec Purp-Old</t>
  </si>
  <si>
    <t>Sum of State Ed Spec Purp-New</t>
  </si>
  <si>
    <t>Sum of Local-Old</t>
  </si>
  <si>
    <t>Sum of Local-New</t>
  </si>
  <si>
    <t>Sum of Tuition Ops-Old</t>
  </si>
  <si>
    <t>Sum of Tuition Ops-New</t>
  </si>
  <si>
    <t>Grand Total</t>
  </si>
  <si>
    <t>Base Table-NEW</t>
  </si>
  <si>
    <t>Available to Public &amp; Private Sector Students</t>
  </si>
  <si>
    <t>To Public Sector Students</t>
  </si>
  <si>
    <t>To Private Sector Students</t>
  </si>
  <si>
    <t>Sector of Students Not Identified</t>
  </si>
  <si>
    <t>Total</t>
  </si>
  <si>
    <t>Limited to Public College Students Only</t>
  </si>
  <si>
    <t>Limited to Private College Students Only</t>
  </si>
  <si>
    <t>Need-Based</t>
  </si>
  <si>
    <t>Non Need-Based</t>
  </si>
  <si>
    <t>Need Basis Not Identified</t>
  </si>
  <si>
    <t>Sector of Students &amp; Need Basis Not Identified</t>
  </si>
  <si>
    <t>SREB states</t>
  </si>
  <si>
    <t>lines</t>
  </si>
  <si>
    <t>Alabama</t>
  </si>
  <si>
    <t>Arkansas</t>
  </si>
  <si>
    <t>Delaware</t>
  </si>
  <si>
    <t>Florida</t>
  </si>
  <si>
    <t>Georgia</t>
  </si>
  <si>
    <t>Kentucky</t>
  </si>
  <si>
    <t>Louisiana*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</si>
  <si>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</si>
  <si>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</si>
  <si>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</si>
  <si>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</si>
  <si>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</si>
  <si>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</si>
  <si>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</si>
  <si>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</si>
  <si>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</si>
  <si>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Base Table-OLD</t>
  </si>
  <si>
    <t>Simplified Table-NEW</t>
  </si>
  <si>
    <t>Simplified Table-OLD</t>
  </si>
  <si>
    <t>Sector of Students Unknown</t>
  </si>
  <si>
    <t>Percent Change</t>
  </si>
  <si>
    <t>Public Need Based</t>
  </si>
  <si>
    <t>Public Non Need Based</t>
  </si>
  <si>
    <t>Public Not Identified</t>
  </si>
  <si>
    <t>Private Need Based</t>
  </si>
  <si>
    <t>Private Non Need Based</t>
  </si>
  <si>
    <t>Private Not Identified</t>
  </si>
  <si>
    <t>Sector Not Identified Need Based</t>
  </si>
  <si>
    <t>Sector Not Identified Non Need Based</t>
  </si>
  <si>
    <t>Sector &amp; Need Basis Not Identified</t>
  </si>
  <si>
    <t>SUMMARY FIGURES FOR HIGHLIGHTS REPORT</t>
  </si>
  <si>
    <t>Do sorting in Highlights sheet to keep ability to calculate here.</t>
  </si>
  <si>
    <t>Change</t>
  </si>
  <si>
    <t>New$</t>
  </si>
  <si>
    <t>billion</t>
  </si>
  <si>
    <t>million</t>
  </si>
  <si>
    <t>Louisiana</t>
  </si>
  <si>
    <t>Precent Changes</t>
  </si>
  <si>
    <t>Funds for Non- Specialized Campus Operations</t>
  </si>
  <si>
    <t>General purpose funds to public campuses</t>
  </si>
  <si>
    <t>Total-Old</t>
  </si>
  <si>
    <t>Total-New</t>
  </si>
  <si>
    <r>
      <t xml:space="preserve">Educational special purpose funds - </t>
    </r>
    <r>
      <rPr>
        <b/>
        <u/>
        <sz val="10"/>
        <rFont val="Arial"/>
        <family val="2"/>
      </rPr>
      <t>to public campuses</t>
    </r>
  </si>
  <si>
    <t>Special line items for E&amp;G operations</t>
  </si>
  <si>
    <r>
      <t xml:space="preserve">Educational special purpose funds - to </t>
    </r>
    <r>
      <rPr>
        <b/>
        <u/>
        <sz val="10"/>
        <rFont val="Arial"/>
        <family val="2"/>
      </rPr>
      <t>statewide units</t>
    </r>
  </si>
  <si>
    <t xml:space="preserve">Special line items for E&amp;G operations </t>
  </si>
  <si>
    <t>Health professions education funds - to public campuses</t>
  </si>
  <si>
    <t>Health professions education funds - to specialized institutions</t>
  </si>
  <si>
    <t>Special Purpose Funds</t>
  </si>
  <si>
    <t>Special purpose institutions other than health professions education</t>
  </si>
  <si>
    <t>Education special-purpose--all other</t>
  </si>
  <si>
    <t>National or regional associations</t>
  </si>
  <si>
    <t>Administration of statewide student aid</t>
  </si>
  <si>
    <t>SREB contract program with private institutions</t>
  </si>
  <si>
    <t>SREB contract program with public institutions</t>
  </si>
  <si>
    <t>Statewide student financial aid</t>
  </si>
  <si>
    <t>Limited to public sector students</t>
  </si>
  <si>
    <t>Limited to private sector students</t>
  </si>
  <si>
    <t>(blank)</t>
  </si>
  <si>
    <t>Total Total-Old</t>
  </si>
  <si>
    <t>Total Total-New</t>
  </si>
  <si>
    <t>Column Labels</t>
  </si>
  <si>
    <t>Four-Year</t>
  </si>
  <si>
    <t>Four-Year Total</t>
  </si>
  <si>
    <t>Two-Year</t>
  </si>
  <si>
    <t>Two-Year Total</t>
  </si>
  <si>
    <t>Technical</t>
  </si>
  <si>
    <t>Technical Total</t>
  </si>
  <si>
    <t>Specialized</t>
  </si>
  <si>
    <t>Specialized Total</t>
  </si>
  <si>
    <t>Other</t>
  </si>
  <si>
    <t>Other Total</t>
  </si>
  <si>
    <t xml:space="preserve"> % change in state gen purp</t>
  </si>
  <si>
    <t xml:space="preserve"> % change in state ed spec purp</t>
  </si>
  <si>
    <t xml:space="preserve"> % change in local</t>
  </si>
  <si>
    <t xml:space="preserve"> % change in tuition ops</t>
  </si>
  <si>
    <t>Sum of Tuition Debt-Old</t>
  </si>
  <si>
    <t>Sum of Tuition Debt-New</t>
  </si>
  <si>
    <t xml:space="preserve"> % change in tuition debt</t>
  </si>
  <si>
    <t>Sum of Tuition Tot-Old</t>
  </si>
  <si>
    <t>Sum of Tuition Tot-New</t>
  </si>
  <si>
    <t xml:space="preserve"> % change in tuition total</t>
  </si>
  <si>
    <t>Sum of Other Spec Purp State-Old</t>
  </si>
  <si>
    <t>Sum of Other Spec Purp State-New</t>
  </si>
  <si>
    <t xml:space="preserve"> % change in other spec purp state</t>
  </si>
  <si>
    <t>Sum of Tuition SP Ops-Old</t>
  </si>
  <si>
    <t>Sum of Tuition SP Ops-New</t>
  </si>
  <si>
    <t xml:space="preserve"> % change in tuition sp ops</t>
  </si>
  <si>
    <t>Sum of Tuition SP Debt-Old</t>
  </si>
  <si>
    <t>Sum of Tuition SP Debt-New</t>
  </si>
  <si>
    <t xml:space="preserve"> % change in tuition sp debt</t>
  </si>
  <si>
    <t>Sum of Tuition SP Tot-Old</t>
  </si>
  <si>
    <t>Sum of Tuition SP Tot-New</t>
  </si>
  <si>
    <t xml:space="preserve"> % change in tuition sp total</t>
  </si>
  <si>
    <t>Sum of Health State-Old</t>
  </si>
  <si>
    <t>Sum of Health State-New</t>
  </si>
  <si>
    <t xml:space="preserve"> % change in health state</t>
  </si>
  <si>
    <t>Sum of Health Tuition-Old</t>
  </si>
  <si>
    <t>Sum of Health Tuition-New</t>
  </si>
  <si>
    <t xml:space="preserve"> % change in health tuition</t>
  </si>
  <si>
    <t>Sum of Total E&amp;G-Old</t>
  </si>
  <si>
    <t>Sum of Total E&amp;G-New</t>
  </si>
  <si>
    <t xml:space="preserve"> % change in total E&amp;G funds</t>
  </si>
  <si>
    <t>Total Sum of State Gen Purp-Old</t>
  </si>
  <si>
    <t>Total Sum of State Gen Purp-New</t>
  </si>
  <si>
    <t>Total  % change in state gen purp</t>
  </si>
  <si>
    <t>Total Sum of State Ed Spec Purp-Old</t>
  </si>
  <si>
    <t>Total Sum of State Ed Spec Purp-New</t>
  </si>
  <si>
    <t>Total  % change in state ed spec purp</t>
  </si>
  <si>
    <t>Total Sum of Local-Old</t>
  </si>
  <si>
    <t>Total Sum of Local-New</t>
  </si>
  <si>
    <t>Total  % change in local</t>
  </si>
  <si>
    <t>Total Sum of Tuition Ops-Old</t>
  </si>
  <si>
    <t>Total Sum of Tuition Ops-New</t>
  </si>
  <si>
    <t>Total  % change in tuition ops</t>
  </si>
  <si>
    <t>Total Sum of Tuition Debt-Old</t>
  </si>
  <si>
    <t>Total Sum of Tuition Debt-New</t>
  </si>
  <si>
    <t>Total  % change in tuition debt</t>
  </si>
  <si>
    <t>Total Sum of Tuition Tot-Old</t>
  </si>
  <si>
    <t>Total Sum of Tuition Tot-New</t>
  </si>
  <si>
    <t>Total  % change in tuition total</t>
  </si>
  <si>
    <t>Total Sum of Other Spec Purp State-Old</t>
  </si>
  <si>
    <t>Total Sum of Other Spec Purp State-New</t>
  </si>
  <si>
    <t>Total  % change in other spec purp state</t>
  </si>
  <si>
    <t>Total Sum of Tuition SP Ops-Old</t>
  </si>
  <si>
    <t>Total Sum of Tuition SP Ops-New</t>
  </si>
  <si>
    <t>Total  % change in tuition sp ops</t>
  </si>
  <si>
    <t>Total Sum of Tuition SP Debt-Old</t>
  </si>
  <si>
    <t>Total Sum of Tuition SP Debt-New</t>
  </si>
  <si>
    <t>Total  % change in tuition sp debt</t>
  </si>
  <si>
    <t>Total Sum of Tuition SP Tot-Old</t>
  </si>
  <si>
    <t>Total Sum of Tuition SP Tot-New</t>
  </si>
  <si>
    <t>Total  % change in tuition sp total</t>
  </si>
  <si>
    <t>Total Sum of Health State-Old</t>
  </si>
  <si>
    <t>Total Sum of Health State-New</t>
  </si>
  <si>
    <t>Total  % change in health state</t>
  </si>
  <si>
    <t>Total Sum of Health Tuition-Old</t>
  </si>
  <si>
    <t>Total Sum of Health Tuition-New</t>
  </si>
  <si>
    <t>Total  % change in health tuition</t>
  </si>
  <si>
    <t>Total Sum of Total E&amp;G-Old</t>
  </si>
  <si>
    <t>Total Sum of Total E&amp;G-New</t>
  </si>
  <si>
    <t>Total  % change in total E&amp;G funds</t>
  </si>
  <si>
    <t>Table 116</t>
  </si>
  <si>
    <r>
      <t>Funds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for E&amp;G Operations Per Full-Time-Equivalent Student</t>
    </r>
  </si>
  <si>
    <t>FTE-OLD</t>
  </si>
  <si>
    <t>Dollars Per FTE Student</t>
  </si>
  <si>
    <t>Rankings</t>
  </si>
  <si>
    <r>
      <t>Net Tuition &amp; Fee Revenue</t>
    </r>
    <r>
      <rPr>
        <b/>
        <vertAlign val="superscript"/>
        <sz val="8"/>
        <rFont val="Arial"/>
        <family val="2"/>
      </rPr>
      <t>2</t>
    </r>
  </si>
  <si>
    <r>
      <t>SREB states</t>
    </r>
    <r>
      <rPr>
        <vertAlign val="superscript"/>
        <sz val="10"/>
        <rFont val="Arial"/>
        <family val="2"/>
      </rPr>
      <t>3</t>
    </r>
  </si>
  <si>
    <r>
      <t>1</t>
    </r>
    <r>
      <rPr>
        <sz val="8"/>
        <rFont val="Arial"/>
        <family val="2"/>
      </rPr>
      <t>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 revenue.</t>
    </r>
  </si>
  <si>
    <r>
      <t>2</t>
    </r>
    <r>
      <rPr>
        <sz val="8"/>
        <rFont val="Arial"/>
        <family val="2"/>
      </rPr>
      <t>Tuition and fee revenue minus amounts dedicated to debt service. Includes tuition and fee revenue from students receiving state student financial aid.</t>
    </r>
  </si>
  <si>
    <r>
      <t>3</t>
    </r>
    <r>
      <rPr>
        <sz val="8"/>
        <rFont val="Arial"/>
        <family val="2"/>
      </rPr>
      <t xml:space="preserve">The SREB states' averages must be interpreted with caution because the number of states with each type of funding varies. </t>
    </r>
  </si>
  <si>
    <t>Table 117</t>
  </si>
  <si>
    <r>
      <t>3</t>
    </r>
    <r>
      <rPr>
        <sz val="8"/>
        <rFont val="Arial"/>
        <family val="2"/>
      </rPr>
      <t>The SREB states' averages must be interpreted with caution because the number of states with each type of funding varies.</t>
    </r>
  </si>
  <si>
    <t>Table 118</t>
  </si>
  <si>
    <t>FTE</t>
  </si>
  <si>
    <t>Table 119</t>
  </si>
  <si>
    <t>Table 120</t>
  </si>
  <si>
    <t>Table 121</t>
  </si>
  <si>
    <t>Table 122</t>
  </si>
  <si>
    <t>Table 123</t>
  </si>
  <si>
    <t>Table 124</t>
  </si>
  <si>
    <t>Table 125</t>
  </si>
  <si>
    <t>Texas*</t>
  </si>
  <si>
    <t xml:space="preserve">*Texas reflects colleges in this category except those in the Alamo Community College District and the Dallas County Community College District that were not reported by campus. </t>
  </si>
  <si>
    <t>Table 126</t>
  </si>
  <si>
    <t>Table 127</t>
  </si>
  <si>
    <t>Virginia**</t>
  </si>
  <si>
    <t>**Virginia reflects Richard Bland College only.</t>
  </si>
  <si>
    <t>Table 128</t>
  </si>
  <si>
    <t>Virginia*</t>
  </si>
  <si>
    <t>*Virginia reflects all community colleges except Richard Bland College.</t>
  </si>
  <si>
    <t>Table 129</t>
  </si>
  <si>
    <t>Table 130</t>
  </si>
  <si>
    <t>Table 131</t>
  </si>
  <si>
    <t>XX Table 131b</t>
  </si>
  <si>
    <t>Technical Institute or College Size Unknown, 2009-10</t>
  </si>
  <si>
    <t>For Indicators Report</t>
  </si>
  <si>
    <t>Amounts For FB 90</t>
  </si>
  <si>
    <t>source: Table 82, column H</t>
  </si>
  <si>
    <t>NEW Per FTE for Indicators Report</t>
  </si>
  <si>
    <t>OLD Per FTE for Indicators Report</t>
  </si>
  <si>
    <t>% Change</t>
  </si>
  <si>
    <r>
      <t>Net Tuition &amp; Fee Revenue</t>
    </r>
    <r>
      <rPr>
        <b/>
        <vertAlign val="superscript"/>
        <sz val="9"/>
        <rFont val="Arial"/>
        <family val="2"/>
      </rPr>
      <t>2</t>
    </r>
  </si>
  <si>
    <t>FTE-NEW</t>
  </si>
  <si>
    <t>Tuition</t>
  </si>
  <si>
    <r>
      <t>3</t>
    </r>
    <r>
      <rPr>
        <sz val="8"/>
        <rFont val="Arial"/>
        <family val="2"/>
      </rPr>
      <t xml:space="preserve">The SREB SREB states' averages must be interpreted with caution because the number of states with each type of funding varies. </t>
    </r>
  </si>
  <si>
    <t>source: Table 85</t>
  </si>
  <si>
    <t>Percent Changes</t>
  </si>
  <si>
    <t>Amounts For FB 91</t>
  </si>
  <si>
    <t>State/Local</t>
  </si>
  <si>
    <t xml:space="preserve">*Texas reflects colleges except those in the Alamo Community College District and the Dallas County Community College District that were not reported by campus. </t>
  </si>
  <si>
    <t>For use in FB</t>
  </si>
  <si>
    <t>XXX Table 131b</t>
  </si>
  <si>
    <t>Technical Institute or College Size Unknown, 2010-11</t>
  </si>
  <si>
    <t>Table 115</t>
  </si>
  <si>
    <r>
      <t>Distribution of Public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Funds for Higher Education-Related Operations</t>
    </r>
  </si>
  <si>
    <r>
      <t>Distribution of Funds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for Higher Education-Related Operations</t>
    </r>
  </si>
  <si>
    <t>By Source and Purpose, All Types and Statewide……..OLD</t>
  </si>
  <si>
    <t>Tuition &amp; Fees</t>
  </si>
  <si>
    <t>State Funds</t>
  </si>
  <si>
    <t>Tuition &amp; Fees Revenues</t>
  </si>
  <si>
    <t>General Purpose Appropriations to Four-Year and Two-Year Universities, Colleges and Technical Institutes</t>
  </si>
  <si>
    <t>Educational Special Purpose to Four-Year and Two-Year Universities, Colleges and Technical Institutes</t>
  </si>
  <si>
    <t>Four-Year and Two-Year Universities, Colleges and Technical Institutes</t>
  </si>
  <si>
    <t>Special Purpose Institutions Other Than Health Sciences</t>
  </si>
  <si>
    <t>General Purpose Appropriations to Public Four-Year Universities, Two-Year Colleges and Technical Institutes or Colleges</t>
  </si>
  <si>
    <t>Educational Special Purpose to Public Four-Year Universities, Two-Year Colleges and Technical Institutes or Colleges</t>
  </si>
  <si>
    <t>Educational Special Purpose to Statewide Units</t>
  </si>
  <si>
    <t>Special Purpose Public Institutions Other Than Health Sciences</t>
  </si>
  <si>
    <t>Health Professions Education at Public Medical Schools</t>
  </si>
  <si>
    <r>
      <t>Other Special Purpose</t>
    </r>
    <r>
      <rPr>
        <b/>
        <vertAlign val="superscript"/>
        <sz val="8"/>
        <rFont val="Arial"/>
        <family val="2"/>
      </rPr>
      <t>2</t>
    </r>
  </si>
  <si>
    <t>Subtotal</t>
  </si>
  <si>
    <t xml:space="preserve">   
Local</t>
  </si>
  <si>
    <t>Public Four-Year Universities, Two-Year Colleges and Technical Institutes</t>
  </si>
  <si>
    <t>Public Special Purpose Institutions Other Than Health Sciences</t>
  </si>
  <si>
    <r>
      <t>Net Tuition &amp; Fees</t>
    </r>
    <r>
      <rPr>
        <b/>
        <vertAlign val="superscript"/>
        <sz val="8"/>
        <color indexed="18"/>
        <rFont val="Arial"/>
        <family val="2"/>
      </rPr>
      <t xml:space="preserve"> </t>
    </r>
    <r>
      <rPr>
        <b/>
        <sz val="8"/>
        <color indexed="18"/>
        <rFont val="Arial"/>
        <family val="2"/>
      </rPr>
      <t>Available for Operations</t>
    </r>
    <r>
      <rPr>
        <b/>
        <vertAlign val="superscript"/>
        <sz val="8"/>
        <color indexed="18"/>
        <rFont val="Arial"/>
        <family val="2"/>
      </rPr>
      <t>3</t>
    </r>
  </si>
  <si>
    <r>
      <t>Total Funds Available for Operations</t>
    </r>
    <r>
      <rPr>
        <vertAlign val="superscript"/>
        <sz val="8"/>
        <color indexed="18"/>
        <rFont val="Arial"/>
        <family val="2"/>
      </rPr>
      <t xml:space="preserve">4 </t>
    </r>
  </si>
  <si>
    <r>
      <t>Other Special Purpose</t>
    </r>
    <r>
      <rPr>
        <b/>
        <vertAlign val="superscript"/>
        <sz val="8"/>
        <rFont val="Arial"/>
        <family val="2"/>
      </rPr>
      <t>3</t>
    </r>
  </si>
  <si>
    <t>Sub-Total</t>
  </si>
  <si>
    <t>Gross Tuition and Fees Revenue</t>
  </si>
  <si>
    <t>Amount for Debt Service</t>
  </si>
  <si>
    <t>Health Professions</t>
  </si>
  <si>
    <r>
      <t>Net Tuition &amp; Fees</t>
    </r>
    <r>
      <rPr>
        <b/>
        <vertAlign val="superscript"/>
        <sz val="8"/>
        <rFont val="Arial"/>
        <family val="2"/>
      </rPr>
      <t xml:space="preserve">2 </t>
    </r>
    <r>
      <rPr>
        <b/>
        <sz val="8"/>
        <rFont val="Arial"/>
        <family val="2"/>
      </rPr>
      <t>Available for Operations</t>
    </r>
  </si>
  <si>
    <r>
      <t>Total Public Funds Available for Operations</t>
    </r>
    <r>
      <rPr>
        <vertAlign val="superscript"/>
        <sz val="8"/>
        <rFont val="Arial"/>
        <family val="2"/>
      </rPr>
      <t xml:space="preserve">4 </t>
    </r>
  </si>
  <si>
    <r>
      <t>SREB states</t>
    </r>
    <r>
      <rPr>
        <vertAlign val="superscript"/>
        <sz val="10"/>
        <rFont val="Arial"/>
        <family val="2"/>
      </rPr>
      <t>5</t>
    </r>
  </si>
  <si>
    <r>
      <t>SREB states</t>
    </r>
    <r>
      <rPr>
        <vertAlign val="superscript"/>
        <sz val="9"/>
        <rFont val="Arial"/>
        <family val="2"/>
      </rPr>
      <t>5</t>
    </r>
  </si>
  <si>
    <r>
      <t>1</t>
    </r>
    <r>
      <rPr>
        <sz val="8"/>
        <rFont val="Arial"/>
        <family val="2"/>
      </rPr>
      <t>Public 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fees revenue.</t>
    </r>
  </si>
  <si>
    <r>
      <t>1</t>
    </r>
    <r>
      <rPr>
        <sz val="8"/>
        <rFont val="Arial"/>
        <family val="2"/>
      </rPr>
      <t>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fees revenue.</t>
    </r>
  </si>
  <si>
    <r>
      <t>2</t>
    </r>
    <r>
      <rPr>
        <sz val="8"/>
        <rFont val="Arial"/>
        <family val="2"/>
      </rPr>
      <t>System operations, state support to private colleges other than student aid, contract education and statewide student financial aid administered off campus.</t>
    </r>
  </si>
  <si>
    <r>
      <t>3</t>
    </r>
    <r>
      <rPr>
        <sz val="8"/>
        <rFont val="Arial"/>
        <family val="2"/>
      </rPr>
      <t>Tuition and fee revenue excluding state appropriations for student financial aid administered off campus awarded to public institution students and excluding tuition and fees revenues dedicated to debt service.</t>
    </r>
  </si>
  <si>
    <r>
      <t>3</t>
    </r>
    <r>
      <rPr>
        <sz val="8"/>
        <rFont val="Arial"/>
        <family val="2"/>
      </rPr>
      <t>Tuition &amp; fee revenue excluding state appropriations for student financial aid administered off campus awarded to public institution students &amp; excluding tuition &amp; fees revenues dedicated to debt service.</t>
    </r>
  </si>
  <si>
    <r>
      <t>4</t>
    </r>
    <r>
      <rPr>
        <sz val="8"/>
        <rFont val="Arial"/>
        <family val="2"/>
      </rPr>
      <t>Total of state appropriations, local appropriations and net tuition revenues available for operations.</t>
    </r>
  </si>
  <si>
    <r>
      <t>5</t>
    </r>
    <r>
      <rPr>
        <sz val="8"/>
        <rFont val="Arial"/>
        <family val="2"/>
      </rPr>
      <t>The SREB states averages must be interpreted with caution because the number of states with each type of funding varies.</t>
    </r>
  </si>
  <si>
    <t>* Less than 0.1%</t>
  </si>
  <si>
    <t>By Source and Purpose, All Types and Statewide</t>
  </si>
  <si>
    <r>
      <t>Other Special Purpose</t>
    </r>
    <r>
      <rPr>
        <b/>
        <vertAlign val="superscript"/>
        <sz val="9"/>
        <rFont val="Arial"/>
        <family val="2"/>
      </rPr>
      <t>2</t>
    </r>
  </si>
  <si>
    <r>
      <t>Net Tuition &amp; Fees</t>
    </r>
    <r>
      <rPr>
        <b/>
        <vertAlign val="superscript"/>
        <sz val="9"/>
        <color indexed="18"/>
        <rFont val="Arial"/>
        <family val="2"/>
      </rPr>
      <t xml:space="preserve"> </t>
    </r>
    <r>
      <rPr>
        <b/>
        <sz val="9"/>
        <color indexed="18"/>
        <rFont val="Arial"/>
        <family val="2"/>
      </rPr>
      <t>Available for Operations</t>
    </r>
    <r>
      <rPr>
        <b/>
        <vertAlign val="superscript"/>
        <sz val="9"/>
        <color indexed="18"/>
        <rFont val="Arial"/>
        <family val="2"/>
      </rPr>
      <t>3</t>
    </r>
  </si>
  <si>
    <r>
      <t>Total Funds Available for Operations</t>
    </r>
    <r>
      <rPr>
        <vertAlign val="superscript"/>
        <sz val="9"/>
        <color indexed="18"/>
        <rFont val="Arial"/>
        <family val="2"/>
      </rPr>
      <t xml:space="preserve">4 </t>
    </r>
  </si>
  <si>
    <t>Table 114</t>
  </si>
  <si>
    <t>Item Group Code</t>
  </si>
  <si>
    <r>
      <t>SREB</t>
    </r>
    <r>
      <rPr>
        <vertAlign val="superscript"/>
        <sz val="9"/>
        <rFont val="Arial"/>
        <family val="2"/>
      </rPr>
      <t>2</t>
    </r>
  </si>
  <si>
    <t>Funds for 
Non-Specialized Campus Operations</t>
  </si>
  <si>
    <r>
      <t>General-purpose funds to public campuses</t>
    </r>
    <r>
      <rPr>
        <b/>
        <vertAlign val="superscript"/>
        <sz val="10"/>
        <rFont val="Arial"/>
        <family val="2"/>
      </rPr>
      <t>1</t>
    </r>
  </si>
  <si>
    <r>
      <t>Educational special-purpose funds to public campuses</t>
    </r>
    <r>
      <rPr>
        <b/>
        <vertAlign val="superscript"/>
        <sz val="10"/>
        <rFont val="Arial"/>
        <family val="2"/>
      </rPr>
      <t>1</t>
    </r>
  </si>
  <si>
    <t>Sub-total for per FTE Funding Statistics</t>
  </si>
  <si>
    <r>
      <t>1</t>
    </r>
    <r>
      <rPr>
        <sz val="8"/>
        <rFont val="Arial"/>
        <family val="2"/>
      </rPr>
      <t>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 revenue. Items in "A. General-purpose funds to public campuses and educational special-purpose funds to public campuses" are the basis for the per student funding statistics.</t>
    </r>
  </si>
  <si>
    <r>
      <t>2</t>
    </r>
    <r>
      <rPr>
        <sz val="8"/>
        <rFont val="Arial"/>
        <family val="2"/>
      </rPr>
      <t>The SREB states' averages must be interpreted with caution because the number of states with each type of funding varies.</t>
    </r>
  </si>
  <si>
    <t>Administration of Statewide Student Aid Programs (including centralized guaranteed student loans)</t>
  </si>
  <si>
    <t>SREB contract program with priv. col.</t>
  </si>
  <si>
    <t>SREB contract program with pub. col.</t>
  </si>
  <si>
    <t>Statewide student financial aid progs. administered off campus</t>
  </si>
  <si>
    <t>Available to public &amp; priv. sect. students</t>
  </si>
  <si>
    <t>Health professions education funds to public campuses</t>
  </si>
  <si>
    <t>Health professions education funds to specialized institutions</t>
  </si>
  <si>
    <r>
      <t>SREB</t>
    </r>
    <r>
      <rPr>
        <b/>
        <vertAlign val="superscript"/>
        <sz val="9"/>
        <rFont val="Arial"/>
        <family val="2"/>
      </rPr>
      <t>2</t>
    </r>
  </si>
  <si>
    <t>Table 113</t>
  </si>
  <si>
    <r>
      <t>Distribution of Funds</t>
    </r>
    <r>
      <rPr>
        <b/>
        <sz val="12"/>
        <rFont val="Arial"/>
        <family val="2"/>
      </rPr>
      <t xml:space="preserve"> for Higher Education-Related Operations</t>
    </r>
  </si>
  <si>
    <r>
      <t>SREB states</t>
    </r>
    <r>
      <rPr>
        <vertAlign val="superscript"/>
        <sz val="10"/>
        <rFont val="Arial"/>
        <family val="2"/>
      </rPr>
      <t>2</t>
    </r>
  </si>
  <si>
    <r>
      <t>General-purpose funds to public campuses</t>
    </r>
    <r>
      <rPr>
        <b/>
        <vertAlign val="superscript"/>
        <sz val="8"/>
        <rFont val="Arial"/>
        <family val="2"/>
      </rPr>
      <t>1</t>
    </r>
  </si>
  <si>
    <r>
      <t>Educational special-purpose funds to public campuses</t>
    </r>
    <r>
      <rPr>
        <b/>
        <vertAlign val="superscript"/>
        <sz val="8"/>
        <rFont val="Arial"/>
        <family val="2"/>
      </rPr>
      <t>1</t>
    </r>
  </si>
  <si>
    <t>State support to private colleges other than student financial aid</t>
  </si>
  <si>
    <r>
      <t>Totals</t>
    </r>
    <r>
      <rPr>
        <vertAlign val="superscript"/>
        <sz val="8"/>
        <color indexed="18"/>
        <rFont val="Arial"/>
        <family val="2"/>
      </rPr>
      <t>3</t>
    </r>
  </si>
  <si>
    <r>
      <t>1</t>
    </r>
    <r>
      <rPr>
        <sz val="8"/>
        <rFont val="Arial"/>
        <family val="2"/>
      </rPr>
      <t>Funds consist of (1) state and (2) local tax revenues allocated to colleges and universities or for higher education-related operating expenses, (3) other funds such as earnings from state-funded endowments used for operating purposes, (4) earmarked revenues such as from lotteries used for operating purposes and (5) tuition and fee revenue. Items in "A. General-purpose funds to public campuses and educational special-purpose funds to public campuses are the basis for the per student funding statistics.</t>
    </r>
  </si>
  <si>
    <r>
      <t>3</t>
    </r>
    <r>
      <rPr>
        <sz val="8"/>
        <rFont val="Arial"/>
        <family val="2"/>
      </rPr>
      <t>Totals may not equal sum of the column due to rounding.</t>
    </r>
  </si>
  <si>
    <r>
      <t>SREB states</t>
    </r>
    <r>
      <rPr>
        <b/>
        <vertAlign val="superscript"/>
        <sz val="9"/>
        <rFont val="Arial"/>
        <family val="2"/>
      </rPr>
      <t>2</t>
    </r>
  </si>
  <si>
    <t>(Table 85)</t>
  </si>
  <si>
    <t>(Table 86)</t>
  </si>
  <si>
    <t>(Category 11)</t>
  </si>
  <si>
    <t>(Table 82)</t>
  </si>
  <si>
    <r>
      <rPr>
        <b/>
        <sz val="10"/>
        <color rgb="FF000000"/>
        <rFont val="Arial"/>
        <family val="2"/>
      </rPr>
      <t xml:space="preserve">Data Columns:  </t>
    </r>
    <r>
      <rPr>
        <sz val="10"/>
        <color rgb="FF000000"/>
        <rFont val="Arial"/>
        <family val="2"/>
      </rPr>
      <t xml:space="preserve">White = New Data, Peach = Old Data, Purple/Grey = Calculated Data. </t>
    </r>
  </si>
  <si>
    <t xml:space="preserve">John C. Calhoun Community College </t>
  </si>
  <si>
    <t>Coastal Alabama Community College</t>
  </si>
  <si>
    <t>George C. Wallace State Community College - Hanceville</t>
  </si>
  <si>
    <t xml:space="preserve">Chattahoochee Valley Community College </t>
  </si>
  <si>
    <t xml:space="preserve">Northeast Alabama Community College </t>
  </si>
  <si>
    <t>H. Councill Trenholm State Community College</t>
  </si>
  <si>
    <t xml:space="preserve">J.F. Drake State Community and Technical College </t>
  </si>
  <si>
    <t>Automotive Workforce Training Pgm</t>
  </si>
  <si>
    <t>Automotive Manufacturing Development Pgm</t>
  </si>
  <si>
    <t xml:space="preserve">Distance Learning Pgm </t>
  </si>
  <si>
    <t>Volunteer EMT Certificates</t>
  </si>
  <si>
    <t>STEAM Pilot Projects</t>
  </si>
  <si>
    <t xml:space="preserve">Alabama Commission on Higher Education (ACHE) Operations </t>
  </si>
  <si>
    <t xml:space="preserve">Alabama Community College System </t>
  </si>
  <si>
    <t>University of Arkansas - Pulaski Technical College</t>
  </si>
  <si>
    <t>University of Arkansas Community College Rich Mountain</t>
  </si>
  <si>
    <t>Enterprise Innovation Institute</t>
  </si>
  <si>
    <t xml:space="preserve">Philadelphia College of Osteopathic Medicine –South Georgia Campus </t>
  </si>
  <si>
    <t>Central LA Technical Community College</t>
  </si>
  <si>
    <t>State Court Education Program</t>
  </si>
  <si>
    <t>Forgivable Loan Programs</t>
  </si>
  <si>
    <t>University of North Carolina School of the Arts</t>
  </si>
  <si>
    <t>Special Line items for education operations</t>
  </si>
  <si>
    <t>Educational special purpose funds — all other</t>
  </si>
  <si>
    <t>University of Memphis</t>
  </si>
  <si>
    <t>University of Tennessee, Knoxville</t>
  </si>
  <si>
    <t>Community/Public Service Units</t>
  </si>
  <si>
    <t>Municipal Technology Advisory Service</t>
  </si>
  <si>
    <t>County Technology Advisory Service</t>
  </si>
  <si>
    <t>Institute for Public Service</t>
  </si>
  <si>
    <t xml:space="preserve">East Tennessee State University </t>
  </si>
  <si>
    <t xml:space="preserve">Middle Tennessee State University </t>
  </si>
  <si>
    <t xml:space="preserve">Tennessee State University </t>
  </si>
  <si>
    <t>McMinnville Center Station</t>
  </si>
  <si>
    <t>TSU Institute of Agr and Environmental Research</t>
  </si>
  <si>
    <t>TSU Cooperative Extension</t>
  </si>
  <si>
    <t>TSU McIntire-Stennis Forestry Research</t>
  </si>
  <si>
    <t xml:space="preserve">Austin Peay State University </t>
  </si>
  <si>
    <t xml:space="preserve">Tennessee Technological University </t>
  </si>
  <si>
    <t>University of Tennessee at Chattanooga</t>
  </si>
  <si>
    <t>University of Tennessee at Martin</t>
  </si>
  <si>
    <t xml:space="preserve">Chattanooga State Technical Community College </t>
  </si>
  <si>
    <t>Nashville State Technical Community College</t>
  </si>
  <si>
    <t>Pellissippi State Technical Community College</t>
  </si>
  <si>
    <t>Southwest Tennessee Community College</t>
  </si>
  <si>
    <t xml:space="preserve">Volunteer State Community College </t>
  </si>
  <si>
    <t xml:space="preserve">Cleveland State Community College </t>
  </si>
  <si>
    <t xml:space="preserve">Columbia State Community College </t>
  </si>
  <si>
    <t xml:space="preserve">Jackson State Community College </t>
  </si>
  <si>
    <t xml:space="preserve">Motlow State Community College </t>
  </si>
  <si>
    <t>Northeast State Technical Community College</t>
  </si>
  <si>
    <t xml:space="preserve">Roane State Community College </t>
  </si>
  <si>
    <t xml:space="preserve">Walters State Community College </t>
  </si>
  <si>
    <t xml:space="preserve">Dyersburg State Community College </t>
  </si>
  <si>
    <t>Tennessee College of Applied Technology at Chattanooga</t>
  </si>
  <si>
    <t>219824B</t>
  </si>
  <si>
    <t>Tennessee College of Applied Technology at Athens</t>
  </si>
  <si>
    <t>Tennessee College of Applied Technology at Covington</t>
  </si>
  <si>
    <t>Tennessee College of Applied Technology at Crossville</t>
  </si>
  <si>
    <t>Tennessee College of Applied Technology at Crump</t>
  </si>
  <si>
    <t>Tennessee College of Applied Technology at Dickson</t>
  </si>
  <si>
    <t>Tennessee College of Applied Technology at Elizabethton</t>
  </si>
  <si>
    <t>Tennessee College of Applied Technology at Harriman</t>
  </si>
  <si>
    <t>Tennessee College of Applied Technology at Hartsville</t>
  </si>
  <si>
    <t>Tennessee College of Applied Technology at Hohenwald</t>
  </si>
  <si>
    <t>Tennessee College of Applied Technology at Jacksboro</t>
  </si>
  <si>
    <t>Tennessee College of Applied Technology at Jackson</t>
  </si>
  <si>
    <t>Tennessee College of Applied Technology at Knoxville</t>
  </si>
  <si>
    <t>Tennessee College of Applied Technology at Livingston</t>
  </si>
  <si>
    <t>Tennessee College of Applied Technology at McKenzie</t>
  </si>
  <si>
    <t>Tennessee College of Applied Technology at McMinnville</t>
  </si>
  <si>
    <t>Tennessee College of Applied Technology at Memphis</t>
  </si>
  <si>
    <t>Tennessee College of Applied Technology at Morristown</t>
  </si>
  <si>
    <t>Tennessee College of Applied Technology at Murfreesboro</t>
  </si>
  <si>
    <t>Tennessee College of Applied Technology at Nashville</t>
  </si>
  <si>
    <t>Tennessee College of Applied Technology at Newbern</t>
  </si>
  <si>
    <t>Tennessee College of Applied Technology at Oneida</t>
  </si>
  <si>
    <t>Tennessee College of Applied Technology at Paris</t>
  </si>
  <si>
    <t>Tennessee College of Applied Technology at Pulaski</t>
  </si>
  <si>
    <t>Tennessee College of Applied Technology at Ripley</t>
  </si>
  <si>
    <t>Tennessee College of Applied Technology at Shelbyville</t>
  </si>
  <si>
    <t>Tennessee College of Applied Technology at Whiteville</t>
  </si>
  <si>
    <t>University of Tennessee Health Science Center</t>
  </si>
  <si>
    <t>University of Tennessee Space Institute</t>
  </si>
  <si>
    <t>Tennessee Language Center</t>
  </si>
  <si>
    <t>TN H.Ed. Commission</t>
  </si>
  <si>
    <t>Univ TN System Adm &amp; TN Board of Regents</t>
  </si>
  <si>
    <t>Academic Scholarships</t>
  </si>
  <si>
    <t xml:space="preserve">Texas A&amp;M University </t>
  </si>
  <si>
    <t>Veterinary Medicine School</t>
  </si>
  <si>
    <t>Texas AgriLife Research</t>
  </si>
  <si>
    <t>Texas AgriLife Extension Service</t>
  </si>
  <si>
    <t>Texas Engineering Experiment Station</t>
  </si>
  <si>
    <t>Texas Transportation Institute</t>
  </si>
  <si>
    <t>Texas Engineering extension service</t>
  </si>
  <si>
    <t>Texas Forest Service</t>
  </si>
  <si>
    <t>Texas Vet Med Diagnostic Lab</t>
  </si>
  <si>
    <t xml:space="preserve">Texas Tech University </t>
  </si>
  <si>
    <t>University of Houston</t>
  </si>
  <si>
    <t>University of North Texas</t>
  </si>
  <si>
    <t>University of Texas at Arlington</t>
  </si>
  <si>
    <t>University of Texas at Austin</t>
  </si>
  <si>
    <t>University of Texas at Dallas</t>
  </si>
  <si>
    <t>University of Texas at San Antonio</t>
  </si>
  <si>
    <t>Texas State University</t>
  </si>
  <si>
    <t>Texas Woman's University</t>
  </si>
  <si>
    <t>University of Texas at El Paso</t>
  </si>
  <si>
    <t>Angelo State University</t>
  </si>
  <si>
    <t>Lamar University</t>
  </si>
  <si>
    <t xml:space="preserve">Midwestern State University  </t>
  </si>
  <si>
    <t>Prairie View A&amp;M University</t>
  </si>
  <si>
    <t xml:space="preserve">Sam Houston State University </t>
  </si>
  <si>
    <t>Stephen F. Austin State University</t>
  </si>
  <si>
    <t xml:space="preserve">Sul Ross State University </t>
  </si>
  <si>
    <t xml:space="preserve">Tarleton State University  </t>
  </si>
  <si>
    <t>Texas A&amp;M International University</t>
  </si>
  <si>
    <t>Texas A&amp;M University-Commerce</t>
  </si>
  <si>
    <t xml:space="preserve">Texas A&amp;M University-Corpus Christi </t>
  </si>
  <si>
    <t>Texas A&amp;M University-Kingsville</t>
  </si>
  <si>
    <t xml:space="preserve">Texas Southern University </t>
  </si>
  <si>
    <t xml:space="preserve">University of Houston-Clear Lake </t>
  </si>
  <si>
    <t>University of Texas - Rio Grande Valley</t>
  </si>
  <si>
    <t>University of Texas at Tyler</t>
  </si>
  <si>
    <t>University of Texas of the Permian Basin</t>
  </si>
  <si>
    <t>West Texas A&amp;M University</t>
  </si>
  <si>
    <t>Texas A&amp;M Univ-Central Texas</t>
  </si>
  <si>
    <t>Texas A&amp;M -Texarkana</t>
  </si>
  <si>
    <t>University of Houston-Victoria</t>
  </si>
  <si>
    <t>Sul Ross State University-Rio Grande College</t>
  </si>
  <si>
    <t>Texas A&amp;M Univ-San Antonio</t>
  </si>
  <si>
    <t>University of Houston-Downtown</t>
  </si>
  <si>
    <t>Texas A&amp;M University at Galveston</t>
  </si>
  <si>
    <t xml:space="preserve">Brazosport College </t>
  </si>
  <si>
    <t xml:space="preserve">Midland College </t>
  </si>
  <si>
    <t>South Texas College</t>
  </si>
  <si>
    <t xml:space="preserve">Amarillo College </t>
  </si>
  <si>
    <t xml:space="preserve">Austin Community College </t>
  </si>
  <si>
    <t xml:space="preserve">Blinn College </t>
  </si>
  <si>
    <t>Brookhaven College  (DCCCD)</t>
  </si>
  <si>
    <t xml:space="preserve">Central Texas College </t>
  </si>
  <si>
    <t>Collin County Community College District</t>
  </si>
  <si>
    <t xml:space="preserve">Del Mar College </t>
  </si>
  <si>
    <t>Eastfield College  (DCCCD)</t>
  </si>
  <si>
    <t>El Centro College  (DCCCD)</t>
  </si>
  <si>
    <t>El Paso County Community College District</t>
  </si>
  <si>
    <t>Houston Community College</t>
  </si>
  <si>
    <t xml:space="preserve">Laredo Community College </t>
  </si>
  <si>
    <t>Lone Star College System District</t>
  </si>
  <si>
    <t xml:space="preserve">McLennan Community College </t>
  </si>
  <si>
    <t xml:space="preserve">Navarro College </t>
  </si>
  <si>
    <t>North Central Texas Community College</t>
  </si>
  <si>
    <t>North Lake College  (DCCCD)</t>
  </si>
  <si>
    <t>Northwest Vista College (ACCD)</t>
  </si>
  <si>
    <t>Palo Alto College  (ACCD)</t>
  </si>
  <si>
    <t>Richland College  (DCCCD)</t>
  </si>
  <si>
    <t>San Antonio College (ACCD)</t>
  </si>
  <si>
    <t>San Jacinto College (SJCDS)</t>
  </si>
  <si>
    <t xml:space="preserve">South Plains College </t>
  </si>
  <si>
    <t>St. Philip's College  (ACCD)</t>
  </si>
  <si>
    <t>Tarrant County College (TCJCD)</t>
  </si>
  <si>
    <t>Trinity Valley Community College</t>
  </si>
  <si>
    <t xml:space="preserve">Tyler Junior College </t>
  </si>
  <si>
    <t xml:space="preserve">Alvin Community College </t>
  </si>
  <si>
    <t xml:space="preserve">Angelina College </t>
  </si>
  <si>
    <t>Cedar Valley College  (DCCCD)</t>
  </si>
  <si>
    <t xml:space="preserve">Cisco Junior College </t>
  </si>
  <si>
    <t>Coastal Bend College</t>
  </si>
  <si>
    <t>College of the Mainland</t>
  </si>
  <si>
    <t xml:space="preserve">Grayson County College </t>
  </si>
  <si>
    <t>Hill College</t>
  </si>
  <si>
    <t>Howard College (HCJCD)</t>
  </si>
  <si>
    <t xml:space="preserve">Kilgore College </t>
  </si>
  <si>
    <t>Lamar Institute of Technology</t>
  </si>
  <si>
    <t xml:space="preserve">Lee College </t>
  </si>
  <si>
    <t>Mountain View College  (DCCCD)</t>
  </si>
  <si>
    <t xml:space="preserve">Northeast Texas Community College </t>
  </si>
  <si>
    <t xml:space="preserve">Odessa College </t>
  </si>
  <si>
    <t>Paris Junior College</t>
  </si>
  <si>
    <t xml:space="preserve">Southwest Texas Junior College </t>
  </si>
  <si>
    <t xml:space="preserve">Temple College </t>
  </si>
  <si>
    <t xml:space="preserve">Texarkana College </t>
  </si>
  <si>
    <t xml:space="preserve">Texas Southmost College </t>
  </si>
  <si>
    <t xml:space="preserve">Texas State Technical College-Harlingen </t>
  </si>
  <si>
    <t>Texas State Technical College-Waco</t>
  </si>
  <si>
    <t xml:space="preserve">Vernon College </t>
  </si>
  <si>
    <t xml:space="preserve">Victoria College </t>
  </si>
  <si>
    <t xml:space="preserve">Weatherford College </t>
  </si>
  <si>
    <t xml:space="preserve">Wharton County Junior College </t>
  </si>
  <si>
    <t xml:space="preserve">Clarendon College </t>
  </si>
  <si>
    <t xml:space="preserve">Frank Phillips College </t>
  </si>
  <si>
    <t xml:space="preserve">Galveston College </t>
  </si>
  <si>
    <t>Lamar State College-Orange</t>
  </si>
  <si>
    <t>Lamar State College-Port Arthur</t>
  </si>
  <si>
    <t>Northeast Lakeview College (ACCD)</t>
  </si>
  <si>
    <t>Panola College</t>
  </si>
  <si>
    <t xml:space="preserve">Ranger College </t>
  </si>
  <si>
    <t>Southwest Collegiate Institute for the Deaf (HCJCD)</t>
  </si>
  <si>
    <t>Texas State Technical College - Ft. Bend</t>
  </si>
  <si>
    <t>N/A</t>
  </si>
  <si>
    <t>Texas State Technical College-Marshall</t>
  </si>
  <si>
    <t>Texas State Technical College - N. Texas</t>
  </si>
  <si>
    <t>Texas State Technical College-West Texas</t>
  </si>
  <si>
    <t xml:space="preserve">Western Texas College </t>
  </si>
  <si>
    <t>Alamo Community College District (ACCD)</t>
  </si>
  <si>
    <t>Texas A&amp;M Health Science Center</t>
  </si>
  <si>
    <t>Texas Tech University Health Sciences Center</t>
  </si>
  <si>
    <t>Texas Tech University Health Sciences Center El Paso</t>
  </si>
  <si>
    <t>????</t>
  </si>
  <si>
    <t xml:space="preserve">University of North Texas Health Science Center </t>
  </si>
  <si>
    <t>University of Texas Health Science Center at Houston</t>
  </si>
  <si>
    <t>University of Texas Health Science Center at San Antonio</t>
  </si>
  <si>
    <t>University of Texas M.D. Anderson Cancer Center</t>
  </si>
  <si>
    <t>University of Texas Medical Branch at Galveston</t>
  </si>
  <si>
    <t>University of Texas Southwestern Medical Center</t>
  </si>
  <si>
    <t>University of Texas Health Center at Tyler</t>
  </si>
  <si>
    <t>???</t>
  </si>
  <si>
    <t>Univ. of Texas at Austin Medical School</t>
  </si>
  <si>
    <t>Univ. of North Texas at Dallas</t>
  </si>
  <si>
    <t xml:space="preserve">Family practice residency </t>
  </si>
  <si>
    <t>Other Health Related- Tobacco Settle-Minority Health Res. &amp; Ed.</t>
  </si>
  <si>
    <t>Other Health Related- Tobacco Settle-Nursing, Allied Health, etc.</t>
  </si>
  <si>
    <t>Nursing Shortage Reduction Program</t>
  </si>
  <si>
    <t>African American Museum</t>
  </si>
  <si>
    <t>Colleges and universities System Admin.</t>
  </si>
  <si>
    <t>Texas Higher Education Coordinating Board</t>
  </si>
  <si>
    <t>Texas State Technical College System Office</t>
  </si>
  <si>
    <t>Baylor College of Medicine</t>
  </si>
  <si>
    <t>Centers for Teacher Education</t>
  </si>
  <si>
    <t>TX Student Aid</t>
  </si>
  <si>
    <t>Teach for TX Conditional Grants</t>
  </si>
  <si>
    <t>Joint Admission Medical Program</t>
  </si>
  <si>
    <t>Border Faculty Loan Repayment Program</t>
  </si>
  <si>
    <t xml:space="preserve">George Mason University </t>
  </si>
  <si>
    <t xml:space="preserve">Old Dominion University </t>
  </si>
  <si>
    <t>University of Virginia</t>
  </si>
  <si>
    <t>Virginia Commonwealth University</t>
  </si>
  <si>
    <t xml:space="preserve">Virginia Tech </t>
  </si>
  <si>
    <t>Agricultural &amp; Foresty Research</t>
  </si>
  <si>
    <t>Cooperative Extension</t>
  </si>
  <si>
    <t>College of William &amp; Mary</t>
  </si>
  <si>
    <t>Va Inst of Marine Science</t>
  </si>
  <si>
    <t xml:space="preserve">James Madison University  </t>
  </si>
  <si>
    <t xml:space="preserve">Longwood University </t>
  </si>
  <si>
    <t xml:space="preserve">Norfolk State University </t>
  </si>
  <si>
    <t>Radford University</t>
  </si>
  <si>
    <t>University of Mary Washington</t>
  </si>
  <si>
    <t xml:space="preserve">Virginia State University </t>
  </si>
  <si>
    <t>Christopher Newport University</t>
  </si>
  <si>
    <t xml:space="preserve">University of Virginia's College at Wise </t>
  </si>
  <si>
    <t>J.S. Reynolds Community College</t>
  </si>
  <si>
    <t>John Tyler Community College</t>
  </si>
  <si>
    <t xml:space="preserve">Northern Virginia Community College </t>
  </si>
  <si>
    <t xml:space="preserve">Thomas Nelson Community College </t>
  </si>
  <si>
    <t xml:space="preserve">Tidewater Community College </t>
  </si>
  <si>
    <t xml:space="preserve">Blue Ridge Community College </t>
  </si>
  <si>
    <t xml:space="preserve">Central Virginia Community College </t>
  </si>
  <si>
    <t xml:space="preserve">Danville Community College </t>
  </si>
  <si>
    <t>Germanna Community College</t>
  </si>
  <si>
    <t xml:space="preserve">Lord Fairfax Community College  </t>
  </si>
  <si>
    <t xml:space="preserve">New River Community College </t>
  </si>
  <si>
    <t xml:space="preserve">Piedmont Virginia Community College </t>
  </si>
  <si>
    <t xml:space="preserve">Southside Virginia Community College  </t>
  </si>
  <si>
    <t xml:space="preserve">Virginia Western Community College </t>
  </si>
  <si>
    <t xml:space="preserve">D.S. Lancaster Community College </t>
  </si>
  <si>
    <t xml:space="preserve">Eastern Shore Community College  </t>
  </si>
  <si>
    <t>Mountain Empire Community College</t>
  </si>
  <si>
    <t xml:space="preserve">Patrick Henry Community College </t>
  </si>
  <si>
    <t xml:space="preserve">Paul D. Camp Community College  </t>
  </si>
  <si>
    <t xml:space="preserve">Rappahannock Community College  </t>
  </si>
  <si>
    <t xml:space="preserve">Richard Bland College </t>
  </si>
  <si>
    <t xml:space="preserve">Southwest Virginia Community College </t>
  </si>
  <si>
    <t xml:space="preserve">Virginia Highlands Community College </t>
  </si>
  <si>
    <t xml:space="preserve">Wytheville Community College </t>
  </si>
  <si>
    <t>Virginia Military Institute</t>
  </si>
  <si>
    <t>All Community Colleges except R.Bland</t>
  </si>
  <si>
    <t>Commerce and Trade</t>
  </si>
  <si>
    <t>Jefferson Science Associates</t>
  </si>
  <si>
    <t>Higher Education Research Initiatives</t>
  </si>
  <si>
    <t>New College Institute</t>
  </si>
  <si>
    <t>Eminent Scholars</t>
  </si>
  <si>
    <t>Library Sharing</t>
  </si>
  <si>
    <t>VMI/MBC Contract</t>
  </si>
  <si>
    <t>Space Grant</t>
  </si>
  <si>
    <t>Melcher's-Monroe Memorials</t>
  </si>
  <si>
    <t>Medical College Hampton Rds./Eastern VA Medical Auth.</t>
  </si>
  <si>
    <t>VCBA-Eq Trust Fund</t>
  </si>
  <si>
    <t>Southern Virginia Higher Education Center</t>
  </si>
  <si>
    <t>SW Va Higher Education Center</t>
  </si>
  <si>
    <t>Roanoke H. Ed. Authority</t>
  </si>
  <si>
    <t>Institute of Advanced Learning and Research</t>
  </si>
  <si>
    <t>Va Network Authority</t>
  </si>
  <si>
    <t>Workforce Credentials</t>
  </si>
  <si>
    <t>VCCS economic development</t>
  </si>
  <si>
    <t>Interest earnings and credit card rebates</t>
  </si>
  <si>
    <t>University of North Carolina at Chapel Hill (Library Science)</t>
  </si>
  <si>
    <t>North Carolina State University (Pulp/Paper)</t>
  </si>
  <si>
    <t>North Carolina Central University (Library Science)</t>
  </si>
  <si>
    <t>Program name(s)???</t>
  </si>
  <si>
    <t>(Military stipend) Non need-based</t>
  </si>
  <si>
    <t>Cyber Security Scholarship</t>
  </si>
  <si>
    <t>Transfer grant</t>
  </si>
  <si>
    <t>Student Tuition Aid Grant</t>
  </si>
  <si>
    <t>Other Student Financial Aid</t>
  </si>
  <si>
    <t>West Virginia University</t>
  </si>
  <si>
    <t>School of Health Sciences</t>
  </si>
  <si>
    <t>BRIM insurance subsidy</t>
  </si>
  <si>
    <t>HSTA Program</t>
  </si>
  <si>
    <t>Health Sciences Career Opportunities</t>
  </si>
  <si>
    <t>WVU HSC - Blanchette Rockefeller Neuroligical Institute</t>
  </si>
  <si>
    <t>Public Health Program &amp; Health Science Technology</t>
  </si>
  <si>
    <t>WVUHSC - Graduate Medical Education</t>
  </si>
  <si>
    <t>WVU Health Sciences Center - Academy of Family Physicians Doc of the Day Program</t>
  </si>
  <si>
    <t>WVU - PRT</t>
  </si>
  <si>
    <t>Center for Excellence in Disabilities</t>
  </si>
  <si>
    <t xml:space="preserve">Marshall University </t>
  </si>
  <si>
    <t>MU/SWVVCTC 2+2 Program</t>
  </si>
  <si>
    <t>Autism Training Center</t>
  </si>
  <si>
    <t>MU SOM- Graduate Medical Education</t>
  </si>
  <si>
    <t>MU SOM- Academy of Family Physicians Doc of the Day Program</t>
  </si>
  <si>
    <t>MUSOM - Center for Rural Health</t>
  </si>
  <si>
    <t>Forensic Lab</t>
  </si>
  <si>
    <t>Fairmont State University</t>
  </si>
  <si>
    <t xml:space="preserve">Shepherd University </t>
  </si>
  <si>
    <t xml:space="preserve">Bluefield State College </t>
  </si>
  <si>
    <t xml:space="preserve">Concord University </t>
  </si>
  <si>
    <t xml:space="preserve">Glenville State College </t>
  </si>
  <si>
    <t>West Liberty University</t>
  </si>
  <si>
    <t xml:space="preserve">West Virginia State University </t>
  </si>
  <si>
    <t>West Virginia University at Parkersburg</t>
  </si>
  <si>
    <t>West Virginia University Institute of Technology</t>
  </si>
  <si>
    <t>Accreditation supplement</t>
  </si>
  <si>
    <t>Potomac State College of West Virginia University</t>
  </si>
  <si>
    <t>New River Community &amp; Technical College</t>
  </si>
  <si>
    <t>Pierpont Community &amp; Technical College</t>
  </si>
  <si>
    <t>Blue Ridge Community &amp; Technical College</t>
  </si>
  <si>
    <t>BridgeValley Community and Technical College</t>
  </si>
  <si>
    <t>Eastern West Virginia Community &amp; Technical College</t>
  </si>
  <si>
    <t>Mountwest Community &amp; Technical College</t>
  </si>
  <si>
    <t xml:space="preserve">Southern West Virginia Community &amp; Technical College </t>
  </si>
  <si>
    <t>West Virginia Northern Community College</t>
  </si>
  <si>
    <t>West Virginia School of Osteopathic Medicine</t>
  </si>
  <si>
    <t>Rural Health Initiative</t>
  </si>
  <si>
    <t>RHI Program and Site Support - Gradutate Medical Education Fiscal Oversight</t>
  </si>
  <si>
    <t>RHI Program and Site Support - District Consortia</t>
  </si>
  <si>
    <t>Vice Chancellor for Health Sciences/Rural Health Program Support</t>
  </si>
  <si>
    <t>College Transition Program</t>
  </si>
  <si>
    <t>Transit Training Partnership</t>
  </si>
  <si>
    <t>WV Advanced Workforce Development &amp; Technical  Programs</t>
  </si>
  <si>
    <t>Higher Education System Initiatives</t>
  </si>
  <si>
    <t>Higher Education Policy Commission</t>
  </si>
  <si>
    <t>WV Network for Education Telecommunications Computer Center</t>
  </si>
  <si>
    <t>WV Council for Community &amp; Technical Education</t>
  </si>
  <si>
    <t>Higher Education Grant Program</t>
  </si>
  <si>
    <t>PROMISE Scholarship</t>
  </si>
  <si>
    <t>SREB Minority Doctoral Fellows Program</t>
  </si>
  <si>
    <t>Underwood-Smith Teacher Scholarship Fund</t>
  </si>
  <si>
    <t>WV Engineering Science Technology Program</t>
  </si>
  <si>
    <t>Health Sciences Scholarship Fund</t>
  </si>
  <si>
    <t>HEAPS Grant Program</t>
  </si>
  <si>
    <t>Cabell County Vocational-Technical Center</t>
  </si>
  <si>
    <t>Fayette Institute of Technology</t>
  </si>
  <si>
    <t xml:space="preserve">Fred W. Eberle Technical Center </t>
  </si>
  <si>
    <t xml:space="preserve">Garnet Career Center </t>
  </si>
  <si>
    <t>James Rumsey Technical Institute</t>
  </si>
  <si>
    <t>John D. Rockefeller IV Career Center</t>
  </si>
  <si>
    <t>Mercer County Vocational-Technical Center</t>
  </si>
  <si>
    <t xml:space="preserve">Monongalia County Technical Education Center </t>
  </si>
  <si>
    <t>Putnam County Vocational-Technical Center</t>
  </si>
  <si>
    <t>Ralph R. Willis Vocational-Technical Center</t>
  </si>
  <si>
    <t>Roane-Jackson Technical Center</t>
  </si>
  <si>
    <t>South Branch Career &amp; Technical Center</t>
  </si>
  <si>
    <t>United Technical Center</t>
  </si>
  <si>
    <t>Mingo County Extended Learning Center</t>
  </si>
  <si>
    <t>Randolph County Career Technical Center</t>
  </si>
  <si>
    <t>2019-20</t>
  </si>
  <si>
    <t>Met the criteria for Four-Year 3 in 2018-19 and 2019-20.</t>
  </si>
  <si>
    <t>Met the criteria for Four-Year 5 in 2019-20.</t>
  </si>
  <si>
    <t>Met the criteria for Two-Year 2 in 2018-19 and 2019-20.</t>
  </si>
  <si>
    <t>Day Reporting Center Pilot Program</t>
  </si>
  <si>
    <t>AL Workforce Council Com on Credentialing and Career Pathways</t>
  </si>
  <si>
    <t>Women's Fund of Greater Birmingham Ed Support Pgm</t>
  </si>
  <si>
    <t>Smart Career Workforce Pgm</t>
  </si>
  <si>
    <t>Best &amp; Brightest Pilot</t>
  </si>
  <si>
    <t>UWA-Stillman College</t>
  </si>
  <si>
    <t>Arkansas State University Three Rivers</t>
  </si>
  <si>
    <t>2019-20: Institution joined one of our university systems</t>
  </si>
  <si>
    <t>University of Arkansas Community College at Hope-Texarkana</t>
  </si>
  <si>
    <t xml:space="preserve">Met the criteria for Two-Year with Bachelor's in 2019-20. </t>
  </si>
  <si>
    <t>The College of the Florida Keys</t>
  </si>
  <si>
    <t xml:space="preserve">Met the criteria for Two-Year with Bachelor's in 2018-19 and 2019-20. </t>
  </si>
  <si>
    <t xml:space="preserve">North Florida College </t>
  </si>
  <si>
    <t>Met the criteria for Four-Year 2 in 2019-20.</t>
  </si>
  <si>
    <t>Reclassified: Met the criteria for Two-Year 3 in 2017-18, 2018-19, and 2019-20.</t>
  </si>
  <si>
    <t>Southern University Law Center</t>
  </si>
  <si>
    <t>Reclassified: Met the criteria for Two-Year 2 in 2017-18, 2018-19, and 2019-20.</t>
  </si>
  <si>
    <t>Reclassified: Met the criteria for Technical Institute or College 2 in 2017-18, 2018-19, and 2019-20.</t>
  </si>
  <si>
    <t>Met the criteria for Two-Year 3 in 2018-19 and 2019-20.</t>
  </si>
  <si>
    <t>Met the criteria for Four-Year 4 in 2019-20.</t>
  </si>
  <si>
    <t>University of Maryland Global Campus</t>
  </si>
  <si>
    <t>Cybersecurity Public Service Scholarship</t>
  </si>
  <si>
    <t xml:space="preserve">Richard W. Collins III Leadership with Honors Scholarship </t>
  </si>
  <si>
    <t xml:space="preserve">Teaching Fellows for Maryland Scholarship </t>
  </si>
  <si>
    <t xml:space="preserve">Workforce Development Sequence Scholarship </t>
  </si>
  <si>
    <t>MS Teacher Loan Repayment (MTLR)</t>
  </si>
  <si>
    <t>(New section for LAW, PMGT, NISS)</t>
  </si>
  <si>
    <t>Non-Need Based Grants - LAW, NISS, PMGT</t>
  </si>
  <si>
    <t>Non need-based (STSC)</t>
  </si>
  <si>
    <t>Met the criteria for Two-Year 2 in 2019-20.</t>
  </si>
  <si>
    <t>Division of Emergency Management</t>
  </si>
  <si>
    <t>Met the criteria for Two-Year with Bachelor's in 2019-20.</t>
  </si>
  <si>
    <t xml:space="preserve">WV </t>
  </si>
  <si>
    <t>Virginia Tech (Veterinary)</t>
  </si>
  <si>
    <t>Mississippi State University (Veterinary)</t>
  </si>
  <si>
    <t>University of Indiana (Optometry)</t>
  </si>
  <si>
    <t>Salus University (Optometry)</t>
  </si>
  <si>
    <t>Kent State (Podiatric)</t>
  </si>
  <si>
    <t>WV Invests Grant Program</t>
  </si>
  <si>
    <t>Health Professionals' Student Loan Program</t>
  </si>
  <si>
    <t>Academy of Careers and Technology</t>
  </si>
  <si>
    <t>Ben Franklin Career Center</t>
  </si>
  <si>
    <t>Boone Career and Technical Center</t>
  </si>
  <si>
    <t>Carver Career and Technical Education Center</t>
  </si>
  <si>
    <t>Marion County Technical Center</t>
  </si>
  <si>
    <t>McDowell County Career and Technology Center</t>
  </si>
  <si>
    <t>Mineral County Technical Center</t>
  </si>
  <si>
    <t>Wyoming County Career &amp; Technical Center</t>
  </si>
  <si>
    <t>Greenbrier School of Practical Nursing</t>
  </si>
  <si>
    <t>Summers County School of Practical Nursing</t>
  </si>
  <si>
    <t>By Purpose, Summary Distribution, 2019-20</t>
  </si>
  <si>
    <t>By Purpose, Detail Distribution, 2019-20</t>
  </si>
  <si>
    <t>Public Four-Year, 2019-20</t>
  </si>
  <si>
    <t>Public Four-Year 1, 2019-20</t>
  </si>
  <si>
    <t>Public Four-Year 2, 2019-20</t>
  </si>
  <si>
    <t>Public Four-Year 3, 2019-20</t>
  </si>
  <si>
    <t>Public Four-Year 4, 2019-20</t>
  </si>
  <si>
    <t>Public Four-Year 5, 2019-20</t>
  </si>
  <si>
    <t>Public Four-Year 6, 2019-20</t>
  </si>
  <si>
    <t>All Two-Year, 2019-20</t>
  </si>
  <si>
    <t>Two-Year with Bachelor's, 2019-20</t>
  </si>
  <si>
    <t>Two-Year 1, 2019-20</t>
  </si>
  <si>
    <t>Two-Year 2, 2019-20</t>
  </si>
  <si>
    <t>Two-Year 3, 2019-20</t>
  </si>
  <si>
    <t>Two-Year Size Unknown, 2019-20</t>
  </si>
  <si>
    <t>All Technical Institutes or Colleges, 2019-20</t>
  </si>
  <si>
    <t>Technical Institute or College 1, 2019-20</t>
  </si>
  <si>
    <t>Technical Institute or College 2, 2019-20</t>
  </si>
  <si>
    <t>Albany Technical College</t>
  </si>
  <si>
    <t>Athens Technical College</t>
  </si>
  <si>
    <t>Atlanta Technical College</t>
  </si>
  <si>
    <t>Augusta Technical College</t>
  </si>
  <si>
    <t>Central Georgia Technical College</t>
  </si>
  <si>
    <t>Chattahoochee Technical College</t>
  </si>
  <si>
    <t>Coastal Pines Technical College</t>
  </si>
  <si>
    <t>Columbus Technical College</t>
  </si>
  <si>
    <t>Georgia Northwestern Technical College</t>
  </si>
  <si>
    <t>Georgia Piedmont Technical College</t>
  </si>
  <si>
    <t>Gwinnett Technical College</t>
  </si>
  <si>
    <t>Lanier Technical College</t>
  </si>
  <si>
    <t>North Georgia Technical College</t>
  </si>
  <si>
    <t>Oconee Fall Line Technical College</t>
  </si>
  <si>
    <t>Ogeechee Technical College</t>
  </si>
  <si>
    <t>Savannah Technical College</t>
  </si>
  <si>
    <t>South Georgia Technical College</t>
  </si>
  <si>
    <t>Southeastern Technical College</t>
  </si>
  <si>
    <t>Southern Crescent Technical College</t>
  </si>
  <si>
    <t>Southern Regional Technical College</t>
  </si>
  <si>
    <t>West Georgia Technical College</t>
  </si>
  <si>
    <t>Wiregrass Georgia Technical College</t>
  </si>
  <si>
    <t>TCSG Oversight Unit</t>
  </si>
  <si>
    <t>Clemson University</t>
  </si>
  <si>
    <t>Fringe Benefits</t>
  </si>
  <si>
    <t>Other Operating Expense</t>
  </si>
  <si>
    <t>Ag Research, Extension Service, and Inspection</t>
  </si>
  <si>
    <t>Research Centers/institutes</t>
  </si>
  <si>
    <t>Stem Centers</t>
  </si>
  <si>
    <t>Academic Endowment</t>
  </si>
  <si>
    <t>Call Me Mister</t>
  </si>
  <si>
    <t>University of South Carolina-Columbia</t>
  </si>
  <si>
    <t>Palmetto Poison Center</t>
  </si>
  <si>
    <t>School Improvement Council</t>
  </si>
  <si>
    <t>Small Business Development Center</t>
  </si>
  <si>
    <t>Center for Educational Partnerships</t>
  </si>
  <si>
    <t>Law Library</t>
  </si>
  <si>
    <t>SC Council on Economic Education</t>
  </si>
  <si>
    <t>EIA Teacher Recruitment Program</t>
  </si>
  <si>
    <t>Medical School-E&amp;G</t>
  </si>
  <si>
    <t>Medical School-Fringe Benefits</t>
  </si>
  <si>
    <t>Medical School-Other Operating Expenses</t>
  </si>
  <si>
    <t>Medical School-Child Abuse</t>
  </si>
  <si>
    <t>College of Charleston</t>
  </si>
  <si>
    <t>Other Operating Expenses</t>
  </si>
  <si>
    <t>Lottery Technology (NR)</t>
  </si>
  <si>
    <t>Lowcountry Graduate Center</t>
  </si>
  <si>
    <t xml:space="preserve">The Citadel, the Military College of South Carolina </t>
  </si>
  <si>
    <t xml:space="preserve">Winthrop University </t>
  </si>
  <si>
    <t>Center for Educ Recruit, Reten, &amp; Adv (CERRA)</t>
  </si>
  <si>
    <t>Coastal Carolina University</t>
  </si>
  <si>
    <t xml:space="preserve">Francis Marion University </t>
  </si>
  <si>
    <t>Centers of Excellence</t>
  </si>
  <si>
    <t xml:space="preserve">South Carolina State University </t>
  </si>
  <si>
    <t>Public Service Activities</t>
  </si>
  <si>
    <t xml:space="preserve">S.C. State Univ. Business School </t>
  </si>
  <si>
    <t>Speech Pathology Program Updates (NR)</t>
  </si>
  <si>
    <t>African American Loan Program</t>
  </si>
  <si>
    <t>Operating Funds (Lottery) (NR)</t>
  </si>
  <si>
    <t>Higher Education Excellence Enhancement Program (Lottery)(NR)</t>
  </si>
  <si>
    <t>Teacher Recruit Program</t>
  </si>
  <si>
    <t>Bridge Program</t>
  </si>
  <si>
    <t>Lander University</t>
  </si>
  <si>
    <t>University of South Carolina-Aiken</t>
  </si>
  <si>
    <t>University of South Carolina-Beaufort</t>
  </si>
  <si>
    <t>University of South Carolina-Upstate</t>
  </si>
  <si>
    <t xml:space="preserve">Greenville Technical College </t>
  </si>
  <si>
    <t>Personnel Services</t>
  </si>
  <si>
    <t>Cost of Living Increase</t>
  </si>
  <si>
    <t>Critical Needs Workforce</t>
  </si>
  <si>
    <t>Critical Needs Nursing Initiative</t>
  </si>
  <si>
    <t>Pathways to Prosperity</t>
  </si>
  <si>
    <t>Workforce Scholarships &amp; Grants</t>
  </si>
  <si>
    <t>Palmetto Promise Scholarship Pilot</t>
  </si>
  <si>
    <t>SPICE Program NR)</t>
  </si>
  <si>
    <t xml:space="preserve">Horry-Georgetown Technical College </t>
  </si>
  <si>
    <t>STEM Program Ext/Workforce Pathways</t>
  </si>
  <si>
    <t>will be deleted after 2019-20</t>
  </si>
  <si>
    <t xml:space="preserve">Midlands Technical College </t>
  </si>
  <si>
    <t>Quick Jobs Dual Credit Funding</t>
  </si>
  <si>
    <t>Nursing Program</t>
  </si>
  <si>
    <t xml:space="preserve">Trident Technical College </t>
  </si>
  <si>
    <t>Culinary Arts</t>
  </si>
  <si>
    <t xml:space="preserve">Central Carolina Technical College </t>
  </si>
  <si>
    <t xml:space="preserve">Florence-Darlington Technical College </t>
  </si>
  <si>
    <t>SIMT</t>
  </si>
  <si>
    <t>Operations</t>
  </si>
  <si>
    <t xml:space="preserve">Piedmont Technical College </t>
  </si>
  <si>
    <t xml:space="preserve">Spartanburg Community College </t>
  </si>
  <si>
    <t>Spartanburg-Cherokee Expansion</t>
  </si>
  <si>
    <t xml:space="preserve">Tri-County Technical College </t>
  </si>
  <si>
    <t>Lottery Allied Health (NR)</t>
  </si>
  <si>
    <t>York Technical College</t>
  </si>
  <si>
    <t xml:space="preserve">Aiken Technical College </t>
  </si>
  <si>
    <t xml:space="preserve">Denmark Technical College </t>
  </si>
  <si>
    <t>Northeastern Technical College</t>
  </si>
  <si>
    <t xml:space="preserve">Orangeburg-Calhoun Technical College </t>
  </si>
  <si>
    <t>Truck Driving Certification Program</t>
  </si>
  <si>
    <t>Nursing Cooperative Program with Claflin</t>
  </si>
  <si>
    <t>Technical College of the Lowcountry</t>
  </si>
  <si>
    <t>Military Workforce Initiative</t>
  </si>
  <si>
    <t>University of South Carolina-Lancaster</t>
  </si>
  <si>
    <t>University of South Carolina-Salkehatchie</t>
  </si>
  <si>
    <t xml:space="preserve">  Salkehatchie Leadership Center</t>
  </si>
  <si>
    <t>University of South Carolina-Sumter</t>
  </si>
  <si>
    <t>University of South Carolina-Union</t>
  </si>
  <si>
    <t>Parity Funding</t>
  </si>
  <si>
    <t>Nursing Program Technology Upgrades</t>
  </si>
  <si>
    <t xml:space="preserve">Williamsburg Technical College </t>
  </si>
  <si>
    <t>Promise Scholarship Program</t>
  </si>
  <si>
    <t>Medical University of South Carolina</t>
  </si>
  <si>
    <t>E&amp;G Other-Operating</t>
  </si>
  <si>
    <t>Hypertension Initiative</t>
  </si>
  <si>
    <t>Diabetes Center</t>
  </si>
  <si>
    <t>Rural Dentists Incentive</t>
  </si>
  <si>
    <t>Institute of Medicine</t>
  </si>
  <si>
    <t>Hospital Authority-Telemedicine Program</t>
  </si>
  <si>
    <t>Hospital Authority-Pediatric Burn Unit</t>
  </si>
  <si>
    <t>AHEC-Administration</t>
  </si>
  <si>
    <t>AHEC-Fringe Benefits</t>
  </si>
  <si>
    <t>AHEC-Operating Expenses</t>
  </si>
  <si>
    <t>AHEC-Health Professions Rural Infrastructure Program</t>
  </si>
  <si>
    <t>AHEC-Rural Physicans Program</t>
  </si>
  <si>
    <t>AHEC-Nursing Recruitment</t>
  </si>
  <si>
    <t>Hospital Authority-Adult Burn Unit</t>
  </si>
  <si>
    <t>Greenville Tech-Univ Center</t>
  </si>
  <si>
    <t>Greenville Center Operating Cost</t>
  </si>
  <si>
    <t>GEARUP</t>
  </si>
  <si>
    <t>Statewide Electronic Library Supplemental (Lottery)</t>
  </si>
  <si>
    <t>Experimental Program for the Stimulation of Competitive Research (EPSCOR) Constorium</t>
  </si>
  <si>
    <t>CHE - Technology Security and Technology Upgrades (Lottery)</t>
  </si>
  <si>
    <t>SC Commission on H.Ed.</t>
  </si>
  <si>
    <t>Education &amp; Economic Development Act</t>
  </si>
  <si>
    <t>Statewide Electronic Library-Admin</t>
  </si>
  <si>
    <t>National Guard Tuition</t>
  </si>
  <si>
    <t>SC Tech College System</t>
  </si>
  <si>
    <t>SC Tech College System-Fringe Benefits</t>
  </si>
  <si>
    <t>SBTCE Special Schools (Economic Development)</t>
  </si>
  <si>
    <t>System Wide Programs</t>
  </si>
  <si>
    <t>SBTCE CATT</t>
  </si>
  <si>
    <t>Priority Initiatives</t>
  </si>
  <si>
    <t>Higher Education Excellence Enhancement Program (Lottery)</t>
  </si>
  <si>
    <t>Other Private Institutions(Lottery)</t>
  </si>
  <si>
    <t>University of Georgia (Veterinary Medicine)</t>
  </si>
  <si>
    <t>University of Pikeville - Optometry</t>
  </si>
  <si>
    <t>Doctoral Scholars Program</t>
  </si>
  <si>
    <t>Life Scholarships</t>
  </si>
  <si>
    <t>Lottery Tuition Assistance Program</t>
  </si>
  <si>
    <t xml:space="preserve">  Palmetto Fellows Scholarships</t>
  </si>
  <si>
    <t>SC HOPE</t>
  </si>
  <si>
    <t>SC Need-Based Grants</t>
  </si>
  <si>
    <t>National Guard College Assistance Program</t>
  </si>
  <si>
    <t>S.C. Tuition Grants</t>
  </si>
  <si>
    <t>LPN Programs Throughout the State</t>
  </si>
  <si>
    <t>Birmingham Promise Scholarship</t>
  </si>
  <si>
    <t>No longer administered by Higher Education office</t>
  </si>
  <si>
    <t>College of Agriculture Division of Regulatory Services</t>
  </si>
  <si>
    <t>College of Agriculture Kentucky Small Business Development Center</t>
  </si>
  <si>
    <t>Kentucky Cancer Registry</t>
  </si>
  <si>
    <t>Human Development Institute Supported Higher Education Project</t>
  </si>
  <si>
    <t>Sports Medicine Research Institute</t>
  </si>
  <si>
    <t>Kentucky Autism Training Center</t>
  </si>
  <si>
    <t>Jet Propulsion Laboratory</t>
  </si>
  <si>
    <t>Kentucky Academy for Math and Science (Gatton Academy)</t>
  </si>
  <si>
    <t>Changed # from 157173 to 156392</t>
  </si>
  <si>
    <t>KY WINS (KCTCS-TRAINS)</t>
  </si>
  <si>
    <t>Adult Agriculture Education</t>
  </si>
  <si>
    <t>Research Challenge Trust Fund-(Lung) Cancer Research &amp; Screening</t>
  </si>
  <si>
    <t>Commonwealth Virtual Univ (Technology Support)</t>
  </si>
  <si>
    <t>H. Ed. Asst. Authority (KHEAA)</t>
  </si>
  <si>
    <t>Promise Scholarship – Credit</t>
  </si>
  <si>
    <t>Promise Scholarship – Non-Credit</t>
  </si>
  <si>
    <t>Charles W. Riley Firefighter and Ambulance and Rescue Squad Member Scholarship Program</t>
  </si>
  <si>
    <t xml:space="preserve">Maryland Community College Promise Scholarship </t>
  </si>
  <si>
    <t>Graduate and Professional Grant</t>
  </si>
  <si>
    <t>Part-Time Grant</t>
  </si>
  <si>
    <t xml:space="preserve">2+2 Transfer Scholarship Program </t>
  </si>
  <si>
    <t>Near Completer Grant</t>
  </si>
  <si>
    <t>Col V - For FY2021,  $6,218,000 of appropriated CARES funds were subtracted from the original number ($13459934)</t>
  </si>
  <si>
    <t>Davidson-Davie Community College</t>
  </si>
  <si>
    <t>College of The Albemarle</t>
  </si>
  <si>
    <t xml:space="preserve">Canadian Valley Technology Center                 </t>
  </si>
  <si>
    <t xml:space="preserve">Francis Tuttle Technology Center                  </t>
  </si>
  <si>
    <t xml:space="preserve">Tulsa Technology Center-Lemley Campus             </t>
  </si>
  <si>
    <t>Met the criteria for Technical Institute or College 2 in 2019-20.</t>
  </si>
  <si>
    <t xml:space="preserve">Autry Technology Center                           </t>
  </si>
  <si>
    <t xml:space="preserve">Caddo Kiowa Technology Center                     </t>
  </si>
  <si>
    <t xml:space="preserve">Central Technology Center                         </t>
  </si>
  <si>
    <t xml:space="preserve">Chisholm Trail Technology Center                  </t>
  </si>
  <si>
    <t xml:space="preserve">Eastern Oklahoma County Technology Center         </t>
  </si>
  <si>
    <t xml:space="preserve">Gordon Cooper Technology Center                   </t>
  </si>
  <si>
    <t xml:space="preserve">Great Plains Technology Center                    </t>
  </si>
  <si>
    <t xml:space="preserve">Green Country Technology Center                   </t>
  </si>
  <si>
    <t xml:space="preserve">High Plains Technology Center                     </t>
  </si>
  <si>
    <t xml:space="preserve">Indian Capital Technology Center-Muskogee         </t>
  </si>
  <si>
    <t xml:space="preserve">Indian Capital Technology Center-Sallisaw         </t>
  </si>
  <si>
    <t xml:space="preserve">Indian Capital Technology Center-Stilwell         </t>
  </si>
  <si>
    <t xml:space="preserve">Indian Capital Technology Center-Tahlequah        </t>
  </si>
  <si>
    <t xml:space="preserve">Kiamichi Technology Center-Atoka                  </t>
  </si>
  <si>
    <t xml:space="preserve">Kiamichi Technology Center-Durant                 </t>
  </si>
  <si>
    <t xml:space="preserve">Kiamichi Technology Center-Hugo                   </t>
  </si>
  <si>
    <t xml:space="preserve">Kiamichi Technology Center-Idabel                 </t>
  </si>
  <si>
    <t xml:space="preserve">Kiamichi Technology Center-McAlester              </t>
  </si>
  <si>
    <t xml:space="preserve">Kiamichi Technology Center-Poteau                 </t>
  </si>
  <si>
    <t xml:space="preserve">Kiamichi Technology Center-Spiro                  </t>
  </si>
  <si>
    <t xml:space="preserve">Kiamichi Technology Center-Stigler                </t>
  </si>
  <si>
    <t xml:space="preserve">Kiamichi Technology Center-Talihina               </t>
  </si>
  <si>
    <t xml:space="preserve">Meridian Technology Center                        </t>
  </si>
  <si>
    <t xml:space="preserve">Metro Technology Centers                          </t>
  </si>
  <si>
    <t xml:space="preserve">Mid-America Technology Center                     </t>
  </si>
  <si>
    <t xml:space="preserve">Mid-Del Technology Center                         </t>
  </si>
  <si>
    <t xml:space="preserve">Moore Norman Technology Center                    </t>
  </si>
  <si>
    <t xml:space="preserve">Northeast Technology Center-Afton                 </t>
  </si>
  <si>
    <t>Northeast Technology Center-Claremore</t>
  </si>
  <si>
    <t xml:space="preserve">Northeast Technology Center-Kansas                </t>
  </si>
  <si>
    <t xml:space="preserve">Northeast Technology Center-Pryor                 </t>
  </si>
  <si>
    <t xml:space="preserve">Northwest Technology Center-Alva                  </t>
  </si>
  <si>
    <t xml:space="preserve">Northwest Technology Center-Fairview              </t>
  </si>
  <si>
    <t xml:space="preserve">Pioneer Technology Center                         </t>
  </si>
  <si>
    <t xml:space="preserve">Pontotoc Technology Center                        </t>
  </si>
  <si>
    <t xml:space="preserve">Red River Technology Center                       </t>
  </si>
  <si>
    <t xml:space="preserve">Southern Oklahoma Technology Center               </t>
  </si>
  <si>
    <t xml:space="preserve">Southwest Technology Center                       </t>
  </si>
  <si>
    <t xml:space="preserve">Tri County Technology Center                      </t>
  </si>
  <si>
    <t xml:space="preserve">Tulsa County Area Voc Tech School Dist 18-Peoria  </t>
  </si>
  <si>
    <t xml:space="preserve">Tulsa Technology Center-Broken Arrow Campus       </t>
  </si>
  <si>
    <t>Tulsa Technology Center-Owasso - NEW</t>
  </si>
  <si>
    <t xml:space="preserve">Tulsa Technology Center-Riverside Campus          </t>
  </si>
  <si>
    <t>Tulsa Technology Center-Sand Springs - NEW</t>
  </si>
  <si>
    <t xml:space="preserve">Wes Watkins Technology Center                     </t>
  </si>
  <si>
    <t xml:space="preserve">Western Technology Center                         </t>
  </si>
  <si>
    <t>Indian Capital……..All Campuses</t>
  </si>
  <si>
    <t>Kiamichi………All Campuses</t>
  </si>
  <si>
    <t>Northeast………..All Campuses</t>
  </si>
  <si>
    <t>Northwest………..All Campuses</t>
  </si>
  <si>
    <t>Tulsa County Dist 18………..All Campuses</t>
  </si>
  <si>
    <t xml:space="preserve">State Board </t>
  </si>
  <si>
    <t>Univ. of Texas Rio Grande School of Medicine</t>
  </si>
  <si>
    <t>Univ of Houston School of Medicine</t>
  </si>
  <si>
    <t>Hampton Roads Biomedical Research Consortium</t>
  </si>
  <si>
    <t>Commerce and Trade (VBHRC)</t>
  </si>
  <si>
    <t>Advanced Manufacturer (CCAM)</t>
  </si>
  <si>
    <t>Commonwealth Cybersecurity (CCI)</t>
  </si>
  <si>
    <t>Tech Talent</t>
  </si>
  <si>
    <t>Grow Your Own Teacher</t>
  </si>
  <si>
    <t>Early Awareness (GearUp)</t>
  </si>
  <si>
    <t>Soil Scientist (Item222.A.1)</t>
  </si>
  <si>
    <t>Multicultural Acdemic Opportunities Program (item222.A.2)</t>
  </si>
  <si>
    <t>Foster Children (VCCS no language, fixed amt)</t>
  </si>
  <si>
    <t>Nursing Program - UVA (item194.A)</t>
  </si>
  <si>
    <t>Shipyard workers (item 211.A)</t>
  </si>
  <si>
    <t>Mental Health Provider Loan Repayment</t>
  </si>
  <si>
    <t>Wood County School of Practical Nursing</t>
  </si>
  <si>
    <t>By Purpose, Detail Distribution, 2020-21</t>
  </si>
  <si>
    <t>By Source and Purpose, 2020-21</t>
  </si>
  <si>
    <t>Public Four-Year, 2020-21</t>
  </si>
  <si>
    <t>Public Four-Year 1, 2020-21</t>
  </si>
  <si>
    <t>Public Four-Year 2, 2020-21</t>
  </si>
  <si>
    <t>Public Four-Year 3, 2020-21</t>
  </si>
  <si>
    <t>Public Four-Year 4, 2020-21</t>
  </si>
  <si>
    <t>Public Four-Year 5, 2020-21</t>
  </si>
  <si>
    <t>Public Four-Year 6, 2020-21</t>
  </si>
  <si>
    <t>All Two-Year, 2020-21</t>
  </si>
  <si>
    <t>Two-Year with Bachelor's, 2020-21</t>
  </si>
  <si>
    <t>Two-Year 1, 2020-21</t>
  </si>
  <si>
    <t>Two-Year 2, 2020-21</t>
  </si>
  <si>
    <t>Two-Year 3, 2020-21</t>
  </si>
  <si>
    <t>Two-Year Size Unknown, 2020-21</t>
  </si>
  <si>
    <t>All Technical Institutes or Colleges, 2020-21</t>
  </si>
  <si>
    <t>Technical Institute or College 1, 2020-21</t>
  </si>
  <si>
    <t>Technical Institute or College 2, 2020-21</t>
  </si>
  <si>
    <t>source: 04SCH_FTE21, Table 82, column B</t>
  </si>
  <si>
    <t>source: 04SCH_FTE21, Table 82, column C</t>
  </si>
  <si>
    <t>source: 04SCH_FTE21, Table 82, column D</t>
  </si>
  <si>
    <t>source: 04SCH_FTE21, Table 82, column E</t>
  </si>
  <si>
    <t>source: 04SCH_FTE21, Table 82, column F</t>
  </si>
  <si>
    <t>source: 04SCH_FTE21, Table 82, column G</t>
  </si>
  <si>
    <t>source: 04SCH_FTE21, Table 85, column B</t>
  </si>
  <si>
    <t>source: 04SCH_FTE21, Table 85, column D</t>
  </si>
  <si>
    <t>source: 04SCH_FTE21, Table 85, column F</t>
  </si>
  <si>
    <t>source: 04SCH_FTE21, Table 85, column H</t>
  </si>
  <si>
    <t>source: 04SCH_FTE21, Table 85, column AH</t>
  </si>
  <si>
    <t>source: 04SCH_FTE21, Table 86, column F</t>
  </si>
  <si>
    <t>source: 04SCH_FTE21, Table 86, column B</t>
  </si>
  <si>
    <t>source: 04SCH_FTE21, Table 86, column D</t>
  </si>
  <si>
    <t>2020-21</t>
  </si>
  <si>
    <t>By Purpose, Summary Distribution, 2020-21</t>
  </si>
  <si>
    <t>Reclassified: Met the criteria for Four-Year 3 in 2018-19, 2019-20, and 2020-21.</t>
  </si>
  <si>
    <t>Reclassified: Met the criteria for Four-Year 4 in 2018-19, 2019-20, and 2020-21.</t>
  </si>
  <si>
    <t>Reclassified: Met the criteria for Two-Year 1 in 2018-19, 2019-20, and 2020-21.</t>
  </si>
  <si>
    <t> </t>
  </si>
  <si>
    <t>Reclassified: Met the criteria for Four-Year 5 in 2018-19, 2019-20, and 2020-21.</t>
  </si>
  <si>
    <t xml:space="preserve"> Adult Education and Literacy Funding Program</t>
  </si>
  <si>
    <t xml:space="preserve"> Ky Council on Postsecondary Education</t>
  </si>
  <si>
    <t>Reclassified: Met the criteria for Two-Year 2 in 2018-19, 2019-20, and 2020-21.</t>
  </si>
  <si>
    <t>Reclassified: Met the criteria for Four-Year 3 in 2018-19 ,2019-20, and 2020-21</t>
  </si>
  <si>
    <t>Reclassified: Met the criteria for Four-Year 4 in 2018-19 and 2019-20, and 2021</t>
  </si>
  <si>
    <t>Reclassifed Met the criteria for Two-Year 2 in 2018-19 and 2019-20 and 2020-21</t>
  </si>
  <si>
    <t>Dallas College</t>
  </si>
  <si>
    <t>Name change ( Dallas County Community College)</t>
  </si>
  <si>
    <t>Met the criteria for Four-Year 5 in 2019-20 and 2020-21.</t>
  </si>
  <si>
    <t>Met the criteria for Two-Year 3 in 2020-21.</t>
  </si>
  <si>
    <t>Met the criteria for Four-Year 4 in 2020-21.</t>
  </si>
  <si>
    <t>Met the criteria for Two-Year 2 in 2020-21.</t>
  </si>
  <si>
    <t xml:space="preserve">Met the criteria for Two-Year with Bachelor's in 2019-20 and 2020-21. </t>
  </si>
  <si>
    <t>Met the criteria for Four-Year 6 in 2020-21.</t>
  </si>
  <si>
    <t>Met the criteria for Two-Year 3 in 2019-20 and 2020-21.</t>
  </si>
  <si>
    <t>Met the criteria for Four-Year 2 in 2019-20 and 2020-21.</t>
  </si>
  <si>
    <t xml:space="preserve"> Met the criteria for Technical Institute or College 1 in 2020-21</t>
  </si>
  <si>
    <t>Met the criteria for Technical Institute or College 1 in 2019-20, and 2020-21</t>
  </si>
  <si>
    <t>Met the criteria for Technical Institute or College 1 in 2019-20 and 2020-21.</t>
  </si>
  <si>
    <t>Met the requirments for 4-year 1 in 2020-21</t>
  </si>
  <si>
    <t>Met the requirments for 4 Year 1 in 2020-21</t>
  </si>
  <si>
    <t>Met the criteria Two-Year 2 in 2020-21</t>
  </si>
  <si>
    <t>Met the critera for Two-Year 1 in 2020-21</t>
  </si>
  <si>
    <t>Met the requirments for  Two-year 3 in 2020-21</t>
  </si>
  <si>
    <t>Met the criteria for Two-Year 2 in 2019-20 and 2020-21.</t>
  </si>
  <si>
    <t>Met the criteria for Four-Year 4 in 2019-20 and 2020-21.</t>
  </si>
  <si>
    <t>*</t>
  </si>
  <si>
    <t>By Source and Purpose, 2019-20</t>
  </si>
  <si>
    <t>May, 2023</t>
  </si>
  <si>
    <t xml:space="preserve"> May, 2023</t>
  </si>
  <si>
    <t>(Multiple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</si>
</sst>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"/>
    <numFmt numFmtId="165" formatCode="_(* #,##0_);_(* \(#,##0\);_(* &quot;-&quot;??_);_(@_)"/>
    <numFmt numFmtId="166" formatCode="#,##0.000_);\(#,##0.000\)"/>
    <numFmt numFmtId="167" formatCode="0.0%"/>
    <numFmt numFmtId="168" formatCode="#,##0.0"/>
    <numFmt numFmtId="169" formatCode="&quot;$&quot;#,##0"/>
    <numFmt numFmtId="170" formatCode="&quot;$&quot;#,##0.00"/>
    <numFmt numFmtId="171" formatCode="#,##0.0_);\(#,##0.0\)"/>
    <numFmt numFmtId="172" formatCode="_(&quot;$&quot;* #,##0_);_(&quot;$&quot;* \(#,##0\);_(&quot;$&quot;* &quot;-&quot;??_);_(@_)"/>
  </numFmts>
  <fonts count="96">
    <font>
      <sz val="12"/>
      <name val="AGaramond"/>
    </font>
    <font>
      <sz val="10"/>
      <name val="Arial"/>
      <family val="2"/>
    </font>
    <font>
      <sz val="8"/>
      <name val="Courier"/>
      <family val="3"/>
    </font>
    <font>
      <vertAlign val="superscript"/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color indexed="12"/>
      <name val="Arial"/>
      <family val="2"/>
    </font>
    <font>
      <i/>
      <sz val="10"/>
      <name val="Arial"/>
      <family val="2"/>
    </font>
    <font>
      <b/>
      <i/>
      <sz val="10"/>
      <color indexed="12"/>
      <name val="Arial"/>
      <family val="2"/>
    </font>
    <font>
      <u/>
      <sz val="10"/>
      <name val="Arial"/>
      <family val="2"/>
    </font>
    <font>
      <b/>
      <u/>
      <sz val="10"/>
      <color indexed="12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i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rgb="FFC00000"/>
      <name val="Arial"/>
      <family val="2"/>
    </font>
    <font>
      <b/>
      <vertAlign val="superscript"/>
      <sz val="10"/>
      <color theme="0"/>
      <name val="Arial"/>
      <family val="2"/>
    </font>
    <font>
      <b/>
      <i/>
      <sz val="10"/>
      <name val="Arial"/>
      <family val="2"/>
    </font>
    <font>
      <sz val="10"/>
      <color indexed="12"/>
      <name val="Arial"/>
      <family val="2"/>
    </font>
    <font>
      <sz val="10"/>
      <color rgb="FF000000"/>
      <name val="Arial"/>
      <family val="2"/>
    </font>
    <font>
      <vertAlign val="superscript"/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u/>
      <sz val="10"/>
      <name val="Arial"/>
      <family val="2"/>
    </font>
    <font>
      <sz val="10"/>
      <name val="Courier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8"/>
      <color rgb="FFFF0000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b/>
      <i/>
      <sz val="10"/>
      <color theme="7" tint="0.39997558519241921"/>
      <name val="Arial"/>
      <family val="2"/>
    </font>
    <font>
      <sz val="8"/>
      <name val="Arial"/>
      <family val="2"/>
    </font>
    <font>
      <sz val="10"/>
      <color indexed="17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4"/>
      <name val="Arial"/>
      <family val="2"/>
    </font>
    <font>
      <b/>
      <vertAlign val="superscript"/>
      <sz val="12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10"/>
      <color indexed="16"/>
      <name val="Arial"/>
      <family val="2"/>
    </font>
    <font>
      <b/>
      <sz val="9"/>
      <name val="Arial"/>
      <family val="2"/>
    </font>
    <font>
      <b/>
      <vertAlign val="superscript"/>
      <sz val="9"/>
      <name val="Arial"/>
      <family val="2"/>
    </font>
    <font>
      <sz val="10"/>
      <color rgb="FFC00000"/>
      <name val="Arial"/>
      <family val="2"/>
    </font>
    <font>
      <sz val="10"/>
      <color indexed="16"/>
      <name val="Verdana"/>
      <family val="2"/>
    </font>
    <font>
      <sz val="9"/>
      <name val="Arial"/>
      <family val="2"/>
    </font>
    <font>
      <b/>
      <sz val="10"/>
      <color indexed="16"/>
      <name val="Arial"/>
      <family val="2"/>
    </font>
    <font>
      <sz val="6"/>
      <color indexed="16"/>
      <name val="Arial"/>
      <family val="2"/>
    </font>
    <font>
      <b/>
      <sz val="8"/>
      <color indexed="16"/>
      <name val="Arial"/>
      <family val="2"/>
    </font>
    <font>
      <sz val="8"/>
      <color indexed="16"/>
      <name val="Arial"/>
      <family val="2"/>
    </font>
    <font>
      <b/>
      <sz val="8"/>
      <color indexed="18"/>
      <name val="Arial"/>
      <family val="2"/>
    </font>
    <font>
      <b/>
      <vertAlign val="superscript"/>
      <sz val="8"/>
      <color indexed="18"/>
      <name val="Arial"/>
      <family val="2"/>
    </font>
    <font>
      <vertAlign val="superscript"/>
      <sz val="8"/>
      <color indexed="18"/>
      <name val="Arial"/>
      <family val="2"/>
    </font>
    <font>
      <vertAlign val="superscript"/>
      <sz val="9"/>
      <name val="Arial"/>
      <family val="2"/>
    </font>
    <font>
      <sz val="9"/>
      <color indexed="18"/>
      <name val="Arial"/>
      <family val="2"/>
    </font>
    <font>
      <sz val="10"/>
      <color indexed="18"/>
      <name val="Arial"/>
      <family val="2"/>
    </font>
    <font>
      <sz val="6"/>
      <color rgb="FF0000FF"/>
      <name val="Arial"/>
      <family val="2"/>
    </font>
    <font>
      <sz val="4"/>
      <name val="Arial"/>
      <family val="2"/>
    </font>
    <font>
      <sz val="4"/>
      <color rgb="FF0000FF"/>
      <name val="Arial"/>
      <family val="2"/>
    </font>
    <font>
      <b/>
      <sz val="9"/>
      <color indexed="18"/>
      <name val="Arial"/>
      <family val="2"/>
    </font>
    <font>
      <b/>
      <vertAlign val="superscript"/>
      <sz val="9"/>
      <color indexed="18"/>
      <name val="Arial"/>
      <family val="2"/>
    </font>
    <font>
      <vertAlign val="superscript"/>
      <sz val="9"/>
      <color indexed="18"/>
      <name val="Arial"/>
      <family val="2"/>
    </font>
    <font>
      <sz val="9"/>
      <name val="Courier"/>
      <family val="3"/>
    </font>
    <font>
      <b/>
      <vertAlign val="superscript"/>
      <sz val="10"/>
      <name val="Arial"/>
      <family val="2"/>
    </font>
    <font>
      <sz val="8"/>
      <color indexed="18"/>
      <name val="Arial"/>
      <family val="2"/>
    </font>
    <font>
      <b/>
      <sz val="10"/>
      <color indexed="18"/>
      <name val="Arial"/>
      <family val="2"/>
    </font>
    <font>
      <sz val="9"/>
      <color indexed="8"/>
      <name val="Arial"/>
      <family val="2"/>
    </font>
    <font>
      <sz val="8.5"/>
      <name val="Arial"/>
      <family val="2"/>
    </font>
    <font>
      <sz val="10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FFFF00"/>
      <name val="Arial"/>
      <family val="2"/>
    </font>
    <font>
      <sz val="10"/>
      <color rgb="FFFFFF00"/>
      <name val="Arial"/>
      <family val="2"/>
    </font>
    <font>
      <b/>
      <sz val="8"/>
      <name val="Times New Roman"/>
      <family val="1"/>
    </font>
    <font>
      <b/>
      <sz val="8"/>
      <color rgb="FFC00000"/>
      <name val="Times New Roman"/>
      <family val="1"/>
    </font>
    <font>
      <sz val="10"/>
      <color rgb="FF9C0000"/>
      <name val="Arial"/>
      <family val="2"/>
    </font>
    <font>
      <b/>
      <sz val="11"/>
      <color rgb="FFC00000"/>
      <name val="Calibri"/>
      <family val="2"/>
    </font>
    <font>
      <sz val="10"/>
      <color rgb="FFFFFFFF"/>
      <name val="Arial"/>
      <family val="2"/>
    </font>
    <font>
      <b/>
      <sz val="11"/>
      <color rgb="FF000000"/>
      <name val="Calibri"/>
      <family val="2"/>
    </font>
    <font>
      <sz val="8"/>
      <color rgb="FF000000"/>
      <name val="Tahoma"/>
      <family val="2"/>
    </font>
    <font>
      <sz val="12"/>
      <name val="AGaramond"/>
      <family val="1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</font>
    <font>
      <sz val="12"/>
      <color rgb="FF000000"/>
      <name val="AGaramond"/>
      <family val="2"/>
    </font>
    <font>
      <b/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AGaramond"/>
    </font>
    <font>
      <b/>
      <sz val="10"/>
      <color theme="1"/>
      <name val="Arial"/>
      <family val="2"/>
    </font>
    <font>
      <sz val="10"/>
      <color rgb="FFFF0000"/>
      <name val="Arial"/>
      <family val="2"/>
    </font>
  </fonts>
  <fills count="7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rgb="FFFCD5B4"/>
        <bgColor rgb="FFFCD5B4"/>
      </patternFill>
    </fill>
    <fill>
      <patternFill patternType="solid">
        <fgColor rgb="FFFFFFFF"/>
        <bgColor rgb="FFFFFFFF"/>
      </patternFill>
    </fill>
    <fill>
      <patternFill patternType="solid">
        <fgColor rgb="FFFF99CC"/>
        <bgColor rgb="FFFF99CC"/>
      </patternFill>
    </fill>
    <fill>
      <patternFill patternType="solid">
        <fgColor rgb="FFFFCC99"/>
        <bgColor rgb="FFFFCC99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rgb="FF99CCFF"/>
      </patternFill>
    </fill>
    <fill>
      <patternFill patternType="solid">
        <fgColor rgb="FFFFCC00"/>
        <bgColor rgb="FFFFCC00"/>
      </patternFill>
    </fill>
    <fill>
      <patternFill patternType="solid">
        <fgColor rgb="FFCC99FF"/>
        <bgColor rgb="FFCC99FF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CCFFCC"/>
        <bgColor rgb="FFCCFFCC"/>
      </patternFill>
    </fill>
    <fill>
      <patternFill patternType="solid">
        <fgColor rgb="FFFFCC99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CC99FF"/>
        <bgColor rgb="FF000000"/>
      </patternFill>
    </fill>
    <fill>
      <patternFill patternType="solid">
        <fgColor rgb="FFFFC8C8"/>
        <bgColor rgb="FFFFC8C8"/>
      </patternFill>
    </fill>
    <fill>
      <patternFill patternType="solid">
        <fgColor rgb="FFFF99CC"/>
        <bgColor rgb="FF000000"/>
      </patternFill>
    </fill>
    <fill>
      <patternFill patternType="solid">
        <fgColor rgb="FFFFCC00"/>
        <bgColor rgb="FF00000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99CC00"/>
        <bgColor rgb="FF000000"/>
      </patternFill>
    </fill>
    <fill>
      <patternFill patternType="solid">
        <fgColor rgb="FF33CCC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rgb="FFFFFF00"/>
        <bgColor rgb="FFCCFFCC"/>
      </patternFill>
    </fill>
    <fill>
      <patternFill patternType="solid">
        <fgColor rgb="FFC4D79B"/>
        <bgColor rgb="FF000000"/>
      </patternFill>
    </fill>
    <fill>
      <patternFill patternType="solid">
        <fgColor rgb="FFB1A0C7"/>
        <bgColor rgb="FF000000"/>
      </patternFill>
    </fill>
    <fill>
      <patternFill patternType="solid">
        <fgColor rgb="FFFF99CC"/>
        <bgColor indexed="64"/>
      </patternFill>
    </fill>
    <fill>
      <patternFill patternType="solid">
        <fgColor indexed="47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indexed="44"/>
      </patternFill>
    </fill>
    <fill>
      <patternFill patternType="solid">
        <fgColor rgb="FF99CCFF"/>
        <bgColor indexed="64"/>
      </patternFill>
    </fill>
    <fill>
      <patternFill patternType="solid">
        <fgColor indexed="47"/>
        <bgColor indexed="42"/>
      </patternFill>
    </fill>
    <fill>
      <patternFill patternType="solid">
        <fgColor indexed="51"/>
      </patternFill>
    </fill>
    <fill>
      <patternFill patternType="solid">
        <fgColor rgb="FFFFCC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rgb="FF99CCFF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</fills>
  <borders count="15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5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5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5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 style="thin">
        <color rgb="FF999999"/>
      </left>
      <right style="thin">
        <color indexed="64"/>
      </right>
      <top style="thick">
        <color indexed="8"/>
      </top>
      <bottom/>
      <diagonal/>
    </border>
    <border>
      <left style="thin">
        <color rgb="FF999999"/>
      </left>
      <right style="thin">
        <color rgb="FF999999"/>
      </right>
      <top style="thick">
        <color indexed="8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indexed="64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indexed="64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4"/>
      </left>
      <right/>
      <top/>
      <bottom/>
      <diagonal/>
    </border>
    <border>
      <left style="thin">
        <color rgb="FF999999"/>
      </left>
      <right style="thin">
        <color indexed="64"/>
      </right>
      <top style="thin">
        <color rgb="FF999999"/>
      </top>
      <bottom style="thin">
        <color indexed="64"/>
      </bottom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/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22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22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4"/>
      </left>
      <right/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 style="thin">
        <color indexed="65"/>
      </left>
      <right style="thin">
        <color indexed="64"/>
      </right>
      <top style="thin">
        <color rgb="FF999999"/>
      </top>
      <bottom style="thin">
        <color indexed="64"/>
      </bottom>
      <diagonal/>
    </border>
    <border>
      <left style="thin">
        <color indexed="65"/>
      </left>
      <right style="thin">
        <color indexed="64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 style="thin">
        <color indexed="64"/>
      </bottom>
      <diagonal/>
    </border>
    <border>
      <left style="thin">
        <color rgb="FF999999"/>
      </left>
      <right/>
      <top/>
      <bottom style="thin">
        <color indexed="64"/>
      </bottom>
      <diagonal/>
    </border>
    <border>
      <left style="thin">
        <color rgb="FF999999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rgb="FF999999"/>
      </top>
      <bottom/>
      <diagonal/>
    </border>
    <border>
      <left style="thin">
        <color indexed="8"/>
      </left>
      <right style="thin">
        <color indexed="8"/>
      </right>
      <top style="thin">
        <color rgb="FF999999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rgb="FF999999"/>
      </left>
      <right/>
      <top style="thin">
        <color indexed="64"/>
      </top>
      <bottom/>
      <diagonal/>
    </border>
  </borders>
  <cellStyleXfs count="21">
    <xf numFmtId="164" fontId="0" fillId="0" borderId="0"/>
    <xf numFmtId="37" fontId="1" fillId="6" borderId="2"/>
    <xf numFmtId="37" fontId="1" fillId="6" borderId="2">
      <protection locked="0"/>
    </xf>
    <xf numFmtId="37" fontId="1" fillId="0" borderId="2">
      <alignment horizontal="center" vertical="top"/>
      <protection locked="0"/>
    </xf>
    <xf numFmtId="9" fontId="11" fillId="7" borderId="2">
      <alignment horizontal="right"/>
    </xf>
    <xf numFmtId="9" fontId="11" fillId="5" borderId="2">
      <alignment horizontal="right"/>
    </xf>
    <xf numFmtId="38" fontId="11" fillId="7" borderId="2">
      <alignment horizontal="right"/>
    </xf>
    <xf numFmtId="38" fontId="11" fillId="5" borderId="2">
      <alignment horizontal="right"/>
    </xf>
    <xf numFmtId="0" fontId="26" fillId="0" borderId="0">
      <alignment horizontal="left" wrapText="1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alignment horizontal="left" wrapText="1"/>
    </xf>
    <xf numFmtId="43" fontId="84" fillId="0" borderId="0" applyFont="0" applyFill="0" applyBorder="0" applyAlignment="0" applyProtection="0"/>
    <xf numFmtId="44" fontId="93" fillId="0" borderId="0" applyFont="0" applyFill="0" applyBorder="0" applyAlignment="0" applyProtection="0"/>
    <xf numFmtId="37" fontId="1" fillId="6" borderId="141"/>
    <xf numFmtId="37" fontId="1" fillId="6" borderId="141">
      <protection locked="0"/>
    </xf>
    <xf numFmtId="37" fontId="1" fillId="0" borderId="141">
      <alignment horizontal="center" vertical="top"/>
      <protection locked="0"/>
    </xf>
    <xf numFmtId="9" fontId="11" fillId="7" borderId="141">
      <alignment horizontal="right"/>
    </xf>
    <xf numFmtId="9" fontId="11" fillId="5" borderId="141">
      <alignment horizontal="right"/>
    </xf>
    <xf numFmtId="38" fontId="11" fillId="7" borderId="141">
      <alignment horizontal="right"/>
    </xf>
    <xf numFmtId="38" fontId="11" fillId="5" borderId="141">
      <alignment horizontal="right"/>
    </xf>
  </cellStyleXfs>
  <cellXfs count="1332">
    <xf numFmtId="37" fontId="0" fillId="0" borderId="0" xfId="0" applyNumberFormat="1"/>
    <xf numFmtId="37" fontId="3" fillId="0" borderId="1" xfId="0" applyNumberFormat="1" applyFont="1" applyBorder="1" applyAlignment="1">
      <alignment horizontal="left"/>
    </xf>
    <xf numFmtId="37" fontId="8" fillId="0" borderId="1" xfId="0" applyNumberFormat="1" applyFont="1" applyBorder="1" applyAlignment="1">
      <alignment horizontal="left"/>
    </xf>
    <xf numFmtId="37" fontId="3" fillId="0" borderId="1" xfId="0" applyNumberFormat="1" applyFont="1" applyBorder="1" applyAlignment="1">
      <alignment horizontal="center"/>
    </xf>
    <xf numFmtId="37" fontId="4" fillId="0" borderId="1" xfId="0" applyNumberFormat="1" applyFont="1" applyBorder="1" applyAlignment="1">
      <alignment horizontal="left"/>
    </xf>
    <xf numFmtId="49" fontId="7" fillId="0" borderId="1" xfId="0" applyNumberFormat="1" applyFont="1" applyBorder="1" applyAlignment="1">
      <alignment horizontal="center"/>
    </xf>
    <xf numFmtId="37" fontId="6" fillId="0" borderId="1" xfId="0" applyNumberFormat="1" applyFont="1" applyBorder="1" applyAlignment="1">
      <alignment horizontal="centerContinuous" wrapText="1"/>
    </xf>
    <xf numFmtId="37" fontId="1" fillId="0" borderId="1" xfId="0" applyNumberFormat="1" applyFont="1" applyBorder="1" applyAlignment="1">
      <alignment horizontal="left"/>
    </xf>
    <xf numFmtId="37" fontId="1" fillId="0" borderId="1" xfId="0" applyNumberFormat="1" applyFont="1" applyBorder="1"/>
    <xf numFmtId="166" fontId="1" fillId="0" borderId="1" xfId="0" applyNumberFormat="1" applyFont="1" applyBorder="1"/>
    <xf numFmtId="166" fontId="6" fillId="0" borderId="1" xfId="0" applyNumberFormat="1" applyFont="1" applyBorder="1"/>
    <xf numFmtId="37" fontId="1" fillId="0" borderId="8" xfId="0" applyNumberFormat="1" applyFont="1" applyBorder="1" applyAlignment="1">
      <alignment horizontal="center" wrapText="1"/>
    </xf>
    <xf numFmtId="3" fontId="6" fillId="0" borderId="1" xfId="0" applyNumberFormat="1" applyFont="1" applyBorder="1" applyAlignment="1">
      <alignment horizontal="centerContinuous" wrapText="1"/>
    </xf>
    <xf numFmtId="0" fontId="0" fillId="0" borderId="0" xfId="0" applyNumberFormat="1"/>
    <xf numFmtId="37" fontId="1" fillId="0" borderId="0" xfId="0" applyNumberFormat="1" applyFont="1"/>
    <xf numFmtId="0" fontId="14" fillId="10" borderId="11" xfId="0" applyNumberFormat="1" applyFont="1" applyFill="1" applyBorder="1" applyAlignment="1">
      <alignment horizontal="left"/>
    </xf>
    <xf numFmtId="37" fontId="1" fillId="0" borderId="0" xfId="0" applyNumberFormat="1" applyFont="1" applyAlignment="1">
      <alignment horizontal="left"/>
    </xf>
    <xf numFmtId="37" fontId="6" fillId="0" borderId="0" xfId="0" applyNumberFormat="1" applyFont="1" applyAlignment="1">
      <alignment horizontal="left"/>
    </xf>
    <xf numFmtId="166" fontId="1" fillId="0" borderId="0" xfId="0" applyNumberFormat="1" applyFont="1" applyAlignment="1">
      <alignment horizontal="left"/>
    </xf>
    <xf numFmtId="166" fontId="6" fillId="0" borderId="0" xfId="0" applyNumberFormat="1" applyFont="1" applyAlignment="1">
      <alignment horizontal="left"/>
    </xf>
    <xf numFmtId="37" fontId="1" fillId="9" borderId="0" xfId="0" applyNumberFormat="1" applyFont="1" applyFill="1" applyAlignment="1" applyProtection="1">
      <alignment horizontal="center"/>
      <protection locked="0"/>
    </xf>
    <xf numFmtId="166" fontId="1" fillId="0" borderId="0" xfId="0" applyNumberFormat="1" applyFont="1"/>
    <xf numFmtId="166" fontId="6" fillId="0" borderId="0" xfId="0" applyNumberFormat="1" applyFont="1"/>
    <xf numFmtId="37" fontId="6" fillId="3" borderId="8" xfId="0" applyNumberFormat="1" applyFont="1" applyFill="1" applyBorder="1" applyAlignment="1">
      <alignment horizontal="centerContinuous" wrapText="1"/>
    </xf>
    <xf numFmtId="37" fontId="3" fillId="0" borderId="0" xfId="0" applyNumberFormat="1" applyFont="1" applyAlignment="1">
      <alignment horizontal="center"/>
    </xf>
    <xf numFmtId="37" fontId="3" fillId="0" borderId="0" xfId="0" applyNumberFormat="1" applyFont="1"/>
    <xf numFmtId="37" fontId="3" fillId="0" borderId="0" xfId="0" applyNumberFormat="1" applyFont="1" applyAlignment="1">
      <alignment horizontal="left"/>
    </xf>
    <xf numFmtId="0" fontId="7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/>
    </xf>
    <xf numFmtId="166" fontId="1" fillId="8" borderId="9" xfId="0" applyNumberFormat="1" applyFont="1" applyFill="1" applyBorder="1" applyAlignment="1">
      <alignment horizontal="center" wrapText="1"/>
    </xf>
    <xf numFmtId="37" fontId="6" fillId="0" borderId="0" xfId="0" applyNumberFormat="1" applyFont="1" applyAlignment="1">
      <alignment horizontal="center" wrapText="1"/>
    </xf>
    <xf numFmtId="0" fontId="1" fillId="0" borderId="0" xfId="0" applyNumberFormat="1" applyFont="1" applyAlignment="1">
      <alignment horizontal="left" wrapText="1"/>
    </xf>
    <xf numFmtId="49" fontId="1" fillId="0" borderId="0" xfId="0" applyNumberFormat="1" applyFont="1" applyAlignment="1">
      <alignment horizontal="center" wrapText="1"/>
    </xf>
    <xf numFmtId="37" fontId="1" fillId="0" borderId="0" xfId="0" applyNumberFormat="1" applyFont="1" applyAlignment="1">
      <alignment horizontal="center" wrapText="1"/>
    </xf>
    <xf numFmtId="3" fontId="4" fillId="6" borderId="9" xfId="0" applyNumberFormat="1" applyFont="1" applyFill="1" applyBorder="1" applyAlignment="1">
      <alignment horizontal="center" wrapText="1"/>
    </xf>
    <xf numFmtId="0" fontId="14" fillId="10" borderId="1" xfId="0" applyNumberFormat="1" applyFont="1" applyFill="1" applyBorder="1" applyAlignment="1">
      <alignment horizontal="center"/>
    </xf>
    <xf numFmtId="0" fontId="1" fillId="10" borderId="1" xfId="0" applyNumberFormat="1" applyFont="1" applyFill="1" applyBorder="1" applyAlignment="1">
      <alignment horizontal="left" wrapText="1"/>
    </xf>
    <xf numFmtId="0" fontId="14" fillId="10" borderId="1" xfId="0" applyNumberFormat="1" applyFont="1" applyFill="1" applyBorder="1" applyAlignment="1">
      <alignment horizontal="left" wrapText="1"/>
    </xf>
    <xf numFmtId="1" fontId="14" fillId="10" borderId="1" xfId="0" applyNumberFormat="1" applyFont="1" applyFill="1" applyBorder="1" applyAlignment="1">
      <alignment horizontal="center"/>
    </xf>
    <xf numFmtId="37" fontId="1" fillId="4" borderId="1" xfId="0" applyNumberFormat="1" applyFont="1" applyFill="1" applyBorder="1" applyAlignment="1">
      <alignment horizontal="center" wrapText="1"/>
    </xf>
    <xf numFmtId="0" fontId="1" fillId="4" borderId="1" xfId="0" applyNumberFormat="1" applyFont="1" applyFill="1" applyBorder="1" applyAlignment="1">
      <alignment horizontal="center" wrapText="1"/>
    </xf>
    <xf numFmtId="49" fontId="1" fillId="4" borderId="1" xfId="0" applyNumberFormat="1" applyFont="1" applyFill="1" applyBorder="1" applyAlignment="1">
      <alignment horizontal="center" wrapText="1"/>
    </xf>
    <xf numFmtId="1" fontId="1" fillId="4" borderId="1" xfId="0" applyNumberFormat="1" applyFont="1" applyFill="1" applyBorder="1" applyAlignment="1">
      <alignment horizontal="center" wrapText="1"/>
    </xf>
    <xf numFmtId="166" fontId="1" fillId="4" borderId="0" xfId="0" applyNumberFormat="1" applyFont="1" applyFill="1" applyAlignment="1">
      <alignment horizontal="center" wrapText="1"/>
    </xf>
    <xf numFmtId="37" fontId="1" fillId="4" borderId="0" xfId="0" applyNumberFormat="1" applyFont="1" applyFill="1" applyAlignment="1">
      <alignment horizontal="center" wrapText="1"/>
    </xf>
    <xf numFmtId="166" fontId="1" fillId="4" borderId="8" xfId="0" applyNumberFormat="1" applyFont="1" applyFill="1" applyBorder="1" applyAlignment="1">
      <alignment horizontal="center" wrapText="1"/>
    </xf>
    <xf numFmtId="1" fontId="1" fillId="12" borderId="0" xfId="0" applyNumberFormat="1" applyFont="1" applyFill="1" applyAlignment="1" applyProtection="1">
      <alignment horizontal="center"/>
      <protection locked="0"/>
    </xf>
    <xf numFmtId="49" fontId="1" fillId="0" borderId="0" xfId="0" applyNumberFormat="1" applyFont="1"/>
    <xf numFmtId="37" fontId="1" fillId="0" borderId="0" xfId="0" applyNumberFormat="1" applyFont="1" applyAlignment="1">
      <alignment horizontal="center"/>
    </xf>
    <xf numFmtId="37" fontId="6" fillId="0" borderId="0" xfId="0" applyNumberFormat="1" applyFont="1"/>
    <xf numFmtId="37" fontId="1" fillId="0" borderId="0" xfId="0" applyNumberFormat="1" applyFont="1" applyProtection="1">
      <protection locked="0"/>
    </xf>
    <xf numFmtId="37" fontId="4" fillId="0" borderId="1" xfId="8" applyNumberFormat="1" applyFont="1" applyBorder="1" applyAlignment="1"/>
    <xf numFmtId="37" fontId="1" fillId="0" borderId="1" xfId="8" applyNumberFormat="1" applyFont="1" applyBorder="1" applyAlignment="1">
      <alignment vertical="top"/>
    </xf>
    <xf numFmtId="37" fontId="1" fillId="0" borderId="0" xfId="8" applyNumberFormat="1" applyFont="1" applyAlignment="1"/>
    <xf numFmtId="37" fontId="12" fillId="0" borderId="0" xfId="8" applyNumberFormat="1" applyFont="1" applyAlignment="1"/>
    <xf numFmtId="37" fontId="4" fillId="0" borderId="0" xfId="8" applyNumberFormat="1" applyFont="1" applyAlignment="1"/>
    <xf numFmtId="37" fontId="1" fillId="0" borderId="0" xfId="8" applyNumberFormat="1" applyFont="1" applyAlignment="1">
      <alignment vertical="top"/>
    </xf>
    <xf numFmtId="37" fontId="1" fillId="0" borderId="13" xfId="8" applyNumberFormat="1" applyFont="1" applyBorder="1" applyAlignment="1">
      <alignment wrapText="1"/>
    </xf>
    <xf numFmtId="37" fontId="1" fillId="0" borderId="14" xfId="8" applyNumberFormat="1" applyFont="1" applyBorder="1" applyAlignment="1">
      <alignment wrapText="1"/>
    </xf>
    <xf numFmtId="37" fontId="1" fillId="0" borderId="13" xfId="8" applyNumberFormat="1" applyFont="1" applyBorder="1" applyAlignment="1"/>
    <xf numFmtId="37" fontId="1" fillId="0" borderId="14" xfId="8" applyNumberFormat="1" applyFont="1" applyBorder="1" applyAlignment="1"/>
    <xf numFmtId="37" fontId="1" fillId="0" borderId="15" xfId="8" applyNumberFormat="1" applyFont="1" applyBorder="1" applyAlignment="1"/>
    <xf numFmtId="37" fontId="12" fillId="0" borderId="13" xfId="8" applyNumberFormat="1" applyFont="1" applyBorder="1" applyAlignment="1"/>
    <xf numFmtId="37" fontId="12" fillId="0" borderId="14" xfId="8" applyNumberFormat="1" applyFont="1" applyBorder="1" applyAlignment="1"/>
    <xf numFmtId="37" fontId="1" fillId="0" borderId="13" xfId="8" applyNumberFormat="1" applyFont="1" applyBorder="1" applyAlignment="1">
      <alignment horizontal="right"/>
    </xf>
    <xf numFmtId="37" fontId="1" fillId="0" borderId="16" xfId="8" applyNumberFormat="1" applyFont="1" applyBorder="1" applyAlignment="1">
      <alignment horizontal="right"/>
    </xf>
    <xf numFmtId="37" fontId="1" fillId="0" borderId="17" xfId="8" applyNumberFormat="1" applyFont="1" applyBorder="1" applyAlignment="1">
      <alignment horizontal="right"/>
    </xf>
    <xf numFmtId="37" fontId="1" fillId="0" borderId="0" xfId="8" applyNumberFormat="1" applyFont="1" applyAlignment="1">
      <alignment horizontal="right"/>
    </xf>
    <xf numFmtId="37" fontId="12" fillId="0" borderId="13" xfId="8" applyNumberFormat="1" applyFont="1" applyBorder="1" applyAlignment="1">
      <alignment horizontal="right"/>
    </xf>
    <xf numFmtId="37" fontId="12" fillId="0" borderId="16" xfId="8" applyNumberFormat="1" applyFont="1" applyBorder="1" applyAlignment="1">
      <alignment horizontal="right"/>
    </xf>
    <xf numFmtId="37" fontId="4" fillId="0" borderId="16" xfId="8" applyNumberFormat="1" applyFont="1" applyBorder="1" applyAlignment="1">
      <alignment vertical="top"/>
    </xf>
    <xf numFmtId="37" fontId="1" fillId="0" borderId="13" xfId="8" applyNumberFormat="1" applyFont="1" applyBorder="1" applyAlignment="1">
      <alignment vertical="distributed"/>
    </xf>
    <xf numFmtId="37" fontId="1" fillId="0" borderId="19" xfId="8" applyNumberFormat="1" applyFont="1" applyBorder="1" applyAlignment="1">
      <alignment vertical="center"/>
    </xf>
    <xf numFmtId="37" fontId="1" fillId="0" borderId="20" xfId="8" applyNumberFormat="1" applyFont="1" applyBorder="1" applyAlignment="1">
      <alignment vertical="center"/>
    </xf>
    <xf numFmtId="37" fontId="1" fillId="0" borderId="21" xfId="8" applyNumberFormat="1" applyFont="1" applyBorder="1" applyAlignment="1">
      <alignment vertical="center"/>
    </xf>
    <xf numFmtId="37" fontId="1" fillId="0" borderId="22" xfId="8" applyNumberFormat="1" applyFont="1" applyBorder="1" applyAlignment="1">
      <alignment vertical="center"/>
    </xf>
    <xf numFmtId="37" fontId="1" fillId="0" borderId="18" xfId="8" applyNumberFormat="1" applyFont="1" applyBorder="1" applyAlignment="1">
      <alignment vertical="center"/>
    </xf>
    <xf numFmtId="37" fontId="1" fillId="0" borderId="0" xfId="8" applyNumberFormat="1" applyFont="1" applyAlignment="1">
      <alignment vertical="center"/>
    </xf>
    <xf numFmtId="37" fontId="1" fillId="0" borderId="23" xfId="8" applyNumberFormat="1" applyFont="1" applyBorder="1" applyAlignment="1">
      <alignment vertical="top"/>
    </xf>
    <xf numFmtId="37" fontId="1" fillId="0" borderId="24" xfId="8" applyNumberFormat="1" applyFont="1" applyBorder="1" applyAlignment="1">
      <alignment vertical="distributed"/>
    </xf>
    <xf numFmtId="37" fontId="1" fillId="0" borderId="25" xfId="8" applyNumberFormat="1" applyFont="1" applyBorder="1" applyAlignment="1"/>
    <xf numFmtId="37" fontId="1" fillId="0" borderId="26" xfId="8" applyNumberFormat="1" applyFont="1" applyBorder="1" applyAlignment="1"/>
    <xf numFmtId="37" fontId="1" fillId="0" borderId="1" xfId="8" applyNumberFormat="1" applyFont="1" applyBorder="1" applyAlignment="1"/>
    <xf numFmtId="37" fontId="1" fillId="0" borderId="27" xfId="8" applyNumberFormat="1" applyFont="1" applyBorder="1" applyAlignment="1"/>
    <xf numFmtId="37" fontId="1" fillId="0" borderId="28" xfId="8" applyNumberFormat="1" applyFont="1" applyBorder="1" applyAlignment="1"/>
    <xf numFmtId="9" fontId="12" fillId="0" borderId="28" xfId="9" applyFont="1" applyBorder="1"/>
    <xf numFmtId="9" fontId="12" fillId="0" borderId="1" xfId="9" applyFont="1" applyBorder="1"/>
    <xf numFmtId="9" fontId="12" fillId="0" borderId="27" xfId="9" applyFont="1" applyBorder="1"/>
    <xf numFmtId="9" fontId="12" fillId="8" borderId="27" xfId="9" applyFont="1" applyFill="1" applyBorder="1"/>
    <xf numFmtId="37" fontId="15" fillId="0" borderId="0" xfId="8" applyNumberFormat="1" applyFont="1" applyAlignment="1"/>
    <xf numFmtId="37" fontId="1" fillId="0" borderId="16" xfId="8" applyNumberFormat="1" applyFont="1" applyBorder="1" applyAlignment="1"/>
    <xf numFmtId="37" fontId="1" fillId="0" borderId="17" xfId="8" applyNumberFormat="1" applyFont="1" applyBorder="1" applyAlignment="1"/>
    <xf numFmtId="37" fontId="1" fillId="0" borderId="29" xfId="8" applyNumberFormat="1" applyFont="1" applyBorder="1" applyAlignment="1"/>
    <xf numFmtId="37" fontId="1" fillId="0" borderId="30" xfId="8" applyNumberFormat="1" applyFont="1" applyBorder="1" applyAlignment="1"/>
    <xf numFmtId="37" fontId="1" fillId="0" borderId="31" xfId="8" applyNumberFormat="1" applyFont="1" applyBorder="1" applyAlignment="1"/>
    <xf numFmtId="37" fontId="1" fillId="0" borderId="32" xfId="8" applyNumberFormat="1" applyFont="1" applyBorder="1" applyAlignment="1"/>
    <xf numFmtId="37" fontId="1" fillId="0" borderId="33" xfId="8" applyNumberFormat="1" applyFont="1" applyBorder="1" applyAlignment="1"/>
    <xf numFmtId="39" fontId="1" fillId="0" borderId="0" xfId="8" applyNumberFormat="1" applyFont="1" applyAlignment="1">
      <alignment vertical="center"/>
    </xf>
    <xf numFmtId="37" fontId="1" fillId="0" borderId="16" xfId="8" applyNumberFormat="1" applyFont="1" applyBorder="1" applyAlignment="1">
      <alignment horizontal="right" vertical="top"/>
    </xf>
    <xf numFmtId="37" fontId="1" fillId="0" borderId="29" xfId="8" applyNumberFormat="1" applyFont="1" applyBorder="1" applyAlignment="1">
      <alignment vertical="center"/>
    </xf>
    <xf numFmtId="37" fontId="1" fillId="0" borderId="16" xfId="8" applyNumberFormat="1" applyFont="1" applyBorder="1" applyAlignment="1">
      <alignment vertical="top"/>
    </xf>
    <xf numFmtId="37" fontId="1" fillId="0" borderId="17" xfId="8" applyNumberFormat="1" applyFont="1" applyBorder="1" applyAlignment="1">
      <alignment vertical="top"/>
    </xf>
    <xf numFmtId="37" fontId="1" fillId="0" borderId="23" xfId="8" applyNumberFormat="1" applyFont="1" applyBorder="1" applyAlignment="1">
      <alignment horizontal="right" vertical="top"/>
    </xf>
    <xf numFmtId="9" fontId="4" fillId="0" borderId="0" xfId="8" applyNumberFormat="1" applyFont="1" applyAlignment="1"/>
    <xf numFmtId="9" fontId="12" fillId="8" borderId="28" xfId="9" applyFont="1" applyFill="1" applyBorder="1"/>
    <xf numFmtId="37" fontId="1" fillId="0" borderId="13" xfId="8" applyNumberFormat="1" applyFont="1" applyBorder="1" applyAlignment="1">
      <alignment vertical="center"/>
    </xf>
    <xf numFmtId="37" fontId="1" fillId="0" borderId="13" xfId="8" applyNumberFormat="1" applyFont="1" applyBorder="1" applyAlignment="1">
      <alignment vertical="top"/>
    </xf>
    <xf numFmtId="9" fontId="1" fillId="0" borderId="0" xfId="9"/>
    <xf numFmtId="37" fontId="1" fillId="0" borderId="24" xfId="8" applyNumberFormat="1" applyFont="1" applyBorder="1" applyAlignment="1"/>
    <xf numFmtId="37" fontId="1" fillId="0" borderId="33" xfId="8" applyNumberFormat="1" applyFont="1" applyBorder="1" applyAlignment="1">
      <alignment vertical="center"/>
    </xf>
    <xf numFmtId="37" fontId="1" fillId="0" borderId="20" xfId="8" applyNumberFormat="1" applyFont="1" applyBorder="1" applyAlignment="1"/>
    <xf numFmtId="37" fontId="4" fillId="0" borderId="34" xfId="8" applyNumberFormat="1" applyFont="1" applyBorder="1" applyAlignment="1">
      <alignment vertical="top"/>
    </xf>
    <xf numFmtId="37" fontId="4" fillId="0" borderId="35" xfId="8" applyNumberFormat="1" applyFont="1" applyBorder="1" applyAlignment="1">
      <alignment vertical="top"/>
    </xf>
    <xf numFmtId="37" fontId="1" fillId="0" borderId="36" xfId="8" applyNumberFormat="1" applyFont="1" applyBorder="1" applyAlignment="1">
      <alignment horizontal="right" vertical="top"/>
    </xf>
    <xf numFmtId="37" fontId="1" fillId="0" borderId="21" xfId="8" applyNumberFormat="1" applyFont="1" applyBorder="1" applyAlignment="1">
      <alignment vertical="top"/>
    </xf>
    <xf numFmtId="37" fontId="1" fillId="0" borderId="37" xfId="8" applyNumberFormat="1" applyFont="1" applyBorder="1" applyAlignment="1"/>
    <xf numFmtId="37" fontId="1" fillId="0" borderId="35" xfId="8" applyNumberFormat="1" applyFont="1" applyBorder="1" applyAlignment="1">
      <alignment horizontal="right" vertical="top"/>
    </xf>
    <xf numFmtId="37" fontId="1" fillId="0" borderId="38" xfId="8" applyNumberFormat="1" applyFont="1" applyBorder="1" applyAlignment="1">
      <alignment horizontal="right" vertical="top"/>
    </xf>
    <xf numFmtId="37" fontId="1" fillId="0" borderId="37" xfId="8" applyNumberFormat="1" applyFont="1" applyBorder="1" applyAlignment="1">
      <alignment horizontal="right" vertical="top"/>
    </xf>
    <xf numFmtId="37" fontId="1" fillId="0" borderId="36" xfId="8" applyNumberFormat="1" applyFont="1" applyBorder="1" applyAlignment="1">
      <alignment vertical="top"/>
    </xf>
    <xf numFmtId="37" fontId="4" fillId="0" borderId="35" xfId="8" applyNumberFormat="1" applyFont="1" applyBorder="1" applyAlignment="1">
      <alignment horizontal="left" vertical="top"/>
    </xf>
    <xf numFmtId="37" fontId="9" fillId="0" borderId="34" xfId="8" applyNumberFormat="1" applyFont="1" applyBorder="1" applyAlignment="1">
      <alignment horizontal="right" vertical="top"/>
    </xf>
    <xf numFmtId="37" fontId="1" fillId="0" borderId="39" xfId="8" applyNumberFormat="1" applyFont="1" applyBorder="1" applyAlignment="1">
      <alignment horizontal="right" vertical="top"/>
    </xf>
    <xf numFmtId="37" fontId="9" fillId="0" borderId="35" xfId="8" applyNumberFormat="1" applyFont="1" applyBorder="1" applyAlignment="1">
      <alignment horizontal="right" vertical="top"/>
    </xf>
    <xf numFmtId="9" fontId="12" fillId="8" borderId="1" xfId="9" applyFont="1" applyFill="1" applyBorder="1"/>
    <xf numFmtId="37" fontId="1" fillId="0" borderId="33" xfId="8" applyNumberFormat="1" applyFont="1" applyBorder="1" applyAlignment="1">
      <alignment vertical="center" wrapText="1"/>
    </xf>
    <xf numFmtId="37" fontId="9" fillId="0" borderId="40" xfId="8" applyNumberFormat="1" applyFont="1" applyBorder="1" applyAlignment="1">
      <alignment vertical="center"/>
    </xf>
    <xf numFmtId="37" fontId="9" fillId="0" borderId="41" xfId="8" applyNumberFormat="1" applyFont="1" applyBorder="1" applyAlignment="1">
      <alignment vertical="center"/>
    </xf>
    <xf numFmtId="37" fontId="1" fillId="0" borderId="42" xfId="8" applyNumberFormat="1" applyFont="1" applyBorder="1" applyAlignment="1"/>
    <xf numFmtId="37" fontId="1" fillId="0" borderId="40" xfId="8" applyNumberFormat="1" applyFont="1" applyBorder="1" applyAlignment="1"/>
    <xf numFmtId="37" fontId="1" fillId="0" borderId="43" xfId="8" applyNumberFormat="1" applyFont="1" applyBorder="1" applyAlignment="1"/>
    <xf numFmtId="37" fontId="1" fillId="0" borderId="44" xfId="8" applyNumberFormat="1" applyFont="1" applyBorder="1" applyAlignment="1"/>
    <xf numFmtId="37" fontId="1" fillId="0" borderId="28" xfId="8" applyNumberFormat="1" applyFont="1" applyBorder="1" applyAlignment="1">
      <alignment vertical="center" wrapText="1"/>
    </xf>
    <xf numFmtId="37" fontId="1" fillId="0" borderId="45" xfId="8" applyNumberFormat="1" applyFont="1" applyBorder="1" applyAlignment="1">
      <alignment horizontal="right" vertical="top"/>
    </xf>
    <xf numFmtId="37" fontId="1" fillId="0" borderId="0" xfId="8" applyNumberFormat="1" applyFont="1" applyAlignment="1">
      <alignment horizontal="right" vertical="top"/>
    </xf>
    <xf numFmtId="37" fontId="1" fillId="0" borderId="46" xfId="8" applyNumberFormat="1" applyFont="1" applyBorder="1" applyAlignment="1">
      <alignment horizontal="right" vertical="top"/>
    </xf>
    <xf numFmtId="9" fontId="1" fillId="0" borderId="6" xfId="9" applyBorder="1" applyAlignment="1">
      <alignment horizontal="right" vertical="top"/>
    </xf>
    <xf numFmtId="37" fontId="1" fillId="0" borderId="38" xfId="8" applyNumberFormat="1" applyFont="1" applyBorder="1" applyAlignment="1">
      <alignment vertical="center"/>
    </xf>
    <xf numFmtId="37" fontId="1" fillId="0" borderId="47" xfId="8" applyNumberFormat="1" applyFont="1" applyBorder="1" applyAlignment="1">
      <alignment vertical="center"/>
    </xf>
    <xf numFmtId="37" fontId="1" fillId="0" borderId="48" xfId="8" applyNumberFormat="1" applyFont="1" applyBorder="1" applyAlignment="1"/>
    <xf numFmtId="37" fontId="1" fillId="0" borderId="49" xfId="8" applyNumberFormat="1" applyFont="1" applyBorder="1" applyAlignment="1">
      <alignment horizontal="right" vertical="top"/>
    </xf>
    <xf numFmtId="37" fontId="1" fillId="0" borderId="50" xfId="8" applyNumberFormat="1" applyFont="1" applyBorder="1" applyAlignment="1">
      <alignment vertical="center"/>
    </xf>
    <xf numFmtId="37" fontId="4" fillId="0" borderId="25" xfId="8" applyNumberFormat="1" applyFont="1" applyBorder="1" applyAlignment="1"/>
    <xf numFmtId="9" fontId="4" fillId="0" borderId="51" xfId="8" applyNumberFormat="1" applyFont="1" applyBorder="1" applyAlignment="1"/>
    <xf numFmtId="3" fontId="1" fillId="0" borderId="0" xfId="8" applyNumberFormat="1" applyFont="1" applyAlignment="1"/>
    <xf numFmtId="37" fontId="4" fillId="0" borderId="52" xfId="8" applyNumberFormat="1" applyFont="1" applyBorder="1" applyAlignment="1"/>
    <xf numFmtId="37" fontId="4" fillId="0" borderId="53" xfId="8" applyNumberFormat="1" applyFont="1" applyBorder="1" applyAlignment="1"/>
    <xf numFmtId="37" fontId="4" fillId="0" borderId="13" xfId="8" applyNumberFormat="1" applyFont="1" applyBorder="1" applyAlignment="1"/>
    <xf numFmtId="37" fontId="4" fillId="0" borderId="14" xfId="8" applyNumberFormat="1" applyFont="1" applyBorder="1" applyAlignment="1"/>
    <xf numFmtId="37" fontId="4" fillId="0" borderId="15" xfId="8" applyNumberFormat="1" applyFont="1" applyBorder="1" applyAlignment="1"/>
    <xf numFmtId="37" fontId="4" fillId="0" borderId="54" xfId="8" applyNumberFormat="1" applyFont="1" applyBorder="1" applyAlignment="1"/>
    <xf numFmtId="37" fontId="26" fillId="0" borderId="0" xfId="8" applyNumberFormat="1" applyAlignment="1"/>
    <xf numFmtId="3" fontId="4" fillId="0" borderId="0" xfId="8" applyNumberFormat="1" applyFont="1" applyAlignment="1"/>
    <xf numFmtId="37" fontId="4" fillId="0" borderId="55" xfId="8" applyNumberFormat="1" applyFont="1" applyBorder="1" applyAlignment="1"/>
    <xf numFmtId="37" fontId="4" fillId="0" borderId="56" xfId="8" applyNumberFormat="1" applyFont="1" applyBorder="1" applyAlignment="1"/>
    <xf numFmtId="37" fontId="4" fillId="24" borderId="19" xfId="8" applyNumberFormat="1" applyFont="1" applyFill="1" applyBorder="1" applyAlignment="1"/>
    <xf numFmtId="37" fontId="4" fillId="0" borderId="19" xfId="8" applyNumberFormat="1" applyFont="1" applyBorder="1" applyAlignment="1"/>
    <xf numFmtId="37" fontId="4" fillId="24" borderId="38" xfId="8" applyNumberFormat="1" applyFont="1" applyFill="1" applyBorder="1" applyAlignment="1"/>
    <xf numFmtId="37" fontId="4" fillId="0" borderId="57" xfId="8" applyNumberFormat="1" applyFont="1" applyBorder="1" applyAlignment="1"/>
    <xf numFmtId="37" fontId="4" fillId="0" borderId="42" xfId="8" applyNumberFormat="1" applyFont="1" applyBorder="1" applyAlignment="1"/>
    <xf numFmtId="37" fontId="4" fillId="0" borderId="29" xfId="8" applyNumberFormat="1" applyFont="1" applyBorder="1" applyAlignment="1"/>
    <xf numFmtId="37" fontId="4" fillId="24" borderId="58" xfId="8" applyNumberFormat="1" applyFont="1" applyFill="1" applyBorder="1" applyAlignment="1"/>
    <xf numFmtId="37" fontId="4" fillId="0" borderId="16" xfId="8" applyNumberFormat="1" applyFont="1" applyBorder="1" applyAlignment="1"/>
    <xf numFmtId="37" fontId="4" fillId="0" borderId="59" xfId="8" applyNumberFormat="1" applyFont="1" applyBorder="1" applyAlignment="1"/>
    <xf numFmtId="37" fontId="1" fillId="24" borderId="60" xfId="8" applyNumberFormat="1" applyFont="1" applyFill="1" applyBorder="1" applyAlignment="1"/>
    <xf numFmtId="37" fontId="4" fillId="0" borderId="58" xfId="8" applyNumberFormat="1" applyFont="1" applyBorder="1" applyAlignment="1"/>
    <xf numFmtId="37" fontId="4" fillId="24" borderId="48" xfId="8" applyNumberFormat="1" applyFont="1" applyFill="1" applyBorder="1" applyAlignment="1"/>
    <xf numFmtId="37" fontId="1" fillId="0" borderId="61" xfId="8" applyNumberFormat="1" applyFont="1" applyBorder="1" applyAlignment="1"/>
    <xf numFmtId="3" fontId="1" fillId="0" borderId="62" xfId="8" applyNumberFormat="1" applyFont="1" applyBorder="1" applyAlignment="1"/>
    <xf numFmtId="3" fontId="1" fillId="24" borderId="62" xfId="8" applyNumberFormat="1" applyFont="1" applyFill="1" applyBorder="1" applyAlignment="1"/>
    <xf numFmtId="37" fontId="4" fillId="0" borderId="30" xfId="8" applyNumberFormat="1" applyFont="1" applyBorder="1" applyAlignment="1"/>
    <xf numFmtId="3" fontId="1" fillId="0" borderId="32" xfId="8" applyNumberFormat="1" applyFont="1" applyBorder="1" applyAlignment="1"/>
    <xf numFmtId="3" fontId="1" fillId="24" borderId="32" xfId="8" applyNumberFormat="1" applyFont="1" applyFill="1" applyBorder="1" applyAlignment="1"/>
    <xf numFmtId="3" fontId="4" fillId="0" borderId="0" xfId="9" applyNumberFormat="1" applyFont="1" applyAlignment="1">
      <alignment horizontal="right"/>
    </xf>
    <xf numFmtId="37" fontId="4" fillId="0" borderId="31" xfId="8" applyNumberFormat="1" applyFont="1" applyBorder="1" applyAlignment="1"/>
    <xf numFmtId="37" fontId="4" fillId="0" borderId="63" xfId="8" applyNumberFormat="1" applyFont="1" applyBorder="1" applyAlignment="1">
      <alignment horizontal="right"/>
    </xf>
    <xf numFmtId="3" fontId="4" fillId="0" borderId="50" xfId="8" applyNumberFormat="1" applyFont="1" applyBorder="1" applyAlignment="1"/>
    <xf numFmtId="3" fontId="4" fillId="24" borderId="50" xfId="8" applyNumberFormat="1" applyFont="1" applyFill="1" applyBorder="1" applyAlignment="1"/>
    <xf numFmtId="3" fontId="4" fillId="0" borderId="0" xfId="9" applyNumberFormat="1" applyFont="1"/>
    <xf numFmtId="3" fontId="1" fillId="0" borderId="17" xfId="8" applyNumberFormat="1" applyFont="1" applyBorder="1" applyAlignment="1"/>
    <xf numFmtId="3" fontId="1" fillId="24" borderId="17" xfId="8" applyNumberFormat="1" applyFont="1" applyFill="1" applyBorder="1" applyAlignment="1"/>
    <xf numFmtId="3" fontId="4" fillId="8" borderId="50" xfId="8" applyNumberFormat="1" applyFont="1" applyFill="1" applyBorder="1" applyAlignment="1"/>
    <xf numFmtId="3" fontId="1" fillId="0" borderId="0" xfId="9" applyNumberFormat="1" applyAlignment="1">
      <alignment horizontal="right"/>
    </xf>
    <xf numFmtId="37" fontId="1" fillId="24" borderId="13" xfId="8" applyNumberFormat="1" applyFont="1" applyFill="1" applyBorder="1" applyAlignment="1"/>
    <xf numFmtId="37" fontId="1" fillId="24" borderId="31" xfId="8" applyNumberFormat="1" applyFont="1" applyFill="1" applyBorder="1" applyAlignment="1"/>
    <xf numFmtId="37" fontId="4" fillId="24" borderId="63" xfId="8" applyNumberFormat="1" applyFont="1" applyFill="1" applyBorder="1" applyAlignment="1">
      <alignment horizontal="right"/>
    </xf>
    <xf numFmtId="37" fontId="4" fillId="0" borderId="24" xfId="8" applyNumberFormat="1" applyFont="1" applyBorder="1" applyAlignment="1"/>
    <xf numFmtId="37" fontId="4" fillId="0" borderId="31" xfId="8" applyNumberFormat="1" applyFont="1" applyBorder="1" applyAlignment="1">
      <alignment horizontal="right"/>
    </xf>
    <xf numFmtId="3" fontId="4" fillId="0" borderId="32" xfId="8" applyNumberFormat="1" applyFont="1" applyBorder="1" applyAlignment="1"/>
    <xf numFmtId="3" fontId="4" fillId="24" borderId="32" xfId="8" applyNumberFormat="1" applyFont="1" applyFill="1" applyBorder="1" applyAlignment="1"/>
    <xf numFmtId="3" fontId="4" fillId="8" borderId="32" xfId="8" applyNumberFormat="1" applyFont="1" applyFill="1" applyBorder="1" applyAlignment="1"/>
    <xf numFmtId="3" fontId="4" fillId="0" borderId="51" xfId="9" applyNumberFormat="1" applyFont="1" applyBorder="1"/>
    <xf numFmtId="3" fontId="4" fillId="0" borderId="51" xfId="9" applyNumberFormat="1" applyFont="1" applyBorder="1" applyAlignment="1">
      <alignment horizontal="right"/>
    </xf>
    <xf numFmtId="37" fontId="4" fillId="0" borderId="64" xfId="8" applyNumberFormat="1" applyFont="1" applyBorder="1" applyAlignment="1"/>
    <xf numFmtId="37" fontId="4" fillId="0" borderId="65" xfId="8" applyNumberFormat="1" applyFont="1" applyBorder="1" applyAlignment="1"/>
    <xf numFmtId="3" fontId="1" fillId="0" borderId="66" xfId="8" applyNumberFormat="1" applyFont="1" applyBorder="1" applyAlignment="1"/>
    <xf numFmtId="3" fontId="1" fillId="0" borderId="67" xfId="8" applyNumberFormat="1" applyFont="1" applyBorder="1" applyAlignment="1"/>
    <xf numFmtId="3" fontId="1" fillId="24" borderId="68" xfId="8" applyNumberFormat="1" applyFont="1" applyFill="1" applyBorder="1" applyAlignment="1"/>
    <xf numFmtId="3" fontId="1" fillId="0" borderId="68" xfId="8" applyNumberFormat="1" applyFont="1" applyBorder="1" applyAlignment="1"/>
    <xf numFmtId="3" fontId="1" fillId="24" borderId="66" xfId="8" applyNumberFormat="1" applyFont="1" applyFill="1" applyBorder="1" applyAlignment="1"/>
    <xf numFmtId="3" fontId="1" fillId="24" borderId="69" xfId="8" applyNumberFormat="1" applyFont="1" applyFill="1" applyBorder="1" applyAlignment="1"/>
    <xf numFmtId="37" fontId="27" fillId="0" borderId="0" xfId="8" applyNumberFormat="1" applyFont="1" applyAlignment="1"/>
    <xf numFmtId="3" fontId="1" fillId="0" borderId="64" xfId="8" applyNumberFormat="1" applyFont="1" applyBorder="1" applyAlignment="1"/>
    <xf numFmtId="3" fontId="1" fillId="0" borderId="70" xfId="8" applyNumberFormat="1" applyFont="1" applyBorder="1" applyAlignment="1"/>
    <xf numFmtId="3" fontId="1" fillId="24" borderId="71" xfId="8" applyNumberFormat="1" applyFont="1" applyFill="1" applyBorder="1" applyAlignment="1"/>
    <xf numFmtId="3" fontId="1" fillId="0" borderId="71" xfId="8" applyNumberFormat="1" applyFont="1" applyBorder="1" applyAlignment="1"/>
    <xf numFmtId="3" fontId="1" fillId="24" borderId="64" xfId="8" applyNumberFormat="1" applyFont="1" applyFill="1" applyBorder="1" applyAlignment="1"/>
    <xf numFmtId="3" fontId="1" fillId="24" borderId="72" xfId="8" applyNumberFormat="1" applyFont="1" applyFill="1" applyBorder="1" applyAlignment="1"/>
    <xf numFmtId="3" fontId="1" fillId="24" borderId="70" xfId="8" applyNumberFormat="1" applyFont="1" applyFill="1" applyBorder="1" applyAlignment="1"/>
    <xf numFmtId="37" fontId="4" fillId="0" borderId="73" xfId="8" applyNumberFormat="1" applyFont="1" applyBorder="1" applyAlignment="1"/>
    <xf numFmtId="37" fontId="4" fillId="0" borderId="74" xfId="8" applyNumberFormat="1" applyFont="1" applyBorder="1" applyAlignment="1"/>
    <xf numFmtId="3" fontId="1" fillId="0" borderId="73" xfId="8" applyNumberFormat="1" applyFont="1" applyBorder="1" applyAlignment="1"/>
    <xf numFmtId="3" fontId="1" fillId="0" borderId="75" xfId="8" applyNumberFormat="1" applyFont="1" applyBorder="1" applyAlignment="1"/>
    <xf numFmtId="3" fontId="1" fillId="24" borderId="76" xfId="8" applyNumberFormat="1" applyFont="1" applyFill="1" applyBorder="1" applyAlignment="1"/>
    <xf numFmtId="3" fontId="1" fillId="0" borderId="76" xfId="8" applyNumberFormat="1" applyFont="1" applyBorder="1" applyAlignment="1"/>
    <xf numFmtId="3" fontId="1" fillId="24" borderId="73" xfId="8" applyNumberFormat="1" applyFont="1" applyFill="1" applyBorder="1" applyAlignment="1"/>
    <xf numFmtId="3" fontId="1" fillId="24" borderId="77" xfId="8" applyNumberFormat="1" applyFont="1" applyFill="1" applyBorder="1" applyAlignment="1"/>
    <xf numFmtId="3" fontId="1" fillId="0" borderId="78" xfId="8" applyNumberFormat="1" applyFont="1" applyBorder="1" applyAlignment="1"/>
    <xf numFmtId="3" fontId="1" fillId="0" borderId="46" xfId="8" applyNumberFormat="1" applyFont="1" applyBorder="1" applyAlignment="1"/>
    <xf numFmtId="3" fontId="1" fillId="0" borderId="0" xfId="9" applyNumberFormat="1"/>
    <xf numFmtId="3" fontId="4" fillId="0" borderId="1" xfId="9" applyNumberFormat="1" applyFont="1" applyBorder="1"/>
    <xf numFmtId="3" fontId="4" fillId="0" borderId="1" xfId="9" applyNumberFormat="1" applyFont="1" applyBorder="1" applyAlignment="1">
      <alignment horizontal="right"/>
    </xf>
    <xf numFmtId="3" fontId="1" fillId="0" borderId="7" xfId="8" applyNumberFormat="1" applyFont="1" applyBorder="1" applyAlignment="1"/>
    <xf numFmtId="37" fontId="28" fillId="0" borderId="0" xfId="8" applyNumberFormat="1" applyFont="1" applyAlignment="1">
      <alignment horizontal="left" vertical="center"/>
    </xf>
    <xf numFmtId="37" fontId="29" fillId="0" borderId="0" xfId="8" applyNumberFormat="1" applyFont="1" applyAlignment="1">
      <alignment horizontal="centerContinuous" vertical="center"/>
    </xf>
    <xf numFmtId="37" fontId="30" fillId="0" borderId="0" xfId="8" applyNumberFormat="1" applyFont="1" applyAlignment="1">
      <alignment horizontal="centerContinuous" vertical="center"/>
    </xf>
    <xf numFmtId="37" fontId="31" fillId="0" borderId="0" xfId="8" applyNumberFormat="1" applyFont="1" applyAlignment="1">
      <alignment horizontal="centerContinuous" vertical="center"/>
    </xf>
    <xf numFmtId="37" fontId="31" fillId="0" borderId="1" xfId="8" applyNumberFormat="1" applyFont="1" applyBorder="1" applyAlignment="1">
      <alignment horizontal="centerContinuous" vertical="center"/>
    </xf>
    <xf numFmtId="37" fontId="28" fillId="0" borderId="85" xfId="8" applyNumberFormat="1" applyFont="1" applyBorder="1" applyAlignment="1">
      <alignment vertical="center"/>
    </xf>
    <xf numFmtId="37" fontId="31" fillId="0" borderId="85" xfId="8" applyNumberFormat="1" applyFont="1" applyBorder="1" applyAlignment="1">
      <alignment horizontal="centerContinuous" vertical="center"/>
    </xf>
    <xf numFmtId="37" fontId="31" fillId="0" borderId="86" xfId="8" applyNumberFormat="1" applyFont="1" applyBorder="1" applyAlignment="1">
      <alignment horizontal="centerContinuous" vertical="center"/>
    </xf>
    <xf numFmtId="37" fontId="31" fillId="0" borderId="87" xfId="8" applyNumberFormat="1" applyFont="1" applyBorder="1" applyAlignment="1">
      <alignment horizontal="centerContinuous" vertical="center" wrapText="1"/>
    </xf>
    <xf numFmtId="37" fontId="31" fillId="0" borderId="21" xfId="8" applyNumberFormat="1" applyFont="1" applyBorder="1" applyAlignment="1">
      <alignment horizontal="centerContinuous" vertical="center" wrapText="1"/>
    </xf>
    <xf numFmtId="37" fontId="1" fillId="0" borderId="87" xfId="8" applyNumberFormat="1" applyFont="1" applyBorder="1" applyAlignment="1"/>
    <xf numFmtId="37" fontId="28" fillId="0" borderId="0" xfId="8" applyNumberFormat="1" applyFont="1" applyAlignment="1">
      <alignment vertical="center"/>
    </xf>
    <xf numFmtId="37" fontId="31" fillId="0" borderId="85" xfId="8" applyNumberFormat="1" applyFont="1" applyBorder="1" applyAlignment="1">
      <alignment horizontal="centerContinuous" vertical="center" wrapText="1"/>
    </xf>
    <xf numFmtId="37" fontId="31" fillId="0" borderId="88" xfId="8" applyNumberFormat="1" applyFont="1" applyBorder="1" applyAlignment="1">
      <alignment horizontal="centerContinuous" vertical="center" wrapText="1"/>
    </xf>
    <xf numFmtId="37" fontId="31" fillId="0" borderId="86" xfId="8" applyNumberFormat="1" applyFont="1" applyBorder="1" applyAlignment="1">
      <alignment horizontal="centerContinuous" vertical="center" wrapText="1"/>
    </xf>
    <xf numFmtId="37" fontId="32" fillId="0" borderId="85" xfId="8" applyNumberFormat="1" applyFont="1" applyBorder="1" applyAlignment="1">
      <alignment horizontal="centerContinuous" vertical="center" wrapText="1"/>
    </xf>
    <xf numFmtId="37" fontId="31" fillId="0" borderId="18" xfId="8" applyNumberFormat="1" applyFont="1" applyBorder="1" applyAlignment="1">
      <alignment horizontal="centerContinuous" vertical="center" wrapText="1"/>
    </xf>
    <xf numFmtId="37" fontId="31" fillId="0" borderId="89" xfId="8" applyNumberFormat="1" applyFont="1" applyBorder="1" applyAlignment="1">
      <alignment horizontal="centerContinuous" vertical="center" wrapText="1"/>
    </xf>
    <xf numFmtId="37" fontId="31" fillId="0" borderId="51" xfId="8" applyNumberFormat="1" applyFont="1" applyBorder="1" applyAlignment="1">
      <alignment horizontal="centerContinuous" vertical="center" wrapText="1"/>
    </xf>
    <xf numFmtId="37" fontId="1" fillId="0" borderId="7" xfId="8" applyNumberFormat="1" applyFont="1" applyBorder="1" applyAlignment="1"/>
    <xf numFmtId="37" fontId="1" fillId="0" borderId="51" xfId="8" applyNumberFormat="1" applyFont="1" applyBorder="1" applyAlignment="1">
      <alignment horizontal="center" wrapText="1"/>
    </xf>
    <xf numFmtId="166" fontId="31" fillId="0" borderId="85" xfId="8" applyNumberFormat="1" applyFont="1" applyBorder="1" applyAlignment="1">
      <alignment horizontal="center" wrapText="1"/>
    </xf>
    <xf numFmtId="37" fontId="31" fillId="0" borderId="85" xfId="8" applyNumberFormat="1" applyFont="1" applyBorder="1" applyAlignment="1">
      <alignment horizontal="center" wrapText="1"/>
    </xf>
    <xf numFmtId="166" fontId="31" fillId="0" borderId="88" xfId="8" applyNumberFormat="1" applyFont="1" applyBorder="1" applyAlignment="1">
      <alignment horizontal="center" wrapText="1"/>
    </xf>
    <xf numFmtId="37" fontId="31" fillId="0" borderId="86" xfId="8" applyNumberFormat="1" applyFont="1" applyBorder="1" applyAlignment="1">
      <alignment horizontal="center" wrapText="1"/>
    </xf>
    <xf numFmtId="166" fontId="32" fillId="0" borderId="85" xfId="8" applyNumberFormat="1" applyFont="1" applyBorder="1" applyAlignment="1">
      <alignment horizontal="center" wrapText="1"/>
    </xf>
    <xf numFmtId="37" fontId="32" fillId="0" borderId="85" xfId="8" applyNumberFormat="1" applyFont="1" applyBorder="1" applyAlignment="1">
      <alignment horizontal="center" wrapText="1"/>
    </xf>
    <xf numFmtId="37" fontId="32" fillId="0" borderId="28" xfId="8" applyNumberFormat="1" applyFont="1" applyBorder="1" applyAlignment="1">
      <alignment horizontal="centerContinuous" vertical="center" wrapText="1"/>
    </xf>
    <xf numFmtId="37" fontId="32" fillId="0" borderId="89" xfId="8" applyNumberFormat="1" applyFont="1" applyBorder="1" applyAlignment="1">
      <alignment horizontal="centerContinuous" vertical="center" wrapText="1"/>
    </xf>
    <xf numFmtId="3" fontId="1" fillId="25" borderId="0" xfId="8" applyNumberFormat="1" applyFont="1" applyFill="1" applyAlignment="1">
      <alignment vertical="center"/>
    </xf>
    <xf numFmtId="3" fontId="1" fillId="25" borderId="21" xfId="8" applyNumberFormat="1" applyFont="1" applyFill="1" applyBorder="1" applyAlignment="1">
      <alignment vertical="center"/>
    </xf>
    <xf numFmtId="3" fontId="1" fillId="25" borderId="46" xfId="8" applyNumberFormat="1" applyFont="1" applyFill="1" applyBorder="1" applyAlignment="1">
      <alignment vertical="center"/>
    </xf>
    <xf numFmtId="3" fontId="1" fillId="25" borderId="7" xfId="8" applyNumberFormat="1" applyFont="1" applyFill="1" applyBorder="1" applyAlignment="1">
      <alignment vertical="center"/>
    </xf>
    <xf numFmtId="3" fontId="1" fillId="25" borderId="90" xfId="8" applyNumberFormat="1" applyFont="1" applyFill="1" applyBorder="1" applyAlignment="1">
      <alignment vertical="center"/>
    </xf>
    <xf numFmtId="3" fontId="18" fillId="0" borderId="7" xfId="8" applyNumberFormat="1" applyFont="1" applyBorder="1" applyAlignment="1">
      <alignment vertical="center"/>
    </xf>
    <xf numFmtId="3" fontId="18" fillId="0" borderId="0" xfId="8" applyNumberFormat="1" applyFont="1" applyAlignment="1">
      <alignment vertical="center"/>
    </xf>
    <xf numFmtId="3" fontId="18" fillId="25" borderId="7" xfId="8" applyNumberFormat="1" applyFont="1" applyFill="1" applyBorder="1" applyAlignment="1">
      <alignment vertical="center"/>
    </xf>
    <xf numFmtId="37" fontId="18" fillId="0" borderId="87" xfId="8" applyNumberFormat="1" applyFont="1" applyBorder="1" applyAlignment="1"/>
    <xf numFmtId="165" fontId="33" fillId="0" borderId="0" xfId="10" applyNumberFormat="1" applyFont="1" applyAlignment="1">
      <alignment horizontal="right" vertical="center"/>
    </xf>
    <xf numFmtId="165" fontId="33" fillId="0" borderId="0" xfId="10" applyNumberFormat="1" applyFont="1" applyAlignment="1">
      <alignment vertical="center"/>
    </xf>
    <xf numFmtId="165" fontId="33" fillId="0" borderId="7" xfId="10" applyNumberFormat="1" applyFont="1" applyBorder="1" applyAlignment="1">
      <alignment vertical="center"/>
    </xf>
    <xf numFmtId="165" fontId="33" fillId="0" borderId="46" xfId="10" applyNumberFormat="1" applyFont="1" applyBorder="1" applyAlignment="1">
      <alignment vertical="center"/>
    </xf>
    <xf numFmtId="165" fontId="1" fillId="0" borderId="7" xfId="10" applyNumberFormat="1" applyBorder="1" applyAlignment="1">
      <alignment vertical="center"/>
    </xf>
    <xf numFmtId="165" fontId="0" fillId="0" borderId="0" xfId="10" applyNumberFormat="1" applyFont="1"/>
    <xf numFmtId="3" fontId="1" fillId="0" borderId="0" xfId="8" applyNumberFormat="1" applyFont="1" applyAlignment="1">
      <alignment vertical="center"/>
    </xf>
    <xf numFmtId="3" fontId="1" fillId="0" borderId="46" xfId="8" applyNumberFormat="1" applyFont="1" applyBorder="1" applyAlignment="1">
      <alignment vertical="center"/>
    </xf>
    <xf numFmtId="3" fontId="1" fillId="0" borderId="7" xfId="8" applyNumberFormat="1" applyFont="1" applyBorder="1" applyAlignment="1">
      <alignment vertical="center"/>
    </xf>
    <xf numFmtId="3" fontId="18" fillId="0" borderId="33" xfId="8" applyNumberFormat="1" applyFont="1" applyBorder="1" applyAlignment="1">
      <alignment vertical="center"/>
    </xf>
    <xf numFmtId="37" fontId="18" fillId="0" borderId="7" xfId="8" applyNumberFormat="1" applyFont="1" applyBorder="1" applyAlignment="1"/>
    <xf numFmtId="3" fontId="1" fillId="0" borderId="0" xfId="8" quotePrefix="1" applyNumberFormat="1" applyFont="1" applyAlignment="1">
      <alignment vertical="center"/>
    </xf>
    <xf numFmtId="3" fontId="1" fillId="0" borderId="46" xfId="8" quotePrefix="1" applyNumberFormat="1" applyFont="1" applyBorder="1" applyAlignment="1">
      <alignment vertical="center"/>
    </xf>
    <xf numFmtId="3" fontId="1" fillId="0" borderId="7" xfId="8" quotePrefix="1" applyNumberFormat="1" applyFont="1" applyBorder="1" applyAlignment="1">
      <alignment vertical="center"/>
    </xf>
    <xf numFmtId="3" fontId="18" fillId="0" borderId="0" xfId="8" quotePrefix="1" applyNumberFormat="1" applyFont="1" applyAlignment="1">
      <alignment vertical="center"/>
    </xf>
    <xf numFmtId="37" fontId="1" fillId="0" borderId="0" xfId="8" quotePrefix="1" applyNumberFormat="1" applyFont="1" applyAlignment="1"/>
    <xf numFmtId="37" fontId="1" fillId="0" borderId="51" xfId="8" applyNumberFormat="1" applyFont="1" applyBorder="1" applyAlignment="1">
      <alignment vertical="center"/>
    </xf>
    <xf numFmtId="3" fontId="1" fillId="0" borderId="51" xfId="8" applyNumberFormat="1" applyFont="1" applyBorder="1" applyAlignment="1">
      <alignment vertical="center"/>
    </xf>
    <xf numFmtId="3" fontId="1" fillId="0" borderId="91" xfId="8" applyNumberFormat="1" applyFont="1" applyBorder="1" applyAlignment="1">
      <alignment vertical="center"/>
    </xf>
    <xf numFmtId="3" fontId="1" fillId="0" borderId="89" xfId="8" applyNumberFormat="1" applyFont="1" applyBorder="1" applyAlignment="1">
      <alignment vertical="center"/>
    </xf>
    <xf numFmtId="3" fontId="18" fillId="0" borderId="51" xfId="8" applyNumberFormat="1" applyFont="1" applyBorder="1" applyAlignment="1">
      <alignment vertical="center"/>
    </xf>
    <xf numFmtId="3" fontId="18" fillId="0" borderId="28" xfId="8" applyNumberFormat="1" applyFont="1" applyBorder="1" applyAlignment="1">
      <alignment vertical="center"/>
    </xf>
    <xf numFmtId="37" fontId="1" fillId="0" borderId="89" xfId="8" applyNumberFormat="1" applyFont="1" applyBorder="1" applyAlignment="1"/>
    <xf numFmtId="37" fontId="1" fillId="0" borderId="51" xfId="8" applyNumberFormat="1" applyFont="1" applyBorder="1" applyAlignment="1"/>
    <xf numFmtId="37" fontId="1" fillId="0" borderId="51" xfId="8" quotePrefix="1" applyNumberFormat="1" applyFont="1" applyBorder="1" applyAlignment="1"/>
    <xf numFmtId="37" fontId="18" fillId="0" borderId="89" xfId="8" applyNumberFormat="1" applyFont="1" applyBorder="1" applyAlignment="1"/>
    <xf numFmtId="37" fontId="34" fillId="0" borderId="0" xfId="8" applyNumberFormat="1" applyFont="1" applyAlignment="1">
      <alignment vertical="center"/>
    </xf>
    <xf numFmtId="3" fontId="1" fillId="0" borderId="0" xfId="8" applyNumberFormat="1" applyFont="1" applyAlignment="1">
      <alignment horizontal="right" vertical="center"/>
    </xf>
    <xf numFmtId="3" fontId="1" fillId="0" borderId="0" xfId="8" applyNumberFormat="1" applyFont="1" applyAlignment="1">
      <alignment horizontal="center" vertical="center"/>
    </xf>
    <xf numFmtId="37" fontId="31" fillId="0" borderId="51" xfId="8" applyNumberFormat="1" applyFont="1" applyBorder="1" applyAlignment="1">
      <alignment horizontal="centerContinuous" vertical="center"/>
    </xf>
    <xf numFmtId="165" fontId="1" fillId="0" borderId="0" xfId="10" applyNumberFormat="1" applyAlignment="1">
      <alignment vertical="center"/>
    </xf>
    <xf numFmtId="165" fontId="18" fillId="0" borderId="7" xfId="10" applyNumberFormat="1" applyFont="1" applyBorder="1" applyAlignment="1">
      <alignment vertical="center"/>
    </xf>
    <xf numFmtId="165" fontId="1" fillId="0" borderId="0" xfId="10" applyNumberFormat="1"/>
    <xf numFmtId="9" fontId="0" fillId="0" borderId="0" xfId="9" applyFont="1"/>
    <xf numFmtId="37" fontId="28" fillId="0" borderId="51" xfId="8" applyNumberFormat="1" applyFont="1" applyBorder="1" applyAlignment="1">
      <alignment horizontal="left" vertical="center"/>
    </xf>
    <xf numFmtId="3" fontId="1" fillId="0" borderId="51" xfId="8" applyNumberFormat="1" applyFont="1" applyBorder="1" applyAlignment="1">
      <alignment horizontal="right" vertical="center"/>
    </xf>
    <xf numFmtId="3" fontId="1" fillId="0" borderId="87" xfId="8" applyNumberFormat="1" applyFont="1" applyBorder="1" applyAlignment="1">
      <alignment horizontal="right" vertical="center"/>
    </xf>
    <xf numFmtId="37" fontId="31" fillId="0" borderId="28" xfId="8" applyNumberFormat="1" applyFont="1" applyBorder="1" applyAlignment="1">
      <alignment horizontal="centerContinuous" vertical="center" wrapText="1"/>
    </xf>
    <xf numFmtId="37" fontId="32" fillId="0" borderId="89" xfId="8" applyNumberFormat="1" applyFont="1" applyBorder="1" applyAlignment="1">
      <alignment horizontal="centerContinuous" wrapText="1"/>
    </xf>
    <xf numFmtId="3" fontId="1" fillId="0" borderId="51" xfId="8" applyNumberFormat="1" applyFont="1" applyBorder="1" applyAlignment="1">
      <alignment horizontal="right"/>
    </xf>
    <xf numFmtId="3" fontId="18" fillId="0" borderId="21" xfId="8" applyNumberFormat="1" applyFont="1" applyBorder="1" applyAlignment="1">
      <alignment horizontal="right" vertical="center"/>
    </xf>
    <xf numFmtId="3" fontId="18" fillId="0" borderId="90" xfId="8" applyNumberFormat="1" applyFont="1" applyBorder="1" applyAlignment="1">
      <alignment horizontal="right" vertical="center"/>
    </xf>
    <xf numFmtId="3" fontId="18" fillId="0" borderId="0" xfId="8" applyNumberFormat="1" applyFont="1" applyAlignment="1">
      <alignment horizontal="right" vertical="center"/>
    </xf>
    <xf numFmtId="3" fontId="18" fillId="0" borderId="46" xfId="8" applyNumberFormat="1" applyFont="1" applyBorder="1" applyAlignment="1">
      <alignment horizontal="right" vertical="center"/>
    </xf>
    <xf numFmtId="3" fontId="18" fillId="0" borderId="51" xfId="8" applyNumberFormat="1" applyFont="1" applyBorder="1" applyAlignment="1">
      <alignment horizontal="right" vertical="center"/>
    </xf>
    <xf numFmtId="3" fontId="18" fillId="0" borderId="91" xfId="8" applyNumberFormat="1" applyFont="1" applyBorder="1" applyAlignment="1">
      <alignment horizontal="right" vertical="center"/>
    </xf>
    <xf numFmtId="37" fontId="1" fillId="0" borderId="85" xfId="8" applyNumberFormat="1" applyFont="1" applyBorder="1" applyAlignment="1">
      <alignment horizontal="center" wrapText="1"/>
    </xf>
    <xf numFmtId="37" fontId="32" fillId="0" borderId="85" xfId="8" applyNumberFormat="1" applyFont="1" applyBorder="1" applyAlignment="1">
      <alignment horizontal="centerContinuous" wrapText="1"/>
    </xf>
    <xf numFmtId="9" fontId="18" fillId="0" borderId="7" xfId="9" applyFont="1" applyBorder="1" applyAlignment="1">
      <alignment horizontal="right" vertical="center"/>
    </xf>
    <xf numFmtId="9" fontId="18" fillId="0" borderId="0" xfId="9" applyFont="1" applyAlignment="1">
      <alignment horizontal="right" vertical="center"/>
    </xf>
    <xf numFmtId="9" fontId="18" fillId="0" borderId="87" xfId="9" applyFont="1" applyBorder="1" applyAlignment="1">
      <alignment horizontal="right" vertical="center"/>
    </xf>
    <xf numFmtId="9" fontId="18" fillId="0" borderId="21" xfId="9" applyFont="1" applyBorder="1" applyAlignment="1">
      <alignment horizontal="right" vertical="center"/>
    </xf>
    <xf numFmtId="9" fontId="18" fillId="0" borderId="90" xfId="9" applyFont="1" applyBorder="1" applyAlignment="1">
      <alignment horizontal="right" vertical="center"/>
    </xf>
    <xf numFmtId="9" fontId="18" fillId="0" borderId="87" xfId="9" applyFont="1" applyBorder="1" applyAlignment="1">
      <alignment horizontal="center" vertical="center"/>
    </xf>
    <xf numFmtId="167" fontId="18" fillId="0" borderId="0" xfId="9" applyNumberFormat="1" applyFont="1" applyAlignment="1">
      <alignment horizontal="right" vertical="center"/>
    </xf>
    <xf numFmtId="9" fontId="18" fillId="0" borderId="46" xfId="9" applyFont="1" applyBorder="1" applyAlignment="1">
      <alignment horizontal="right" vertical="center"/>
    </xf>
    <xf numFmtId="9" fontId="18" fillId="0" borderId="7" xfId="9" applyFont="1" applyBorder="1" applyAlignment="1">
      <alignment horizontal="center" vertical="center"/>
    </xf>
    <xf numFmtId="9" fontId="18" fillId="0" borderId="89" xfId="9" applyFont="1" applyBorder="1" applyAlignment="1">
      <alignment horizontal="right" vertical="center"/>
    </xf>
    <xf numFmtId="9" fontId="18" fillId="0" borderId="51" xfId="9" applyFont="1" applyBorder="1" applyAlignment="1">
      <alignment horizontal="right" vertical="center"/>
    </xf>
    <xf numFmtId="9" fontId="18" fillId="0" borderId="91" xfId="9" applyFont="1" applyBorder="1" applyAlignment="1">
      <alignment horizontal="right" vertical="center"/>
    </xf>
    <xf numFmtId="9" fontId="18" fillId="0" borderId="89" xfId="9" applyFont="1" applyBorder="1" applyAlignment="1">
      <alignment horizontal="center" vertical="center"/>
    </xf>
    <xf numFmtId="167" fontId="18" fillId="0" borderId="51" xfId="9" applyNumberFormat="1" applyFont="1" applyBorder="1" applyAlignment="1">
      <alignment horizontal="right" vertical="center"/>
    </xf>
    <xf numFmtId="37" fontId="4" fillId="17" borderId="92" xfId="8" applyNumberFormat="1" applyFont="1" applyFill="1" applyBorder="1" applyAlignment="1"/>
    <xf numFmtId="37" fontId="26" fillId="17" borderId="93" xfId="8" applyNumberFormat="1" applyFill="1" applyBorder="1" applyAlignment="1"/>
    <xf numFmtId="37" fontId="26" fillId="17" borderId="94" xfId="8" applyNumberFormat="1" applyFill="1" applyBorder="1" applyAlignment="1"/>
    <xf numFmtId="37" fontId="22" fillId="0" borderId="0" xfId="8" applyNumberFormat="1" applyFont="1" applyAlignment="1"/>
    <xf numFmtId="37" fontId="1" fillId="0" borderId="95" xfId="8" applyNumberFormat="1" applyFont="1" applyBorder="1" applyAlignment="1"/>
    <xf numFmtId="9" fontId="11" fillId="0" borderId="95" xfId="9" applyFont="1" applyBorder="1"/>
    <xf numFmtId="37" fontId="11" fillId="0" borderId="0" xfId="8" applyNumberFormat="1" applyFont="1" applyAlignment="1">
      <alignment horizontal="right"/>
    </xf>
    <xf numFmtId="37" fontId="35" fillId="0" borderId="0" xfId="11" quotePrefix="1" applyNumberFormat="1" applyFont="1" applyAlignment="1">
      <alignment horizontal="left"/>
    </xf>
    <xf numFmtId="167" fontId="11" fillId="0" borderId="0" xfId="9" applyNumberFormat="1" applyFont="1"/>
    <xf numFmtId="0" fontId="11" fillId="0" borderId="0" xfId="8" applyFont="1" applyAlignment="1">
      <alignment horizontal="right" wrapText="1"/>
    </xf>
    <xf numFmtId="37" fontId="11" fillId="0" borderId="0" xfId="11" quotePrefix="1" applyNumberFormat="1" applyFont="1" applyAlignment="1">
      <alignment horizontal="left"/>
    </xf>
    <xf numFmtId="9" fontId="11" fillId="0" borderId="0" xfId="9" applyFont="1"/>
    <xf numFmtId="168" fontId="11" fillId="0" borderId="0" xfId="8" applyNumberFormat="1" applyFont="1" applyAlignment="1">
      <alignment horizontal="right" vertical="center"/>
    </xf>
    <xf numFmtId="37" fontId="38" fillId="0" borderId="0" xfId="8" applyNumberFormat="1" applyFont="1" applyAlignment="1">
      <alignment horizontal="centerContinuous" vertical="center"/>
    </xf>
    <xf numFmtId="37" fontId="29" fillId="26" borderId="0" xfId="8" applyNumberFormat="1" applyFont="1" applyFill="1" applyAlignment="1">
      <alignment vertical="center"/>
    </xf>
    <xf numFmtId="3" fontId="1" fillId="0" borderId="0" xfId="8" applyNumberFormat="1" applyFont="1" applyAlignment="1">
      <alignment horizontal="right"/>
    </xf>
    <xf numFmtId="37" fontId="29" fillId="0" borderId="0" xfId="8" applyNumberFormat="1" applyFont="1" applyAlignment="1">
      <alignment vertical="center"/>
    </xf>
    <xf numFmtId="37" fontId="28" fillId="0" borderId="0" xfId="8" applyNumberFormat="1" applyFont="1" applyAlignment="1">
      <alignment horizontal="center" vertical="center"/>
    </xf>
    <xf numFmtId="37" fontId="28" fillId="0" borderId="0" xfId="8" applyNumberFormat="1" applyFont="1" applyAlignment="1">
      <alignment horizontal="centerContinuous" vertical="center"/>
    </xf>
    <xf numFmtId="37" fontId="28" fillId="26" borderId="0" xfId="8" applyNumberFormat="1" applyFont="1" applyFill="1" applyAlignment="1">
      <alignment horizontal="center" vertical="center" wrapText="1"/>
    </xf>
    <xf numFmtId="37" fontId="34" fillId="0" borderId="0" xfId="8" applyNumberFormat="1" applyFont="1" applyAlignment="1">
      <alignment horizontal="centerContinuous" vertical="center"/>
    </xf>
    <xf numFmtId="37" fontId="31" fillId="26" borderId="0" xfId="8" applyNumberFormat="1" applyFont="1" applyFill="1" applyAlignment="1">
      <alignment horizontal="center" vertical="center" wrapText="1"/>
    </xf>
    <xf numFmtId="3" fontId="1" fillId="5" borderId="51" xfId="8" applyNumberFormat="1" applyFont="1" applyFill="1" applyBorder="1" applyAlignment="1">
      <alignment horizontal="right" wrapText="1"/>
    </xf>
    <xf numFmtId="37" fontId="28" fillId="0" borderId="21" xfId="8" applyNumberFormat="1" applyFont="1" applyBorder="1" applyAlignment="1">
      <alignment vertical="center"/>
    </xf>
    <xf numFmtId="37" fontId="31" fillId="26" borderId="0" xfId="8" applyNumberFormat="1" applyFont="1" applyFill="1" applyAlignment="1">
      <alignment vertical="center"/>
    </xf>
    <xf numFmtId="3" fontId="1" fillId="5" borderId="0" xfId="8" applyNumberFormat="1" applyFont="1" applyFill="1" applyAlignment="1">
      <alignment horizontal="right"/>
    </xf>
    <xf numFmtId="37" fontId="1" fillId="0" borderId="0" xfId="8" applyNumberFormat="1" applyFont="1" applyAlignment="1">
      <alignment horizontal="centerContinuous"/>
    </xf>
    <xf numFmtId="169" fontId="1" fillId="26" borderId="0" xfId="8" applyNumberFormat="1" applyFont="1" applyFill="1" applyAlignment="1">
      <alignment horizontal="center"/>
    </xf>
    <xf numFmtId="169" fontId="1" fillId="0" borderId="0" xfId="8" quotePrefix="1" applyNumberFormat="1" applyFont="1" applyAlignment="1">
      <alignment horizontal="right" vertical="center"/>
    </xf>
    <xf numFmtId="169" fontId="1" fillId="0" borderId="0" xfId="8" applyNumberFormat="1" applyFont="1" applyAlignment="1">
      <alignment horizontal="right" vertical="center"/>
    </xf>
    <xf numFmtId="169" fontId="1" fillId="0" borderId="78" xfId="8" applyNumberFormat="1" applyFont="1" applyBorder="1" applyAlignment="1">
      <alignment horizontal="center" vertical="center"/>
    </xf>
    <xf numFmtId="169" fontId="1" fillId="0" borderId="0" xfId="8" applyNumberFormat="1" applyFont="1" applyAlignment="1">
      <alignment horizontal="center" vertical="center"/>
    </xf>
    <xf numFmtId="37" fontId="1" fillId="0" borderId="0" xfId="8" applyNumberFormat="1" applyFont="1" applyAlignment="1">
      <alignment horizontal="centerContinuous" vertical="center"/>
    </xf>
    <xf numFmtId="3" fontId="1" fillId="26" borderId="0" xfId="8" applyNumberFormat="1" applyFont="1" applyFill="1" applyAlignment="1">
      <alignment horizontal="center" vertical="center"/>
    </xf>
    <xf numFmtId="3" fontId="1" fillId="17" borderId="0" xfId="8" applyNumberFormat="1" applyFont="1" applyFill="1" applyAlignment="1">
      <alignment horizontal="right"/>
    </xf>
    <xf numFmtId="3" fontId="1" fillId="0" borderId="0" xfId="8" quotePrefix="1" applyNumberFormat="1" applyFont="1" applyAlignment="1">
      <alignment horizontal="right" vertical="center"/>
    </xf>
    <xf numFmtId="3" fontId="1" fillId="0" borderId="78" xfId="8" applyNumberFormat="1" applyFont="1" applyBorder="1" applyAlignment="1">
      <alignment horizontal="center" vertical="center"/>
    </xf>
    <xf numFmtId="3" fontId="1" fillId="0" borderId="78" xfId="8" quotePrefix="1" applyNumberFormat="1" applyFont="1" applyBorder="1" applyAlignment="1">
      <alignment horizontal="center" vertical="center"/>
    </xf>
    <xf numFmtId="3" fontId="1" fillId="0" borderId="0" xfId="8" quotePrefix="1" applyNumberFormat="1" applyFont="1" applyAlignment="1">
      <alignment horizontal="center" vertical="center"/>
    </xf>
    <xf numFmtId="37" fontId="38" fillId="0" borderId="0" xfId="8" applyNumberFormat="1" applyFont="1" applyAlignment="1">
      <alignment vertical="center"/>
    </xf>
    <xf numFmtId="37" fontId="38" fillId="26" borderId="0" xfId="8" applyNumberFormat="1" applyFont="1" applyFill="1" applyAlignment="1">
      <alignment vertical="center"/>
    </xf>
    <xf numFmtId="3" fontId="1" fillId="0" borderId="91" xfId="8" applyNumberFormat="1" applyFont="1" applyBorder="1" applyAlignment="1">
      <alignment horizontal="right" vertical="center"/>
    </xf>
    <xf numFmtId="3" fontId="1" fillId="0" borderId="89" xfId="8" applyNumberFormat="1" applyFont="1" applyBorder="1" applyAlignment="1">
      <alignment horizontal="center" vertical="center"/>
    </xf>
    <xf numFmtId="3" fontId="1" fillId="0" borderId="51" xfId="8" applyNumberFormat="1" applyFont="1" applyBorder="1" applyAlignment="1">
      <alignment horizontal="center" vertical="center"/>
    </xf>
    <xf numFmtId="37" fontId="1" fillId="26" borderId="0" xfId="8" applyNumberFormat="1" applyFont="1" applyFill="1" applyAlignment="1">
      <alignment vertical="center"/>
    </xf>
    <xf numFmtId="37" fontId="41" fillId="0" borderId="0" xfId="8" applyNumberFormat="1" applyFont="1" applyAlignment="1">
      <alignment vertical="center" wrapText="1"/>
    </xf>
    <xf numFmtId="37" fontId="1" fillId="0" borderId="0" xfId="8" applyNumberFormat="1" applyFont="1" applyAlignment="1">
      <alignment vertical="center" wrapText="1"/>
    </xf>
    <xf numFmtId="37" fontId="34" fillId="0" borderId="0" xfId="8" quotePrefix="1" applyNumberFormat="1" applyFont="1" applyAlignment="1">
      <alignment horizontal="right"/>
    </xf>
    <xf numFmtId="37" fontId="1" fillId="5" borderId="0" xfId="8" applyNumberFormat="1" applyFont="1" applyFill="1" applyAlignment="1">
      <alignment horizontal="right" vertical="center"/>
    </xf>
    <xf numFmtId="3" fontId="1" fillId="5" borderId="0" xfId="8" applyNumberFormat="1" applyFont="1" applyFill="1" applyAlignment="1">
      <alignment horizontal="right" wrapText="1"/>
    </xf>
    <xf numFmtId="37" fontId="28" fillId="0" borderId="51" xfId="8" applyNumberFormat="1" applyFont="1" applyBorder="1" applyAlignment="1">
      <alignment horizontal="centerContinuous" vertical="center"/>
    </xf>
    <xf numFmtId="37" fontId="1" fillId="0" borderId="21" xfId="8" applyNumberFormat="1" applyFont="1" applyBorder="1" applyAlignment="1">
      <alignment horizontal="centerContinuous" vertical="center" wrapText="1"/>
    </xf>
    <xf numFmtId="166" fontId="31" fillId="26" borderId="0" xfId="8" applyNumberFormat="1" applyFont="1" applyFill="1" applyAlignment="1">
      <alignment horizontal="center" wrapText="1"/>
    </xf>
    <xf numFmtId="37" fontId="42" fillId="0" borderId="0" xfId="8" applyNumberFormat="1" applyFont="1" applyAlignment="1">
      <alignment vertical="center"/>
    </xf>
    <xf numFmtId="169" fontId="42" fillId="0" borderId="0" xfId="8" applyNumberFormat="1" applyFont="1" applyAlignment="1">
      <alignment horizontal="right" vertical="center"/>
    </xf>
    <xf numFmtId="169" fontId="42" fillId="0" borderId="78" xfId="8" applyNumberFormat="1" applyFont="1" applyBorder="1" applyAlignment="1">
      <alignment horizontal="center" vertical="center"/>
    </xf>
    <xf numFmtId="169" fontId="42" fillId="0" borderId="0" xfId="8" applyNumberFormat="1" applyFont="1" applyAlignment="1">
      <alignment horizontal="center" vertical="center"/>
    </xf>
    <xf numFmtId="3" fontId="42" fillId="0" borderId="0" xfId="8" applyNumberFormat="1" applyFont="1" applyAlignment="1">
      <alignment horizontal="right" vertical="center"/>
    </xf>
    <xf numFmtId="3" fontId="42" fillId="26" borderId="0" xfId="8" applyNumberFormat="1" applyFont="1" applyFill="1" applyAlignment="1">
      <alignment horizontal="center" vertical="center"/>
    </xf>
    <xf numFmtId="3" fontId="4" fillId="5" borderId="0" xfId="8" applyNumberFormat="1" applyFont="1" applyFill="1" applyAlignment="1">
      <alignment horizontal="right"/>
    </xf>
    <xf numFmtId="3" fontId="1" fillId="5" borderId="0" xfId="8" applyNumberFormat="1" applyFont="1" applyFill="1" applyAlignment="1">
      <alignment horizontal="left"/>
    </xf>
    <xf numFmtId="37" fontId="1" fillId="5" borderId="0" xfId="8" applyNumberFormat="1" applyFont="1" applyFill="1" applyAlignment="1">
      <alignment horizontal="center" vertical="center"/>
    </xf>
    <xf numFmtId="37" fontId="41" fillId="0" borderId="0" xfId="8" applyNumberFormat="1" applyFont="1" applyAlignment="1">
      <alignment vertical="center"/>
    </xf>
    <xf numFmtId="37" fontId="1" fillId="0" borderId="51" xfId="8" applyNumberFormat="1" applyFont="1" applyBorder="1" applyAlignment="1">
      <alignment horizontal="center"/>
    </xf>
    <xf numFmtId="3" fontId="42" fillId="0" borderId="78" xfId="8" applyNumberFormat="1" applyFont="1" applyBorder="1" applyAlignment="1">
      <alignment horizontal="center" vertical="center"/>
    </xf>
    <xf numFmtId="3" fontId="42" fillId="0" borderId="0" xfId="8" applyNumberFormat="1" applyFont="1" applyAlignment="1">
      <alignment horizontal="center" vertical="center"/>
    </xf>
    <xf numFmtId="166" fontId="31" fillId="26" borderId="0" xfId="8" applyNumberFormat="1" applyFont="1" applyFill="1" applyAlignment="1">
      <alignment horizontal="center" vertical="center" wrapText="1"/>
    </xf>
    <xf numFmtId="3" fontId="1" fillId="26" borderId="0" xfId="8" applyNumberFormat="1" applyFont="1" applyFill="1" applyAlignment="1">
      <alignment horizontal="right" vertical="center"/>
    </xf>
    <xf numFmtId="37" fontId="43" fillId="0" borderId="0" xfId="8" applyNumberFormat="1" applyFont="1" applyAlignment="1">
      <alignment horizontal="centerContinuous" vertical="center"/>
    </xf>
    <xf numFmtId="37" fontId="43" fillId="0" borderId="51" xfId="8" applyNumberFormat="1" applyFont="1" applyBorder="1" applyAlignment="1">
      <alignment horizontal="centerContinuous" vertical="center"/>
    </xf>
    <xf numFmtId="37" fontId="43" fillId="26" borderId="0" xfId="8" applyNumberFormat="1" applyFont="1" applyFill="1" applyAlignment="1">
      <alignment horizontal="center" vertical="center" wrapText="1"/>
    </xf>
    <xf numFmtId="37" fontId="42" fillId="5" borderId="0" xfId="8" applyNumberFormat="1" applyFont="1" applyFill="1" applyAlignment="1">
      <alignment horizontal="right" vertical="center"/>
    </xf>
    <xf numFmtId="37" fontId="1" fillId="5" borderId="0" xfId="8" applyNumberFormat="1" applyFont="1" applyFill="1" applyAlignment="1">
      <alignment horizontal="right"/>
    </xf>
    <xf numFmtId="37" fontId="34" fillId="0" borderId="0" xfId="8" applyNumberFormat="1" applyFont="1" applyAlignment="1">
      <alignment vertical="center" wrapText="1"/>
    </xf>
    <xf numFmtId="37" fontId="31" fillId="0" borderId="0" xfId="8" applyNumberFormat="1" applyFont="1" applyAlignment="1">
      <alignment vertical="center"/>
    </xf>
    <xf numFmtId="37" fontId="28" fillId="0" borderId="21" xfId="8" applyNumberFormat="1" applyFont="1" applyBorder="1" applyAlignment="1">
      <alignment horizontal="center" vertical="center"/>
    </xf>
    <xf numFmtId="37" fontId="1" fillId="0" borderId="0" xfId="8" applyNumberFormat="1" applyFont="1" applyAlignment="1">
      <alignment horizontal="center" vertical="center"/>
    </xf>
    <xf numFmtId="3" fontId="1" fillId="5" borderId="0" xfId="8" applyNumberFormat="1" applyFont="1" applyFill="1" applyAlignment="1">
      <alignment horizontal="right" vertical="top"/>
    </xf>
    <xf numFmtId="49" fontId="34" fillId="0" borderId="0" xfId="8" applyNumberFormat="1" applyFont="1" applyAlignment="1">
      <alignment horizontal="right" vertical="center"/>
    </xf>
    <xf numFmtId="169" fontId="1" fillId="26" borderId="0" xfId="8" applyNumberFormat="1" applyFont="1" applyFill="1" applyAlignment="1">
      <alignment horizontal="center" wrapText="1"/>
    </xf>
    <xf numFmtId="37" fontId="1" fillId="0" borderId="0" xfId="8" applyNumberFormat="1" applyFont="1" applyAlignment="1">
      <alignment wrapText="1"/>
    </xf>
    <xf numFmtId="3" fontId="4" fillId="5" borderId="0" xfId="8" applyNumberFormat="1" applyFont="1" applyFill="1" applyAlignment="1">
      <alignment horizontal="right" vertical="top"/>
    </xf>
    <xf numFmtId="37" fontId="34" fillId="0" borderId="0" xfId="8" applyNumberFormat="1" applyFont="1" applyAlignment="1">
      <alignment vertical="top"/>
    </xf>
    <xf numFmtId="37" fontId="31" fillId="0" borderId="0" xfId="8" applyNumberFormat="1" applyFont="1" applyAlignment="1">
      <alignment horizontal="center" vertical="center" wrapText="1"/>
    </xf>
    <xf numFmtId="170" fontId="1" fillId="0" borderId="0" xfId="8" applyNumberFormat="1" applyFont="1" applyAlignment="1">
      <alignment horizontal="right" vertical="center"/>
    </xf>
    <xf numFmtId="3" fontId="42" fillId="5" borderId="0" xfId="8" applyNumberFormat="1" applyFont="1" applyFill="1" applyAlignment="1">
      <alignment horizontal="right"/>
    </xf>
    <xf numFmtId="169" fontId="1" fillId="0" borderId="87" xfId="8" applyNumberFormat="1" applyFont="1" applyBorder="1" applyAlignment="1">
      <alignment horizontal="center" vertical="center"/>
    </xf>
    <xf numFmtId="37" fontId="43" fillId="0" borderId="78" xfId="8" applyNumberFormat="1" applyFont="1" applyBorder="1" applyAlignment="1">
      <alignment horizontal="centerContinuous" vertical="center"/>
    </xf>
    <xf numFmtId="37" fontId="31" fillId="5" borderId="0" xfId="8" applyNumberFormat="1" applyFont="1" applyFill="1" applyAlignment="1">
      <alignment vertical="center"/>
    </xf>
    <xf numFmtId="3" fontId="44" fillId="2" borderId="0" xfId="8" applyNumberFormat="1" applyFont="1" applyFill="1" applyAlignment="1">
      <alignment horizontal="right"/>
    </xf>
    <xf numFmtId="37" fontId="44" fillId="2" borderId="0" xfId="8" applyNumberFormat="1" applyFont="1" applyFill="1" applyAlignment="1">
      <alignment horizontal="right"/>
    </xf>
    <xf numFmtId="37" fontId="28" fillId="17" borderId="0" xfId="8" applyNumberFormat="1" applyFont="1" applyFill="1" applyAlignment="1">
      <alignment vertical="center"/>
    </xf>
    <xf numFmtId="37" fontId="4" fillId="0" borderId="0" xfId="8" applyNumberFormat="1" applyFont="1" applyAlignment="1">
      <alignment vertical="center"/>
    </xf>
    <xf numFmtId="37" fontId="45" fillId="0" borderId="85" xfId="8" applyNumberFormat="1" applyFont="1" applyBorder="1" applyAlignment="1">
      <alignment horizontal="center" vertical="center"/>
    </xf>
    <xf numFmtId="3" fontId="44" fillId="2" borderId="0" xfId="8" applyNumberFormat="1" applyFont="1" applyFill="1" applyAlignment="1"/>
    <xf numFmtId="37" fontId="11" fillId="0" borderId="85" xfId="8" applyNumberFormat="1" applyFont="1" applyBorder="1" applyAlignment="1">
      <alignment vertical="center"/>
    </xf>
    <xf numFmtId="37" fontId="11" fillId="0" borderId="86" xfId="8" applyNumberFormat="1" applyFont="1" applyBorder="1" applyAlignment="1">
      <alignment vertical="center"/>
    </xf>
    <xf numFmtId="166" fontId="45" fillId="0" borderId="85" xfId="8" applyNumberFormat="1" applyFont="1" applyBorder="1" applyAlignment="1">
      <alignment horizontal="center" wrapText="1"/>
    </xf>
    <xf numFmtId="37" fontId="45" fillId="0" borderId="85" xfId="8" applyNumberFormat="1" applyFont="1" applyBorder="1" applyAlignment="1">
      <alignment horizontal="center" wrapText="1"/>
    </xf>
    <xf numFmtId="166" fontId="45" fillId="0" borderId="88" xfId="8" applyNumberFormat="1" applyFont="1" applyBorder="1" applyAlignment="1">
      <alignment horizontal="center" wrapText="1"/>
    </xf>
    <xf numFmtId="3" fontId="44" fillId="2" borderId="51" xfId="8" applyNumberFormat="1" applyFont="1" applyFill="1" applyBorder="1" applyAlignment="1">
      <alignment horizontal="right" wrapText="1"/>
    </xf>
    <xf numFmtId="37" fontId="47" fillId="0" borderId="51" xfId="8" applyNumberFormat="1" applyFont="1" applyBorder="1" applyAlignment="1">
      <alignment horizontal="right"/>
    </xf>
    <xf numFmtId="37" fontId="11" fillId="0" borderId="89" xfId="8" applyNumberFormat="1" applyFont="1" applyBorder="1" applyAlignment="1">
      <alignment horizontal="right"/>
    </xf>
    <xf numFmtId="37" fontId="11" fillId="0" borderId="51" xfId="8" applyNumberFormat="1" applyFont="1" applyBorder="1" applyAlignment="1">
      <alignment horizontal="right"/>
    </xf>
    <xf numFmtId="3" fontId="44" fillId="17" borderId="0" xfId="8" quotePrefix="1" applyNumberFormat="1" applyFont="1" applyFill="1" applyAlignment="1">
      <alignment horizontal="right"/>
    </xf>
    <xf numFmtId="3" fontId="47" fillId="17" borderId="0" xfId="8" applyNumberFormat="1" applyFont="1" applyFill="1" applyAlignment="1">
      <alignment horizontal="right"/>
    </xf>
    <xf numFmtId="37" fontId="11" fillId="0" borderId="78" xfId="8" applyNumberFormat="1" applyFont="1" applyBorder="1" applyAlignment="1">
      <alignment vertical="center"/>
    </xf>
    <xf numFmtId="37" fontId="11" fillId="0" borderId="0" xfId="8" applyNumberFormat="1" applyFont="1" applyAlignment="1">
      <alignment vertical="center"/>
    </xf>
    <xf numFmtId="169" fontId="11" fillId="0" borderId="87" xfId="8" applyNumberFormat="1" applyFont="1" applyBorder="1" applyAlignment="1">
      <alignment horizontal="right" vertical="center"/>
    </xf>
    <xf numFmtId="169" fontId="11" fillId="0" borderId="0" xfId="8" applyNumberFormat="1" applyFont="1" applyAlignment="1">
      <alignment horizontal="right" vertical="center"/>
    </xf>
    <xf numFmtId="167" fontId="11" fillId="0" borderId="87" xfId="9" applyNumberFormat="1" applyFont="1" applyBorder="1" applyAlignment="1">
      <alignment horizontal="right" vertical="center"/>
    </xf>
    <xf numFmtId="167" fontId="11" fillId="0" borderId="0" xfId="9" applyNumberFormat="1" applyFont="1" applyAlignment="1">
      <alignment horizontal="right" vertical="center"/>
    </xf>
    <xf numFmtId="167" fontId="1" fillId="0" borderId="78" xfId="9" applyNumberFormat="1" applyBorder="1" applyAlignment="1">
      <alignment horizontal="right" vertical="center"/>
    </xf>
    <xf numFmtId="167" fontId="1" fillId="0" borderId="0" xfId="9" applyNumberFormat="1" applyAlignment="1">
      <alignment horizontal="right" vertical="center"/>
    </xf>
    <xf numFmtId="169" fontId="11" fillId="0" borderId="78" xfId="8" applyNumberFormat="1" applyFont="1" applyBorder="1" applyAlignment="1">
      <alignment horizontal="right" vertical="center"/>
    </xf>
    <xf numFmtId="167" fontId="11" fillId="0" borderId="78" xfId="9" applyNumberFormat="1" applyFont="1" applyBorder="1" applyAlignment="1">
      <alignment horizontal="right" vertical="center"/>
    </xf>
    <xf numFmtId="37" fontId="48" fillId="0" borderId="0" xfId="8" applyNumberFormat="1" applyFont="1" applyAlignment="1"/>
    <xf numFmtId="9" fontId="1" fillId="0" borderId="0" xfId="9" applyAlignment="1">
      <alignment vertical="center"/>
    </xf>
    <xf numFmtId="37" fontId="44" fillId="2" borderId="0" xfId="8" applyNumberFormat="1" applyFont="1" applyFill="1" applyAlignment="1">
      <alignment horizontal="right" vertical="center"/>
    </xf>
    <xf numFmtId="3" fontId="44" fillId="2" borderId="0" xfId="8" applyNumberFormat="1" applyFont="1" applyFill="1" applyAlignment="1">
      <alignment horizontal="right" wrapText="1"/>
    </xf>
    <xf numFmtId="37" fontId="45" fillId="0" borderId="21" xfId="8" applyNumberFormat="1" applyFont="1" applyBorder="1" applyAlignment="1">
      <alignment horizontal="centerContinuous" vertical="center" wrapText="1"/>
    </xf>
    <xf numFmtId="37" fontId="49" fillId="0" borderId="21" xfId="8" applyNumberFormat="1" applyFont="1" applyBorder="1" applyAlignment="1">
      <alignment horizontal="centerContinuous" vertical="center" wrapText="1"/>
    </xf>
    <xf numFmtId="37" fontId="45" fillId="0" borderId="88" xfId="8" applyNumberFormat="1" applyFont="1" applyBorder="1" applyAlignment="1">
      <alignment horizontal="centerContinuous" vertical="center" wrapText="1"/>
    </xf>
    <xf numFmtId="37" fontId="45" fillId="0" borderId="85" xfId="8" applyNumberFormat="1" applyFont="1" applyBorder="1" applyAlignment="1">
      <alignment horizontal="centerContinuous" vertical="center" wrapText="1"/>
    </xf>
    <xf numFmtId="3" fontId="44" fillId="2" borderId="0" xfId="8" applyNumberFormat="1" applyFont="1" applyFill="1" applyAlignment="1">
      <alignment horizontal="left"/>
    </xf>
    <xf numFmtId="3" fontId="44" fillId="17" borderId="0" xfId="8" applyNumberFormat="1" applyFont="1" applyFill="1" applyAlignment="1">
      <alignment horizontal="right"/>
    </xf>
    <xf numFmtId="3" fontId="50" fillId="2" borderId="0" xfId="8" applyNumberFormat="1" applyFont="1" applyFill="1" applyAlignment="1">
      <alignment horizontal="right"/>
    </xf>
    <xf numFmtId="3" fontId="49" fillId="0" borderId="0" xfId="8" applyNumberFormat="1" applyFont="1" applyAlignment="1">
      <alignment vertical="center"/>
    </xf>
    <xf numFmtId="37" fontId="51" fillId="2" borderId="0" xfId="8" applyNumberFormat="1" applyFont="1" applyFill="1" applyAlignment="1">
      <alignment horizontal="right" vertical="center"/>
    </xf>
    <xf numFmtId="37" fontId="47" fillId="0" borderId="0" xfId="8" applyNumberFormat="1" applyFont="1" applyAlignment="1">
      <alignment horizontal="right"/>
    </xf>
    <xf numFmtId="37" fontId="1" fillId="0" borderId="85" xfId="8" applyNumberFormat="1" applyFont="1" applyBorder="1" applyAlignment="1"/>
    <xf numFmtId="37" fontId="11" fillId="22" borderId="78" xfId="8" applyNumberFormat="1" applyFont="1" applyFill="1" applyBorder="1" applyAlignment="1">
      <alignment vertical="center"/>
    </xf>
    <xf numFmtId="37" fontId="11" fillId="21" borderId="0" xfId="8" applyNumberFormat="1" applyFont="1" applyFill="1" applyAlignment="1">
      <alignment vertical="center"/>
    </xf>
    <xf numFmtId="37" fontId="11" fillId="5" borderId="0" xfId="8" applyNumberFormat="1" applyFont="1" applyFill="1" applyAlignment="1">
      <alignment vertical="center"/>
    </xf>
    <xf numFmtId="167" fontId="11" fillId="22" borderId="87" xfId="9" applyNumberFormat="1" applyFont="1" applyFill="1" applyBorder="1" applyAlignment="1">
      <alignment horizontal="right" vertical="center"/>
    </xf>
    <xf numFmtId="167" fontId="11" fillId="21" borderId="0" xfId="9" applyNumberFormat="1" applyFont="1" applyFill="1" applyAlignment="1">
      <alignment horizontal="right" vertical="center"/>
    </xf>
    <xf numFmtId="167" fontId="11" fillId="5" borderId="0" xfId="9" applyNumberFormat="1" applyFont="1" applyFill="1" applyAlignment="1">
      <alignment horizontal="right" vertical="center"/>
    </xf>
    <xf numFmtId="167" fontId="1" fillId="22" borderId="78" xfId="9" applyNumberFormat="1" applyFill="1" applyBorder="1" applyAlignment="1">
      <alignment horizontal="right" vertical="center"/>
    </xf>
    <xf numFmtId="167" fontId="1" fillId="21" borderId="0" xfId="9" applyNumberFormat="1" applyFill="1" applyAlignment="1">
      <alignment horizontal="right" vertical="center"/>
    </xf>
    <xf numFmtId="167" fontId="1" fillId="5" borderId="0" xfId="9" applyNumberFormat="1" applyFill="1" applyAlignment="1">
      <alignment horizontal="right" vertical="center"/>
    </xf>
    <xf numFmtId="167" fontId="11" fillId="22" borderId="78" xfId="9" applyNumberFormat="1" applyFont="1" applyFill="1" applyBorder="1" applyAlignment="1">
      <alignment horizontal="right" vertical="center"/>
    </xf>
    <xf numFmtId="37" fontId="52" fillId="0" borderId="0" xfId="8" applyNumberFormat="1" applyFont="1" applyAlignment="1">
      <alignment vertical="center"/>
    </xf>
    <xf numFmtId="49" fontId="53" fillId="0" borderId="0" xfId="8" applyNumberFormat="1" applyFont="1" applyAlignment="1">
      <alignment horizontal="right" vertical="center"/>
    </xf>
    <xf numFmtId="3" fontId="44" fillId="0" borderId="0" xfId="8" applyNumberFormat="1" applyFont="1" applyAlignment="1">
      <alignment horizontal="right"/>
    </xf>
    <xf numFmtId="37" fontId="44" fillId="0" borderId="0" xfId="8" applyNumberFormat="1" applyFont="1" applyAlignment="1">
      <alignment horizontal="right" vertical="center"/>
    </xf>
    <xf numFmtId="37" fontId="11" fillId="27" borderId="78" xfId="8" applyNumberFormat="1" applyFont="1" applyFill="1" applyBorder="1" applyAlignment="1">
      <alignment vertical="center"/>
    </xf>
    <xf numFmtId="37" fontId="11" fillId="28" borderId="0" xfId="8" applyNumberFormat="1" applyFont="1" applyFill="1" applyAlignment="1">
      <alignment vertical="center"/>
    </xf>
    <xf numFmtId="167" fontId="11" fillId="27" borderId="87" xfId="9" applyNumberFormat="1" applyFont="1" applyFill="1" applyBorder="1" applyAlignment="1">
      <alignment horizontal="right" vertical="center"/>
    </xf>
    <xf numFmtId="167" fontId="11" fillId="28" borderId="0" xfId="9" applyNumberFormat="1" applyFont="1" applyFill="1" applyAlignment="1">
      <alignment horizontal="right" vertical="center"/>
    </xf>
    <xf numFmtId="167" fontId="1" fillId="27" borderId="78" xfId="9" applyNumberFormat="1" applyFill="1" applyBorder="1" applyAlignment="1">
      <alignment horizontal="right" vertical="center"/>
    </xf>
    <xf numFmtId="167" fontId="1" fillId="28" borderId="0" xfId="9" applyNumberFormat="1" applyFill="1" applyAlignment="1">
      <alignment horizontal="right" vertical="center"/>
    </xf>
    <xf numFmtId="167" fontId="11" fillId="27" borderId="78" xfId="9" applyNumberFormat="1" applyFont="1" applyFill="1" applyBorder="1" applyAlignment="1">
      <alignment horizontal="right" vertical="center"/>
    </xf>
    <xf numFmtId="3" fontId="51" fillId="2" borderId="0" xfId="8" applyNumberFormat="1" applyFont="1" applyFill="1" applyAlignment="1">
      <alignment horizontal="right"/>
    </xf>
    <xf numFmtId="3" fontId="50" fillId="2" borderId="0" xfId="8" applyNumberFormat="1" applyFont="1" applyFill="1" applyAlignment="1">
      <alignment horizontal="right" wrapText="1"/>
    </xf>
    <xf numFmtId="37" fontId="29" fillId="0" borderId="0" xfId="8" applyNumberFormat="1" applyFont="1" applyAlignment="1">
      <alignment horizontal="center" vertical="center"/>
    </xf>
    <xf numFmtId="37" fontId="29" fillId="0" borderId="3" xfId="8" applyNumberFormat="1" applyFont="1" applyBorder="1" applyAlignment="1">
      <alignment horizontal="center" vertical="center"/>
    </xf>
    <xf numFmtId="37" fontId="29" fillId="29" borderId="0" xfId="8" applyNumberFormat="1" applyFont="1" applyFill="1" applyAlignment="1">
      <alignment horizontal="center" vertical="center"/>
    </xf>
    <xf numFmtId="165" fontId="1" fillId="0" borderId="3" xfId="10" quotePrefix="1" applyNumberFormat="1" applyBorder="1" applyAlignment="1">
      <alignment horizontal="center" vertical="center"/>
    </xf>
    <xf numFmtId="37" fontId="28" fillId="0" borderId="3" xfId="8" applyNumberFormat="1" applyFont="1" applyBorder="1" applyAlignment="1">
      <alignment horizontal="center" vertical="center"/>
    </xf>
    <xf numFmtId="37" fontId="28" fillId="29" borderId="0" xfId="8" applyNumberFormat="1" applyFont="1" applyFill="1" applyAlignment="1">
      <alignment horizontal="center" vertical="center"/>
    </xf>
    <xf numFmtId="37" fontId="28" fillId="0" borderId="21" xfId="8" applyNumberFormat="1" applyFont="1" applyBorder="1" applyAlignment="1">
      <alignment horizontal="centerContinuous" vertical="center"/>
    </xf>
    <xf numFmtId="37" fontId="28" fillId="0" borderId="85" xfId="8" applyNumberFormat="1" applyFont="1" applyBorder="1" applyAlignment="1">
      <alignment horizontal="centerContinuous" vertical="center"/>
    </xf>
    <xf numFmtId="37" fontId="28" fillId="0" borderId="86" xfId="8" applyNumberFormat="1" applyFont="1" applyBorder="1" applyAlignment="1">
      <alignment horizontal="centerContinuous" vertical="center"/>
    </xf>
    <xf numFmtId="37" fontId="31" fillId="0" borderId="18" xfId="8" applyNumberFormat="1" applyFont="1" applyBorder="1" applyAlignment="1">
      <alignment horizontal="centerContinuous" vertical="center"/>
    </xf>
    <xf numFmtId="37" fontId="28" fillId="0" borderId="18" xfId="8" applyNumberFormat="1" applyFont="1" applyBorder="1" applyAlignment="1">
      <alignment horizontal="centerContinuous" vertical="center"/>
    </xf>
    <xf numFmtId="37" fontId="28" fillId="29" borderId="21" xfId="8" applyNumberFormat="1" applyFont="1" applyFill="1" applyBorder="1" applyAlignment="1">
      <alignment horizontal="centerContinuous" vertical="center"/>
    </xf>
    <xf numFmtId="37" fontId="28" fillId="0" borderId="88" xfId="8" applyNumberFormat="1" applyFont="1" applyBorder="1" applyAlignment="1">
      <alignment horizontal="centerContinuous" vertical="center"/>
    </xf>
    <xf numFmtId="37" fontId="28" fillId="0" borderId="87" xfId="8" applyNumberFormat="1" applyFont="1" applyBorder="1" applyAlignment="1">
      <alignment horizontal="centerContinuous" vertical="center"/>
    </xf>
    <xf numFmtId="37" fontId="28" fillId="0" borderId="0" xfId="8" applyNumberFormat="1" applyFont="1" applyAlignment="1">
      <alignment horizontal="centerContinuous"/>
    </xf>
    <xf numFmtId="37" fontId="31" fillId="0" borderId="33" xfId="8" applyNumberFormat="1" applyFont="1" applyBorder="1" applyAlignment="1">
      <alignment horizontal="center" wrapText="1"/>
    </xf>
    <xf numFmtId="37" fontId="28" fillId="0" borderId="18" xfId="8" applyNumberFormat="1" applyFont="1" applyBorder="1" applyAlignment="1">
      <alignment horizontal="centerContinuous"/>
    </xf>
    <xf numFmtId="37" fontId="28" fillId="0" borderId="3" xfId="8" applyNumberFormat="1" applyFont="1" applyBorder="1" applyAlignment="1">
      <alignment horizontal="centerContinuous"/>
    </xf>
    <xf numFmtId="37" fontId="31" fillId="0" borderId="33" xfId="8" applyNumberFormat="1" applyFont="1" applyBorder="1" applyAlignment="1">
      <alignment horizontal="centerContinuous"/>
    </xf>
    <xf numFmtId="37" fontId="31" fillId="0" borderId="88" xfId="8" applyNumberFormat="1" applyFont="1" applyBorder="1" applyAlignment="1">
      <alignment horizontal="centerContinuous" wrapText="1"/>
    </xf>
    <xf numFmtId="37" fontId="31" fillId="0" borderId="85" xfId="8" applyNumberFormat="1" applyFont="1" applyBorder="1" applyAlignment="1">
      <alignment horizontal="centerContinuous" wrapText="1"/>
    </xf>
    <xf numFmtId="37" fontId="1" fillId="0" borderId="18" xfId="8" applyNumberFormat="1" applyFont="1" applyBorder="1" applyAlignment="1">
      <alignment horizontal="center" wrapText="1"/>
    </xf>
    <xf numFmtId="37" fontId="31" fillId="0" borderId="18" xfId="8" applyNumberFormat="1" applyFont="1" applyBorder="1" applyAlignment="1">
      <alignment horizontal="centerContinuous"/>
    </xf>
    <xf numFmtId="37" fontId="28" fillId="0" borderId="33" xfId="8" applyNumberFormat="1" applyFont="1" applyBorder="1" applyAlignment="1">
      <alignment horizontal="centerContinuous"/>
    </xf>
    <xf numFmtId="37" fontId="28" fillId="29" borderId="0" xfId="8" applyNumberFormat="1" applyFont="1" applyFill="1" applyAlignment="1">
      <alignment horizontal="centerContinuous"/>
    </xf>
    <xf numFmtId="37" fontId="31" fillId="0" borderId="28" xfId="8" applyNumberFormat="1" applyFont="1" applyBorder="1" applyAlignment="1">
      <alignment horizontal="center" wrapText="1"/>
    </xf>
    <xf numFmtId="37" fontId="31" fillId="0" borderId="28" xfId="8" applyNumberFormat="1" applyFont="1" applyBorder="1" applyAlignment="1">
      <alignment horizontal="center"/>
    </xf>
    <xf numFmtId="166" fontId="31" fillId="0" borderId="89" xfId="8" applyNumberFormat="1" applyFont="1" applyBorder="1" applyAlignment="1">
      <alignment horizontal="center" wrapText="1"/>
    </xf>
    <xf numFmtId="37" fontId="31" fillId="29" borderId="51" xfId="8" applyNumberFormat="1" applyFont="1" applyFill="1" applyBorder="1" applyAlignment="1">
      <alignment horizontal="center" wrapText="1"/>
    </xf>
    <xf numFmtId="37" fontId="1" fillId="0" borderId="0" xfId="8" applyNumberFormat="1" applyFont="1" applyAlignment="1">
      <alignment horizontal="center"/>
    </xf>
    <xf numFmtId="165" fontId="11" fillId="0" borderId="3" xfId="10" quotePrefix="1" applyNumberFormat="1" applyFont="1" applyBorder="1" applyAlignment="1">
      <alignment horizontal="center" vertical="center"/>
    </xf>
    <xf numFmtId="9" fontId="1" fillId="29" borderId="0" xfId="9" applyFill="1" applyAlignment="1">
      <alignment horizontal="center" vertical="center"/>
    </xf>
    <xf numFmtId="37" fontId="49" fillId="0" borderId="0" xfId="8" applyNumberFormat="1" applyFont="1" applyAlignment="1">
      <alignment vertical="center"/>
    </xf>
    <xf numFmtId="167" fontId="49" fillId="0" borderId="3" xfId="9" quotePrefix="1" applyNumberFormat="1" applyFont="1" applyBorder="1" applyAlignment="1">
      <alignment horizontal="center" vertical="center"/>
    </xf>
    <xf numFmtId="167" fontId="58" fillId="0" borderId="3" xfId="9" quotePrefix="1" applyNumberFormat="1" applyFont="1" applyBorder="1" applyAlignment="1">
      <alignment horizontal="center" vertical="center"/>
    </xf>
    <xf numFmtId="167" fontId="59" fillId="0" borderId="18" xfId="9" quotePrefix="1" applyNumberFormat="1" applyFont="1" applyBorder="1" applyAlignment="1">
      <alignment horizontal="center" vertical="center"/>
    </xf>
    <xf numFmtId="9" fontId="58" fillId="0" borderId="0" xfId="9" quotePrefix="1" applyFont="1" applyAlignment="1">
      <alignment horizontal="center" vertical="center"/>
    </xf>
    <xf numFmtId="37" fontId="42" fillId="0" borderId="0" xfId="8" applyNumberFormat="1" applyFont="1" applyAlignment="1"/>
    <xf numFmtId="165" fontId="42" fillId="0" borderId="3" xfId="9" applyNumberFormat="1" applyFont="1" applyBorder="1" applyAlignment="1">
      <alignment horizontal="center"/>
    </xf>
    <xf numFmtId="165" fontId="60" fillId="0" borderId="3" xfId="9" applyNumberFormat="1" applyFont="1" applyBorder="1" applyAlignment="1">
      <alignment horizontal="center"/>
    </xf>
    <xf numFmtId="9" fontId="42" fillId="29" borderId="0" xfId="9" applyFont="1" applyFill="1" applyAlignment="1">
      <alignment horizontal="center"/>
    </xf>
    <xf numFmtId="37" fontId="49" fillId="0" borderId="0" xfId="8" applyNumberFormat="1" applyFont="1" applyAlignment="1"/>
    <xf numFmtId="167" fontId="59" fillId="0" borderId="33" xfId="9" quotePrefix="1" applyNumberFormat="1" applyFont="1" applyBorder="1" applyAlignment="1">
      <alignment horizontal="center" vertical="center"/>
    </xf>
    <xf numFmtId="165" fontId="1" fillId="0" borderId="3" xfId="10" quotePrefix="1" applyNumberFormat="1" applyBorder="1" applyAlignment="1">
      <alignment horizontal="center"/>
    </xf>
    <xf numFmtId="165" fontId="11" fillId="0" borderId="3" xfId="10" quotePrefix="1" applyNumberFormat="1" applyFont="1" applyBorder="1" applyAlignment="1">
      <alignment horizontal="center"/>
    </xf>
    <xf numFmtId="165" fontId="1" fillId="29" borderId="0" xfId="10" quotePrefix="1" applyNumberFormat="1" applyFill="1" applyAlignment="1">
      <alignment horizontal="center"/>
    </xf>
    <xf numFmtId="9" fontId="1" fillId="29" borderId="0" xfId="9" applyFill="1" applyAlignment="1">
      <alignment horizontal="center"/>
    </xf>
    <xf numFmtId="37" fontId="61" fillId="0" borderId="0" xfId="8" applyNumberFormat="1" applyFont="1" applyAlignment="1"/>
    <xf numFmtId="165" fontId="61" fillId="0" borderId="3" xfId="9" applyNumberFormat="1" applyFont="1" applyBorder="1" applyAlignment="1">
      <alignment horizontal="center"/>
    </xf>
    <xf numFmtId="165" fontId="62" fillId="0" borderId="3" xfId="9" applyNumberFormat="1" applyFont="1" applyBorder="1" applyAlignment="1">
      <alignment horizontal="center"/>
    </xf>
    <xf numFmtId="9" fontId="61" fillId="29" borderId="0" xfId="9" applyFont="1" applyFill="1" applyAlignment="1">
      <alignment horizontal="center"/>
    </xf>
    <xf numFmtId="9" fontId="1" fillId="29" borderId="51" xfId="9" applyFill="1" applyBorder="1" applyAlignment="1">
      <alignment horizontal="center"/>
    </xf>
    <xf numFmtId="37" fontId="49" fillId="0" borderId="51" xfId="8" applyNumberFormat="1" applyFont="1" applyBorder="1" applyAlignment="1"/>
    <xf numFmtId="167" fontId="49" fillId="0" borderId="91" xfId="9" quotePrefix="1" applyNumberFormat="1" applyFont="1" applyBorder="1" applyAlignment="1">
      <alignment horizontal="center" vertical="center"/>
    </xf>
    <xf numFmtId="167" fontId="58" fillId="0" borderId="28" xfId="9" quotePrefix="1" applyNumberFormat="1" applyFont="1" applyBorder="1" applyAlignment="1">
      <alignment horizontal="center" vertical="center"/>
    </xf>
    <xf numFmtId="167" fontId="49" fillId="0" borderId="28" xfId="9" quotePrefix="1" applyNumberFormat="1" applyFont="1" applyBorder="1" applyAlignment="1">
      <alignment horizontal="center" vertical="center"/>
    </xf>
    <xf numFmtId="167" fontId="59" fillId="0" borderId="28" xfId="9" quotePrefix="1" applyNumberFormat="1" applyFont="1" applyBorder="1" applyAlignment="1">
      <alignment horizontal="center" vertical="center"/>
    </xf>
    <xf numFmtId="9" fontId="58" fillId="0" borderId="89" xfId="9" quotePrefix="1" applyFont="1" applyBorder="1" applyAlignment="1">
      <alignment horizontal="center" vertical="center"/>
    </xf>
    <xf numFmtId="37" fontId="1" fillId="29" borderId="0" xfId="8" applyNumberFormat="1" applyFont="1" applyFill="1" applyAlignment="1">
      <alignment vertical="center" wrapText="1"/>
    </xf>
    <xf numFmtId="37" fontId="1" fillId="0" borderId="3" xfId="8" applyNumberFormat="1" applyFont="1" applyBorder="1" applyAlignment="1">
      <alignment horizontal="center"/>
    </xf>
    <xf numFmtId="37" fontId="1" fillId="29" borderId="0" xfId="8" applyNumberFormat="1" applyFont="1" applyFill="1" applyAlignment="1">
      <alignment horizontal="center"/>
    </xf>
    <xf numFmtId="37" fontId="45" fillId="0" borderId="85" xfId="8" applyNumberFormat="1" applyFont="1" applyBorder="1" applyAlignment="1">
      <alignment horizontal="centerContinuous" vertical="center"/>
    </xf>
    <xf numFmtId="37" fontId="45" fillId="0" borderId="86" xfId="8" applyNumberFormat="1" applyFont="1" applyBorder="1" applyAlignment="1">
      <alignment horizontal="centerContinuous" vertical="center"/>
    </xf>
    <xf numFmtId="37" fontId="45" fillId="0" borderId="18" xfId="8" applyNumberFormat="1" applyFont="1" applyBorder="1" applyAlignment="1">
      <alignment horizontal="centerContinuous" vertical="center"/>
    </xf>
    <xf numFmtId="37" fontId="45" fillId="0" borderId="88" xfId="8" applyNumberFormat="1" applyFont="1" applyBorder="1" applyAlignment="1">
      <alignment horizontal="centerContinuous" vertical="center"/>
    </xf>
    <xf numFmtId="37" fontId="45" fillId="0" borderId="87" xfId="8" applyNumberFormat="1" applyFont="1" applyBorder="1" applyAlignment="1">
      <alignment horizontal="centerContinuous" vertical="center"/>
    </xf>
    <xf numFmtId="37" fontId="45" fillId="0" borderId="28" xfId="8" applyNumberFormat="1" applyFont="1" applyBorder="1" applyAlignment="1">
      <alignment horizontal="center" wrapText="1"/>
    </xf>
    <xf numFmtId="166" fontId="45" fillId="0" borderId="89" xfId="8" applyNumberFormat="1" applyFont="1" applyBorder="1" applyAlignment="1">
      <alignment horizontal="center" wrapText="1"/>
    </xf>
    <xf numFmtId="167" fontId="1" fillId="0" borderId="3" xfId="9" quotePrefix="1" applyNumberFormat="1" applyBorder="1" applyAlignment="1">
      <alignment horizontal="center" vertical="center"/>
    </xf>
    <xf numFmtId="167" fontId="59" fillId="0" borderId="3" xfId="9" quotePrefix="1" applyNumberFormat="1" applyFont="1" applyBorder="1" applyAlignment="1">
      <alignment horizontal="center" vertical="center"/>
    </xf>
    <xf numFmtId="9" fontId="59" fillId="0" borderId="0" xfId="9" quotePrefix="1" applyFont="1" applyAlignment="1">
      <alignment horizontal="center" vertical="center"/>
    </xf>
    <xf numFmtId="167" fontId="1" fillId="0" borderId="91" xfId="9" quotePrefix="1" applyNumberFormat="1" applyBorder="1" applyAlignment="1">
      <alignment horizontal="center" vertical="center"/>
    </xf>
    <xf numFmtId="167" fontId="1" fillId="0" borderId="28" xfId="9" quotePrefix="1" applyNumberFormat="1" applyBorder="1" applyAlignment="1">
      <alignment horizontal="center" vertical="center"/>
    </xf>
    <xf numFmtId="9" fontId="59" fillId="0" borderId="89" xfId="9" quotePrefix="1" applyFont="1" applyBorder="1" applyAlignment="1">
      <alignment horizontal="center" vertical="center"/>
    </xf>
    <xf numFmtId="9" fontId="1" fillId="0" borderId="0" xfId="9" applyAlignment="1">
      <alignment horizontal="centerContinuous" vertical="center"/>
    </xf>
    <xf numFmtId="9" fontId="45" fillId="0" borderId="0" xfId="9" quotePrefix="1" applyFont="1" applyAlignment="1">
      <alignment horizontal="centerContinuous" vertical="center"/>
    </xf>
    <xf numFmtId="37" fontId="1" fillId="0" borderId="0" xfId="8" applyNumberFormat="1" applyFont="1" applyAlignment="1">
      <alignment horizontal="left" vertical="center"/>
    </xf>
    <xf numFmtId="37" fontId="49" fillId="0" borderId="85" xfId="8" applyNumberFormat="1" applyFont="1" applyBorder="1" applyAlignment="1">
      <alignment horizontal="center"/>
    </xf>
    <xf numFmtId="37" fontId="49" fillId="0" borderId="86" xfId="8" applyNumberFormat="1" applyFont="1" applyBorder="1" applyAlignment="1">
      <alignment horizontal="center" vertical="center"/>
    </xf>
    <xf numFmtId="37" fontId="34" fillId="0" borderId="96" xfId="8" applyNumberFormat="1" applyFont="1" applyBorder="1" applyAlignment="1">
      <alignment horizontal="center" wrapText="1"/>
    </xf>
    <xf numFmtId="0" fontId="49" fillId="0" borderId="96" xfId="10" applyNumberFormat="1" applyFont="1" applyBorder="1" applyAlignment="1">
      <alignment horizontal="center" vertical="center" wrapText="1"/>
    </xf>
    <xf numFmtId="0" fontId="49" fillId="0" borderId="85" xfId="10" applyNumberFormat="1" applyFont="1" applyBorder="1" applyAlignment="1">
      <alignment horizontal="center" vertical="center"/>
    </xf>
    <xf numFmtId="37" fontId="49" fillId="0" borderId="85" xfId="8" applyNumberFormat="1" applyFont="1" applyBorder="1" applyAlignment="1">
      <alignment horizontal="center" vertical="center"/>
    </xf>
    <xf numFmtId="37" fontId="49" fillId="0" borderId="0" xfId="8" applyNumberFormat="1" applyFont="1" applyAlignment="1">
      <alignment horizontal="center"/>
    </xf>
    <xf numFmtId="37" fontId="4" fillId="0" borderId="97" xfId="8" applyNumberFormat="1" applyFont="1" applyBorder="1" applyAlignment="1">
      <alignment horizontal="left" vertical="center" wrapText="1"/>
    </xf>
    <xf numFmtId="37" fontId="34" fillId="0" borderId="98" xfId="8" applyNumberFormat="1" applyFont="1" applyBorder="1" applyAlignment="1">
      <alignment horizontal="left" vertical="center" wrapText="1"/>
    </xf>
    <xf numFmtId="167" fontId="4" fillId="0" borderId="99" xfId="9" applyNumberFormat="1" applyFont="1" applyBorder="1" applyAlignment="1">
      <alignment horizontal="center" vertical="center"/>
    </xf>
    <xf numFmtId="167" fontId="4" fillId="0" borderId="100" xfId="9" applyNumberFormat="1" applyFont="1" applyBorder="1" applyAlignment="1">
      <alignment horizontal="center" vertical="center"/>
    </xf>
    <xf numFmtId="167" fontId="4" fillId="0" borderId="101" xfId="9" applyNumberFormat="1" applyFont="1" applyBorder="1" applyAlignment="1">
      <alignment horizontal="center" vertical="center"/>
    </xf>
    <xf numFmtId="37" fontId="34" fillId="0" borderId="0" xfId="8" applyNumberFormat="1" applyFont="1" applyAlignment="1"/>
    <xf numFmtId="37" fontId="68" fillId="0" borderId="102" xfId="8" applyNumberFormat="1" applyFont="1" applyBorder="1" applyAlignment="1">
      <alignment horizontal="left" vertical="center" wrapText="1"/>
    </xf>
    <xf numFmtId="167" fontId="69" fillId="0" borderId="100" xfId="9" applyNumberFormat="1" applyFont="1" applyBorder="1" applyAlignment="1">
      <alignment horizontal="center" vertical="center"/>
    </xf>
    <xf numFmtId="167" fontId="69" fillId="0" borderId="101" xfId="9" applyNumberFormat="1" applyFont="1" applyBorder="1" applyAlignment="1">
      <alignment horizontal="center" vertical="center"/>
    </xf>
    <xf numFmtId="37" fontId="68" fillId="0" borderId="0" xfId="8" applyNumberFormat="1" applyFont="1" applyAlignment="1"/>
    <xf numFmtId="37" fontId="59" fillId="0" borderId="0" xfId="8" applyNumberFormat="1" applyFont="1" applyAlignment="1"/>
    <xf numFmtId="37" fontId="4" fillId="0" borderId="97" xfId="8" applyNumberFormat="1" applyFont="1" applyBorder="1" applyAlignment="1">
      <alignment horizontal="right" vertical="center" wrapText="1"/>
    </xf>
    <xf numFmtId="37" fontId="70" fillId="0" borderId="103" xfId="8" applyNumberFormat="1" applyFont="1" applyBorder="1" applyAlignment="1">
      <alignment horizontal="right" vertical="center"/>
    </xf>
    <xf numFmtId="37" fontId="34" fillId="0" borderId="102" xfId="8" applyNumberFormat="1" applyFont="1" applyBorder="1" applyAlignment="1">
      <alignment horizontal="left" vertical="center" wrapText="1"/>
    </xf>
    <xf numFmtId="167" fontId="1" fillId="0" borderId="104" xfId="9" applyNumberFormat="1" applyBorder="1" applyAlignment="1">
      <alignment horizontal="center" vertical="center"/>
    </xf>
    <xf numFmtId="9" fontId="34" fillId="0" borderId="0" xfId="9" applyFont="1"/>
    <xf numFmtId="37" fontId="63" fillId="0" borderId="103" xfId="8" applyNumberFormat="1" applyFont="1" applyBorder="1" applyAlignment="1">
      <alignment horizontal="left" vertical="center" wrapText="1"/>
    </xf>
    <xf numFmtId="167" fontId="69" fillId="0" borderId="104" xfId="9" applyNumberFormat="1" applyFont="1" applyBorder="1" applyAlignment="1">
      <alignment horizontal="center" vertical="center"/>
    </xf>
    <xf numFmtId="9" fontId="68" fillId="0" borderId="0" xfId="9" applyFont="1"/>
    <xf numFmtId="167" fontId="1" fillId="0" borderId="105" xfId="9" applyNumberFormat="1" applyBorder="1" applyAlignment="1">
      <alignment horizontal="center" vertical="center"/>
    </xf>
    <xf numFmtId="167" fontId="1" fillId="0" borderId="106" xfId="9" applyNumberFormat="1" applyBorder="1" applyAlignment="1">
      <alignment horizontal="center" vertical="center"/>
    </xf>
    <xf numFmtId="37" fontId="45" fillId="0" borderId="107" xfId="8" applyNumberFormat="1" applyFont="1" applyBorder="1" applyAlignment="1">
      <alignment horizontal="left" vertical="center" wrapText="1"/>
    </xf>
    <xf numFmtId="37" fontId="34" fillId="0" borderId="108" xfId="8" applyNumberFormat="1" applyFont="1" applyBorder="1" applyAlignment="1">
      <alignment horizontal="left" vertical="center" wrapText="1"/>
    </xf>
    <xf numFmtId="167" fontId="4" fillId="0" borderId="109" xfId="9" applyNumberFormat="1" applyFont="1" applyBorder="1" applyAlignment="1">
      <alignment horizontal="center" vertical="center"/>
    </xf>
    <xf numFmtId="37" fontId="41" fillId="0" borderId="0" xfId="8" applyNumberFormat="1" applyFont="1" applyAlignment="1"/>
    <xf numFmtId="37" fontId="63" fillId="0" borderId="97" xfId="8" applyNumberFormat="1" applyFont="1" applyBorder="1" applyAlignment="1">
      <alignment horizontal="left" vertical="center" wrapText="1"/>
    </xf>
    <xf numFmtId="37" fontId="68" fillId="0" borderId="110" xfId="8" applyNumberFormat="1" applyFont="1" applyBorder="1" applyAlignment="1">
      <alignment horizontal="left" vertical="center" wrapText="1"/>
    </xf>
    <xf numFmtId="167" fontId="69" fillId="0" borderId="111" xfId="9" applyNumberFormat="1" applyFont="1" applyBorder="1" applyAlignment="1">
      <alignment horizontal="center" vertical="center"/>
    </xf>
    <xf numFmtId="37" fontId="34" fillId="0" borderId="112" xfId="8" applyNumberFormat="1" applyFont="1" applyBorder="1" applyAlignment="1">
      <alignment horizontal="left" vertical="center" wrapText="1"/>
    </xf>
    <xf numFmtId="37" fontId="49" fillId="0" borderId="103" xfId="8" applyNumberFormat="1" applyFont="1" applyBorder="1" applyAlignment="1">
      <alignment horizontal="right" vertical="center" wrapText="1"/>
    </xf>
    <xf numFmtId="37" fontId="45" fillId="0" borderId="103" xfId="8" applyNumberFormat="1" applyFont="1" applyBorder="1" applyAlignment="1">
      <alignment horizontal="left" vertical="center" wrapText="1"/>
    </xf>
    <xf numFmtId="167" fontId="4" fillId="0" borderId="104" xfId="9" applyNumberFormat="1" applyFont="1" applyBorder="1" applyAlignment="1">
      <alignment horizontal="center" vertical="center"/>
    </xf>
    <xf numFmtId="37" fontId="68" fillId="0" borderId="112" xfId="8" applyNumberFormat="1" applyFont="1" applyBorder="1" applyAlignment="1">
      <alignment horizontal="left" vertical="center" wrapText="1"/>
    </xf>
    <xf numFmtId="37" fontId="70" fillId="0" borderId="113" xfId="8" applyNumberFormat="1" applyFont="1" applyBorder="1" applyAlignment="1">
      <alignment horizontal="right" vertical="center"/>
    </xf>
    <xf numFmtId="167" fontId="1" fillId="0" borderId="114" xfId="9" applyNumberFormat="1" applyBorder="1" applyAlignment="1">
      <alignment horizontal="center" vertical="center"/>
    </xf>
    <xf numFmtId="37" fontId="45" fillId="0" borderId="115" xfId="8" applyNumberFormat="1" applyFont="1" applyBorder="1" applyAlignment="1">
      <alignment horizontal="left" vertical="center" wrapText="1"/>
    </xf>
    <xf numFmtId="167" fontId="4" fillId="0" borderId="111" xfId="9" applyNumberFormat="1" applyFont="1" applyBorder="1" applyAlignment="1">
      <alignment horizontal="center" vertical="center"/>
    </xf>
    <xf numFmtId="37" fontId="34" fillId="0" borderId="117" xfId="8" applyNumberFormat="1" applyFont="1" applyBorder="1" applyAlignment="1">
      <alignment horizontal="left" vertical="center" wrapText="1"/>
    </xf>
    <xf numFmtId="37" fontId="49" fillId="0" borderId="21" xfId="8" applyNumberFormat="1" applyFont="1" applyBorder="1" applyAlignment="1">
      <alignment vertical="center"/>
    </xf>
    <xf numFmtId="37" fontId="45" fillId="0" borderId="21" xfId="8" applyNumberFormat="1" applyFont="1" applyBorder="1" applyAlignment="1">
      <alignment horizontal="right" vertical="center" wrapText="1"/>
    </xf>
    <xf numFmtId="37" fontId="34" fillId="0" borderId="21" xfId="8" applyNumberFormat="1" applyFont="1" applyBorder="1" applyAlignment="1">
      <alignment horizontal="left" vertical="center"/>
    </xf>
    <xf numFmtId="9" fontId="71" fillId="0" borderId="21" xfId="9" applyFont="1" applyBorder="1" applyAlignment="1">
      <alignment horizontal="center" vertical="center"/>
    </xf>
    <xf numFmtId="37" fontId="34" fillId="0" borderId="0" xfId="8" applyNumberFormat="1" applyFont="1" applyAlignment="1">
      <alignment horizontal="left"/>
    </xf>
    <xf numFmtId="37" fontId="1" fillId="0" borderId="0" xfId="8" applyNumberFormat="1" applyFont="1" applyAlignment="1">
      <alignment horizontal="left"/>
    </xf>
    <xf numFmtId="37" fontId="72" fillId="0" borderId="0" xfId="8" applyNumberFormat="1" applyFont="1" applyAlignment="1"/>
    <xf numFmtId="0" fontId="45" fillId="0" borderId="96" xfId="10" applyNumberFormat="1" applyFont="1" applyBorder="1" applyAlignment="1">
      <alignment horizontal="center" vertical="center" wrapText="1"/>
    </xf>
    <xf numFmtId="0" fontId="45" fillId="0" borderId="85" xfId="10" applyNumberFormat="1" applyFont="1" applyBorder="1" applyAlignment="1">
      <alignment horizontal="center" vertical="center"/>
    </xf>
    <xf numFmtId="37" fontId="4" fillId="0" borderId="115" xfId="8" applyNumberFormat="1" applyFont="1" applyBorder="1" applyAlignment="1">
      <alignment horizontal="left" vertical="center" wrapText="1"/>
    </xf>
    <xf numFmtId="37" fontId="4" fillId="0" borderId="115" xfId="8" applyNumberFormat="1" applyFont="1" applyBorder="1" applyAlignment="1">
      <alignment horizontal="right" vertical="center" wrapText="1"/>
    </xf>
    <xf numFmtId="37" fontId="63" fillId="0" borderId="115" xfId="8" applyNumberFormat="1" applyFont="1" applyBorder="1" applyAlignment="1">
      <alignment horizontal="left" vertical="center" wrapText="1"/>
    </xf>
    <xf numFmtId="37" fontId="38" fillId="0" borderId="0" xfId="8" applyNumberFormat="1" applyFont="1" applyAlignment="1">
      <alignment horizontal="centerContinuous"/>
    </xf>
    <xf numFmtId="37" fontId="34" fillId="0" borderId="0" xfId="8" applyNumberFormat="1" applyFont="1" applyAlignment="1">
      <alignment horizontal="centerContinuous"/>
    </xf>
    <xf numFmtId="167" fontId="1" fillId="0" borderId="0" xfId="9" applyNumberFormat="1" applyAlignment="1">
      <alignment horizontal="centerContinuous"/>
    </xf>
    <xf numFmtId="37" fontId="28" fillId="0" borderId="0" xfId="8" applyNumberFormat="1" applyFont="1" applyAlignment="1">
      <alignment horizontal="center" vertical="top"/>
    </xf>
    <xf numFmtId="37" fontId="1" fillId="0" borderId="21" xfId="8" applyNumberFormat="1" applyFont="1" applyBorder="1" applyAlignment="1"/>
    <xf numFmtId="37" fontId="34" fillId="0" borderId="86" xfId="8" applyNumberFormat="1" applyFont="1" applyBorder="1" applyAlignment="1">
      <alignment horizontal="left"/>
    </xf>
    <xf numFmtId="37" fontId="34" fillId="0" borderId="96" xfId="8" applyNumberFormat="1" applyFont="1" applyBorder="1" applyAlignment="1">
      <alignment horizontal="center" vertical="center" wrapText="1"/>
    </xf>
    <xf numFmtId="0" fontId="1" fillId="0" borderId="96" xfId="10" applyNumberFormat="1" applyBorder="1" applyAlignment="1">
      <alignment horizontal="center" vertical="center" wrapText="1"/>
    </xf>
    <xf numFmtId="0" fontId="1" fillId="0" borderId="85" xfId="10" applyNumberFormat="1" applyBorder="1" applyAlignment="1">
      <alignment horizontal="center" vertical="center"/>
    </xf>
    <xf numFmtId="37" fontId="1" fillId="0" borderId="85" xfId="8" applyNumberFormat="1" applyFont="1" applyBorder="1" applyAlignment="1">
      <alignment horizontal="center" vertical="center"/>
    </xf>
    <xf numFmtId="167" fontId="1" fillId="0" borderId="85" xfId="9" applyNumberFormat="1" applyBorder="1" applyAlignment="1">
      <alignment horizontal="center" vertical="center"/>
    </xf>
    <xf numFmtId="37" fontId="31" fillId="0" borderId="115" xfId="8" applyNumberFormat="1" applyFont="1" applyBorder="1" applyAlignment="1">
      <alignment horizontal="left" vertical="top" wrapText="1"/>
    </xf>
    <xf numFmtId="37" fontId="1" fillId="0" borderId="0" xfId="8" applyNumberFormat="1" applyFont="1" applyAlignment="1">
      <alignment horizontal="center" vertical="center" wrapText="1"/>
    </xf>
    <xf numFmtId="9" fontId="1" fillId="0" borderId="115" xfId="9" applyBorder="1" applyAlignment="1">
      <alignment horizontal="center" vertical="center"/>
    </xf>
    <xf numFmtId="9" fontId="1" fillId="0" borderId="118" xfId="9" applyBorder="1" applyAlignment="1">
      <alignment horizontal="center" vertical="center"/>
    </xf>
    <xf numFmtId="9" fontId="1" fillId="0" borderId="119" xfId="9" applyBorder="1" applyAlignment="1">
      <alignment horizontal="center" vertical="center"/>
    </xf>
    <xf numFmtId="9" fontId="1" fillId="0" borderId="111" xfId="9" applyBorder="1" applyAlignment="1">
      <alignment horizontal="center" vertical="center"/>
    </xf>
    <xf numFmtId="9" fontId="1" fillId="0" borderId="120" xfId="9" applyBorder="1" applyAlignment="1">
      <alignment horizontal="center" vertical="center"/>
    </xf>
    <xf numFmtId="37" fontId="31" fillId="0" borderId="97" xfId="8" applyNumberFormat="1" applyFont="1" applyBorder="1" applyAlignment="1">
      <alignment horizontal="right" vertical="top" wrapText="1"/>
    </xf>
    <xf numFmtId="37" fontId="1" fillId="0" borderId="0" xfId="8" applyNumberFormat="1" applyFont="1" applyAlignment="1">
      <alignment horizontal="right" vertical="center" wrapText="1"/>
    </xf>
    <xf numFmtId="9" fontId="1" fillId="0" borderId="97" xfId="9" applyBorder="1" applyAlignment="1">
      <alignment horizontal="center" vertical="center"/>
    </xf>
    <xf numFmtId="9" fontId="1" fillId="0" borderId="121" xfId="9" applyBorder="1" applyAlignment="1">
      <alignment horizontal="center" vertical="center"/>
    </xf>
    <xf numFmtId="37" fontId="31" fillId="0" borderId="97" xfId="8" applyNumberFormat="1" applyFont="1" applyBorder="1" applyAlignment="1">
      <alignment horizontal="left" vertical="top" wrapText="1"/>
    </xf>
    <xf numFmtId="37" fontId="34" fillId="0" borderId="0" xfId="8" applyNumberFormat="1" applyFont="1" applyAlignment="1">
      <alignment horizontal="center" vertical="center" wrapText="1"/>
    </xf>
    <xf numFmtId="167" fontId="1" fillId="0" borderId="97" xfId="9" applyNumberFormat="1" applyBorder="1" applyAlignment="1">
      <alignment horizontal="center" vertical="center"/>
    </xf>
    <xf numFmtId="167" fontId="1" fillId="0" borderId="121" xfId="9" applyNumberFormat="1" applyBorder="1" applyAlignment="1">
      <alignment horizontal="center" vertical="center"/>
    </xf>
    <xf numFmtId="167" fontId="1" fillId="0" borderId="120" xfId="9" applyNumberFormat="1" applyBorder="1" applyAlignment="1">
      <alignment horizontal="center" vertical="center"/>
    </xf>
    <xf numFmtId="37" fontId="31" fillId="0" borderId="122" xfId="8" applyNumberFormat="1" applyFont="1" applyBorder="1" applyAlignment="1">
      <alignment horizontal="left" vertical="top" wrapText="1"/>
    </xf>
    <xf numFmtId="37" fontId="34" fillId="0" borderId="123" xfId="8" applyNumberFormat="1" applyFont="1" applyBorder="1" applyAlignment="1">
      <alignment horizontal="center" vertical="center" wrapText="1"/>
    </xf>
    <xf numFmtId="167" fontId="1" fillId="0" borderId="33" xfId="9" applyNumberFormat="1" applyBorder="1" applyAlignment="1">
      <alignment horizontal="center" vertical="center"/>
    </xf>
    <xf numFmtId="167" fontId="1" fillId="0" borderId="78" xfId="9" applyNumberFormat="1" applyBorder="1" applyAlignment="1">
      <alignment horizontal="center" vertical="center"/>
    </xf>
    <xf numFmtId="167" fontId="1" fillId="0" borderId="0" xfId="9" applyNumberFormat="1" applyAlignment="1">
      <alignment horizontal="center" vertical="center"/>
    </xf>
    <xf numFmtId="37" fontId="31" fillId="0" borderId="99" xfId="8" applyNumberFormat="1" applyFont="1" applyBorder="1" applyAlignment="1">
      <alignment horizontal="left" vertical="top" wrapText="1"/>
    </xf>
    <xf numFmtId="37" fontId="34" fillId="0" borderId="21" xfId="8" applyNumberFormat="1" applyFont="1" applyBorder="1" applyAlignment="1">
      <alignment horizontal="center" vertical="center" wrapText="1"/>
    </xf>
    <xf numFmtId="167" fontId="1" fillId="0" borderId="99" xfId="9" applyNumberFormat="1" applyBorder="1" applyAlignment="1">
      <alignment horizontal="center" vertical="center"/>
    </xf>
    <xf numFmtId="167" fontId="1" fillId="0" borderId="118" xfId="9" applyNumberFormat="1" applyBorder="1" applyAlignment="1">
      <alignment horizontal="center" vertical="center"/>
    </xf>
    <xf numFmtId="167" fontId="1" fillId="0" borderId="119" xfId="9" applyNumberFormat="1" applyBorder="1" applyAlignment="1">
      <alignment horizontal="center" vertical="center"/>
    </xf>
    <xf numFmtId="37" fontId="31" fillId="0" borderId="103" xfId="8" applyNumberFormat="1" applyFont="1" applyBorder="1" applyAlignment="1">
      <alignment horizontal="left" vertical="top" wrapText="1"/>
    </xf>
    <xf numFmtId="167" fontId="1" fillId="0" borderId="115" xfId="9" applyNumberFormat="1" applyBorder="1" applyAlignment="1">
      <alignment horizontal="center" vertical="center"/>
    </xf>
    <xf numFmtId="167" fontId="1" fillId="0" borderId="113" xfId="9" applyNumberFormat="1" applyBorder="1" applyAlignment="1">
      <alignment horizontal="center" vertical="center"/>
    </xf>
    <xf numFmtId="167" fontId="1" fillId="0" borderId="124" xfId="9" applyNumberFormat="1" applyBorder="1" applyAlignment="1">
      <alignment horizontal="center" vertical="center"/>
    </xf>
    <xf numFmtId="37" fontId="31" fillId="0" borderId="107" xfId="8" applyNumberFormat="1" applyFont="1" applyBorder="1" applyAlignment="1">
      <alignment horizontal="left" vertical="top" wrapText="1"/>
    </xf>
    <xf numFmtId="37" fontId="34" fillId="0" borderId="122" xfId="8" applyNumberFormat="1" applyFont="1" applyBorder="1" applyAlignment="1">
      <alignment horizontal="center" vertical="center" wrapText="1"/>
    </xf>
    <xf numFmtId="167" fontId="1" fillId="0" borderId="122" xfId="9" applyNumberFormat="1" applyBorder="1" applyAlignment="1">
      <alignment horizontal="center" vertical="center"/>
    </xf>
    <xf numFmtId="167" fontId="1" fillId="0" borderId="125" xfId="9" applyNumberFormat="1" applyBorder="1" applyAlignment="1">
      <alignment horizontal="center" vertical="center"/>
    </xf>
    <xf numFmtId="167" fontId="1" fillId="0" borderId="123" xfId="9" applyNumberFormat="1" applyBorder="1" applyAlignment="1">
      <alignment horizontal="center" vertical="center"/>
    </xf>
    <xf numFmtId="37" fontId="68" fillId="0" borderId="0" xfId="8" applyNumberFormat="1" applyFont="1" applyAlignment="1">
      <alignment horizontal="right" vertical="center"/>
    </xf>
    <xf numFmtId="37" fontId="68" fillId="0" borderId="0" xfId="8" applyNumberFormat="1" applyFont="1" applyAlignment="1">
      <alignment vertical="center"/>
    </xf>
    <xf numFmtId="9" fontId="59" fillId="0" borderId="0" xfId="9" applyFont="1" applyAlignment="1">
      <alignment vertical="center"/>
    </xf>
    <xf numFmtId="37" fontId="41" fillId="0" borderId="0" xfId="8" applyNumberFormat="1" applyFont="1" applyAlignment="1">
      <alignment vertical="top"/>
    </xf>
    <xf numFmtId="167" fontId="34" fillId="0" borderId="0" xfId="9" applyNumberFormat="1" applyFont="1" applyAlignment="1">
      <alignment vertical="top"/>
    </xf>
    <xf numFmtId="167" fontId="1" fillId="0" borderId="0" xfId="9" applyNumberFormat="1"/>
    <xf numFmtId="37" fontId="1" fillId="0" borderId="5" xfId="8" applyNumberFormat="1" applyFont="1" applyBorder="1" applyAlignment="1"/>
    <xf numFmtId="167" fontId="45" fillId="0" borderId="85" xfId="9" applyNumberFormat="1" applyFont="1" applyBorder="1" applyAlignment="1">
      <alignment horizontal="center" vertical="center"/>
    </xf>
    <xf numFmtId="37" fontId="31" fillId="0" borderId="115" xfId="8" applyNumberFormat="1" applyFont="1" applyBorder="1" applyAlignment="1">
      <alignment horizontal="right" vertical="top" wrapText="1"/>
    </xf>
    <xf numFmtId="37" fontId="34" fillId="0" borderId="5" xfId="8" applyNumberFormat="1" applyFont="1" applyBorder="1" applyAlignment="1">
      <alignment horizontal="center" vertical="center" wrapText="1"/>
    </xf>
    <xf numFmtId="37" fontId="75" fillId="0" borderId="0" xfId="8" applyNumberFormat="1" applyFont="1" applyAlignment="1"/>
    <xf numFmtId="37" fontId="76" fillId="0" borderId="0" xfId="8" applyNumberFormat="1" applyFont="1" applyAlignment="1"/>
    <xf numFmtId="3" fontId="11" fillId="7" borderId="10" xfId="0" applyNumberFormat="1" applyFont="1" applyFill="1" applyBorder="1" applyAlignment="1" applyProtection="1">
      <alignment horizontal="right"/>
      <protection locked="0"/>
    </xf>
    <xf numFmtId="3" fontId="12" fillId="5" borderId="12" xfId="0" applyNumberFormat="1" applyFont="1" applyFill="1" applyBorder="1" applyAlignment="1" applyProtection="1">
      <alignment horizontal="right"/>
      <protection locked="0"/>
    </xf>
    <xf numFmtId="3" fontId="11" fillId="7" borderId="8" xfId="0" applyNumberFormat="1" applyFont="1" applyFill="1" applyBorder="1" applyAlignment="1" applyProtection="1">
      <alignment horizontal="right"/>
      <protection locked="0"/>
    </xf>
    <xf numFmtId="37" fontId="4" fillId="0" borderId="126" xfId="0" applyNumberFormat="1" applyFont="1" applyBorder="1" applyAlignment="1">
      <alignment horizontal="left"/>
    </xf>
    <xf numFmtId="37" fontId="8" fillId="0" borderId="127" xfId="0" applyNumberFormat="1" applyFont="1" applyBorder="1" applyAlignment="1">
      <alignment horizontal="left"/>
    </xf>
    <xf numFmtId="37" fontId="4" fillId="0" borderId="128" xfId="0" applyNumberFormat="1" applyFont="1" applyBorder="1"/>
    <xf numFmtId="166" fontId="18" fillId="0" borderId="0" xfId="0" applyNumberFormat="1" applyFont="1"/>
    <xf numFmtId="37" fontId="4" fillId="0" borderId="127" xfId="0" applyNumberFormat="1" applyFont="1" applyBorder="1"/>
    <xf numFmtId="166" fontId="4" fillId="0" borderId="126" xfId="0" applyNumberFormat="1" applyFont="1" applyBorder="1" applyAlignment="1">
      <alignment horizontal="left"/>
    </xf>
    <xf numFmtId="37" fontId="1" fillId="0" borderId="127" xfId="0" applyNumberFormat="1" applyFont="1" applyBorder="1" applyAlignment="1">
      <alignment horizontal="center" wrapText="1"/>
    </xf>
    <xf numFmtId="37" fontId="4" fillId="0" borderId="130" xfId="0" applyNumberFormat="1" applyFont="1" applyBorder="1"/>
    <xf numFmtId="37" fontId="6" fillId="0" borderId="130" xfId="0" applyNumberFormat="1" applyFont="1" applyBorder="1" applyAlignment="1">
      <alignment horizontal="center" wrapText="1"/>
    </xf>
    <xf numFmtId="37" fontId="6" fillId="0" borderId="127" xfId="0" applyNumberFormat="1" applyFont="1" applyBorder="1" applyAlignment="1">
      <alignment horizontal="center" wrapText="1"/>
    </xf>
    <xf numFmtId="37" fontId="6" fillId="0" borderId="132" xfId="0" applyNumberFormat="1" applyFont="1" applyBorder="1" applyAlignment="1">
      <alignment horizontal="center" wrapText="1"/>
    </xf>
    <xf numFmtId="37" fontId="12" fillId="0" borderId="133" xfId="0" applyNumberFormat="1" applyFont="1" applyBorder="1" applyAlignment="1">
      <alignment horizontal="centerContinuous" wrapText="1"/>
    </xf>
    <xf numFmtId="166" fontId="6" fillId="0" borderId="46" xfId="0" applyNumberFormat="1" applyFont="1" applyBorder="1" applyAlignment="1">
      <alignment horizontal="centerContinuous"/>
    </xf>
    <xf numFmtId="3" fontId="6" fillId="0" borderId="126" xfId="0" applyNumberFormat="1" applyFont="1" applyBorder="1" applyAlignment="1">
      <alignment horizontal="centerContinuous" wrapText="1"/>
    </xf>
    <xf numFmtId="37" fontId="6" fillId="0" borderId="46" xfId="0" applyNumberFormat="1" applyFont="1" applyBorder="1" applyAlignment="1">
      <alignment horizontal="center" wrapText="1"/>
    </xf>
    <xf numFmtId="37" fontId="1" fillId="4" borderId="46" xfId="0" applyNumberFormat="1" applyFont="1" applyFill="1" applyBorder="1" applyAlignment="1">
      <alignment horizontal="center" wrapText="1"/>
    </xf>
    <xf numFmtId="166" fontId="4" fillId="0" borderId="134" xfId="0" applyNumberFormat="1" applyFont="1" applyBorder="1" applyAlignment="1">
      <alignment horizontal="centerContinuous" wrapText="1"/>
    </xf>
    <xf numFmtId="37" fontId="1" fillId="12" borderId="0" xfId="0" applyNumberFormat="1" applyFont="1" applyFill="1" applyAlignment="1" applyProtection="1">
      <alignment horizontal="left"/>
      <protection locked="0"/>
    </xf>
    <xf numFmtId="37" fontId="4" fillId="12" borderId="0" xfId="0" applyNumberFormat="1" applyFont="1" applyFill="1" applyProtection="1">
      <protection locked="0"/>
    </xf>
    <xf numFmtId="37" fontId="1" fillId="12" borderId="0" xfId="0" applyNumberFormat="1" applyFont="1" applyFill="1" applyAlignment="1" applyProtection="1">
      <alignment horizontal="center" vertical="center" wrapText="1"/>
      <protection locked="0"/>
    </xf>
    <xf numFmtId="37" fontId="1" fillId="12" borderId="0" xfId="0" applyNumberFormat="1" applyFont="1" applyFill="1" applyProtection="1">
      <protection locked="0"/>
    </xf>
    <xf numFmtId="0" fontId="1" fillId="12" borderId="0" xfId="0" applyNumberFormat="1" applyFont="1" applyFill="1" applyAlignment="1" applyProtection="1">
      <alignment horizontal="center"/>
      <protection locked="0"/>
    </xf>
    <xf numFmtId="3" fontId="12" fillId="5" borderId="135" xfId="0" applyNumberFormat="1" applyFont="1" applyFill="1" applyBorder="1" applyAlignment="1" applyProtection="1">
      <alignment horizontal="right"/>
      <protection locked="0"/>
    </xf>
    <xf numFmtId="3" fontId="11" fillId="7" borderId="4" xfId="0" applyNumberFormat="1" applyFont="1" applyFill="1" applyBorder="1" applyAlignment="1" applyProtection="1">
      <alignment horizontal="right"/>
      <protection locked="0"/>
    </xf>
    <xf numFmtId="3" fontId="12" fillId="5" borderId="136" xfId="0" applyNumberFormat="1" applyFont="1" applyFill="1" applyBorder="1" applyAlignment="1" applyProtection="1">
      <alignment horizontal="right"/>
      <protection locked="0"/>
    </xf>
    <xf numFmtId="3" fontId="12" fillId="5" borderId="4" xfId="0" applyNumberFormat="1" applyFont="1" applyFill="1" applyBorder="1" applyAlignment="1" applyProtection="1">
      <alignment horizontal="right"/>
      <protection locked="0"/>
    </xf>
    <xf numFmtId="165" fontId="4" fillId="0" borderId="21" xfId="0" applyNumberFormat="1" applyFont="1" applyBorder="1" applyAlignment="1">
      <alignment horizontal="left"/>
    </xf>
    <xf numFmtId="37" fontId="3" fillId="0" borderId="21" xfId="0" applyNumberFormat="1" applyFont="1" applyBorder="1" applyAlignment="1">
      <alignment horizontal="left"/>
    </xf>
    <xf numFmtId="1" fontId="5" fillId="0" borderId="21" xfId="0" applyNumberFormat="1" applyFont="1" applyBorder="1" applyAlignment="1">
      <alignment horizontal="left"/>
    </xf>
    <xf numFmtId="49" fontId="7" fillId="0" borderId="21" xfId="0" applyNumberFormat="1" applyFont="1" applyBorder="1" applyAlignment="1">
      <alignment horizontal="center"/>
    </xf>
    <xf numFmtId="37" fontId="3" fillId="0" borderId="90" xfId="0" applyNumberFormat="1" applyFont="1" applyBorder="1" applyAlignment="1">
      <alignment horizontal="center"/>
    </xf>
    <xf numFmtId="37" fontId="10" fillId="0" borderId="21" xfId="0" applyNumberFormat="1" applyFont="1" applyBorder="1" applyAlignment="1">
      <alignment horizontal="center" wrapText="1"/>
    </xf>
    <xf numFmtId="166" fontId="6" fillId="0" borderId="21" xfId="0" applyNumberFormat="1" applyFont="1" applyBorder="1"/>
    <xf numFmtId="166" fontId="6" fillId="2" borderId="90" xfId="0" applyNumberFormat="1" applyFont="1" applyFill="1" applyBorder="1" applyAlignment="1">
      <alignment horizontal="centerContinuous"/>
    </xf>
    <xf numFmtId="166" fontId="1" fillId="0" borderId="138" xfId="0" applyNumberFormat="1" applyFont="1" applyBorder="1" applyAlignment="1">
      <alignment horizontal="center" wrapText="1"/>
    </xf>
    <xf numFmtId="37" fontId="6" fillId="0" borderId="21" xfId="0" applyNumberFormat="1" applyFont="1" applyBorder="1" applyAlignment="1">
      <alignment horizontal="center" wrapText="1"/>
    </xf>
    <xf numFmtId="3" fontId="6" fillId="0" borderId="7" xfId="0" applyNumberFormat="1" applyFont="1" applyBorder="1" applyAlignment="1">
      <alignment horizontal="center" wrapText="1"/>
    </xf>
    <xf numFmtId="3" fontId="6" fillId="6" borderId="137" xfId="0" applyNumberFormat="1" applyFont="1" applyFill="1" applyBorder="1" applyAlignment="1">
      <alignment horizontal="center" wrapText="1"/>
    </xf>
    <xf numFmtId="3" fontId="12" fillId="7" borderId="137" xfId="0" applyNumberFormat="1" applyFont="1" applyFill="1" applyBorder="1" applyAlignment="1">
      <alignment horizontal="center" wrapText="1"/>
    </xf>
    <xf numFmtId="3" fontId="6" fillId="0" borderId="137" xfId="0" applyNumberFormat="1" applyFont="1" applyBorder="1" applyAlignment="1">
      <alignment horizontal="center" wrapText="1"/>
    </xf>
    <xf numFmtId="3" fontId="12" fillId="5" borderId="138" xfId="0" applyNumberFormat="1" applyFont="1" applyFill="1" applyBorder="1" applyAlignment="1">
      <alignment horizontal="center" wrapText="1"/>
    </xf>
    <xf numFmtId="166" fontId="1" fillId="4" borderId="78" xfId="0" applyNumberFormat="1" applyFont="1" applyFill="1" applyBorder="1" applyAlignment="1">
      <alignment horizontal="center" wrapText="1"/>
    </xf>
    <xf numFmtId="37" fontId="1" fillId="4" borderId="78" xfId="0" applyNumberFormat="1" applyFont="1" applyFill="1" applyBorder="1" applyAlignment="1">
      <alignment horizontal="center" wrapText="1"/>
    </xf>
    <xf numFmtId="37" fontId="4" fillId="32" borderId="0" xfId="0" applyNumberFormat="1" applyFont="1" applyFill="1" applyAlignment="1">
      <alignment horizontal="left"/>
    </xf>
    <xf numFmtId="37" fontId="1" fillId="33" borderId="78" xfId="0" applyNumberFormat="1" applyFont="1" applyFill="1" applyBorder="1" applyAlignment="1">
      <alignment horizontal="center"/>
    </xf>
    <xf numFmtId="37" fontId="1" fillId="33" borderId="0" xfId="0" applyNumberFormat="1" applyFont="1" applyFill="1" applyAlignment="1">
      <alignment horizontal="left"/>
    </xf>
    <xf numFmtId="37" fontId="15" fillId="33" borderId="0" xfId="0" applyNumberFormat="1" applyFont="1" applyFill="1" applyAlignment="1">
      <alignment horizontal="left"/>
    </xf>
    <xf numFmtId="37" fontId="1" fillId="33" borderId="0" xfId="0" applyNumberFormat="1" applyFont="1" applyFill="1" applyAlignment="1">
      <alignment horizontal="center"/>
    </xf>
    <xf numFmtId="37" fontId="18" fillId="0" borderId="0" xfId="0" applyNumberFormat="1" applyFont="1"/>
    <xf numFmtId="37" fontId="4" fillId="34" borderId="0" xfId="0" applyNumberFormat="1" applyFont="1" applyFill="1" applyAlignment="1">
      <alignment horizontal="left"/>
    </xf>
    <xf numFmtId="37" fontId="4" fillId="35" borderId="0" xfId="0" applyNumberFormat="1" applyFont="1" applyFill="1" applyAlignment="1">
      <alignment horizontal="left"/>
    </xf>
    <xf numFmtId="37" fontId="15" fillId="35" borderId="0" xfId="0" applyNumberFormat="1" applyFont="1" applyFill="1" applyAlignment="1">
      <alignment horizontal="left"/>
    </xf>
    <xf numFmtId="37" fontId="1" fillId="34" borderId="78" xfId="0" applyNumberFormat="1" applyFont="1" applyFill="1" applyBorder="1" applyAlignment="1">
      <alignment horizontal="center"/>
    </xf>
    <xf numFmtId="37" fontId="1" fillId="34" borderId="0" xfId="0" applyNumberFormat="1" applyFont="1" applyFill="1" applyAlignment="1">
      <alignment horizontal="left"/>
    </xf>
    <xf numFmtId="37" fontId="1" fillId="34" borderId="0" xfId="0" applyNumberFormat="1" applyFont="1" applyFill="1" applyAlignment="1">
      <alignment horizontal="center"/>
    </xf>
    <xf numFmtId="37" fontId="82" fillId="33" borderId="0" xfId="0" applyNumberFormat="1" applyFont="1" applyFill="1" applyAlignment="1">
      <alignment horizontal="left"/>
    </xf>
    <xf numFmtId="37" fontId="80" fillId="33" borderId="0" xfId="0" applyNumberFormat="1" applyFont="1" applyFill="1" applyAlignment="1">
      <alignment horizontal="left"/>
    </xf>
    <xf numFmtId="37" fontId="1" fillId="35" borderId="0" xfId="0" applyNumberFormat="1" applyFont="1" applyFill="1" applyAlignment="1">
      <alignment horizontal="left"/>
    </xf>
    <xf numFmtId="37" fontId="1" fillId="13" borderId="141" xfId="0" applyNumberFormat="1" applyFont="1" applyFill="1" applyBorder="1" applyProtection="1">
      <protection locked="0"/>
    </xf>
    <xf numFmtId="37" fontId="1" fillId="14" borderId="141" xfId="0" applyNumberFormat="1" applyFont="1" applyFill="1" applyBorder="1" applyAlignment="1" applyProtection="1">
      <alignment horizontal="center" vertical="top"/>
      <protection locked="0"/>
    </xf>
    <xf numFmtId="38" fontId="11" fillId="7" borderId="141" xfId="0" applyNumberFormat="1" applyFont="1" applyFill="1" applyBorder="1" applyAlignment="1">
      <alignment horizontal="right"/>
    </xf>
    <xf numFmtId="38" fontId="11" fillId="5" borderId="141" xfId="0" applyNumberFormat="1" applyFont="1" applyFill="1" applyBorder="1" applyAlignment="1">
      <alignment horizontal="right"/>
    </xf>
    <xf numFmtId="37" fontId="18" fillId="0" borderId="141" xfId="0" applyNumberFormat="1" applyFont="1" applyBorder="1" applyAlignment="1">
      <alignment horizontal="center" vertical="top"/>
    </xf>
    <xf numFmtId="37" fontId="1" fillId="14" borderId="141" xfId="0" applyNumberFormat="1" applyFont="1" applyFill="1" applyBorder="1" applyAlignment="1">
      <alignment horizontal="center" vertical="top"/>
    </xf>
    <xf numFmtId="37" fontId="79" fillId="37" borderId="0" xfId="0" applyNumberFormat="1" applyFont="1" applyFill="1" applyAlignment="1">
      <alignment horizontal="center"/>
    </xf>
    <xf numFmtId="37" fontId="1" fillId="32" borderId="0" xfId="0" applyNumberFormat="1" applyFont="1" applyFill="1" applyAlignment="1">
      <alignment horizontal="center"/>
    </xf>
    <xf numFmtId="37" fontId="1" fillId="32" borderId="0" xfId="0" applyNumberFormat="1" applyFont="1" applyFill="1" applyAlignment="1">
      <alignment horizontal="left" vertical="center" wrapText="1"/>
    </xf>
    <xf numFmtId="37" fontId="1" fillId="32" borderId="0" xfId="0" applyNumberFormat="1" applyFont="1" applyFill="1" applyAlignment="1">
      <alignment vertical="center"/>
    </xf>
    <xf numFmtId="37" fontId="4" fillId="32" borderId="0" xfId="0" applyNumberFormat="1" applyFont="1" applyFill="1" applyAlignment="1">
      <alignment vertical="center"/>
    </xf>
    <xf numFmtId="37" fontId="1" fillId="32" borderId="0" xfId="0" applyNumberFormat="1" applyFont="1" applyFill="1" applyAlignment="1">
      <alignment horizontal="center" wrapText="1"/>
    </xf>
    <xf numFmtId="37" fontId="1" fillId="32" borderId="0" xfId="0" applyNumberFormat="1" applyFont="1" applyFill="1" applyAlignment="1">
      <alignment horizontal="left"/>
    </xf>
    <xf numFmtId="37" fontId="9" fillId="32" borderId="0" xfId="0" applyNumberFormat="1" applyFont="1" applyFill="1" applyAlignment="1">
      <alignment horizontal="right"/>
    </xf>
    <xf numFmtId="37" fontId="4" fillId="32" borderId="0" xfId="0" applyNumberFormat="1" applyFont="1" applyFill="1" applyAlignment="1">
      <alignment horizontal="right"/>
    </xf>
    <xf numFmtId="37" fontId="1" fillId="32" borderId="0" xfId="0" applyNumberFormat="1" applyFont="1" applyFill="1" applyAlignment="1">
      <alignment horizontal="right"/>
    </xf>
    <xf numFmtId="37" fontId="1" fillId="32" borderId="0" xfId="0" applyNumberFormat="1" applyFont="1" applyFill="1" applyAlignment="1">
      <alignment horizontal="center" vertical="center" wrapText="1"/>
    </xf>
    <xf numFmtId="37" fontId="15" fillId="32" borderId="0" xfId="0" applyNumberFormat="1" applyFont="1" applyFill="1" applyAlignment="1">
      <alignment horizontal="left"/>
    </xf>
    <xf numFmtId="37" fontId="1" fillId="32" borderId="0" xfId="0" applyNumberFormat="1" applyFont="1" applyFill="1"/>
    <xf numFmtId="37" fontId="1" fillId="32" borderId="78" xfId="0" applyNumberFormat="1" applyFont="1" applyFill="1" applyBorder="1" applyAlignment="1">
      <alignment horizontal="center" vertical="center" wrapText="1"/>
    </xf>
    <xf numFmtId="37" fontId="9" fillId="32" borderId="0" xfId="0" applyNumberFormat="1" applyFont="1" applyFill="1" applyAlignment="1">
      <alignment horizontal="right" vertical="center"/>
    </xf>
    <xf numFmtId="37" fontId="4" fillId="32" borderId="0" xfId="0" applyNumberFormat="1" applyFont="1" applyFill="1" applyAlignment="1">
      <alignment horizontal="right" vertical="center"/>
    </xf>
    <xf numFmtId="37" fontId="1" fillId="32" borderId="0" xfId="0" applyNumberFormat="1" applyFont="1" applyFill="1" applyAlignment="1">
      <alignment horizontal="right" vertical="center"/>
    </xf>
    <xf numFmtId="37" fontId="1" fillId="32" borderId="0" xfId="0" applyNumberFormat="1" applyFont="1" applyFill="1" applyAlignment="1">
      <alignment horizontal="right" wrapText="1"/>
    </xf>
    <xf numFmtId="37" fontId="4" fillId="32" borderId="0" xfId="0" applyNumberFormat="1" applyFont="1" applyFill="1" applyAlignment="1">
      <alignment horizontal="right" wrapText="1"/>
    </xf>
    <xf numFmtId="37" fontId="9" fillId="32" borderId="0" xfId="0" applyNumberFormat="1" applyFont="1" applyFill="1" applyAlignment="1">
      <alignment horizontal="left" vertical="center"/>
    </xf>
    <xf numFmtId="37" fontId="4" fillId="32" borderId="0" xfId="0" applyNumberFormat="1" applyFont="1" applyFill="1" applyAlignment="1">
      <alignment horizontal="left" vertical="center"/>
    </xf>
    <xf numFmtId="37" fontId="17" fillId="32" borderId="0" xfId="0" applyNumberFormat="1" applyFont="1" applyFill="1" applyAlignment="1">
      <alignment horizontal="right"/>
    </xf>
    <xf numFmtId="37" fontId="7" fillId="32" borderId="0" xfId="0" applyNumberFormat="1" applyFont="1" applyFill="1" applyAlignment="1">
      <alignment horizontal="right"/>
    </xf>
    <xf numFmtId="37" fontId="1" fillId="35" borderId="0" xfId="0" applyNumberFormat="1" applyFont="1" applyFill="1" applyAlignment="1">
      <alignment horizontal="center"/>
    </xf>
    <xf numFmtId="37" fontId="1" fillId="35" borderId="0" xfId="0" applyNumberFormat="1" applyFont="1" applyFill="1"/>
    <xf numFmtId="37" fontId="4" fillId="35" borderId="0" xfId="0" applyNumberFormat="1" applyFont="1" applyFill="1"/>
    <xf numFmtId="37" fontId="9" fillId="35" borderId="0" xfId="0" applyNumberFormat="1" applyFont="1" applyFill="1" applyAlignment="1">
      <alignment horizontal="right"/>
    </xf>
    <xf numFmtId="37" fontId="4" fillId="35" borderId="0" xfId="0" applyNumberFormat="1" applyFont="1" applyFill="1" applyAlignment="1">
      <alignment horizontal="right"/>
    </xf>
    <xf numFmtId="37" fontId="1" fillId="35" borderId="0" xfId="0" applyNumberFormat="1" applyFont="1" applyFill="1" applyAlignment="1">
      <alignment horizontal="right"/>
    </xf>
    <xf numFmtId="37" fontId="15" fillId="35" borderId="0" xfId="0" applyNumberFormat="1" applyFont="1" applyFill="1" applyAlignment="1">
      <alignment horizontal="center"/>
    </xf>
    <xf numFmtId="37" fontId="1" fillId="18" borderId="0" xfId="0" applyNumberFormat="1" applyFont="1" applyFill="1" applyAlignment="1">
      <alignment horizontal="center"/>
    </xf>
    <xf numFmtId="37" fontId="1" fillId="35" borderId="0" xfId="0" applyNumberFormat="1" applyFont="1" applyFill="1" applyAlignment="1">
      <alignment horizontal="center" wrapText="1"/>
    </xf>
    <xf numFmtId="37" fontId="1" fillId="32" borderId="0" xfId="0" applyNumberFormat="1" applyFont="1" applyFill="1" applyAlignment="1">
      <alignment horizontal="left" vertical="center"/>
    </xf>
    <xf numFmtId="37" fontId="17" fillId="32" borderId="0" xfId="0" applyNumberFormat="1" applyFont="1" applyFill="1" applyAlignment="1">
      <alignment horizontal="right" wrapText="1"/>
    </xf>
    <xf numFmtId="37" fontId="1" fillId="33" borderId="0" xfId="0" applyNumberFormat="1" applyFont="1" applyFill="1"/>
    <xf numFmtId="37" fontId="4" fillId="33" borderId="0" xfId="0" applyNumberFormat="1" applyFont="1" applyFill="1"/>
    <xf numFmtId="37" fontId="1" fillId="33" borderId="0" xfId="0" applyNumberFormat="1" applyFont="1" applyFill="1" applyAlignment="1">
      <alignment horizontal="right"/>
    </xf>
    <xf numFmtId="37" fontId="4" fillId="33" borderId="0" xfId="0" applyNumberFormat="1" applyFont="1" applyFill="1" applyAlignment="1">
      <alignment horizontal="right"/>
    </xf>
    <xf numFmtId="37" fontId="9" fillId="33" borderId="0" xfId="0" applyNumberFormat="1" applyFont="1" applyFill="1" applyAlignment="1">
      <alignment horizontal="right"/>
    </xf>
    <xf numFmtId="37" fontId="4" fillId="33" borderId="0" xfId="0" applyNumberFormat="1" applyFont="1" applyFill="1" applyAlignment="1">
      <alignment horizontal="left"/>
    </xf>
    <xf numFmtId="37" fontId="9" fillId="33" borderId="0" xfId="0" applyNumberFormat="1" applyFont="1" applyFill="1" applyAlignment="1">
      <alignment horizontal="left"/>
    </xf>
    <xf numFmtId="37" fontId="1" fillId="33" borderId="0" xfId="0" applyNumberFormat="1" applyFont="1" applyFill="1" applyAlignment="1">
      <alignment horizontal="center" wrapText="1"/>
    </xf>
    <xf numFmtId="37" fontId="1" fillId="33" borderId="0" xfId="0" applyNumberFormat="1" applyFont="1" applyFill="1" applyAlignment="1">
      <alignment horizontal="left" vertical="center" wrapText="1"/>
    </xf>
    <xf numFmtId="37" fontId="9" fillId="33" borderId="0" xfId="0" applyNumberFormat="1" applyFont="1" applyFill="1" applyAlignment="1">
      <alignment horizontal="left" vertical="top"/>
    </xf>
    <xf numFmtId="37" fontId="4" fillId="33" borderId="0" xfId="0" applyNumberFormat="1" applyFont="1" applyFill="1" applyAlignment="1">
      <alignment horizontal="left" vertical="top"/>
    </xf>
    <xf numFmtId="37" fontId="1" fillId="13" borderId="116" xfId="0" applyNumberFormat="1" applyFont="1" applyFill="1" applyBorder="1" applyProtection="1">
      <protection locked="0"/>
    </xf>
    <xf numFmtId="37" fontId="77" fillId="33" borderId="0" xfId="0" applyNumberFormat="1" applyFont="1" applyFill="1"/>
    <xf numFmtId="37" fontId="77" fillId="33" borderId="0" xfId="0" applyNumberFormat="1" applyFont="1" applyFill="1" applyAlignment="1">
      <alignment horizontal="right"/>
    </xf>
    <xf numFmtId="37" fontId="78" fillId="33" borderId="0" xfId="0" applyNumberFormat="1" applyFont="1" applyFill="1" applyAlignment="1">
      <alignment horizontal="left"/>
    </xf>
    <xf numFmtId="37" fontId="77" fillId="33" borderId="0" xfId="0" applyNumberFormat="1" applyFont="1" applyFill="1" applyAlignment="1">
      <alignment horizontal="left"/>
    </xf>
    <xf numFmtId="37" fontId="82" fillId="33" borderId="0" xfId="0" applyNumberFormat="1" applyFont="1" applyFill="1"/>
    <xf numFmtId="37" fontId="1" fillId="33" borderId="0" xfId="0" applyNumberFormat="1" applyFont="1" applyFill="1" applyAlignment="1">
      <alignment wrapText="1"/>
    </xf>
    <xf numFmtId="37" fontId="78" fillId="33" borderId="0" xfId="0" applyNumberFormat="1" applyFont="1" applyFill="1"/>
    <xf numFmtId="37" fontId="1" fillId="44" borderId="0" xfId="0" applyNumberFormat="1" applyFont="1" applyFill="1"/>
    <xf numFmtId="37" fontId="77" fillId="44" borderId="0" xfId="0" applyNumberFormat="1" applyFont="1" applyFill="1"/>
    <xf numFmtId="37" fontId="1" fillId="45" borderId="0" xfId="0" applyNumberFormat="1" applyFont="1" applyFill="1"/>
    <xf numFmtId="37" fontId="77" fillId="45" borderId="0" xfId="0" applyNumberFormat="1" applyFont="1" applyFill="1"/>
    <xf numFmtId="37" fontId="1" fillId="46" borderId="0" xfId="0" applyNumberFormat="1" applyFont="1" applyFill="1"/>
    <xf numFmtId="37" fontId="77" fillId="46" borderId="0" xfId="0" applyNumberFormat="1" applyFont="1" applyFill="1"/>
    <xf numFmtId="37" fontId="1" fillId="47" borderId="0" xfId="0" applyNumberFormat="1" applyFont="1" applyFill="1"/>
    <xf numFmtId="37" fontId="1" fillId="47" borderId="0" xfId="0" applyNumberFormat="1" applyFont="1" applyFill="1" applyAlignment="1">
      <alignment horizontal="left"/>
    </xf>
    <xf numFmtId="37" fontId="4" fillId="30" borderId="0" xfId="0" applyNumberFormat="1" applyFont="1" applyFill="1" applyAlignment="1">
      <alignment horizontal="center"/>
    </xf>
    <xf numFmtId="37" fontId="1" fillId="30" borderId="0" xfId="0" applyNumberFormat="1" applyFont="1" applyFill="1" applyAlignment="1">
      <alignment horizontal="center"/>
    </xf>
    <xf numFmtId="37" fontId="1" fillId="45" borderId="0" xfId="0" applyNumberFormat="1" applyFont="1" applyFill="1" applyAlignment="1">
      <alignment horizontal="right"/>
    </xf>
    <xf numFmtId="37" fontId="1" fillId="48" borderId="0" xfId="0" applyNumberFormat="1" applyFont="1" applyFill="1"/>
    <xf numFmtId="37" fontId="1" fillId="48" borderId="0" xfId="0" applyNumberFormat="1" applyFont="1" applyFill="1" applyAlignment="1">
      <alignment horizontal="left"/>
    </xf>
    <xf numFmtId="37" fontId="1" fillId="30" borderId="0" xfId="0" applyNumberFormat="1" applyFont="1" applyFill="1" applyAlignment="1">
      <alignment horizontal="center" wrapText="1"/>
    </xf>
    <xf numFmtId="37" fontId="1" fillId="41" borderId="0" xfId="0" applyNumberFormat="1" applyFont="1" applyFill="1"/>
    <xf numFmtId="37" fontId="1" fillId="49" borderId="0" xfId="0" applyNumberFormat="1" applyFont="1" applyFill="1" applyAlignment="1">
      <alignment horizontal="center" wrapText="1"/>
    </xf>
    <xf numFmtId="37" fontId="4" fillId="50" borderId="0" xfId="0" applyNumberFormat="1" applyFont="1" applyFill="1" applyAlignment="1">
      <alignment horizontal="right"/>
    </xf>
    <xf numFmtId="37" fontId="25" fillId="50" borderId="0" xfId="0" applyNumberFormat="1" applyFont="1" applyFill="1" applyAlignment="1">
      <alignment horizontal="right"/>
    </xf>
    <xf numFmtId="37" fontId="17" fillId="50" borderId="0" xfId="0" applyNumberFormat="1" applyFont="1" applyFill="1" applyAlignment="1">
      <alignment horizontal="right"/>
    </xf>
    <xf numFmtId="37" fontId="1" fillId="35" borderId="78" xfId="0" applyNumberFormat="1" applyFont="1" applyFill="1" applyBorder="1" applyAlignment="1">
      <alignment horizontal="center"/>
    </xf>
    <xf numFmtId="37" fontId="4" fillId="42" borderId="141" xfId="0" applyNumberFormat="1" applyFont="1" applyFill="1" applyBorder="1" applyAlignment="1">
      <alignment horizontal="center" wrapText="1"/>
    </xf>
    <xf numFmtId="37" fontId="12" fillId="0" borderId="123" xfId="0" applyNumberFormat="1" applyFont="1" applyBorder="1" applyAlignment="1">
      <alignment horizontal="center" wrapText="1"/>
    </xf>
    <xf numFmtId="37" fontId="4" fillId="42" borderId="96" xfId="0" applyNumberFormat="1" applyFont="1" applyFill="1" applyBorder="1" applyAlignment="1">
      <alignment horizontal="center" wrapText="1"/>
    </xf>
    <xf numFmtId="37" fontId="12" fillId="51" borderId="142" xfId="0" applyNumberFormat="1" applyFont="1" applyFill="1" applyBorder="1" applyAlignment="1">
      <alignment horizontal="center" wrapText="1"/>
    </xf>
    <xf numFmtId="37" fontId="12" fillId="0" borderId="141" xfId="0" applyNumberFormat="1" applyFont="1" applyBorder="1" applyAlignment="1">
      <alignment horizontal="center" wrapText="1"/>
    </xf>
    <xf numFmtId="37" fontId="12" fillId="0" borderId="116" xfId="0" applyNumberFormat="1" applyFont="1" applyBorder="1" applyAlignment="1">
      <alignment horizontal="center" wrapText="1"/>
    </xf>
    <xf numFmtId="37" fontId="12" fillId="43" borderId="142" xfId="0" applyNumberFormat="1" applyFont="1" applyFill="1" applyBorder="1" applyAlignment="1">
      <alignment horizontal="center" wrapText="1"/>
    </xf>
    <xf numFmtId="37" fontId="12" fillId="51" borderId="88" xfId="0" applyNumberFormat="1" applyFont="1" applyFill="1" applyBorder="1" applyAlignment="1">
      <alignment horizontal="center" wrapText="1"/>
    </xf>
    <xf numFmtId="37" fontId="12" fillId="43" borderId="139" xfId="0" applyNumberFormat="1" applyFont="1" applyFill="1" applyBorder="1" applyAlignment="1">
      <alignment horizontal="center" wrapText="1"/>
    </xf>
    <xf numFmtId="37" fontId="12" fillId="51" borderId="141" xfId="0" applyNumberFormat="1" applyFont="1" applyFill="1" applyBorder="1" applyAlignment="1">
      <alignment horizontal="center" wrapText="1"/>
    </xf>
    <xf numFmtId="37" fontId="12" fillId="51" borderId="140" xfId="0" applyNumberFormat="1" applyFont="1" applyFill="1" applyBorder="1" applyAlignment="1">
      <alignment horizontal="center" wrapText="1"/>
    </xf>
    <xf numFmtId="37" fontId="12" fillId="43" borderId="141" xfId="0" applyNumberFormat="1" applyFont="1" applyFill="1" applyBorder="1" applyAlignment="1">
      <alignment horizontal="center" wrapText="1"/>
    </xf>
    <xf numFmtId="37" fontId="1" fillId="52" borderId="0" xfId="0" applyNumberFormat="1" applyFont="1" applyFill="1" applyAlignment="1" applyProtection="1">
      <alignment horizontal="center"/>
      <protection locked="0"/>
    </xf>
    <xf numFmtId="37" fontId="1" fillId="52" borderId="0" xfId="0" applyNumberFormat="1" applyFont="1" applyFill="1" applyAlignment="1" applyProtection="1">
      <alignment horizontal="left"/>
      <protection locked="0"/>
    </xf>
    <xf numFmtId="37" fontId="4" fillId="52" borderId="0" xfId="0" applyNumberFormat="1" applyFont="1" applyFill="1" applyAlignment="1" applyProtection="1">
      <alignment horizontal="right"/>
      <protection locked="0"/>
    </xf>
    <xf numFmtId="37" fontId="9" fillId="52" borderId="0" xfId="0" applyNumberFormat="1" applyFont="1" applyFill="1" applyAlignment="1" applyProtection="1">
      <alignment horizontal="right"/>
      <protection locked="0"/>
    </xf>
    <xf numFmtId="37" fontId="1" fillId="52" borderId="0" xfId="0" applyNumberFormat="1" applyFont="1" applyFill="1" applyAlignment="1" applyProtection="1">
      <alignment horizontal="right"/>
      <protection locked="0"/>
    </xf>
    <xf numFmtId="37" fontId="1" fillId="52" borderId="0" xfId="0" applyNumberFormat="1" applyFont="1" applyFill="1" applyProtection="1">
      <protection locked="0"/>
    </xf>
    <xf numFmtId="37" fontId="4" fillId="52" borderId="0" xfId="0" applyNumberFormat="1" applyFont="1" applyFill="1" applyProtection="1">
      <protection locked="0"/>
    </xf>
    <xf numFmtId="49" fontId="1" fillId="52" borderId="0" xfId="0" applyNumberFormat="1" applyFont="1" applyFill="1" applyAlignment="1" applyProtection="1">
      <alignment horizontal="left"/>
      <protection locked="0"/>
    </xf>
    <xf numFmtId="49" fontId="15" fillId="52" borderId="0" xfId="0" applyNumberFormat="1" applyFont="1" applyFill="1" applyAlignment="1" applyProtection="1">
      <alignment horizontal="left"/>
      <protection locked="0"/>
    </xf>
    <xf numFmtId="49" fontId="4" fillId="52" borderId="0" xfId="0" applyNumberFormat="1" applyFont="1" applyFill="1" applyAlignment="1" applyProtection="1">
      <alignment horizontal="left"/>
      <protection locked="0"/>
    </xf>
    <xf numFmtId="49" fontId="15" fillId="12" borderId="0" xfId="0" applyNumberFormat="1" applyFont="1" applyFill="1" applyAlignment="1" applyProtection="1">
      <alignment horizontal="left"/>
      <protection locked="0"/>
    </xf>
    <xf numFmtId="1" fontId="15" fillId="12" borderId="0" xfId="0" applyNumberFormat="1" applyFont="1" applyFill="1" applyAlignment="1" applyProtection="1">
      <alignment horizontal="left"/>
      <protection locked="0"/>
    </xf>
    <xf numFmtId="49" fontId="1" fillId="12" borderId="0" xfId="0" applyNumberFormat="1" applyFont="1" applyFill="1" applyAlignment="1" applyProtection="1">
      <alignment horizontal="center"/>
      <protection locked="0"/>
    </xf>
    <xf numFmtId="1" fontId="15" fillId="12" borderId="0" xfId="0" applyNumberFormat="1" applyFont="1" applyFill="1" applyAlignment="1" applyProtection="1">
      <alignment horizontal="center"/>
      <protection locked="0"/>
    </xf>
    <xf numFmtId="1" fontId="47" fillId="12" borderId="0" xfId="0" applyNumberFormat="1" applyFont="1" applyFill="1" applyAlignment="1" applyProtection="1">
      <alignment horizontal="center"/>
      <protection locked="0"/>
    </xf>
    <xf numFmtId="1" fontId="79" fillId="37" borderId="0" xfId="0" applyNumberFormat="1" applyFont="1" applyFill="1" applyAlignment="1" applyProtection="1">
      <alignment horizontal="center"/>
      <protection locked="0"/>
    </xf>
    <xf numFmtId="3" fontId="1" fillId="52" borderId="0" xfId="0" applyNumberFormat="1" applyFont="1" applyFill="1" applyProtection="1">
      <protection locked="0"/>
    </xf>
    <xf numFmtId="164" fontId="4" fillId="38" borderId="0" xfId="0" applyFont="1" applyFill="1" applyAlignment="1">
      <alignment horizontal="left"/>
    </xf>
    <xf numFmtId="37" fontId="4" fillId="52" borderId="0" xfId="0" applyNumberFormat="1" applyFont="1" applyFill="1" applyAlignment="1" applyProtection="1">
      <alignment horizontal="left"/>
      <protection locked="0"/>
    </xf>
    <xf numFmtId="1" fontId="1" fillId="15" borderId="0" xfId="0" applyNumberFormat="1" applyFont="1" applyFill="1" applyAlignment="1" applyProtection="1">
      <alignment horizontal="center"/>
      <protection locked="0"/>
    </xf>
    <xf numFmtId="49" fontId="1" fillId="12" borderId="0" xfId="0" applyNumberFormat="1" applyFont="1" applyFill="1" applyAlignment="1" applyProtection="1">
      <alignment horizontal="center" wrapText="1"/>
      <protection locked="0"/>
    </xf>
    <xf numFmtId="166" fontId="4" fillId="52" borderId="0" xfId="0" applyNumberFormat="1" applyFont="1" applyFill="1" applyAlignment="1" applyProtection="1">
      <alignment horizontal="left"/>
      <protection locked="0"/>
    </xf>
    <xf numFmtId="37" fontId="9" fillId="52" borderId="0" xfId="0" applyNumberFormat="1" applyFont="1" applyFill="1" applyAlignment="1" applyProtection="1">
      <alignment horizontal="left"/>
      <protection locked="0"/>
    </xf>
    <xf numFmtId="37" fontId="17" fillId="52" borderId="0" xfId="0" applyNumberFormat="1" applyFont="1" applyFill="1" applyAlignment="1" applyProtection="1">
      <alignment horizontal="right"/>
      <protection locked="0"/>
    </xf>
    <xf numFmtId="37" fontId="1" fillId="52" borderId="0" xfId="0" applyNumberFormat="1" applyFont="1" applyFill="1" applyAlignment="1" applyProtection="1">
      <alignment horizontal="left" vertical="center" wrapText="1"/>
      <protection locked="0"/>
    </xf>
    <xf numFmtId="37" fontId="1" fillId="53" borderId="0" xfId="0" applyNumberFormat="1" applyFont="1" applyFill="1" applyAlignment="1" applyProtection="1">
      <alignment horizontal="center"/>
      <protection locked="0"/>
    </xf>
    <xf numFmtId="166" fontId="1" fillId="53" borderId="0" xfId="0" applyNumberFormat="1" applyFont="1" applyFill="1" applyAlignment="1" applyProtection="1">
      <alignment horizontal="left"/>
      <protection locked="0"/>
    </xf>
    <xf numFmtId="166" fontId="1" fillId="53" borderId="0" xfId="0" applyNumberFormat="1" applyFont="1" applyFill="1" applyProtection="1">
      <protection locked="0"/>
    </xf>
    <xf numFmtId="166" fontId="4" fillId="53" borderId="0" xfId="0" applyNumberFormat="1" applyFont="1" applyFill="1" applyAlignment="1" applyProtection="1">
      <alignment wrapText="1"/>
      <protection locked="0"/>
    </xf>
    <xf numFmtId="0" fontId="1" fillId="53" borderId="0" xfId="0" applyNumberFormat="1" applyFont="1" applyFill="1" applyAlignment="1" applyProtection="1">
      <alignment horizontal="center"/>
      <protection locked="0"/>
    </xf>
    <xf numFmtId="1" fontId="1" fillId="53" borderId="0" xfId="0" applyNumberFormat="1" applyFont="1" applyFill="1" applyAlignment="1" applyProtection="1">
      <alignment horizontal="center"/>
      <protection locked="0"/>
    </xf>
    <xf numFmtId="166" fontId="1" fillId="53" borderId="0" xfId="0" applyNumberFormat="1" applyFont="1" applyFill="1" applyAlignment="1" applyProtection="1">
      <alignment horizontal="center"/>
      <protection locked="0"/>
    </xf>
    <xf numFmtId="166" fontId="9" fillId="53" borderId="0" xfId="0" applyNumberFormat="1" applyFont="1" applyFill="1" applyAlignment="1" applyProtection="1">
      <alignment horizontal="right"/>
      <protection locked="0"/>
    </xf>
    <xf numFmtId="166" fontId="4" fillId="53" borderId="0" xfId="0" applyNumberFormat="1" applyFont="1" applyFill="1" applyAlignment="1" applyProtection="1">
      <alignment horizontal="right" wrapText="1"/>
      <protection locked="0"/>
    </xf>
    <xf numFmtId="166" fontId="1" fillId="53" borderId="0" xfId="0" applyNumberFormat="1" applyFont="1" applyFill="1" applyAlignment="1" applyProtection="1">
      <alignment horizontal="right"/>
      <protection locked="0"/>
    </xf>
    <xf numFmtId="49" fontId="4" fillId="53" borderId="0" xfId="0" applyNumberFormat="1" applyFont="1" applyFill="1" applyAlignment="1" applyProtection="1">
      <alignment horizontal="left"/>
      <protection locked="0"/>
    </xf>
    <xf numFmtId="49" fontId="1" fillId="53" borderId="0" xfId="0" applyNumberFormat="1" applyFont="1" applyFill="1" applyAlignment="1" applyProtection="1">
      <alignment horizontal="left"/>
      <protection locked="0"/>
    </xf>
    <xf numFmtId="49" fontId="15" fillId="53" borderId="0" xfId="0" applyNumberFormat="1" applyFont="1" applyFill="1" applyAlignment="1" applyProtection="1">
      <alignment horizontal="left" wrapText="1"/>
      <protection locked="0"/>
    </xf>
    <xf numFmtId="49" fontId="4" fillId="53" borderId="0" xfId="0" applyNumberFormat="1" applyFont="1" applyFill="1" applyAlignment="1" applyProtection="1">
      <alignment horizontal="left" wrapText="1"/>
      <protection locked="0"/>
    </xf>
    <xf numFmtId="1" fontId="4" fillId="54" borderId="0" xfId="0" applyNumberFormat="1" applyFont="1" applyFill="1" applyAlignment="1" applyProtection="1">
      <alignment horizontal="center"/>
      <protection locked="0"/>
    </xf>
    <xf numFmtId="164" fontId="4" fillId="31" borderId="0" xfId="0" applyFont="1" applyFill="1" applyAlignment="1">
      <alignment wrapText="1"/>
    </xf>
    <xf numFmtId="1" fontId="15" fillId="54" borderId="0" xfId="0" applyNumberFormat="1" applyFont="1" applyFill="1" applyAlignment="1" applyProtection="1">
      <alignment horizontal="center"/>
      <protection locked="0"/>
    </xf>
    <xf numFmtId="49" fontId="15" fillId="53" borderId="0" xfId="0" applyNumberFormat="1" applyFont="1" applyFill="1" applyAlignment="1" applyProtection="1">
      <alignment horizontal="left"/>
      <protection locked="0"/>
    </xf>
    <xf numFmtId="164" fontId="1" fillId="53" borderId="0" xfId="0" applyFont="1" applyFill="1" applyProtection="1">
      <protection locked="0"/>
    </xf>
    <xf numFmtId="164" fontId="15" fillId="53" borderId="0" xfId="0" applyFont="1" applyFill="1" applyAlignment="1" applyProtection="1">
      <alignment horizontal="left"/>
      <protection locked="0"/>
    </xf>
    <xf numFmtId="166" fontId="4" fillId="53" borderId="0" xfId="0" applyNumberFormat="1" applyFont="1" applyFill="1" applyAlignment="1" applyProtection="1">
      <alignment horizontal="left" wrapText="1"/>
      <protection locked="0"/>
    </xf>
    <xf numFmtId="166" fontId="4" fillId="53" borderId="0" xfId="0" applyNumberFormat="1" applyFont="1" applyFill="1" applyProtection="1">
      <protection locked="0"/>
    </xf>
    <xf numFmtId="49" fontId="1" fillId="53" borderId="0" xfId="0" applyNumberFormat="1" applyFont="1" applyFill="1" applyAlignment="1" applyProtection="1">
      <alignment horizontal="center"/>
      <protection locked="0"/>
    </xf>
    <xf numFmtId="1" fontId="1" fillId="16" borderId="0" xfId="0" applyNumberFormat="1" applyFont="1" applyFill="1" applyAlignment="1" applyProtection="1">
      <alignment horizontal="center"/>
      <protection locked="0"/>
    </xf>
    <xf numFmtId="37" fontId="9" fillId="53" borderId="0" xfId="0" applyNumberFormat="1" applyFont="1" applyFill="1" applyAlignment="1" applyProtection="1">
      <alignment horizontal="right"/>
      <protection locked="0"/>
    </xf>
    <xf numFmtId="37" fontId="4" fillId="53" borderId="0" xfId="0" applyNumberFormat="1" applyFont="1" applyFill="1" applyAlignment="1" applyProtection="1">
      <alignment horizontal="right" wrapText="1"/>
      <protection locked="0"/>
    </xf>
    <xf numFmtId="166" fontId="9" fillId="53" borderId="0" xfId="0" applyNumberFormat="1" applyFont="1" applyFill="1" applyAlignment="1" applyProtection="1">
      <alignment horizontal="left"/>
      <protection locked="0"/>
    </xf>
    <xf numFmtId="166" fontId="17" fillId="53" borderId="0" xfId="0" applyNumberFormat="1" applyFont="1" applyFill="1" applyAlignment="1" applyProtection="1">
      <alignment horizontal="right"/>
      <protection locked="0"/>
    </xf>
    <xf numFmtId="37" fontId="1" fillId="53" borderId="0" xfId="0" applyNumberFormat="1" applyFont="1" applyFill="1" applyAlignment="1" applyProtection="1">
      <alignment horizontal="left" vertical="center"/>
      <protection locked="0"/>
    </xf>
    <xf numFmtId="37" fontId="1" fillId="53" borderId="0" xfId="0" applyNumberFormat="1" applyFont="1" applyFill="1" applyAlignment="1" applyProtection="1">
      <alignment horizontal="right"/>
      <protection locked="0"/>
    </xf>
    <xf numFmtId="37" fontId="4" fillId="53" borderId="0" xfId="0" applyNumberFormat="1" applyFont="1" applyFill="1" applyAlignment="1" applyProtection="1">
      <alignment horizontal="right"/>
      <protection locked="0"/>
    </xf>
    <xf numFmtId="49" fontId="1" fillId="53" borderId="0" xfId="0" applyNumberFormat="1" applyFont="1" applyFill="1" applyProtection="1">
      <protection locked="0"/>
    </xf>
    <xf numFmtId="37" fontId="1" fillId="53" borderId="0" xfId="0" applyNumberFormat="1" applyFont="1" applyFill="1" applyAlignment="1" applyProtection="1">
      <alignment horizontal="left"/>
      <protection locked="0"/>
    </xf>
    <xf numFmtId="49" fontId="1" fillId="16" borderId="0" xfId="0" applyNumberFormat="1" applyFont="1" applyFill="1" applyProtection="1">
      <protection locked="0"/>
    </xf>
    <xf numFmtId="37" fontId="9" fillId="53" borderId="0" xfId="0" applyNumberFormat="1" applyFont="1" applyFill="1" applyAlignment="1" applyProtection="1">
      <alignment horizontal="left"/>
      <protection locked="0"/>
    </xf>
    <xf numFmtId="37" fontId="4" fillId="53" borderId="0" xfId="0" applyNumberFormat="1" applyFont="1" applyFill="1" applyAlignment="1" applyProtection="1">
      <alignment horizontal="left" wrapText="1"/>
      <protection locked="0"/>
    </xf>
    <xf numFmtId="37" fontId="1" fillId="55" borderId="0" xfId="0" applyNumberFormat="1" applyFont="1" applyFill="1" applyAlignment="1" applyProtection="1">
      <alignment horizontal="center"/>
      <protection locked="0"/>
    </xf>
    <xf numFmtId="37" fontId="1" fillId="55" borderId="0" xfId="0" applyNumberFormat="1" applyFont="1" applyFill="1" applyAlignment="1" applyProtection="1">
      <alignment horizontal="left" vertical="center" wrapText="1"/>
      <protection locked="0"/>
    </xf>
    <xf numFmtId="37" fontId="1" fillId="55" borderId="0" xfId="0" applyNumberFormat="1" applyFont="1" applyFill="1" applyAlignment="1" applyProtection="1">
      <alignment vertical="center"/>
      <protection locked="0"/>
    </xf>
    <xf numFmtId="37" fontId="4" fillId="55" borderId="0" xfId="0" applyNumberFormat="1" applyFont="1" applyFill="1" applyAlignment="1" applyProtection="1">
      <alignment vertical="center"/>
      <protection locked="0"/>
    </xf>
    <xf numFmtId="0" fontId="1" fillId="55" borderId="0" xfId="0" applyNumberFormat="1" applyFont="1" applyFill="1" applyAlignment="1" applyProtection="1">
      <alignment horizontal="center" wrapText="1"/>
      <protection locked="0"/>
    </xf>
    <xf numFmtId="1" fontId="1" fillId="55" borderId="0" xfId="0" applyNumberFormat="1" applyFont="1" applyFill="1" applyAlignment="1" applyProtection="1">
      <alignment horizontal="center" wrapText="1"/>
      <protection locked="0"/>
    </xf>
    <xf numFmtId="37" fontId="1" fillId="55" borderId="0" xfId="0" applyNumberFormat="1" applyFont="1" applyFill="1" applyAlignment="1" applyProtection="1">
      <alignment horizontal="left"/>
      <protection locked="0"/>
    </xf>
    <xf numFmtId="37" fontId="9" fillId="55" borderId="0" xfId="0" applyNumberFormat="1" applyFont="1" applyFill="1" applyAlignment="1" applyProtection="1">
      <alignment horizontal="right"/>
      <protection locked="0"/>
    </xf>
    <xf numFmtId="37" fontId="4" fillId="55" borderId="0" xfId="0" applyNumberFormat="1" applyFont="1" applyFill="1" applyAlignment="1" applyProtection="1">
      <alignment horizontal="right"/>
      <protection locked="0"/>
    </xf>
    <xf numFmtId="0" fontId="1" fillId="55" borderId="0" xfId="0" applyNumberFormat="1" applyFont="1" applyFill="1" applyAlignment="1" applyProtection="1">
      <alignment horizontal="center"/>
      <protection locked="0"/>
    </xf>
    <xf numFmtId="1" fontId="1" fillId="55" borderId="0" xfId="0" applyNumberFormat="1" applyFont="1" applyFill="1" applyAlignment="1" applyProtection="1">
      <alignment horizontal="center"/>
      <protection locked="0"/>
    </xf>
    <xf numFmtId="37" fontId="1" fillId="55" borderId="0" xfId="0" applyNumberFormat="1" applyFont="1" applyFill="1" applyAlignment="1" applyProtection="1">
      <alignment horizontal="right"/>
      <protection locked="0"/>
    </xf>
    <xf numFmtId="37" fontId="1" fillId="55" borderId="0" xfId="0" applyNumberFormat="1" applyFont="1" applyFill="1" applyAlignment="1" applyProtection="1">
      <alignment horizontal="center" vertical="center" wrapText="1"/>
      <protection locked="0"/>
    </xf>
    <xf numFmtId="49" fontId="1" fillId="55" borderId="0" xfId="0" applyNumberFormat="1" applyFont="1" applyFill="1" applyAlignment="1" applyProtection="1">
      <alignment horizontal="left"/>
      <protection locked="0"/>
    </xf>
    <xf numFmtId="49" fontId="15" fillId="55" borderId="0" xfId="0" applyNumberFormat="1" applyFont="1" applyFill="1" applyAlignment="1" applyProtection="1">
      <alignment horizontal="left"/>
      <protection locked="0"/>
    </xf>
    <xf numFmtId="166" fontId="1" fillId="55" borderId="0" xfId="0" applyNumberFormat="1" applyFont="1" applyFill="1" applyAlignment="1" applyProtection="1">
      <alignment horizontal="center"/>
      <protection locked="0"/>
    </xf>
    <xf numFmtId="0" fontId="1" fillId="55" borderId="0" xfId="0" applyNumberFormat="1" applyFont="1" applyFill="1" applyProtection="1">
      <protection locked="0"/>
    </xf>
    <xf numFmtId="49" fontId="1" fillId="55" borderId="0" xfId="0" applyNumberFormat="1" applyFont="1" applyFill="1" applyAlignment="1" applyProtection="1">
      <alignment horizontal="center" wrapText="1"/>
      <protection locked="0"/>
    </xf>
    <xf numFmtId="1" fontId="1" fillId="23" borderId="0" xfId="0" applyNumberFormat="1" applyFont="1" applyFill="1" applyAlignment="1" applyProtection="1">
      <alignment horizontal="center" wrapText="1"/>
      <protection locked="0"/>
    </xf>
    <xf numFmtId="37" fontId="1" fillId="55" borderId="78" xfId="0" applyNumberFormat="1" applyFont="1" applyFill="1" applyBorder="1" applyAlignment="1" applyProtection="1">
      <alignment horizontal="center" vertical="center" wrapText="1"/>
      <protection locked="0"/>
    </xf>
    <xf numFmtId="37" fontId="9" fillId="55" borderId="0" xfId="0" applyNumberFormat="1" applyFont="1" applyFill="1" applyAlignment="1" applyProtection="1">
      <alignment horizontal="right" vertical="center"/>
      <protection locked="0"/>
    </xf>
    <xf numFmtId="37" fontId="4" fillId="55" borderId="0" xfId="0" applyNumberFormat="1" applyFont="1" applyFill="1" applyAlignment="1" applyProtection="1">
      <alignment horizontal="right" vertical="center"/>
      <protection locked="0"/>
    </xf>
    <xf numFmtId="37" fontId="1" fillId="55" borderId="0" xfId="0" applyNumberFormat="1" applyFont="1" applyFill="1" applyAlignment="1" applyProtection="1">
      <alignment horizontal="right" vertical="center"/>
      <protection locked="0"/>
    </xf>
    <xf numFmtId="37" fontId="1" fillId="55" borderId="0" xfId="0" applyNumberFormat="1" applyFont="1" applyFill="1" applyAlignment="1" applyProtection="1">
      <alignment horizontal="right" wrapText="1"/>
      <protection locked="0"/>
    </xf>
    <xf numFmtId="37" fontId="4" fillId="55" borderId="0" xfId="0" applyNumberFormat="1" applyFont="1" applyFill="1" applyAlignment="1" applyProtection="1">
      <alignment horizontal="right" wrapText="1"/>
      <protection locked="0"/>
    </xf>
    <xf numFmtId="37" fontId="9" fillId="55" borderId="0" xfId="0" applyNumberFormat="1" applyFont="1" applyFill="1" applyAlignment="1" applyProtection="1">
      <alignment horizontal="left" vertical="center"/>
      <protection locked="0"/>
    </xf>
    <xf numFmtId="37" fontId="4" fillId="55" borderId="0" xfId="0" applyNumberFormat="1" applyFont="1" applyFill="1" applyAlignment="1" applyProtection="1">
      <alignment horizontal="left" vertical="center"/>
      <protection locked="0"/>
    </xf>
    <xf numFmtId="37" fontId="17" fillId="55" borderId="0" xfId="0" applyNumberFormat="1" applyFont="1" applyFill="1" applyAlignment="1" applyProtection="1">
      <alignment horizontal="right"/>
      <protection locked="0"/>
    </xf>
    <xf numFmtId="37" fontId="4" fillId="55" borderId="0" xfId="0" applyNumberFormat="1" applyFont="1" applyFill="1" applyAlignment="1" applyProtection="1">
      <alignment horizontal="left"/>
      <protection locked="0"/>
    </xf>
    <xf numFmtId="37" fontId="7" fillId="55" borderId="0" xfId="0" applyNumberFormat="1" applyFont="1" applyFill="1" applyAlignment="1" applyProtection="1">
      <alignment horizontal="right"/>
      <protection locked="0"/>
    </xf>
    <xf numFmtId="37" fontId="1" fillId="56" borderId="0" xfId="0" applyNumberFormat="1" applyFont="1" applyFill="1" applyAlignment="1" applyProtection="1">
      <alignment horizontal="center"/>
      <protection locked="0"/>
    </xf>
    <xf numFmtId="37" fontId="1" fillId="56" borderId="0" xfId="0" applyNumberFormat="1" applyFont="1" applyFill="1" applyAlignment="1" applyProtection="1">
      <alignment horizontal="left"/>
      <protection locked="0"/>
    </xf>
    <xf numFmtId="49" fontId="1" fillId="56" borderId="0" xfId="0" applyNumberFormat="1" applyFont="1" applyFill="1" applyAlignment="1" applyProtection="1">
      <alignment horizontal="left"/>
      <protection locked="0"/>
    </xf>
    <xf numFmtId="49" fontId="15" fillId="56" borderId="0" xfId="0" applyNumberFormat="1" applyFont="1" applyFill="1" applyAlignment="1" applyProtection="1">
      <alignment horizontal="left"/>
      <protection locked="0"/>
    </xf>
    <xf numFmtId="1" fontId="1" fillId="56" borderId="0" xfId="0" applyNumberFormat="1" applyFont="1" applyFill="1" applyAlignment="1" applyProtection="1">
      <alignment horizontal="center"/>
      <protection locked="0"/>
    </xf>
    <xf numFmtId="3" fontId="15" fillId="56" borderId="0" xfId="0" applyNumberFormat="1" applyFont="1" applyFill="1" applyProtection="1">
      <protection locked="0"/>
    </xf>
    <xf numFmtId="49" fontId="4" fillId="56" borderId="0" xfId="0" applyNumberFormat="1" applyFont="1" applyFill="1" applyAlignment="1" applyProtection="1">
      <alignment horizontal="left"/>
      <protection locked="0"/>
    </xf>
    <xf numFmtId="49" fontId="1" fillId="57" borderId="0" xfId="0" applyNumberFormat="1" applyFont="1" applyFill="1" applyAlignment="1" applyProtection="1">
      <alignment horizontal="left"/>
      <protection locked="0"/>
    </xf>
    <xf numFmtId="49" fontId="22" fillId="56" borderId="0" xfId="0" applyNumberFormat="1" applyFont="1" applyFill="1" applyAlignment="1" applyProtection="1">
      <alignment horizontal="left"/>
      <protection locked="0"/>
    </xf>
    <xf numFmtId="164" fontId="4" fillId="34" borderId="0" xfId="0" applyFont="1" applyFill="1"/>
    <xf numFmtId="37" fontId="1" fillId="56" borderId="0" xfId="0" applyNumberFormat="1" applyFont="1" applyFill="1" applyAlignment="1" applyProtection="1">
      <alignment horizontal="right"/>
      <protection locked="0"/>
    </xf>
    <xf numFmtId="37" fontId="4" fillId="56" borderId="0" xfId="0" applyNumberFormat="1" applyFont="1" applyFill="1" applyAlignment="1" applyProtection="1">
      <alignment horizontal="left"/>
      <protection locked="0"/>
    </xf>
    <xf numFmtId="49" fontId="1" fillId="56" borderId="0" xfId="0" applyNumberFormat="1" applyFont="1" applyFill="1" applyAlignment="1" applyProtection="1">
      <alignment horizontal="center"/>
      <protection locked="0"/>
    </xf>
    <xf numFmtId="37" fontId="4" fillId="56" borderId="0" xfId="0" applyNumberFormat="1" applyFont="1" applyFill="1" applyProtection="1">
      <protection locked="0"/>
    </xf>
    <xf numFmtId="0" fontId="1" fillId="56" borderId="0" xfId="0" applyNumberFormat="1" applyFont="1" applyFill="1" applyAlignment="1" applyProtection="1">
      <alignment horizontal="center"/>
      <protection locked="0"/>
    </xf>
    <xf numFmtId="37" fontId="1" fillId="58" borderId="0" xfId="0" applyNumberFormat="1" applyFont="1" applyFill="1" applyAlignment="1" applyProtection="1">
      <alignment horizontal="center"/>
      <protection locked="0"/>
    </xf>
    <xf numFmtId="37" fontId="1" fillId="58" borderId="0" xfId="0" applyNumberFormat="1" applyFont="1" applyFill="1" applyAlignment="1" applyProtection="1">
      <alignment horizontal="left"/>
      <protection locked="0"/>
    </xf>
    <xf numFmtId="37" fontId="1" fillId="58" borderId="0" xfId="0" applyNumberFormat="1" applyFont="1" applyFill="1" applyProtection="1">
      <protection locked="0"/>
    </xf>
    <xf numFmtId="37" fontId="4" fillId="58" borderId="0" xfId="0" applyNumberFormat="1" applyFont="1" applyFill="1" applyProtection="1">
      <protection locked="0"/>
    </xf>
    <xf numFmtId="0" fontId="1" fillId="58" borderId="0" xfId="0" applyNumberFormat="1" applyFont="1" applyFill="1" applyAlignment="1" applyProtection="1">
      <alignment horizontal="center"/>
      <protection locked="0"/>
    </xf>
    <xf numFmtId="1" fontId="1" fillId="58" borderId="0" xfId="0" applyNumberFormat="1" applyFont="1" applyFill="1" applyAlignment="1" applyProtection="1">
      <alignment horizontal="center"/>
      <protection locked="0"/>
    </xf>
    <xf numFmtId="37" fontId="9" fillId="58" borderId="0" xfId="0" applyNumberFormat="1" applyFont="1" applyFill="1" applyAlignment="1" applyProtection="1">
      <alignment horizontal="right"/>
      <protection locked="0"/>
    </xf>
    <xf numFmtId="37" fontId="4" fillId="58" borderId="0" xfId="0" applyNumberFormat="1" applyFont="1" applyFill="1" applyAlignment="1" applyProtection="1">
      <alignment horizontal="right"/>
      <protection locked="0"/>
    </xf>
    <xf numFmtId="37" fontId="1" fillId="58" borderId="0" xfId="0" applyNumberFormat="1" applyFont="1" applyFill="1" applyAlignment="1" applyProtection="1">
      <alignment horizontal="right"/>
      <protection locked="0"/>
    </xf>
    <xf numFmtId="37" fontId="1" fillId="59" borderId="0" xfId="0" applyNumberFormat="1" applyFont="1" applyFill="1" applyAlignment="1" applyProtection="1">
      <alignment horizontal="center"/>
      <protection locked="0"/>
    </xf>
    <xf numFmtId="37" fontId="1" fillId="59" borderId="0" xfId="0" applyNumberFormat="1" applyFont="1" applyFill="1" applyAlignment="1" applyProtection="1">
      <alignment horizontal="left"/>
      <protection locked="0"/>
    </xf>
    <xf numFmtId="37" fontId="1" fillId="59" borderId="0" xfId="0" applyNumberFormat="1" applyFont="1" applyFill="1" applyAlignment="1" applyProtection="1">
      <alignment horizontal="right"/>
      <protection locked="0"/>
    </xf>
    <xf numFmtId="37" fontId="4" fillId="59" borderId="0" xfId="0" applyNumberFormat="1" applyFont="1" applyFill="1" applyAlignment="1" applyProtection="1">
      <alignment horizontal="right"/>
      <protection locked="0"/>
    </xf>
    <xf numFmtId="0" fontId="1" fillId="59" borderId="0" xfId="0" applyNumberFormat="1" applyFont="1" applyFill="1" applyAlignment="1" applyProtection="1">
      <alignment horizontal="center"/>
      <protection locked="0"/>
    </xf>
    <xf numFmtId="1" fontId="1" fillId="59" borderId="0" xfId="0" applyNumberFormat="1" applyFont="1" applyFill="1" applyAlignment="1" applyProtection="1">
      <alignment horizontal="center"/>
      <protection locked="0"/>
    </xf>
    <xf numFmtId="164" fontId="4" fillId="35" borderId="0" xfId="0" applyFont="1" applyFill="1"/>
    <xf numFmtId="49" fontId="4" fillId="59" borderId="0" xfId="0" applyNumberFormat="1" applyFont="1" applyFill="1" applyAlignment="1" applyProtection="1">
      <alignment horizontal="left"/>
      <protection locked="0"/>
    </xf>
    <xf numFmtId="37" fontId="1" fillId="59" borderId="0" xfId="0" applyNumberFormat="1" applyFont="1" applyFill="1" applyProtection="1">
      <protection locked="0"/>
    </xf>
    <xf numFmtId="37" fontId="4" fillId="59" borderId="0" xfId="0" applyNumberFormat="1" applyFont="1" applyFill="1" applyProtection="1">
      <protection locked="0"/>
    </xf>
    <xf numFmtId="49" fontId="1" fillId="58" borderId="0" xfId="0" applyNumberFormat="1" applyFont="1" applyFill="1" applyAlignment="1" applyProtection="1">
      <alignment horizontal="left"/>
      <protection locked="0"/>
    </xf>
    <xf numFmtId="49" fontId="15" fillId="58" borderId="0" xfId="0" applyNumberFormat="1" applyFont="1" applyFill="1" applyAlignment="1" applyProtection="1">
      <alignment horizontal="left"/>
      <protection locked="0"/>
    </xf>
    <xf numFmtId="49" fontId="15" fillId="59" borderId="0" xfId="0" applyNumberFormat="1" applyFont="1" applyFill="1" applyAlignment="1" applyProtection="1">
      <alignment horizontal="left"/>
      <protection locked="0"/>
    </xf>
    <xf numFmtId="164" fontId="1" fillId="18" borderId="0" xfId="0" applyFont="1" applyFill="1" applyAlignment="1" applyProtection="1">
      <alignment horizontal="center"/>
      <protection locked="0"/>
    </xf>
    <xf numFmtId="1" fontId="15" fillId="58" borderId="0" xfId="0" applyNumberFormat="1" applyFont="1" applyFill="1" applyAlignment="1" applyProtection="1">
      <alignment horizontal="center"/>
      <protection locked="0"/>
    </xf>
    <xf numFmtId="164" fontId="1" fillId="58" borderId="0" xfId="0" applyFont="1" applyFill="1" applyAlignment="1" applyProtection="1">
      <alignment horizontal="center"/>
      <protection locked="0"/>
    </xf>
    <xf numFmtId="1" fontId="4" fillId="58" borderId="0" xfId="0" applyNumberFormat="1" applyFont="1" applyFill="1" applyAlignment="1" applyProtection="1">
      <alignment horizontal="center"/>
      <protection locked="0"/>
    </xf>
    <xf numFmtId="49" fontId="1" fillId="58" borderId="0" xfId="0" applyNumberFormat="1" applyFont="1" applyFill="1" applyAlignment="1" applyProtection="1">
      <alignment horizontal="center"/>
      <protection locked="0"/>
    </xf>
    <xf numFmtId="1" fontId="1" fillId="18" borderId="0" xfId="0" applyNumberFormat="1" applyFont="1" applyFill="1" applyAlignment="1" applyProtection="1">
      <alignment horizontal="center"/>
      <protection locked="0"/>
    </xf>
    <xf numFmtId="49" fontId="1" fillId="58" borderId="0" xfId="0" applyNumberFormat="1" applyFont="1" applyFill="1" applyAlignment="1" applyProtection="1">
      <alignment horizontal="center" wrapText="1"/>
      <protection locked="0"/>
    </xf>
    <xf numFmtId="164" fontId="1" fillId="58" borderId="0" xfId="0" applyFont="1" applyFill="1" applyAlignment="1" applyProtection="1">
      <alignment horizontal="right"/>
      <protection locked="0"/>
    </xf>
    <xf numFmtId="164" fontId="4" fillId="58" borderId="0" xfId="0" applyFont="1" applyFill="1" applyAlignment="1" applyProtection="1">
      <alignment horizontal="right"/>
      <protection locked="0"/>
    </xf>
    <xf numFmtId="37" fontId="4" fillId="58" borderId="0" xfId="0" applyNumberFormat="1" applyFont="1" applyFill="1" applyAlignment="1" applyProtection="1">
      <alignment horizontal="left"/>
      <protection locked="0"/>
    </xf>
    <xf numFmtId="37" fontId="9" fillId="58" borderId="0" xfId="0" applyNumberFormat="1" applyFont="1" applyFill="1" applyAlignment="1" applyProtection="1">
      <alignment horizontal="left"/>
      <protection locked="0"/>
    </xf>
    <xf numFmtId="37" fontId="17" fillId="58" borderId="0" xfId="0" applyNumberFormat="1" applyFont="1" applyFill="1" applyAlignment="1" applyProtection="1">
      <alignment horizontal="right"/>
      <protection locked="0"/>
    </xf>
    <xf numFmtId="37" fontId="1" fillId="58" borderId="0" xfId="0" applyNumberFormat="1" applyFont="1" applyFill="1" applyAlignment="1" applyProtection="1">
      <alignment horizontal="left" vertical="center" wrapText="1"/>
      <protection locked="0"/>
    </xf>
    <xf numFmtId="49" fontId="1" fillId="58" borderId="0" xfId="0" applyNumberFormat="1" applyFont="1" applyFill="1" applyProtection="1">
      <protection locked="0"/>
    </xf>
    <xf numFmtId="37" fontId="1" fillId="12" borderId="0" xfId="0" applyNumberFormat="1" applyFont="1" applyFill="1" applyAlignment="1" applyProtection="1">
      <alignment horizontal="center"/>
      <protection locked="0"/>
    </xf>
    <xf numFmtId="49" fontId="1" fillId="12" borderId="0" xfId="0" applyNumberFormat="1" applyFont="1" applyFill="1" applyAlignment="1" applyProtection="1">
      <alignment horizontal="left"/>
      <protection locked="0"/>
    </xf>
    <xf numFmtId="49" fontId="4" fillId="12" borderId="0" xfId="0" applyNumberFormat="1" applyFont="1" applyFill="1" applyAlignment="1" applyProtection="1">
      <alignment horizontal="left"/>
      <protection locked="0"/>
    </xf>
    <xf numFmtId="37" fontId="9" fillId="12" borderId="0" xfId="0" applyNumberFormat="1" applyFont="1" applyFill="1" applyAlignment="1" applyProtection="1">
      <alignment horizontal="right"/>
      <protection locked="0"/>
    </xf>
    <xf numFmtId="37" fontId="4" fillId="12" borderId="0" xfId="0" applyNumberFormat="1" applyFont="1" applyFill="1" applyAlignment="1" applyProtection="1">
      <alignment horizontal="right"/>
      <protection locked="0"/>
    </xf>
    <xf numFmtId="37" fontId="1" fillId="12" borderId="0" xfId="0" applyNumberFormat="1" applyFont="1" applyFill="1" applyAlignment="1" applyProtection="1">
      <alignment horizontal="right"/>
      <protection locked="0"/>
    </xf>
    <xf numFmtId="37" fontId="1" fillId="53" borderId="0" xfId="0" applyNumberFormat="1" applyFont="1" applyFill="1" applyProtection="1">
      <protection locked="0"/>
    </xf>
    <xf numFmtId="164" fontId="1" fillId="31" borderId="0" xfId="0" applyFont="1" applyFill="1" applyAlignment="1">
      <alignment wrapText="1"/>
    </xf>
    <xf numFmtId="164" fontId="1" fillId="31" borderId="0" xfId="0" applyFont="1" applyFill="1" applyAlignment="1">
      <alignment horizontal="right" wrapText="1"/>
    </xf>
    <xf numFmtId="164" fontId="15" fillId="31" borderId="0" xfId="0" applyFont="1" applyFill="1" applyAlignment="1">
      <alignment wrapText="1"/>
    </xf>
    <xf numFmtId="164" fontId="1" fillId="53" borderId="0" xfId="0" applyFont="1" applyFill="1" applyAlignment="1" applyProtection="1">
      <alignment horizontal="left"/>
      <protection locked="0"/>
    </xf>
    <xf numFmtId="1" fontId="1" fillId="17" borderId="0" xfId="0" applyNumberFormat="1" applyFont="1" applyFill="1" applyAlignment="1" applyProtection="1">
      <alignment horizontal="center"/>
      <protection locked="0"/>
    </xf>
    <xf numFmtId="3" fontId="1" fillId="53" borderId="0" xfId="0" applyNumberFormat="1" applyFont="1" applyFill="1" applyProtection="1">
      <protection locked="0"/>
    </xf>
    <xf numFmtId="1" fontId="1" fillId="60" borderId="0" xfId="0" applyNumberFormat="1" applyFont="1" applyFill="1" applyAlignment="1" applyProtection="1">
      <alignment horizontal="center"/>
      <protection locked="0"/>
    </xf>
    <xf numFmtId="3" fontId="1" fillId="53" borderId="0" xfId="0" applyNumberFormat="1" applyFont="1" applyFill="1" applyAlignment="1" applyProtection="1">
      <alignment horizontal="left"/>
      <protection locked="0"/>
    </xf>
    <xf numFmtId="164" fontId="15" fillId="31" borderId="0" xfId="0" applyFont="1" applyFill="1" applyAlignment="1">
      <alignment horizontal="left"/>
    </xf>
    <xf numFmtId="37" fontId="4" fillId="53" borderId="0" xfId="0" applyNumberFormat="1" applyFont="1" applyFill="1" applyAlignment="1" applyProtection="1">
      <alignment horizontal="left"/>
      <protection locked="0"/>
    </xf>
    <xf numFmtId="37" fontId="1" fillId="53" borderId="0" xfId="0" applyNumberFormat="1" applyFont="1" applyFill="1" applyAlignment="1" applyProtection="1">
      <alignment horizontal="left" vertical="center" wrapText="1"/>
      <protection locked="0"/>
    </xf>
    <xf numFmtId="37" fontId="17" fillId="53" borderId="0" xfId="0" applyNumberFormat="1" applyFont="1" applyFill="1" applyAlignment="1" applyProtection="1">
      <alignment horizontal="right"/>
      <protection locked="0"/>
    </xf>
    <xf numFmtId="49" fontId="1" fillId="53" borderId="0" xfId="0" applyNumberFormat="1" applyFont="1" applyFill="1" applyAlignment="1" applyProtection="1">
      <alignment horizontal="center" wrapText="1"/>
      <protection locked="0"/>
    </xf>
    <xf numFmtId="166" fontId="1" fillId="61" borderId="0" xfId="0" applyNumberFormat="1" applyFont="1" applyFill="1" applyAlignment="1" applyProtection="1">
      <alignment horizontal="center"/>
      <protection locked="0"/>
    </xf>
    <xf numFmtId="166" fontId="1" fillId="61" borderId="0" xfId="0" applyNumberFormat="1" applyFont="1" applyFill="1" applyAlignment="1" applyProtection="1">
      <alignment horizontal="left"/>
      <protection locked="0"/>
    </xf>
    <xf numFmtId="166" fontId="1" fillId="61" borderId="0" xfId="0" applyNumberFormat="1" applyFont="1" applyFill="1" applyProtection="1">
      <protection locked="0"/>
    </xf>
    <xf numFmtId="166" fontId="4" fillId="61" borderId="0" xfId="0" applyNumberFormat="1" applyFont="1" applyFill="1" applyProtection="1">
      <protection locked="0"/>
    </xf>
    <xf numFmtId="0" fontId="1" fillId="61" borderId="0" xfId="0" applyNumberFormat="1" applyFont="1" applyFill="1" applyAlignment="1" applyProtection="1">
      <alignment horizontal="center"/>
      <protection locked="0"/>
    </xf>
    <xf numFmtId="1" fontId="1" fillId="61" borderId="0" xfId="0" applyNumberFormat="1" applyFont="1" applyFill="1" applyAlignment="1" applyProtection="1">
      <alignment horizontal="center"/>
      <protection locked="0"/>
    </xf>
    <xf numFmtId="166" fontId="9" fillId="61" borderId="0" xfId="0" applyNumberFormat="1" applyFont="1" applyFill="1" applyAlignment="1" applyProtection="1">
      <alignment horizontal="right"/>
      <protection locked="0"/>
    </xf>
    <xf numFmtId="166" fontId="4" fillId="61" borderId="0" xfId="0" applyNumberFormat="1" applyFont="1" applyFill="1" applyAlignment="1" applyProtection="1">
      <alignment horizontal="right"/>
      <protection locked="0"/>
    </xf>
    <xf numFmtId="166" fontId="1" fillId="61" borderId="0" xfId="0" applyNumberFormat="1" applyFont="1" applyFill="1" applyAlignment="1" applyProtection="1">
      <alignment horizontal="right"/>
      <protection locked="0"/>
    </xf>
    <xf numFmtId="164" fontId="1" fillId="61" borderId="0" xfId="0" applyFont="1" applyFill="1" applyProtection="1">
      <protection locked="0"/>
    </xf>
    <xf numFmtId="164" fontId="4" fillId="61" borderId="0" xfId="0" applyFont="1" applyFill="1" applyProtection="1">
      <protection locked="0"/>
    </xf>
    <xf numFmtId="49" fontId="15" fillId="61" borderId="0" xfId="0" applyNumberFormat="1" applyFont="1" applyFill="1" applyAlignment="1" applyProtection="1">
      <alignment horizontal="left"/>
      <protection locked="0"/>
    </xf>
    <xf numFmtId="49" fontId="4" fillId="61" borderId="0" xfId="0" applyNumberFormat="1" applyFont="1" applyFill="1" applyAlignment="1" applyProtection="1">
      <alignment horizontal="left"/>
      <protection locked="0"/>
    </xf>
    <xf numFmtId="49" fontId="1" fillId="61" borderId="0" xfId="0" applyNumberFormat="1" applyFont="1" applyFill="1" applyAlignment="1" applyProtection="1">
      <alignment horizontal="left"/>
      <protection locked="0"/>
    </xf>
    <xf numFmtId="3" fontId="1" fillId="61" borderId="0" xfId="0" applyNumberFormat="1" applyFont="1" applyFill="1" applyProtection="1">
      <protection locked="0"/>
    </xf>
    <xf numFmtId="3" fontId="4" fillId="61" borderId="0" xfId="0" applyNumberFormat="1" applyFont="1" applyFill="1" applyProtection="1">
      <protection locked="0"/>
    </xf>
    <xf numFmtId="3" fontId="1" fillId="61" borderId="0" xfId="0" applyNumberFormat="1" applyFont="1" applyFill="1" applyAlignment="1" applyProtection="1">
      <alignment horizontal="center"/>
      <protection locked="0"/>
    </xf>
    <xf numFmtId="1" fontId="1" fillId="62" borderId="0" xfId="0" applyNumberFormat="1" applyFont="1" applyFill="1" applyAlignment="1" applyProtection="1">
      <alignment horizontal="center"/>
      <protection locked="0"/>
    </xf>
    <xf numFmtId="1" fontId="4" fillId="62" borderId="0" xfId="0" applyNumberFormat="1" applyFont="1" applyFill="1" applyAlignment="1" applyProtection="1">
      <alignment horizontal="center"/>
      <protection locked="0"/>
    </xf>
    <xf numFmtId="1" fontId="15" fillId="62" borderId="0" xfId="0" applyNumberFormat="1" applyFont="1" applyFill="1" applyAlignment="1" applyProtection="1">
      <alignment horizontal="center"/>
      <protection locked="0"/>
    </xf>
    <xf numFmtId="49" fontId="1" fillId="62" borderId="0" xfId="0" applyNumberFormat="1" applyFont="1" applyFill="1" applyAlignment="1" applyProtection="1">
      <alignment horizontal="left"/>
      <protection locked="0"/>
    </xf>
    <xf numFmtId="49" fontId="4" fillId="62" borderId="0" xfId="0" applyNumberFormat="1" applyFont="1" applyFill="1" applyAlignment="1" applyProtection="1">
      <alignment horizontal="left"/>
      <protection locked="0"/>
    </xf>
    <xf numFmtId="0" fontId="1" fillId="19" borderId="0" xfId="0" applyNumberFormat="1" applyFont="1" applyFill="1" applyAlignment="1" applyProtection="1">
      <alignment horizontal="center"/>
      <protection locked="0"/>
    </xf>
    <xf numFmtId="49" fontId="1" fillId="61" borderId="0" xfId="0" applyNumberFormat="1" applyFont="1" applyFill="1" applyAlignment="1" applyProtection="1">
      <alignment horizontal="center"/>
      <protection locked="0"/>
    </xf>
    <xf numFmtId="1" fontId="1" fillId="19" borderId="0" xfId="0" applyNumberFormat="1" applyFont="1" applyFill="1" applyAlignment="1" applyProtection="1">
      <alignment horizontal="center"/>
      <protection locked="0"/>
    </xf>
    <xf numFmtId="49" fontId="1" fillId="61" borderId="0" xfId="0" applyNumberFormat="1" applyFont="1" applyFill="1" applyProtection="1">
      <protection locked="0"/>
    </xf>
    <xf numFmtId="37" fontId="9" fillId="61" borderId="0" xfId="0" applyNumberFormat="1" applyFont="1" applyFill="1" applyAlignment="1" applyProtection="1">
      <alignment horizontal="right"/>
      <protection locked="0"/>
    </xf>
    <xf numFmtId="37" fontId="4" fillId="61" borderId="0" xfId="0" applyNumberFormat="1" applyFont="1" applyFill="1" applyAlignment="1" applyProtection="1">
      <alignment horizontal="right"/>
      <protection locked="0"/>
    </xf>
    <xf numFmtId="37" fontId="1" fillId="61" borderId="0" xfId="0" applyNumberFormat="1" applyFont="1" applyFill="1" applyAlignment="1" applyProtection="1">
      <alignment horizontal="right"/>
      <protection locked="0"/>
    </xf>
    <xf numFmtId="166" fontId="9" fillId="61" borderId="0" xfId="0" applyNumberFormat="1" applyFont="1" applyFill="1" applyAlignment="1" applyProtection="1">
      <alignment horizontal="left"/>
      <protection locked="0"/>
    </xf>
    <xf numFmtId="166" fontId="4" fillId="61" borderId="0" xfId="0" applyNumberFormat="1" applyFont="1" applyFill="1" applyAlignment="1" applyProtection="1">
      <alignment horizontal="left"/>
      <protection locked="0"/>
    </xf>
    <xf numFmtId="37" fontId="1" fillId="61" borderId="0" xfId="0" applyNumberFormat="1" applyFont="1" applyFill="1" applyAlignment="1" applyProtection="1">
      <alignment horizontal="left" vertical="center" wrapText="1"/>
      <protection locked="0"/>
    </xf>
    <xf numFmtId="37" fontId="9" fillId="61" borderId="0" xfId="0" applyNumberFormat="1" applyFont="1" applyFill="1" applyAlignment="1" applyProtection="1">
      <alignment horizontal="left"/>
      <protection locked="0"/>
    </xf>
    <xf numFmtId="37" fontId="4" fillId="61" borderId="0" xfId="0" applyNumberFormat="1" applyFont="1" applyFill="1" applyAlignment="1" applyProtection="1">
      <alignment horizontal="left"/>
      <protection locked="0"/>
    </xf>
    <xf numFmtId="37" fontId="1" fillId="61" borderId="0" xfId="0" applyNumberFormat="1" applyFont="1" applyFill="1" applyAlignment="1" applyProtection="1">
      <alignment horizontal="left"/>
      <protection locked="0"/>
    </xf>
    <xf numFmtId="49" fontId="1" fillId="61" borderId="0" xfId="0" applyNumberFormat="1" applyFont="1" applyFill="1" applyAlignment="1" applyProtection="1">
      <alignment horizontal="center" wrapText="1"/>
      <protection locked="0"/>
    </xf>
    <xf numFmtId="37" fontId="4" fillId="32" borderId="0" xfId="0" applyNumberFormat="1" applyFont="1" applyFill="1" applyAlignment="1">
      <alignment horizontal="center"/>
    </xf>
    <xf numFmtId="37" fontId="1" fillId="3" borderId="0" xfId="0" applyNumberFormat="1" applyFont="1" applyFill="1" applyAlignment="1" applyProtection="1">
      <alignment horizontal="center"/>
      <protection locked="0"/>
    </xf>
    <xf numFmtId="37" fontId="1" fillId="3" borderId="0" xfId="0" applyNumberFormat="1" applyFont="1" applyFill="1" applyAlignment="1" applyProtection="1">
      <alignment horizontal="left"/>
      <protection locked="0"/>
    </xf>
    <xf numFmtId="37" fontId="1" fillId="3" borderId="0" xfId="0" applyNumberFormat="1" applyFont="1" applyFill="1" applyProtection="1">
      <protection locked="0"/>
    </xf>
    <xf numFmtId="37" fontId="4" fillId="3" borderId="0" xfId="0" applyNumberFormat="1" applyFont="1" applyFill="1" applyProtection="1">
      <protection locked="0"/>
    </xf>
    <xf numFmtId="0" fontId="1" fillId="3" borderId="0" xfId="0" applyNumberFormat="1" applyFont="1" applyFill="1" applyAlignment="1" applyProtection="1">
      <alignment horizontal="center"/>
      <protection locked="0"/>
    </xf>
    <xf numFmtId="1" fontId="1" fillId="3" borderId="0" xfId="0" applyNumberFormat="1" applyFont="1" applyFill="1" applyAlignment="1" applyProtection="1">
      <alignment horizontal="center"/>
      <protection locked="0"/>
    </xf>
    <xf numFmtId="37" fontId="1" fillId="3" borderId="0" xfId="0" applyNumberFormat="1" applyFont="1" applyFill="1" applyAlignment="1" applyProtection="1">
      <alignment horizontal="right"/>
      <protection locked="0"/>
    </xf>
    <xf numFmtId="37" fontId="4" fillId="3" borderId="0" xfId="0" applyNumberFormat="1" applyFont="1" applyFill="1" applyAlignment="1" applyProtection="1">
      <alignment horizontal="right"/>
      <protection locked="0"/>
    </xf>
    <xf numFmtId="37" fontId="9" fillId="3" borderId="0" xfId="0" applyNumberFormat="1" applyFont="1" applyFill="1" applyAlignment="1" applyProtection="1">
      <alignment horizontal="right"/>
      <protection locked="0"/>
    </xf>
    <xf numFmtId="49" fontId="15" fillId="3" borderId="0" xfId="0" applyNumberFormat="1" applyFont="1" applyFill="1" applyAlignment="1" applyProtection="1">
      <alignment horizontal="left"/>
      <protection locked="0"/>
    </xf>
    <xf numFmtId="49" fontId="1" fillId="3" borderId="0" xfId="0" applyNumberFormat="1" applyFont="1" applyFill="1" applyAlignment="1" applyProtection="1">
      <alignment horizontal="left"/>
      <protection locked="0"/>
    </xf>
    <xf numFmtId="49" fontId="4" fillId="3" borderId="0" xfId="0" applyNumberFormat="1" applyFont="1" applyFill="1" applyAlignment="1" applyProtection="1">
      <alignment horizontal="left"/>
      <protection locked="0"/>
    </xf>
    <xf numFmtId="164" fontId="4" fillId="36" borderId="0" xfId="0" applyFont="1" applyFill="1"/>
    <xf numFmtId="37" fontId="4" fillId="3" borderId="0" xfId="0" applyNumberFormat="1" applyFont="1" applyFill="1" applyAlignment="1" applyProtection="1">
      <alignment horizontal="center"/>
      <protection locked="0"/>
    </xf>
    <xf numFmtId="37" fontId="4" fillId="3" borderId="0" xfId="0" applyNumberFormat="1" applyFont="1" applyFill="1" applyAlignment="1" applyProtection="1">
      <alignment horizontal="left"/>
      <protection locked="0"/>
    </xf>
    <xf numFmtId="49" fontId="4" fillId="3" borderId="0" xfId="0" applyNumberFormat="1" applyFont="1" applyFill="1" applyAlignment="1" applyProtection="1">
      <alignment horizontal="center"/>
      <protection locked="0"/>
    </xf>
    <xf numFmtId="1" fontId="1" fillId="20" borderId="0" xfId="0" applyNumberFormat="1" applyFont="1" applyFill="1" applyAlignment="1" applyProtection="1">
      <alignment horizontal="center"/>
      <protection locked="0"/>
    </xf>
    <xf numFmtId="49" fontId="1" fillId="3" borderId="0" xfId="0" applyNumberFormat="1" applyFont="1" applyFill="1" applyAlignment="1" applyProtection="1">
      <alignment horizontal="center"/>
      <protection locked="0"/>
    </xf>
    <xf numFmtId="49" fontId="1" fillId="3" borderId="0" xfId="0" applyNumberFormat="1" applyFont="1" applyFill="1" applyAlignment="1" applyProtection="1">
      <alignment horizontal="center" wrapText="1"/>
      <protection locked="0"/>
    </xf>
    <xf numFmtId="37" fontId="9" fillId="3" borderId="0" xfId="0" applyNumberFormat="1" applyFont="1" applyFill="1" applyAlignment="1" applyProtection="1">
      <alignment horizontal="left"/>
      <protection locked="0"/>
    </xf>
    <xf numFmtId="37" fontId="17" fillId="3" borderId="0" xfId="0" applyNumberFormat="1" applyFont="1" applyFill="1" applyAlignment="1" applyProtection="1">
      <alignment horizontal="right"/>
      <protection locked="0"/>
    </xf>
    <xf numFmtId="37" fontId="1" fillId="63" borderId="0" xfId="0" applyNumberFormat="1" applyFont="1" applyFill="1" applyAlignment="1" applyProtection="1">
      <alignment horizontal="center"/>
      <protection locked="0"/>
    </xf>
    <xf numFmtId="37" fontId="1" fillId="63" borderId="0" xfId="0" applyNumberFormat="1" applyFont="1" applyFill="1" applyAlignment="1" applyProtection="1">
      <alignment horizontal="left"/>
      <protection locked="0"/>
    </xf>
    <xf numFmtId="37" fontId="1" fillId="63" borderId="0" xfId="0" applyNumberFormat="1" applyFont="1" applyFill="1" applyAlignment="1" applyProtection="1">
      <alignment horizontal="right"/>
      <protection locked="0"/>
    </xf>
    <xf numFmtId="37" fontId="17" fillId="63" borderId="0" xfId="0" applyNumberFormat="1" applyFont="1" applyFill="1" applyAlignment="1" applyProtection="1">
      <alignment horizontal="right"/>
      <protection locked="0"/>
    </xf>
    <xf numFmtId="37" fontId="4" fillId="63" borderId="0" xfId="0" applyNumberFormat="1" applyFont="1" applyFill="1" applyAlignment="1" applyProtection="1">
      <alignment horizontal="right"/>
      <protection locked="0"/>
    </xf>
    <xf numFmtId="49" fontId="1" fillId="63" borderId="0" xfId="0" applyNumberFormat="1" applyFont="1" applyFill="1" applyAlignment="1" applyProtection="1">
      <alignment horizontal="center" wrapText="1"/>
      <protection locked="0"/>
    </xf>
    <xf numFmtId="37" fontId="1" fillId="3" borderId="0" xfId="0" applyNumberFormat="1" applyFont="1" applyFill="1" applyAlignment="1" applyProtection="1">
      <alignment horizontal="left" vertical="center" wrapText="1"/>
      <protection locked="0"/>
    </xf>
    <xf numFmtId="37" fontId="1" fillId="3" borderId="0" xfId="0" applyNumberFormat="1" applyFont="1" applyFill="1" applyAlignment="1" applyProtection="1">
      <alignment horizontal="center" vertical="center" wrapText="1"/>
      <protection locked="0"/>
    </xf>
    <xf numFmtId="164" fontId="4" fillId="53" borderId="0" xfId="0" applyFont="1" applyFill="1" applyProtection="1">
      <protection locked="0"/>
    </xf>
    <xf numFmtId="49" fontId="1" fillId="64" borderId="0" xfId="0" applyNumberFormat="1" applyFont="1" applyFill="1" applyAlignment="1" applyProtection="1">
      <alignment horizontal="left"/>
      <protection locked="0"/>
    </xf>
    <xf numFmtId="49" fontId="4" fillId="64" borderId="0" xfId="0" applyNumberFormat="1" applyFont="1" applyFill="1" applyAlignment="1" applyProtection="1">
      <alignment horizontal="left"/>
      <protection locked="0"/>
    </xf>
    <xf numFmtId="49" fontId="1" fillId="5" borderId="0" xfId="0" applyNumberFormat="1" applyFont="1" applyFill="1" applyAlignment="1" applyProtection="1">
      <alignment horizontal="left"/>
      <protection locked="0"/>
    </xf>
    <xf numFmtId="49" fontId="4" fillId="5" borderId="0" xfId="0" applyNumberFormat="1" applyFont="1" applyFill="1" applyAlignment="1" applyProtection="1">
      <alignment horizontal="left"/>
      <protection locked="0"/>
    </xf>
    <xf numFmtId="49" fontId="1" fillId="65" borderId="0" xfId="0" applyNumberFormat="1" applyFont="1" applyFill="1" applyAlignment="1" applyProtection="1">
      <alignment horizontal="left"/>
      <protection locked="0"/>
    </xf>
    <xf numFmtId="49" fontId="4" fillId="65" borderId="0" xfId="0" applyNumberFormat="1" applyFont="1" applyFill="1" applyAlignment="1" applyProtection="1">
      <alignment horizontal="left"/>
      <protection locked="0"/>
    </xf>
    <xf numFmtId="49" fontId="1" fillId="21" borderId="0" xfId="0" applyNumberFormat="1" applyFont="1" applyFill="1" applyAlignment="1" applyProtection="1">
      <alignment horizontal="left"/>
      <protection locked="0"/>
    </xf>
    <xf numFmtId="49" fontId="4" fillId="21" borderId="0" xfId="0" applyNumberFormat="1" applyFont="1" applyFill="1" applyAlignment="1" applyProtection="1">
      <alignment horizontal="left"/>
      <protection locked="0"/>
    </xf>
    <xf numFmtId="49" fontId="1" fillId="22" borderId="0" xfId="0" applyNumberFormat="1" applyFont="1" applyFill="1" applyAlignment="1" applyProtection="1">
      <alignment horizontal="left"/>
      <protection locked="0"/>
    </xf>
    <xf numFmtId="49" fontId="4" fillId="22" borderId="0" xfId="0" applyNumberFormat="1" applyFont="1" applyFill="1" applyAlignment="1" applyProtection="1">
      <alignment horizontal="left"/>
      <protection locked="0"/>
    </xf>
    <xf numFmtId="0" fontId="1" fillId="16" borderId="0" xfId="0" applyNumberFormat="1" applyFont="1" applyFill="1" applyAlignment="1" applyProtection="1">
      <alignment horizontal="center"/>
      <protection locked="0"/>
    </xf>
    <xf numFmtId="49" fontId="4" fillId="5" borderId="0" xfId="0" applyNumberFormat="1" applyFont="1" applyFill="1" applyAlignment="1" applyProtection="1">
      <alignment horizontal="right"/>
      <protection locked="0"/>
    </xf>
    <xf numFmtId="49" fontId="4" fillId="65" borderId="0" xfId="0" applyNumberFormat="1" applyFont="1" applyFill="1" applyAlignment="1" applyProtection="1">
      <alignment horizontal="right"/>
      <protection locked="0"/>
    </xf>
    <xf numFmtId="49" fontId="4" fillId="21" borderId="0" xfId="0" applyNumberFormat="1" applyFont="1" applyFill="1" applyAlignment="1" applyProtection="1">
      <alignment horizontal="right"/>
      <protection locked="0"/>
    </xf>
    <xf numFmtId="49" fontId="4" fillId="22" borderId="0" xfId="0" applyNumberFormat="1" applyFont="1" applyFill="1" applyAlignment="1" applyProtection="1">
      <alignment horizontal="right"/>
      <protection locked="0"/>
    </xf>
    <xf numFmtId="49" fontId="4" fillId="64" borderId="0" xfId="0" applyNumberFormat="1" applyFont="1" applyFill="1" applyAlignment="1" applyProtection="1">
      <alignment horizontal="right"/>
      <protection locked="0"/>
    </xf>
    <xf numFmtId="49" fontId="9" fillId="53" borderId="0" xfId="0" applyNumberFormat="1" applyFont="1" applyFill="1" applyAlignment="1" applyProtection="1">
      <alignment horizontal="right"/>
      <protection locked="0"/>
    </xf>
    <xf numFmtId="49" fontId="4" fillId="53" borderId="0" xfId="0" applyNumberFormat="1" applyFont="1" applyFill="1" applyAlignment="1" applyProtection="1">
      <alignment horizontal="right"/>
      <protection locked="0"/>
    </xf>
    <xf numFmtId="49" fontId="1" fillId="53" borderId="0" xfId="0" applyNumberFormat="1" applyFont="1" applyFill="1" applyAlignment="1" applyProtection="1">
      <alignment horizontal="right"/>
      <protection locked="0"/>
    </xf>
    <xf numFmtId="37" fontId="1" fillId="61" borderId="143" xfId="0" applyNumberFormat="1" applyFont="1" applyFill="1" applyBorder="1" applyAlignment="1" applyProtection="1">
      <alignment horizontal="center"/>
      <protection locked="0"/>
    </xf>
    <xf numFmtId="37" fontId="1" fillId="61" borderId="143" xfId="0" applyNumberFormat="1" applyFont="1" applyFill="1" applyBorder="1" applyAlignment="1" applyProtection="1">
      <alignment horizontal="left"/>
      <protection locked="0"/>
    </xf>
    <xf numFmtId="37" fontId="1" fillId="61" borderId="143" xfId="0" applyNumberFormat="1" applyFont="1" applyFill="1" applyBorder="1" applyProtection="1">
      <protection locked="0"/>
    </xf>
    <xf numFmtId="37" fontId="4" fillId="61" borderId="143" xfId="0" applyNumberFormat="1" applyFont="1" applyFill="1" applyBorder="1" applyProtection="1">
      <protection locked="0"/>
    </xf>
    <xf numFmtId="0" fontId="1" fillId="61" borderId="143" xfId="0" applyNumberFormat="1" applyFont="1" applyFill="1" applyBorder="1" applyAlignment="1" applyProtection="1">
      <alignment horizontal="center"/>
      <protection locked="0"/>
    </xf>
    <xf numFmtId="1" fontId="1" fillId="61" borderId="143" xfId="0" applyNumberFormat="1" applyFont="1" applyFill="1" applyBorder="1" applyAlignment="1" applyProtection="1">
      <alignment horizontal="center"/>
      <protection locked="0"/>
    </xf>
    <xf numFmtId="37" fontId="1" fillId="61" borderId="0" xfId="0" applyNumberFormat="1" applyFont="1" applyFill="1" applyAlignment="1" applyProtection="1">
      <alignment horizontal="center"/>
      <protection locked="0"/>
    </xf>
    <xf numFmtId="37" fontId="1" fillId="62" borderId="0" xfId="0" applyNumberFormat="1" applyFont="1" applyFill="1" applyAlignment="1" applyProtection="1">
      <alignment horizontal="right"/>
      <protection locked="0"/>
    </xf>
    <xf numFmtId="37" fontId="9" fillId="62" borderId="0" xfId="0" applyNumberFormat="1" applyFont="1" applyFill="1" applyAlignment="1" applyProtection="1">
      <alignment horizontal="right"/>
      <protection locked="0"/>
    </xf>
    <xf numFmtId="0" fontId="9" fillId="62" borderId="0" xfId="0" applyNumberFormat="1" applyFont="1" applyFill="1" applyAlignment="1" applyProtection="1">
      <alignment horizontal="right"/>
      <protection locked="0"/>
    </xf>
    <xf numFmtId="0" fontId="4" fillId="61" borderId="0" xfId="0" applyNumberFormat="1" applyFont="1" applyFill="1" applyAlignment="1" applyProtection="1">
      <alignment horizontal="right"/>
      <protection locked="0"/>
    </xf>
    <xf numFmtId="37" fontId="1" fillId="62" borderId="0" xfId="0" applyNumberFormat="1" applyFont="1" applyFill="1" applyAlignment="1" applyProtection="1">
      <alignment horizontal="left"/>
      <protection locked="0"/>
    </xf>
    <xf numFmtId="0" fontId="1" fillId="62" borderId="0" xfId="0" applyNumberFormat="1" applyFont="1" applyFill="1" applyAlignment="1" applyProtection="1">
      <alignment horizontal="right"/>
      <protection locked="0"/>
    </xf>
    <xf numFmtId="37" fontId="1" fillId="62" borderId="0" xfId="0" applyNumberFormat="1" applyFont="1" applyFill="1" applyProtection="1">
      <protection locked="0"/>
    </xf>
    <xf numFmtId="164" fontId="86" fillId="62" borderId="0" xfId="0" applyFont="1" applyFill="1" applyAlignment="1" applyProtection="1">
      <alignment horizontal="left"/>
      <protection locked="0"/>
    </xf>
    <xf numFmtId="37" fontId="9" fillId="62" borderId="0" xfId="0" applyNumberFormat="1" applyFont="1" applyFill="1" applyAlignment="1" applyProtection="1">
      <alignment horizontal="left"/>
      <protection locked="0"/>
    </xf>
    <xf numFmtId="164" fontId="85" fillId="62" borderId="0" xfId="0" applyFont="1" applyFill="1" applyAlignment="1" applyProtection="1">
      <alignment horizontal="left"/>
      <protection locked="0"/>
    </xf>
    <xf numFmtId="3" fontId="1" fillId="62" borderId="0" xfId="0" applyNumberFormat="1" applyFont="1" applyFill="1" applyProtection="1">
      <protection locked="0"/>
    </xf>
    <xf numFmtId="49" fontId="1" fillId="62" borderId="0" xfId="0" applyNumberFormat="1" applyFont="1" applyFill="1" applyAlignment="1" applyProtection="1">
      <alignment horizontal="right"/>
      <protection locked="0"/>
    </xf>
    <xf numFmtId="164" fontId="86" fillId="62" borderId="0" xfId="0" applyFont="1" applyFill="1" applyProtection="1">
      <protection locked="0"/>
    </xf>
    <xf numFmtId="37" fontId="86" fillId="39" borderId="0" xfId="0" applyNumberFormat="1" applyFont="1" applyFill="1" applyAlignment="1">
      <alignment horizontal="left"/>
    </xf>
    <xf numFmtId="171" fontId="1" fillId="61" borderId="0" xfId="0" applyNumberFormat="1" applyFont="1" applyFill="1" applyAlignment="1" applyProtection="1">
      <alignment horizontal="left"/>
      <protection locked="0"/>
    </xf>
    <xf numFmtId="171" fontId="9" fillId="62" borderId="0" xfId="0" applyNumberFormat="1" applyFont="1" applyFill="1" applyAlignment="1" applyProtection="1">
      <alignment horizontal="right"/>
      <protection locked="0"/>
    </xf>
    <xf numFmtId="171" fontId="4" fillId="61" borderId="0" xfId="0" applyNumberFormat="1" applyFont="1" applyFill="1" applyAlignment="1" applyProtection="1">
      <alignment horizontal="right"/>
      <protection locked="0"/>
    </xf>
    <xf numFmtId="37" fontId="4" fillId="62" borderId="0" xfId="0" applyNumberFormat="1" applyFont="1" applyFill="1" applyAlignment="1" applyProtection="1">
      <alignment horizontal="left"/>
      <protection locked="0"/>
    </xf>
    <xf numFmtId="37" fontId="17" fillId="62" borderId="0" xfId="0" applyNumberFormat="1" applyFont="1" applyFill="1" applyAlignment="1" applyProtection="1">
      <alignment horizontal="right"/>
      <protection locked="0"/>
    </xf>
    <xf numFmtId="37" fontId="17" fillId="61" borderId="0" xfId="0" applyNumberFormat="1" applyFont="1" applyFill="1" applyAlignment="1" applyProtection="1">
      <alignment horizontal="right"/>
      <protection locked="0"/>
    </xf>
    <xf numFmtId="164" fontId="86" fillId="66" borderId="0" xfId="0" applyFont="1" applyFill="1" applyAlignment="1" applyProtection="1">
      <alignment horizontal="left"/>
      <protection locked="0"/>
    </xf>
    <xf numFmtId="0" fontId="4" fillId="55" borderId="0" xfId="0" applyNumberFormat="1" applyFont="1" applyFill="1" applyProtection="1">
      <protection locked="0"/>
    </xf>
    <xf numFmtId="1" fontId="15" fillId="66" borderId="0" xfId="0" applyNumberFormat="1" applyFont="1" applyFill="1" applyAlignment="1" applyProtection="1">
      <alignment horizontal="center"/>
      <protection locked="0"/>
    </xf>
    <xf numFmtId="164" fontId="86" fillId="66" borderId="0" xfId="0" applyFont="1" applyFill="1" applyProtection="1">
      <protection locked="0"/>
    </xf>
    <xf numFmtId="164" fontId="87" fillId="66" borderId="0" xfId="0" applyFont="1" applyFill="1" applyAlignment="1" applyProtection="1">
      <alignment horizontal="left"/>
      <protection locked="0"/>
    </xf>
    <xf numFmtId="1" fontId="4" fillId="55" borderId="0" xfId="0" applyNumberFormat="1" applyFont="1" applyFill="1" applyAlignment="1" applyProtection="1">
      <alignment horizontal="center"/>
      <protection locked="0"/>
    </xf>
    <xf numFmtId="164" fontId="4" fillId="55" borderId="0" xfId="0" applyFont="1" applyFill="1" applyAlignment="1" applyProtection="1">
      <alignment horizontal="left"/>
      <protection locked="0"/>
    </xf>
    <xf numFmtId="164" fontId="88" fillId="67" borderId="0" xfId="0" applyFont="1" applyFill="1" applyAlignment="1" applyProtection="1">
      <alignment horizontal="left"/>
      <protection locked="0"/>
    </xf>
    <xf numFmtId="1" fontId="1" fillId="68" borderId="0" xfId="0" applyNumberFormat="1" applyFont="1" applyFill="1" applyAlignment="1" applyProtection="1">
      <alignment horizontal="center"/>
      <protection locked="0"/>
    </xf>
    <xf numFmtId="1" fontId="22" fillId="68" borderId="0" xfId="0" applyNumberFormat="1" applyFont="1" applyFill="1" applyAlignment="1" applyProtection="1">
      <alignment horizontal="center"/>
      <protection locked="0"/>
    </xf>
    <xf numFmtId="37" fontId="89" fillId="33" borderId="0" xfId="0" applyNumberFormat="1" applyFont="1" applyFill="1"/>
    <xf numFmtId="37" fontId="4" fillId="33" borderId="0" xfId="0" applyNumberFormat="1" applyFont="1" applyFill="1" applyAlignment="1">
      <alignment horizontal="center"/>
    </xf>
    <xf numFmtId="1" fontId="22" fillId="67" borderId="0" xfId="0" applyNumberFormat="1" applyFont="1" applyFill="1" applyAlignment="1" applyProtection="1">
      <alignment horizontal="center"/>
      <protection locked="0"/>
    </xf>
    <xf numFmtId="49" fontId="1" fillId="30" borderId="0" xfId="0" applyNumberFormat="1" applyFont="1" applyFill="1" applyAlignment="1" applyProtection="1">
      <alignment horizontal="left"/>
      <protection locked="0"/>
    </xf>
    <xf numFmtId="1" fontId="1" fillId="30" borderId="0" xfId="0" applyNumberFormat="1" applyFont="1" applyFill="1" applyAlignment="1" applyProtection="1">
      <alignment horizontal="center"/>
      <protection locked="0"/>
    </xf>
    <xf numFmtId="37" fontId="1" fillId="56" borderId="0" xfId="0" applyNumberFormat="1" applyFont="1" applyFill="1" applyProtection="1">
      <protection locked="0"/>
    </xf>
    <xf numFmtId="37" fontId="4" fillId="56" borderId="0" xfId="0" applyNumberFormat="1" applyFont="1" applyFill="1" applyAlignment="1" applyProtection="1">
      <alignment horizontal="right"/>
      <protection locked="0"/>
    </xf>
    <xf numFmtId="37" fontId="9" fillId="56" borderId="0" xfId="0" applyNumberFormat="1" applyFont="1" applyFill="1" applyAlignment="1" applyProtection="1">
      <alignment horizontal="right"/>
      <protection locked="0"/>
    </xf>
    <xf numFmtId="164" fontId="85" fillId="57" borderId="0" xfId="0" applyFont="1" applyFill="1" applyAlignment="1" applyProtection="1">
      <alignment horizontal="left"/>
      <protection locked="0"/>
    </xf>
    <xf numFmtId="164" fontId="86" fillId="57" borderId="0" xfId="0" applyFont="1" applyFill="1" applyAlignment="1" applyProtection="1">
      <alignment horizontal="left"/>
      <protection locked="0"/>
    </xf>
    <xf numFmtId="1" fontId="15" fillId="56" borderId="0" xfId="0" applyNumberFormat="1" applyFont="1" applyFill="1" applyAlignment="1" applyProtection="1">
      <alignment horizontal="center"/>
      <protection locked="0"/>
    </xf>
    <xf numFmtId="164" fontId="1" fillId="56" borderId="0" xfId="0" applyFont="1" applyFill="1" applyProtection="1">
      <protection locked="0"/>
    </xf>
    <xf numFmtId="164" fontId="4" fillId="56" borderId="0" xfId="0" applyFont="1" applyFill="1" applyProtection="1">
      <protection locked="0"/>
    </xf>
    <xf numFmtId="1" fontId="1" fillId="57" borderId="0" xfId="0" applyNumberFormat="1" applyFont="1" applyFill="1" applyAlignment="1" applyProtection="1">
      <alignment horizontal="center"/>
      <protection locked="0"/>
    </xf>
    <xf numFmtId="37" fontId="9" fillId="56" borderId="0" xfId="0" applyNumberFormat="1" applyFont="1" applyFill="1" applyAlignment="1" applyProtection="1">
      <alignment horizontal="left"/>
      <protection locked="0"/>
    </xf>
    <xf numFmtId="37" fontId="25" fillId="57" borderId="0" xfId="0" applyNumberFormat="1" applyFont="1" applyFill="1" applyAlignment="1" applyProtection="1">
      <alignment horizontal="right"/>
      <protection locked="0"/>
    </xf>
    <xf numFmtId="37" fontId="1" fillId="56" borderId="0" xfId="0" applyNumberFormat="1" applyFont="1" applyFill="1" applyAlignment="1" applyProtection="1">
      <alignment horizontal="left" vertical="center" wrapText="1"/>
      <protection locked="0"/>
    </xf>
    <xf numFmtId="49" fontId="1" fillId="56" borderId="0" xfId="0" applyNumberFormat="1" applyFont="1" applyFill="1" applyAlignment="1" applyProtection="1">
      <alignment horizontal="center" wrapText="1"/>
      <protection locked="0"/>
    </xf>
    <xf numFmtId="37" fontId="17" fillId="56" borderId="0" xfId="0" applyNumberFormat="1" applyFont="1" applyFill="1" applyAlignment="1" applyProtection="1">
      <alignment horizontal="right"/>
      <protection locked="0"/>
    </xf>
    <xf numFmtId="1" fontId="1" fillId="3" borderId="0" xfId="0" applyNumberFormat="1" applyFont="1" applyFill="1" applyAlignment="1" applyProtection="1">
      <alignment horizontal="right"/>
      <protection locked="0"/>
    </xf>
    <xf numFmtId="166" fontId="9" fillId="3" borderId="0" xfId="0" applyNumberFormat="1" applyFont="1" applyFill="1" applyAlignment="1" applyProtection="1">
      <alignment horizontal="right"/>
      <protection locked="0"/>
    </xf>
    <xf numFmtId="166" fontId="4" fillId="3" borderId="0" xfId="0" applyNumberFormat="1" applyFont="1" applyFill="1" applyAlignment="1" applyProtection="1">
      <alignment horizontal="right"/>
      <protection locked="0"/>
    </xf>
    <xf numFmtId="0" fontId="1" fillId="3" borderId="0" xfId="0" applyNumberFormat="1" applyFont="1" applyFill="1" applyAlignment="1" applyProtection="1">
      <alignment horizontal="right"/>
      <protection locked="0"/>
    </xf>
    <xf numFmtId="164" fontId="86" fillId="63" borderId="0" xfId="0" applyFont="1" applyFill="1" applyProtection="1">
      <protection locked="0"/>
    </xf>
    <xf numFmtId="164" fontId="1" fillId="3" borderId="0" xfId="0" applyFont="1" applyFill="1" applyProtection="1">
      <protection locked="0"/>
    </xf>
    <xf numFmtId="164" fontId="4" fillId="3" borderId="0" xfId="0" applyFont="1" applyFill="1" applyProtection="1">
      <protection locked="0"/>
    </xf>
    <xf numFmtId="164" fontId="1" fillId="3" borderId="0" xfId="0" applyFont="1" applyFill="1" applyAlignment="1" applyProtection="1">
      <alignment horizontal="right"/>
      <protection locked="0"/>
    </xf>
    <xf numFmtId="164" fontId="4" fillId="3" borderId="0" xfId="0" applyFont="1" applyFill="1" applyAlignment="1" applyProtection="1">
      <alignment horizontal="right"/>
      <protection locked="0"/>
    </xf>
    <xf numFmtId="1" fontId="4" fillId="36" borderId="0" xfId="0" applyNumberFormat="1" applyFont="1" applyFill="1" applyAlignment="1" applyProtection="1">
      <alignment horizontal="center" wrapText="1"/>
      <protection locked="0"/>
    </xf>
    <xf numFmtId="1" fontId="15" fillId="36" borderId="0" xfId="0" applyNumberFormat="1" applyFont="1" applyFill="1" applyAlignment="1" applyProtection="1">
      <alignment horizontal="center" wrapText="1"/>
      <protection locked="0"/>
    </xf>
    <xf numFmtId="2" fontId="1" fillId="3" borderId="0" xfId="0" applyNumberFormat="1" applyFont="1" applyFill="1" applyProtection="1">
      <protection locked="0"/>
    </xf>
    <xf numFmtId="37" fontId="1" fillId="3" borderId="10" xfId="0" applyNumberFormat="1" applyFont="1" applyFill="1" applyBorder="1" applyAlignment="1" applyProtection="1">
      <alignment horizontal="center"/>
      <protection locked="0"/>
    </xf>
    <xf numFmtId="2" fontId="1" fillId="3" borderId="0" xfId="0" applyNumberFormat="1" applyFont="1" applyFill="1" applyAlignment="1" applyProtection="1">
      <alignment horizontal="center" wrapText="1"/>
      <protection locked="0"/>
    </xf>
    <xf numFmtId="49" fontId="4" fillId="69" borderId="0" xfId="0" applyNumberFormat="1" applyFont="1" applyFill="1" applyAlignment="1" applyProtection="1">
      <alignment horizontal="left"/>
      <protection locked="0"/>
    </xf>
    <xf numFmtId="49" fontId="4" fillId="70" borderId="0" xfId="0" applyNumberFormat="1" applyFont="1" applyFill="1" applyAlignment="1" applyProtection="1">
      <alignment horizontal="left"/>
      <protection locked="0"/>
    </xf>
    <xf numFmtId="164" fontId="85" fillId="67" borderId="0" xfId="0" applyFont="1" applyFill="1" applyAlignment="1" applyProtection="1">
      <alignment horizontal="left"/>
      <protection locked="0"/>
    </xf>
    <xf numFmtId="164" fontId="87" fillId="67" borderId="0" xfId="0" applyFont="1" applyFill="1" applyAlignment="1" applyProtection="1">
      <alignment horizontal="left"/>
      <protection locked="0"/>
    </xf>
    <xf numFmtId="37" fontId="91" fillId="33" borderId="0" xfId="0" applyNumberFormat="1" applyFont="1" applyFill="1"/>
    <xf numFmtId="37" fontId="92" fillId="33" borderId="0" xfId="0" applyNumberFormat="1" applyFont="1" applyFill="1"/>
    <xf numFmtId="164" fontId="4" fillId="36" borderId="0" xfId="0" applyFont="1" applyFill="1" applyAlignment="1">
      <alignment horizontal="left"/>
    </xf>
    <xf numFmtId="172" fontId="1" fillId="0" borderId="0" xfId="13" applyNumberFormat="1" applyFont="1" applyAlignment="1">
      <alignment horizontal="right" vertical="center"/>
    </xf>
    <xf numFmtId="172" fontId="1" fillId="0" borderId="0" xfId="13" quotePrefix="1" applyNumberFormat="1" applyFont="1" applyAlignment="1">
      <alignment horizontal="right" vertical="center"/>
    </xf>
    <xf numFmtId="172" fontId="1" fillId="0" borderId="51" xfId="13" applyNumberFormat="1" applyFont="1" applyBorder="1" applyAlignment="1">
      <alignment horizontal="right" vertical="center"/>
    </xf>
    <xf numFmtId="172" fontId="1" fillId="0" borderId="91" xfId="13" applyNumberFormat="1" applyFont="1" applyBorder="1" applyAlignment="1">
      <alignment horizontal="right" vertical="center"/>
    </xf>
    <xf numFmtId="37" fontId="79" fillId="37" borderId="141" xfId="0" applyNumberFormat="1" applyFont="1" applyFill="1" applyBorder="1" applyAlignment="1" applyProtection="1">
      <alignment horizontal="center" vertical="top"/>
      <protection locked="0"/>
    </xf>
    <xf numFmtId="37" fontId="81" fillId="40" borderId="141" xfId="0" applyNumberFormat="1" applyFont="1" applyFill="1" applyBorder="1" applyAlignment="1" applyProtection="1">
      <alignment horizontal="center" vertical="top"/>
      <protection locked="0"/>
    </xf>
    <xf numFmtId="37" fontId="1" fillId="13" borderId="144" xfId="0" applyNumberFormat="1" applyFont="1" applyFill="1" applyBorder="1" applyProtection="1">
      <protection locked="0"/>
    </xf>
    <xf numFmtId="37" fontId="1" fillId="14" borderId="144" xfId="0" applyNumberFormat="1" applyFont="1" applyFill="1" applyBorder="1" applyAlignment="1" applyProtection="1">
      <alignment horizontal="center" vertical="top"/>
      <protection locked="0"/>
    </xf>
    <xf numFmtId="37" fontId="79" fillId="37" borderId="144" xfId="0" applyNumberFormat="1" applyFont="1" applyFill="1" applyBorder="1" applyAlignment="1" applyProtection="1">
      <alignment horizontal="center" vertical="top"/>
      <protection locked="0"/>
    </xf>
    <xf numFmtId="37" fontId="81" fillId="40" borderId="144" xfId="0" applyNumberFormat="1" applyFont="1" applyFill="1" applyBorder="1" applyAlignment="1" applyProtection="1">
      <alignment horizontal="center" vertical="top"/>
      <protection locked="0"/>
    </xf>
    <xf numFmtId="37" fontId="1" fillId="13" borderId="0" xfId="0" applyNumberFormat="1" applyFont="1" applyFill="1" applyProtection="1">
      <protection locked="0"/>
    </xf>
    <xf numFmtId="37" fontId="4" fillId="14" borderId="0" xfId="0" applyNumberFormat="1" applyFont="1" applyFill="1" applyProtection="1">
      <protection locked="0"/>
    </xf>
    <xf numFmtId="37" fontId="1" fillId="6" borderId="144" xfId="0" applyNumberFormat="1" applyFont="1" applyFill="1" applyBorder="1"/>
    <xf numFmtId="37" fontId="18" fillId="0" borderId="144" xfId="0" applyNumberFormat="1" applyFont="1" applyBorder="1" applyAlignment="1">
      <alignment horizontal="center" vertical="top"/>
    </xf>
    <xf numFmtId="37" fontId="1" fillId="14" borderId="144" xfId="0" applyNumberFormat="1" applyFont="1" applyFill="1" applyBorder="1" applyAlignment="1">
      <alignment horizontal="center" vertical="top"/>
    </xf>
    <xf numFmtId="165" fontId="94" fillId="71" borderId="130" xfId="0" applyNumberFormat="1" applyFont="1" applyFill="1" applyBorder="1" applyProtection="1">
      <protection locked="0"/>
    </xf>
    <xf numFmtId="165" fontId="94" fillId="71" borderId="0" xfId="0" applyNumberFormat="1" applyFont="1" applyFill="1" applyProtection="1">
      <protection locked="0"/>
    </xf>
    <xf numFmtId="165" fontId="94" fillId="71" borderId="126" xfId="0" applyNumberFormat="1" applyFont="1" applyFill="1" applyBorder="1" applyProtection="1">
      <protection locked="0"/>
    </xf>
    <xf numFmtId="165" fontId="94" fillId="72" borderId="126" xfId="0" applyNumberFormat="1" applyFont="1" applyFill="1" applyBorder="1" applyProtection="1">
      <protection locked="0"/>
    </xf>
    <xf numFmtId="166" fontId="1" fillId="13" borderId="0" xfId="0" applyNumberFormat="1" applyFont="1" applyFill="1" applyProtection="1">
      <protection locked="0"/>
    </xf>
    <xf numFmtId="37" fontId="1" fillId="14" borderId="144" xfId="0" applyNumberFormat="1" applyFont="1" applyFill="1" applyBorder="1" applyAlignment="1" applyProtection="1">
      <alignment vertical="top"/>
      <protection locked="0"/>
    </xf>
    <xf numFmtId="37" fontId="79" fillId="37" borderId="144" xfId="0" applyNumberFormat="1" applyFont="1" applyFill="1" applyBorder="1" applyAlignment="1" applyProtection="1">
      <alignment vertical="top"/>
      <protection locked="0"/>
    </xf>
    <xf numFmtId="37" fontId="81" fillId="40" borderId="144" xfId="0" applyNumberFormat="1" applyFont="1" applyFill="1" applyBorder="1" applyAlignment="1" applyProtection="1">
      <alignment vertical="top"/>
      <protection locked="0"/>
    </xf>
    <xf numFmtId="37" fontId="79" fillId="37" borderId="144" xfId="0" applyNumberFormat="1" applyFont="1" applyFill="1" applyBorder="1" applyProtection="1">
      <protection locked="0"/>
    </xf>
    <xf numFmtId="3" fontId="29" fillId="17" borderId="70" xfId="0" applyNumberFormat="1" applyFont="1" applyFill="1" applyBorder="1" applyAlignment="1">
      <alignment wrapText="1"/>
    </xf>
    <xf numFmtId="3" fontId="29" fillId="17" borderId="81" xfId="0" applyNumberFormat="1" applyFont="1" applyFill="1" applyBorder="1" applyAlignment="1">
      <alignment wrapText="1"/>
    </xf>
    <xf numFmtId="10" fontId="69" fillId="0" borderId="100" xfId="9" applyNumberFormat="1" applyFont="1" applyBorder="1" applyAlignment="1">
      <alignment horizontal="center" vertical="center"/>
    </xf>
    <xf numFmtId="37" fontId="1" fillId="12" borderId="0" xfId="0" applyNumberFormat="1" applyFont="1" applyFill="1" applyAlignment="1" applyProtection="1">
      <alignment horizontal="left" vertical="center" wrapText="1"/>
      <protection locked="0"/>
    </xf>
    <xf numFmtId="1" fontId="95" fillId="12" borderId="0" xfId="0" applyNumberFormat="1" applyFont="1" applyFill="1" applyAlignment="1" applyProtection="1">
      <alignment horizontal="center"/>
      <protection locked="0"/>
    </xf>
    <xf numFmtId="1" fontId="95" fillId="37" borderId="0" xfId="0" applyNumberFormat="1" applyFont="1" applyFill="1" applyAlignment="1" applyProtection="1">
      <alignment horizontal="center"/>
      <protection locked="0"/>
    </xf>
    <xf numFmtId="38" fontId="11" fillId="7" borderId="144" xfId="0" applyNumberFormat="1" applyFont="1" applyFill="1" applyBorder="1" applyAlignment="1">
      <alignment horizontal="right"/>
    </xf>
    <xf numFmtId="38" fontId="11" fillId="5" borderId="144" xfId="0" applyNumberFormat="1" applyFont="1" applyFill="1" applyBorder="1" applyAlignment="1">
      <alignment horizontal="right"/>
    </xf>
    <xf numFmtId="37" fontId="1" fillId="0" borderId="64" xfId="0" applyNumberFormat="1" applyFont="1" applyBorder="1"/>
    <xf numFmtId="37" fontId="1" fillId="0" borderId="70" xfId="0" applyNumberFormat="1" applyFont="1" applyBorder="1"/>
    <xf numFmtId="37" fontId="1" fillId="0" borderId="82" xfId="0" applyNumberFormat="1" applyFont="1" applyBorder="1"/>
    <xf numFmtId="37" fontId="1" fillId="0" borderId="65" xfId="0" applyNumberFormat="1" applyFont="1" applyBorder="1"/>
    <xf numFmtId="37" fontId="1" fillId="0" borderId="64" xfId="0" applyNumberFormat="1" applyFont="1" applyBorder="1" applyAlignment="1">
      <alignment vertical="center"/>
    </xf>
    <xf numFmtId="37" fontId="1" fillId="0" borderId="64" xfId="0" applyNumberFormat="1" applyFont="1" applyBorder="1" applyAlignment="1">
      <alignment vertical="top"/>
    </xf>
    <xf numFmtId="37" fontId="1" fillId="0" borderId="70" xfId="0" applyNumberFormat="1" applyFont="1" applyBorder="1" applyAlignment="1">
      <alignment vertical="top"/>
    </xf>
    <xf numFmtId="37" fontId="1" fillId="0" borderId="145" xfId="0" applyNumberFormat="1" applyFont="1" applyBorder="1"/>
    <xf numFmtId="37" fontId="1" fillId="0" borderId="152" xfId="0" applyNumberFormat="1" applyFont="1" applyBorder="1"/>
    <xf numFmtId="37" fontId="1" fillId="0" borderId="151" xfId="0" applyNumberFormat="1" applyFont="1" applyBorder="1"/>
    <xf numFmtId="37" fontId="1" fillId="0" borderId="64" xfId="0" applyNumberFormat="1" applyFont="1" applyBorder="1" applyAlignment="1">
      <alignment wrapText="1"/>
    </xf>
    <xf numFmtId="37" fontId="1" fillId="0" borderId="65" xfId="0" applyNumberFormat="1" applyFont="1" applyBorder="1" applyAlignment="1">
      <alignment wrapText="1"/>
    </xf>
    <xf numFmtId="37" fontId="1" fillId="0" borderId="150" xfId="0" applyNumberFormat="1" applyFont="1" applyBorder="1"/>
    <xf numFmtId="37" fontId="1" fillId="0" borderId="80" xfId="0" applyNumberFormat="1" applyFont="1" applyBorder="1"/>
    <xf numFmtId="37" fontId="1" fillId="0" borderId="64" xfId="0" applyNumberFormat="1" applyFont="1" applyBorder="1" applyAlignment="1">
      <alignment horizontal="right"/>
    </xf>
    <xf numFmtId="37" fontId="1" fillId="0" borderId="70" xfId="0" applyNumberFormat="1" applyFont="1" applyBorder="1" applyAlignment="1">
      <alignment horizontal="right"/>
    </xf>
    <xf numFmtId="37" fontId="1" fillId="0" borderId="64" xfId="0" applyNumberFormat="1" applyFont="1" applyBorder="1" applyAlignment="1">
      <alignment vertical="distributed"/>
    </xf>
    <xf numFmtId="37" fontId="1" fillId="0" borderId="71" xfId="0" applyNumberFormat="1" applyFont="1" applyBorder="1" applyAlignment="1">
      <alignment vertical="center"/>
    </xf>
    <xf numFmtId="37" fontId="1" fillId="0" borderId="151" xfId="0" applyNumberFormat="1" applyFont="1" applyBorder="1" applyAlignment="1">
      <alignment vertical="distributed"/>
    </xf>
    <xf numFmtId="37" fontId="1" fillId="0" borderId="153" xfId="0" applyNumberFormat="1" applyFont="1" applyBorder="1"/>
    <xf numFmtId="37" fontId="1" fillId="0" borderId="147" xfId="0" applyNumberFormat="1" applyFont="1" applyBorder="1"/>
    <xf numFmtId="37" fontId="1" fillId="0" borderId="146" xfId="0" applyNumberFormat="1" applyFont="1" applyBorder="1"/>
    <xf numFmtId="37" fontId="1" fillId="0" borderId="148" xfId="0" applyNumberFormat="1" applyFont="1" applyBorder="1"/>
    <xf numFmtId="37" fontId="1" fillId="0" borderId="5" xfId="0" applyNumberFormat="1" applyFont="1" applyBorder="1" applyAlignment="1">
      <alignment vertical="center"/>
    </xf>
    <xf numFmtId="37" fontId="1" fillId="0" borderId="123" xfId="0" applyNumberFormat="1" applyFont="1" applyBorder="1"/>
    <xf numFmtId="37" fontId="9" fillId="0" borderId="147" xfId="0" applyNumberFormat="1" applyFont="1" applyBorder="1" applyAlignment="1">
      <alignment vertical="center"/>
    </xf>
    <xf numFmtId="37" fontId="9" fillId="0" borderId="149" xfId="0" applyNumberFormat="1" applyFont="1" applyBorder="1" applyAlignment="1">
      <alignment vertical="center"/>
    </xf>
    <xf numFmtId="37" fontId="1" fillId="0" borderId="157" xfId="0" applyNumberFormat="1" applyFont="1" applyBorder="1" applyAlignment="1">
      <alignment vertical="center"/>
    </xf>
    <xf numFmtId="37" fontId="1" fillId="0" borderId="154" xfId="0" applyNumberFormat="1" applyFont="1" applyBorder="1"/>
    <xf numFmtId="37" fontId="1" fillId="0" borderId="155" xfId="0" applyNumberFormat="1" applyFont="1" applyBorder="1"/>
    <xf numFmtId="37" fontId="1" fillId="0" borderId="32" xfId="0" applyNumberFormat="1" applyFont="1" applyBorder="1"/>
    <xf numFmtId="37" fontId="1" fillId="0" borderId="155" xfId="0" applyNumberFormat="1" applyFont="1" applyBorder="1" applyAlignment="1">
      <alignment vertical="top"/>
    </xf>
    <xf numFmtId="37" fontId="1" fillId="0" borderId="156" xfId="0" applyNumberFormat="1" applyFont="1" applyBorder="1"/>
    <xf numFmtId="37" fontId="1" fillId="0" borderId="155" xfId="0" applyNumberFormat="1" applyFont="1" applyBorder="1" applyAlignment="1">
      <alignment horizontal="right"/>
    </xf>
    <xf numFmtId="37" fontId="1" fillId="0" borderId="5" xfId="0" applyNumberFormat="1" applyFont="1" applyBorder="1" applyAlignment="1">
      <alignment vertical="top"/>
    </xf>
    <xf numFmtId="37" fontId="1" fillId="0" borderId="158" xfId="0" applyNumberFormat="1" applyFont="1" applyBorder="1"/>
    <xf numFmtId="37" fontId="1" fillId="0" borderId="158" xfId="0" applyNumberFormat="1" applyFont="1" applyBorder="1" applyAlignment="1">
      <alignment vertical="center"/>
    </xf>
    <xf numFmtId="37" fontId="28" fillId="0" borderId="0" xfId="8" applyNumberFormat="1" applyFont="1" applyAlignment="1">
      <alignment horizontal="center" vertical="top"/>
    </xf>
    <xf numFmtId="37" fontId="4" fillId="0" borderId="90" xfId="8" applyNumberFormat="1" applyFont="1" applyBorder="1" applyAlignment="1">
      <alignment vertical="center" wrapText="1"/>
    </xf>
    <xf numFmtId="37" fontId="1" fillId="0" borderId="3" xfId="8" applyNumberFormat="1" applyFont="1" applyBorder="1" applyAlignment="1">
      <alignment vertical="center" wrapText="1"/>
    </xf>
    <xf numFmtId="37" fontId="26" fillId="0" borderId="116" xfId="8" applyNumberFormat="1" applyBorder="1" applyAlignment="1">
      <alignment vertical="center" wrapText="1"/>
    </xf>
    <xf numFmtId="37" fontId="26" fillId="0" borderId="3" xfId="8" applyNumberFormat="1" applyBorder="1" applyAlignment="1">
      <alignment vertical="center" wrapText="1"/>
    </xf>
    <xf numFmtId="37" fontId="41" fillId="0" borderId="0" xfId="8" applyNumberFormat="1" applyFont="1" applyAlignment="1">
      <alignment vertical="top" wrapText="1"/>
    </xf>
    <xf numFmtId="37" fontId="34" fillId="0" borderId="0" xfId="8" applyNumberFormat="1" applyFont="1" applyAlignment="1">
      <alignment vertical="top" wrapText="1"/>
    </xf>
    <xf numFmtId="37" fontId="45" fillId="0" borderId="90" xfId="8" applyNumberFormat="1" applyFont="1" applyBorder="1" applyAlignment="1">
      <alignment vertical="center" wrapText="1"/>
    </xf>
    <xf numFmtId="37" fontId="49" fillId="0" borderId="3" xfId="8" applyNumberFormat="1" applyFont="1" applyBorder="1" applyAlignment="1">
      <alignment vertical="center"/>
    </xf>
    <xf numFmtId="37" fontId="49" fillId="0" borderId="116" xfId="8" applyNumberFormat="1" applyFont="1" applyBorder="1" applyAlignment="1">
      <alignment vertical="center"/>
    </xf>
    <xf numFmtId="37" fontId="49" fillId="0" borderId="3" xfId="8" applyNumberFormat="1" applyFont="1" applyBorder="1" applyAlignment="1">
      <alignment vertical="center" wrapText="1"/>
    </xf>
    <xf numFmtId="37" fontId="49" fillId="0" borderId="91" xfId="8" applyNumberFormat="1" applyFont="1" applyBorder="1" applyAlignment="1">
      <alignment vertical="center"/>
    </xf>
    <xf numFmtId="37" fontId="38" fillId="0" borderId="0" xfId="8" applyNumberFormat="1" applyFont="1" applyAlignment="1">
      <alignment horizontal="center" vertical="center"/>
    </xf>
    <xf numFmtId="37" fontId="28" fillId="0" borderId="0" xfId="8" applyNumberFormat="1" applyFont="1" applyAlignment="1">
      <alignment horizontal="center" vertical="center"/>
    </xf>
    <xf numFmtId="166" fontId="31" fillId="0" borderId="90" xfId="8" applyNumberFormat="1" applyFont="1" applyBorder="1" applyAlignment="1">
      <alignment horizontal="center" wrapText="1"/>
    </xf>
    <xf numFmtId="37" fontId="1" fillId="0" borderId="91" xfId="8" applyNumberFormat="1" applyFont="1" applyBorder="1" applyAlignment="1">
      <alignment horizontal="center" wrapText="1"/>
    </xf>
    <xf numFmtId="37" fontId="31" fillId="0" borderId="18" xfId="8" applyNumberFormat="1" applyFont="1" applyBorder="1" applyAlignment="1">
      <alignment horizontal="center" wrapText="1"/>
    </xf>
    <xf numFmtId="37" fontId="1" fillId="0" borderId="28" xfId="8" applyNumberFormat="1" applyFont="1" applyBorder="1" applyAlignment="1">
      <alignment horizontal="center" wrapText="1"/>
    </xf>
    <xf numFmtId="166" fontId="45" fillId="0" borderId="90" xfId="8" applyNumberFormat="1" applyFont="1" applyBorder="1" applyAlignment="1">
      <alignment horizontal="center" wrapText="1"/>
    </xf>
    <xf numFmtId="37" fontId="66" fillId="0" borderId="91" xfId="8" applyNumberFormat="1" applyFont="1" applyBorder="1" applyAlignment="1"/>
    <xf numFmtId="37" fontId="45" fillId="0" borderId="18" xfId="8" applyNumberFormat="1" applyFont="1" applyBorder="1" applyAlignment="1">
      <alignment horizontal="center" wrapText="1"/>
    </xf>
    <xf numFmtId="37" fontId="45" fillId="0" borderId="28" xfId="8" applyNumberFormat="1" applyFont="1" applyBorder="1" applyAlignment="1">
      <alignment horizontal="center" wrapText="1"/>
    </xf>
    <xf numFmtId="37" fontId="49" fillId="0" borderId="28" xfId="8" applyNumberFormat="1" applyFont="1" applyBorder="1" applyAlignment="1">
      <alignment horizontal="center" wrapText="1"/>
    </xf>
    <xf numFmtId="166" fontId="63" fillId="0" borderId="18" xfId="8" applyNumberFormat="1" applyFont="1" applyBorder="1" applyAlignment="1">
      <alignment horizontal="center" wrapText="1"/>
    </xf>
    <xf numFmtId="166" fontId="63" fillId="0" borderId="28" xfId="8" applyNumberFormat="1" applyFont="1" applyBorder="1" applyAlignment="1">
      <alignment horizontal="center" wrapText="1"/>
    </xf>
    <xf numFmtId="37" fontId="63" fillId="0" borderId="78" xfId="8" applyNumberFormat="1" applyFont="1" applyBorder="1" applyAlignment="1">
      <alignment horizontal="center" wrapText="1"/>
    </xf>
    <xf numFmtId="37" fontId="63" fillId="0" borderId="89" xfId="8" applyNumberFormat="1" applyFont="1" applyBorder="1" applyAlignment="1">
      <alignment horizontal="center" wrapText="1"/>
    </xf>
    <xf numFmtId="37" fontId="41" fillId="0" borderId="21" xfId="8" applyNumberFormat="1" applyFont="1" applyBorder="1" applyAlignment="1">
      <alignment vertical="center" wrapText="1"/>
    </xf>
    <xf numFmtId="37" fontId="1" fillId="0" borderId="21" xfId="8" applyNumberFormat="1" applyFont="1" applyBorder="1" applyAlignment="1">
      <alignment vertical="center" wrapText="1"/>
    </xf>
    <xf numFmtId="37" fontId="41" fillId="0" borderId="0" xfId="8" applyNumberFormat="1" applyFont="1" applyAlignment="1">
      <alignment vertical="center" wrapText="1"/>
    </xf>
    <xf numFmtId="37" fontId="1" fillId="0" borderId="0" xfId="8" applyNumberFormat="1" applyFont="1" applyAlignment="1">
      <alignment vertical="center" wrapText="1"/>
    </xf>
    <xf numFmtId="37" fontId="63" fillId="0" borderId="18" xfId="8" applyNumberFormat="1" applyFont="1" applyBorder="1" applyAlignment="1">
      <alignment horizontal="center" wrapText="1"/>
    </xf>
    <xf numFmtId="37" fontId="63" fillId="0" borderId="28" xfId="8" applyNumberFormat="1" applyFont="1" applyBorder="1" applyAlignment="1">
      <alignment horizontal="center" wrapText="1"/>
    </xf>
    <xf numFmtId="37" fontId="45" fillId="0" borderId="33" xfId="8" applyNumberFormat="1" applyFont="1" applyBorder="1" applyAlignment="1">
      <alignment horizontal="center" wrapText="1"/>
    </xf>
    <xf numFmtId="37" fontId="45" fillId="0" borderId="28" xfId="8" applyNumberFormat="1" applyFont="1" applyBorder="1" applyAlignment="1">
      <alignment horizontal="center"/>
    </xf>
    <xf numFmtId="37" fontId="45" fillId="0" borderId="88" xfId="8" applyNumberFormat="1" applyFont="1" applyBorder="1" applyAlignment="1">
      <alignment horizontal="center" wrapText="1"/>
    </xf>
    <xf numFmtId="37" fontId="45" fillId="0" borderId="86" xfId="8" applyNumberFormat="1" applyFont="1" applyBorder="1" applyAlignment="1">
      <alignment horizontal="center" wrapText="1"/>
    </xf>
    <xf numFmtId="37" fontId="26" fillId="0" borderId="91" xfId="8" applyNumberFormat="1" applyBorder="1" applyAlignment="1"/>
    <xf numFmtId="37" fontId="31" fillId="0" borderId="28" xfId="8" applyNumberFormat="1" applyFont="1" applyBorder="1" applyAlignment="1">
      <alignment horizontal="center" wrapText="1"/>
    </xf>
    <xf numFmtId="166" fontId="54" fillId="0" borderId="18" xfId="8" applyNumberFormat="1" applyFont="1" applyBorder="1" applyAlignment="1">
      <alignment horizontal="center" wrapText="1"/>
    </xf>
    <xf numFmtId="166" fontId="54" fillId="0" borderId="28" xfId="8" applyNumberFormat="1" applyFont="1" applyBorder="1" applyAlignment="1">
      <alignment horizontal="center" wrapText="1"/>
    </xf>
    <xf numFmtId="37" fontId="54" fillId="0" borderId="78" xfId="8" applyNumberFormat="1" applyFont="1" applyBorder="1" applyAlignment="1">
      <alignment horizontal="center" wrapText="1"/>
    </xf>
    <xf numFmtId="37" fontId="54" fillId="0" borderId="89" xfId="8" applyNumberFormat="1" applyFont="1" applyBorder="1" applyAlignment="1">
      <alignment horizontal="center" wrapText="1"/>
    </xf>
    <xf numFmtId="37" fontId="54" fillId="0" borderId="18" xfId="8" applyNumberFormat="1" applyFont="1" applyBorder="1" applyAlignment="1">
      <alignment horizontal="center" wrapText="1"/>
    </xf>
    <xf numFmtId="37" fontId="54" fillId="0" borderId="28" xfId="8" applyNumberFormat="1" applyFont="1" applyBorder="1" applyAlignment="1">
      <alignment horizontal="center" wrapText="1"/>
    </xf>
    <xf numFmtId="37" fontId="31" fillId="0" borderId="33" xfId="8" applyNumberFormat="1" applyFont="1" applyBorder="1" applyAlignment="1">
      <alignment horizontal="center" wrapText="1"/>
    </xf>
    <xf numFmtId="37" fontId="31" fillId="0" borderId="28" xfId="8" applyNumberFormat="1" applyFont="1" applyBorder="1" applyAlignment="1">
      <alignment horizontal="center"/>
    </xf>
    <xf numFmtId="37" fontId="31" fillId="0" borderId="88" xfId="8" applyNumberFormat="1" applyFont="1" applyBorder="1" applyAlignment="1">
      <alignment horizontal="center" wrapText="1"/>
    </xf>
    <xf numFmtId="37" fontId="31" fillId="0" borderId="86" xfId="8" applyNumberFormat="1" applyFont="1" applyBorder="1" applyAlignment="1">
      <alignment horizontal="center" wrapText="1"/>
    </xf>
    <xf numFmtId="37" fontId="45" fillId="0" borderId="85" xfId="8" applyNumberFormat="1" applyFont="1" applyBorder="1" applyAlignment="1">
      <alignment horizontal="center" vertical="center"/>
    </xf>
    <xf numFmtId="37" fontId="45" fillId="0" borderId="86" xfId="8" applyNumberFormat="1" applyFont="1" applyBorder="1" applyAlignment="1">
      <alignment horizontal="center" vertical="center"/>
    </xf>
    <xf numFmtId="37" fontId="45" fillId="0" borderId="88" xfId="8" applyNumberFormat="1" applyFont="1" applyBorder="1" applyAlignment="1">
      <alignment horizontal="center" vertical="center"/>
    </xf>
    <xf numFmtId="37" fontId="26" fillId="0" borderId="0" xfId="8" applyNumberFormat="1" applyAlignment="1">
      <alignment vertical="center" wrapText="1"/>
    </xf>
    <xf numFmtId="37" fontId="45" fillId="0" borderId="21" xfId="8" applyNumberFormat="1" applyFont="1" applyBorder="1" applyAlignment="1">
      <alignment horizontal="center" vertical="center" wrapText="1"/>
    </xf>
    <xf numFmtId="37" fontId="49" fillId="0" borderId="21" xfId="8" applyNumberFormat="1" applyFont="1" applyBorder="1" applyAlignment="1">
      <alignment horizontal="center" vertical="center" wrapText="1"/>
    </xf>
    <xf numFmtId="37" fontId="34" fillId="0" borderId="0" xfId="8" applyNumberFormat="1" applyFont="1" applyAlignment="1">
      <alignment vertical="center" wrapText="1"/>
    </xf>
    <xf numFmtId="37" fontId="34" fillId="0" borderId="21" xfId="8" applyNumberFormat="1" applyFont="1" applyBorder="1" applyAlignment="1">
      <alignment vertical="center" wrapText="1"/>
    </xf>
    <xf numFmtId="37" fontId="34" fillId="0" borderId="21" xfId="8" applyNumberFormat="1" applyFont="1" applyBorder="1" applyAlignment="1">
      <alignment vertical="top" wrapText="1"/>
    </xf>
    <xf numFmtId="37" fontId="45" fillId="0" borderId="88" xfId="8" applyNumberFormat="1" applyFont="1" applyBorder="1" applyAlignment="1">
      <alignment horizontal="center" vertical="center" wrapText="1"/>
    </xf>
    <xf numFmtId="37" fontId="45" fillId="0" borderId="85" xfId="8" applyNumberFormat="1" applyFont="1" applyBorder="1" applyAlignment="1">
      <alignment horizontal="center" vertical="center" wrapText="1"/>
    </xf>
    <xf numFmtId="37" fontId="31" fillId="0" borderId="85" xfId="8" applyNumberFormat="1" applyFont="1" applyBorder="1" applyAlignment="1">
      <alignment horizontal="center" vertical="center"/>
    </xf>
    <xf numFmtId="37" fontId="31" fillId="0" borderId="86" xfId="8" applyNumberFormat="1" applyFont="1" applyBorder="1" applyAlignment="1">
      <alignment horizontal="center" vertical="center"/>
    </xf>
    <xf numFmtId="37" fontId="31" fillId="0" borderId="88" xfId="8" applyNumberFormat="1" applyFont="1" applyBorder="1" applyAlignment="1">
      <alignment horizontal="center" vertical="center"/>
    </xf>
    <xf numFmtId="37" fontId="27" fillId="0" borderId="0" xfId="8" applyNumberFormat="1" applyFont="1" applyAlignment="1">
      <alignment vertical="center" wrapText="1"/>
    </xf>
    <xf numFmtId="37" fontId="31" fillId="0" borderId="21" xfId="8" applyNumberFormat="1" applyFont="1" applyBorder="1" applyAlignment="1">
      <alignment horizontal="center" vertical="center" wrapText="1"/>
    </xf>
    <xf numFmtId="37" fontId="1" fillId="0" borderId="21" xfId="8" applyNumberFormat="1" applyFont="1" applyBorder="1" applyAlignment="1">
      <alignment horizontal="center" vertical="center" wrapText="1"/>
    </xf>
    <xf numFmtId="37" fontId="31" fillId="0" borderId="88" xfId="8" applyNumberFormat="1" applyFont="1" applyBorder="1" applyAlignment="1">
      <alignment horizontal="center" vertical="center" wrapText="1"/>
    </xf>
    <xf numFmtId="37" fontId="31" fillId="0" borderId="85" xfId="8" applyNumberFormat="1" applyFont="1" applyBorder="1" applyAlignment="1">
      <alignment horizontal="center" vertical="center" wrapText="1"/>
    </xf>
    <xf numFmtId="3" fontId="4" fillId="6" borderId="138" xfId="0" applyNumberFormat="1" applyFont="1" applyFill="1" applyBorder="1" applyAlignment="1">
      <alignment horizontal="center" wrapText="1"/>
    </xf>
    <xf numFmtId="3" fontId="4" fillId="6" borderId="7" xfId="0" applyNumberFormat="1" applyFont="1" applyFill="1" applyBorder="1" applyAlignment="1">
      <alignment horizontal="center" wrapText="1"/>
    </xf>
    <xf numFmtId="37" fontId="4" fillId="0" borderId="128" xfId="0" applyNumberFormat="1" applyFont="1" applyBorder="1" applyAlignment="1">
      <alignment vertical="top" wrapText="1"/>
    </xf>
    <xf numFmtId="37" fontId="18" fillId="0" borderId="127" xfId="0" applyNumberFormat="1" applyFont="1" applyBorder="1" applyAlignment="1">
      <alignment vertical="top" wrapText="1"/>
    </xf>
    <xf numFmtId="3" fontId="6" fillId="0" borderId="126" xfId="0" applyNumberFormat="1" applyFont="1" applyBorder="1" applyAlignment="1">
      <alignment horizontal="center" wrapText="1"/>
    </xf>
    <xf numFmtId="3" fontId="4" fillId="0" borderId="127" xfId="0" applyNumberFormat="1" applyFont="1" applyBorder="1" applyAlignment="1">
      <alignment horizontal="center" wrapText="1"/>
    </xf>
    <xf numFmtId="3" fontId="6" fillId="0" borderId="132" xfId="0" applyNumberFormat="1" applyFont="1" applyBorder="1" applyAlignment="1">
      <alignment horizontal="center" wrapText="1"/>
    </xf>
    <xf numFmtId="3" fontId="12" fillId="7" borderId="137" xfId="0" applyNumberFormat="1" applyFont="1" applyFill="1" applyBorder="1" applyAlignment="1">
      <alignment horizontal="center" wrapText="1"/>
    </xf>
    <xf numFmtId="3" fontId="12" fillId="7" borderId="4" xfId="0" applyNumberFormat="1" applyFont="1" applyFill="1" applyBorder="1" applyAlignment="1">
      <alignment horizontal="center" wrapText="1"/>
    </xf>
    <xf numFmtId="3" fontId="6" fillId="0" borderId="137" xfId="0" applyNumberFormat="1" applyFont="1" applyBorder="1" applyAlignment="1">
      <alignment horizontal="center" wrapText="1"/>
    </xf>
    <xf numFmtId="3" fontId="6" fillId="0" borderId="4" xfId="0" applyNumberFormat="1" applyFont="1" applyBorder="1" applyAlignment="1">
      <alignment horizontal="center" wrapText="1"/>
    </xf>
    <xf numFmtId="3" fontId="12" fillId="5" borderId="138" xfId="0" applyNumberFormat="1" applyFont="1" applyFill="1" applyBorder="1" applyAlignment="1">
      <alignment horizontal="center" wrapText="1"/>
    </xf>
    <xf numFmtId="3" fontId="12" fillId="5" borderId="7" xfId="0" applyNumberFormat="1" applyFont="1" applyFill="1" applyBorder="1" applyAlignment="1">
      <alignment horizontal="center" wrapText="1"/>
    </xf>
    <xf numFmtId="3" fontId="12" fillId="0" borderId="130" xfId="0" applyNumberFormat="1" applyFont="1" applyBorder="1" applyAlignment="1">
      <alignment horizontal="center" wrapText="1"/>
    </xf>
    <xf numFmtId="3" fontId="12" fillId="0" borderId="131" xfId="0" applyNumberFormat="1" applyFont="1" applyBorder="1" applyAlignment="1">
      <alignment horizontal="center" wrapText="1"/>
    </xf>
    <xf numFmtId="49" fontId="4" fillId="11" borderId="7" xfId="0" applyNumberFormat="1" applyFont="1" applyFill="1" applyBorder="1" applyAlignment="1">
      <alignment horizontal="left" vertical="top"/>
    </xf>
    <xf numFmtId="49" fontId="4" fillId="11" borderId="0" xfId="0" applyNumberFormat="1" applyFont="1" applyFill="1" applyAlignment="1">
      <alignment horizontal="left" vertical="top"/>
    </xf>
    <xf numFmtId="3" fontId="4" fillId="0" borderId="129" xfId="0" applyNumberFormat="1" applyFont="1" applyBorder="1" applyAlignment="1">
      <alignment horizontal="center" wrapText="1"/>
    </xf>
    <xf numFmtId="3" fontId="6" fillId="0" borderId="134" xfId="0" applyNumberFormat="1" applyFont="1" applyBorder="1" applyAlignment="1">
      <alignment horizontal="center" wrapText="1"/>
    </xf>
    <xf numFmtId="3" fontId="4" fillId="0" borderId="130" xfId="0" applyNumberFormat="1" applyFont="1" applyBorder="1" applyAlignment="1">
      <alignment horizontal="center" wrapText="1"/>
    </xf>
    <xf numFmtId="3" fontId="4" fillId="6" borderId="137" xfId="0" applyNumberFormat="1" applyFont="1" applyFill="1" applyBorder="1" applyAlignment="1">
      <alignment horizontal="center" wrapText="1"/>
    </xf>
    <xf numFmtId="3" fontId="4" fillId="6" borderId="4" xfId="0" applyNumberFormat="1" applyFont="1" applyFill="1" applyBorder="1" applyAlignment="1">
      <alignment horizontal="center" wrapText="1"/>
    </xf>
    <xf numFmtId="37" fontId="4" fillId="0" borderId="18" xfId="8" applyNumberFormat="1" applyFont="1" applyBorder="1" applyAlignment="1">
      <alignment vertical="center" wrapText="1"/>
    </xf>
    <xf numFmtId="37" fontId="4" fillId="0" borderId="4" xfId="8" applyNumberFormat="1" applyFont="1" applyBorder="1" applyAlignment="1">
      <alignment vertical="center" wrapText="1"/>
    </xf>
    <xf numFmtId="37" fontId="4" fillId="0" borderId="33" xfId="8" applyNumberFormat="1" applyFont="1" applyBorder="1" applyAlignment="1">
      <alignment vertical="center" wrapText="1"/>
    </xf>
    <xf numFmtId="37" fontId="4" fillId="0" borderId="28" xfId="8" applyNumberFormat="1" applyFont="1" applyBorder="1" applyAlignment="1">
      <alignment vertical="center" wrapText="1"/>
    </xf>
    <xf numFmtId="0" fontId="1" fillId="0" borderId="78" xfId="13" applyNumberFormat="1" applyFont="1" applyBorder="1" applyAlignment="1">
      <alignment horizontal="center" vertical="center"/>
    </xf>
    <xf numFmtId="0" fontId="1" fillId="0" borderId="0" xfId="13" applyNumberFormat="1" applyFont="1" applyAlignment="1">
      <alignment horizontal="center" vertical="center"/>
    </xf>
    <xf numFmtId="0" fontId="1" fillId="0" borderId="78" xfId="13" quotePrefix="1" applyNumberFormat="1" applyFont="1" applyBorder="1" applyAlignment="1">
      <alignment horizontal="center" vertical="center"/>
    </xf>
    <xf numFmtId="0" fontId="1" fillId="0" borderId="0" xfId="13" quotePrefix="1" applyNumberFormat="1" applyFont="1" applyAlignment="1">
      <alignment horizontal="center" vertical="center"/>
    </xf>
    <xf numFmtId="0" fontId="1" fillId="0" borderId="89" xfId="13" applyNumberFormat="1" applyFont="1" applyBorder="1" applyAlignment="1">
      <alignment horizontal="center" vertical="center"/>
    </xf>
    <xf numFmtId="0" fontId="1" fillId="0" borderId="51" xfId="13" applyNumberFormat="1" applyFont="1" applyBorder="1" applyAlignment="1">
      <alignment horizontal="center" vertical="center"/>
    </xf>
    <xf numFmtId="3" fontId="29" fillId="0" borderId="64" xfId="0" applyNumberFormat="1" applyFont="1" applyFill="1" applyBorder="1"/>
    <xf numFmtId="3" fontId="29" fillId="0" borderId="70" xfId="0" applyNumberFormat="1" applyFont="1" applyFill="1" applyBorder="1"/>
    <xf numFmtId="3" fontId="29" fillId="0" borderId="81" xfId="0" applyNumberFormat="1" applyFont="1" applyFill="1" applyBorder="1"/>
    <xf numFmtId="3" fontId="29" fillId="0" borderId="82" xfId="0" applyNumberFormat="1" applyFont="1" applyFill="1" applyBorder="1"/>
    <xf numFmtId="3" fontId="29" fillId="0" borderId="0" xfId="0" applyNumberFormat="1" applyFont="1" applyFill="1"/>
    <xf numFmtId="3" fontId="29" fillId="0" borderId="83" xfId="0" applyNumberFormat="1" applyFont="1" applyFill="1" applyBorder="1"/>
    <xf numFmtId="3" fontId="28" fillId="0" borderId="77" xfId="0" applyNumberFormat="1" applyFont="1" applyFill="1" applyBorder="1"/>
    <xf numFmtId="3" fontId="29" fillId="0" borderId="77" xfId="0" applyNumberFormat="1" applyFont="1" applyFill="1" applyBorder="1"/>
    <xf numFmtId="3" fontId="28" fillId="0" borderId="64" xfId="0" applyNumberFormat="1" applyFont="1" applyFill="1" applyBorder="1"/>
    <xf numFmtId="3" fontId="28" fillId="0" borderId="79" xfId="0" applyNumberFormat="1" applyFont="1" applyFill="1" applyBorder="1"/>
    <xf numFmtId="3" fontId="28" fillId="0" borderId="65" xfId="0" applyNumberFormat="1" applyFont="1" applyFill="1" applyBorder="1"/>
    <xf numFmtId="3" fontId="28" fillId="0" borderId="80" xfId="0" applyNumberFormat="1" applyFont="1" applyFill="1" applyBorder="1"/>
    <xf numFmtId="3" fontId="29" fillId="0" borderId="64" xfId="0" applyNumberFormat="1" applyFont="1" applyFill="1" applyBorder="1" applyAlignment="1">
      <alignment wrapText="1"/>
    </xf>
    <xf numFmtId="3" fontId="29" fillId="0" borderId="70" xfId="0" applyNumberFormat="1" applyFont="1" applyFill="1" applyBorder="1" applyAlignment="1">
      <alignment wrapText="1"/>
    </xf>
    <xf numFmtId="3" fontId="28" fillId="0" borderId="73" xfId="0" applyNumberFormat="1" applyFont="1" applyFill="1" applyBorder="1"/>
    <xf numFmtId="3" fontId="28" fillId="0" borderId="75" xfId="0" applyNumberFormat="1" applyFont="1" applyFill="1" applyBorder="1"/>
    <xf numFmtId="3" fontId="28" fillId="0" borderId="84" xfId="0" applyNumberFormat="1" applyFont="1" applyFill="1" applyBorder="1"/>
  </cellXfs>
  <cellStyles count="21">
    <cellStyle name="CalcNumNew" xfId="7" xr:uid="{00000000-0005-0000-0000-000000000000}"/>
    <cellStyle name="CalcNumNew 2" xfId="20" xr:uid="{4CCB87CA-B539-480B-9971-59A9E31F0215}"/>
    <cellStyle name="CalcNumOld" xfId="6" xr:uid="{00000000-0005-0000-0000-000001000000}"/>
    <cellStyle name="CalcNumOld 2" xfId="19" xr:uid="{23E71135-A177-42ED-8C90-1432E70C6A1A}"/>
    <cellStyle name="CalcPctNew" xfId="5" xr:uid="{00000000-0005-0000-0000-000002000000}"/>
    <cellStyle name="CalcPctNew 2" xfId="18" xr:uid="{1E93BBF0-F6F4-4DE2-9E17-6A249C35A4E2}"/>
    <cellStyle name="CalcPctOld" xfId="4" xr:uid="{00000000-0005-0000-0000-000003000000}"/>
    <cellStyle name="CalcPctOld 2" xfId="17" xr:uid="{E5D10EC8-01AF-4F81-B511-4F759145ED2C}"/>
    <cellStyle name="Comma 2" xfId="12" xr:uid="{DF78518A-561D-4B7D-91D1-AF59EE5EF997}"/>
    <cellStyle name="Comma 3 3" xfId="10" xr:uid="{A59EEE12-D8A0-4113-8458-0189867246F3}"/>
    <cellStyle name="Currency" xfId="13" builtinId="4"/>
    <cellStyle name="DataNew" xfId="3" xr:uid="{00000000-0005-0000-0000-000004000000}"/>
    <cellStyle name="DataNew 2" xfId="16" xr:uid="{21D57452-D6C2-40D0-9FAA-F21F413F9805}"/>
    <cellStyle name="DataOld" xfId="2" xr:uid="{00000000-0005-0000-0000-000005000000}"/>
    <cellStyle name="DataOld 2" xfId="15" xr:uid="{BF9970B2-B631-45FD-82BD-7CA7EA15B99D}"/>
    <cellStyle name="DataOldLock" xfId="1" xr:uid="{00000000-0005-0000-0000-000006000000}"/>
    <cellStyle name="DataOldLock 2" xfId="14" xr:uid="{CE29ADFA-11F1-4EB9-919D-A765EA209E7E}"/>
    <cellStyle name="Normal" xfId="0" builtinId="0" customBuiltin="1"/>
    <cellStyle name="Normal 2" xfId="8" xr:uid="{F85FD90B-C637-4644-B5FD-6F516DF09F55}"/>
    <cellStyle name="Normal_SFA Data for Highlights" xfId="11" xr:uid="{DC298A08-6422-4D8F-BD56-C31DA64C2553}"/>
    <cellStyle name="Percent 6" xfId="9" xr:uid="{3C271D90-5D90-43C1-9C15-51C3991902C7}"/>
  </cellStyles>
  <dxfs count="436">
    <dxf>
      <numFmt numFmtId="3" formatCode="#,##0"/>
    </dxf>
    <dxf>
      <font>
        <name val="Arial"/>
        <scheme val="none"/>
      </font>
    </dxf>
    <dxf>
      <border>
        <right style="thin">
          <color indexed="64"/>
        </right>
      </border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6"/>
        </patternFill>
      </fill>
    </dxf>
    <dxf>
      <border>
        <bottom style="thin">
          <color indexed="64"/>
        </bottom>
      </border>
    </dxf>
    <dxf>
      <fill>
        <patternFill patternType="none"/>
      </fill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alignment wrapText="1" readingOrder="0"/>
    </dxf>
    <dxf>
      <font>
        <name val="Arial"/>
        <scheme val="none"/>
      </font>
    </dxf>
    <dxf>
      <numFmt numFmtId="3" formatCode="#,##0"/>
    </dxf>
    <dxf>
      <fill>
        <patternFill patternType="solid">
          <bgColor rgb="FFFFFF00"/>
        </patternFill>
      </fill>
    </dxf>
    <dxf>
      <font>
        <b/>
      </font>
    </dxf>
    <dxf>
      <font>
        <b/>
      </font>
    </dxf>
    <dxf>
      <border>
        <bottom/>
      </border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b val="0"/>
      </font>
    </dxf>
    <dxf>
      <border>
        <bottom/>
      </border>
    </dxf>
    <dxf>
      <font>
        <b/>
      </font>
    </dxf>
    <dxf>
      <font>
        <b/>
      </font>
    </dxf>
    <dxf>
      <fill>
        <patternFill patternType="solid">
          <bgColor rgb="FFFFFF00"/>
        </patternFill>
      </fill>
    </dxf>
    <dxf>
      <numFmt numFmtId="3" formatCode="#,##0"/>
    </dxf>
    <dxf>
      <font>
        <name val="Arial"/>
        <scheme val="none"/>
      </font>
    </dxf>
    <dxf>
      <alignment wrapText="1" readingOrder="0"/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solid"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horizontal style="thin">
          <color indexed="8"/>
        </horizontal>
      </border>
    </dxf>
    <dxf>
      <border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ill>
        <patternFill patternType="none"/>
      </fill>
    </dxf>
    <dxf>
      <border>
        <bottom style="thin">
          <color indexed="64"/>
        </bottom>
      </border>
    </dxf>
    <dxf>
      <fill>
        <patternFill patternType="solid">
          <bgColor indexed="46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7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border>
        <right style="thin">
          <color indexed="64"/>
        </right>
      </border>
    </dxf>
    <dxf>
      <font>
        <name val="Arial"/>
        <scheme val="none"/>
      </font>
    </dxf>
    <dxf>
      <numFmt numFmtId="3" formatCode="#,##0"/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top/>
        <bottom/>
      </border>
    </dxf>
    <dxf>
      <border>
        <left/>
        <right/>
      </border>
    </dxf>
    <dxf>
      <border>
        <left/>
        <right/>
      </border>
    </dxf>
    <dxf>
      <font>
        <name val="Arial"/>
        <scheme val="none"/>
      </font>
    </dxf>
    <dxf>
      <border>
        <left style="thin">
          <color indexed="8"/>
        </left>
        <right style="thin">
          <color indexed="8"/>
        </right>
        <vertical style="thin">
          <color indexed="8"/>
        </vertical>
      </border>
    </dxf>
    <dxf>
      <border>
        <left style="thin">
          <color indexed="8"/>
        </left>
        <right style="thin">
          <color indexed="8"/>
        </right>
        <vertical style="thin">
          <color indexed="8"/>
        </vertical>
      </border>
    </dxf>
    <dxf>
      <fill>
        <patternFill patternType="none">
          <bgColor auto="1"/>
        </patternFill>
      </fill>
    </dxf>
    <dxf>
      <border>
        <horizontal/>
      </border>
    </dxf>
    <dxf>
      <border>
        <horizontal/>
      </border>
    </dxf>
    <dxf>
      <font>
        <u/>
      </font>
    </dxf>
    <dxf>
      <font>
        <u/>
      </font>
    </dxf>
    <dxf>
      <alignment vertical="center" readingOrder="0"/>
    </dxf>
    <dxf>
      <alignment vertical="center" readingOrder="0"/>
    </dxf>
    <dxf>
      <border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</font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3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fill>
        <patternFill patternType="solid">
          <bgColor indexed="4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border>
        <right style="thin">
          <color indexed="64"/>
        </right>
      </border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font>
        <name val="Arial"/>
        <scheme val="none"/>
      </font>
      <alignment vertical="center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font>
        <b/>
        <name val="Arial"/>
        <scheme val="none"/>
      </font>
      <alignment vertical="top" readingOrder="0"/>
    </dxf>
    <dxf>
      <alignment vertical="center" readingOrder="0"/>
    </dxf>
    <dxf>
      <alignment vertical="center" readingOrder="0"/>
    </dxf>
    <dxf>
      <alignment vertical="distributed" readingOrder="0"/>
    </dxf>
    <dxf>
      <font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font>
        <b/>
        <name val="Arial"/>
        <scheme val="none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/>
      </border>
    </dxf>
    <dxf>
      <border>
        <left style="thin">
          <color indexed="64"/>
        </left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sz val="10"/>
      </font>
    </dxf>
    <dxf>
      <font>
        <b val="0"/>
      </font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ont>
        <name val="Arial"/>
        <scheme val="none"/>
      </font>
    </dxf>
    <dxf>
      <fill>
        <patternFill patternType="none"/>
      </fill>
    </dxf>
    <dxf>
      <fill>
        <patternFill patternType="none"/>
      </fill>
    </dxf>
    <dxf>
      <fill>
        <patternFill patternType="solid">
          <bgColor indexed="43"/>
        </patternFill>
      </fill>
    </dxf>
    <dxf>
      <fill>
        <patternFill patternType="solid">
          <bgColor indexed="13"/>
        </patternFill>
      </fill>
    </dxf>
    <dxf>
      <alignment horizontal="right" readingOrder="0"/>
    </dxf>
    <dxf>
      <alignment horizontal="right" readingOrder="0"/>
    </dxf>
    <dxf>
      <fill>
        <patternFill patternType="solid">
          <bgColor indexed="42"/>
        </patternFill>
      </fill>
    </dxf>
    <dxf>
      <fill>
        <patternFill>
          <bgColor indexed="42"/>
        </patternFill>
      </fill>
    </dxf>
    <dxf>
      <fill>
        <patternFill patternType="solid">
          <bgColor indexed="42"/>
        </patternFill>
      </fill>
    </dxf>
    <dxf>
      <font>
        <b/>
      </font>
    </dxf>
    <dxf>
      <alignment wrapText="1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4" formatCode="#,##0.00"/>
    </dxf>
    <dxf>
      <numFmt numFmtId="4" formatCode="#,##0.00"/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</dxfs>
  <tableStyles count="0" defaultTableStyle="TableStyleMedium9" defaultPivotStyle="PivotStyleLight16"/>
  <colors>
    <mruColors>
      <color rgb="FF99CCFF"/>
      <color rgb="FFFCD5B4"/>
      <color rgb="FF0000FF"/>
      <color rgb="FFFF99CC"/>
      <color rgb="FF12F63D"/>
      <color rgb="FF00FF00"/>
      <color rgb="FFFFFF99"/>
      <color rgb="FF008000"/>
      <color rgb="FFCC00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261.sharepoint.com/DataExchange/DE2014-15/Summary%20Data/04SCH-FTE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-Tables 80-86"/>
      <sheetName val="OLD Tables"/>
      <sheetName val="FTE Pivot for regular counts"/>
      <sheetName val="Pivot-HS Student % of Undergrad"/>
      <sheetName val="SCH Data"/>
      <sheetName val="Format for FTE"/>
      <sheetName val="Format for HS%"/>
    </sheetNames>
    <sheetDataSet>
      <sheetData sheetId="0">
        <row r="70">
          <cell r="B70">
            <v>1145792.6541666666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Aycock" refreshedDate="45076.378253703704" createdVersion="6" refreshedVersion="8" minRefreshableVersion="3" recordCount="2724" xr:uid="{ECB72921-A42B-4301-BDE2-81F04420F797}">
  <cacheSource type="worksheet">
    <worksheetSource ref="A9:AJ2733" sheet="06Funding"/>
  </cacheSource>
  <cacheFields count="50">
    <cacheField name="state" numFmtId="0">
      <sharedItems containsBlank="1" count="18">
        <s v="AL"/>
        <s v="AR"/>
        <s v="DE"/>
        <s v="FL"/>
        <s v="GA"/>
        <s v="KY"/>
        <s v="LA"/>
        <s v="MD"/>
        <s v="MS"/>
        <s v="NC"/>
        <s v="OK"/>
        <s v="SC"/>
        <s v="TN"/>
        <s v="TX"/>
        <s v="VA"/>
        <s v="WV"/>
        <s v="WV "/>
        <m u="1"/>
      </sharedItems>
    </cacheField>
    <cacheField name="group" numFmtId="0">
      <sharedItems containsBlank="1" count="47">
        <s v="1A"/>
        <s v="1D"/>
        <s v="1B"/>
        <s v="1B1"/>
        <s v="1B2"/>
        <s v="1B3"/>
        <s v="1B4"/>
        <s v="1B6"/>
        <s v="1B7"/>
        <s v="1F"/>
        <s v="1C"/>
        <s v="1C6"/>
        <s v="1C7"/>
        <s v="1G"/>
        <s v="2A"/>
        <s v="2A1"/>
        <s v="2A2"/>
        <s v="2A3"/>
        <s v="2A4"/>
        <s v="2B"/>
        <s v="2C3"/>
        <s v="2D"/>
        <s v="2D1"/>
        <s v="2D1a"/>
        <s v="2D1b"/>
        <s v="2D1c"/>
        <s v="2D1c1"/>
        <s v="2D1c2"/>
        <s v="2D1d"/>
        <s v="2D1d2"/>
        <s v="2D1d1"/>
        <s v="2D2"/>
        <s v="2D2a"/>
        <s v="2D2b"/>
        <s v="2D3"/>
        <s v="2D3a"/>
        <s v="2D3b"/>
        <s v="1C3"/>
        <s v="1E"/>
        <s v="2C"/>
        <s v="2C1"/>
        <s v="2C2"/>
        <m/>
        <s v="1B5"/>
        <s v="1C1"/>
        <s v="1C2"/>
        <s v="1C5"/>
      </sharedItems>
    </cacheField>
    <cacheField name="item" numFmtId="0">
      <sharedItems containsBlank="1"/>
    </cacheField>
    <cacheField name="Classificatin Notes" numFmtId="0">
      <sharedItems containsBlank="1"/>
    </cacheField>
    <cacheField name="ID #" numFmtId="0">
      <sharedItems containsBlank="1" containsMixedTypes="1" containsNumber="1" containsInteger="1" minValue="100654" maxValue="870501"/>
    </cacheField>
    <cacheField name="category" numFmtId="0">
      <sharedItems containsString="0" containsBlank="1" containsNumber="1" containsInteger="1" minValue="1" maxValue="99" count="17">
        <n v="1"/>
        <n v="2"/>
        <n v="3"/>
        <n v="4"/>
        <n v="5"/>
        <n v="6"/>
        <n v="8"/>
        <n v="9"/>
        <n v="10"/>
        <n v="12"/>
        <n v="13"/>
        <n v="15"/>
        <n v="99"/>
        <m/>
        <n v="7"/>
        <n v="11"/>
        <n v="14"/>
      </sharedItems>
      <fieldGroup par="36"/>
    </cacheField>
    <cacheField name="State Gen Purp-Old" numFmtId="37">
      <sharedItems containsString="0" containsBlank="1" containsNumber="1" minValue="0" maxValue="736765944"/>
    </cacheField>
    <cacheField name="State Gen Purp-New" numFmtId="37">
      <sharedItems containsString="0" containsBlank="1" containsNumber="1" minValue="0" maxValue="933830369"/>
    </cacheField>
    <cacheField name="State Ed Spec Purp-Old" numFmtId="37">
      <sharedItems containsString="0" containsBlank="1" containsNumber="1" minValue="0" maxValue="73837840"/>
    </cacheField>
    <cacheField name="State Ed Spec Purp-New" numFmtId="37">
      <sharedItems containsString="0" containsBlank="1" containsNumber="1" minValue="0" maxValue="85158967"/>
    </cacheField>
    <cacheField name="Local-Old" numFmtId="37">
      <sharedItems containsString="0" containsBlank="1" containsNumber="1" minValue="34736" maxValue="257730336"/>
    </cacheField>
    <cacheField name="Local-New" numFmtId="37">
      <sharedItems containsString="0" containsBlank="1" containsNumber="1" containsInteger="1" minValue="5000" maxValue="278915909"/>
    </cacheField>
    <cacheField name="Tuition Ops-Old" numFmtId="0">
      <sharedItems containsString="0" containsBlank="1" containsNumber="1" minValue="-9101562" maxValue="764714137"/>
    </cacheField>
    <cacheField name="Tuition Debt-Old" numFmtId="0">
      <sharedItems containsString="0" containsBlank="1" containsNumber="1" containsInteger="1" minValue="0" maxValue="34756047"/>
    </cacheField>
    <cacheField name="Tuition Tot-Old" numFmtId="38">
      <sharedItems containsSemiMixedTypes="0" containsString="0" containsNumber="1" minValue="-9101562" maxValue="799470184"/>
    </cacheField>
    <cacheField name="Tuition Ops-New" numFmtId="37">
      <sharedItems containsString="0" containsBlank="1" containsNumber="1" minValue="41940" maxValue="742200840"/>
    </cacheField>
    <cacheField name="Tuition Debt-New" numFmtId="37">
      <sharedItems containsString="0" containsBlank="1" containsNumber="1" minValue="0" maxValue="41541906"/>
    </cacheField>
    <cacheField name="Tuition Tot-New" numFmtId="38">
      <sharedItems containsSemiMixedTypes="0" containsString="0" containsNumber="1" minValue="0" maxValue="747207594"/>
    </cacheField>
    <cacheField name="Total E&amp;G-Old" numFmtId="38">
      <sharedItems containsSemiMixedTypes="0" containsString="0" containsNumber="1" minValue="0" maxValue="1230842611"/>
    </cacheField>
    <cacheField name="Total E&amp;G-New" numFmtId="38">
      <sharedItems containsSemiMixedTypes="0" containsString="0" containsNumber="1" minValue="0" maxValue="1407712797"/>
    </cacheField>
    <cacheField name="Other Spec Purp State-Old" numFmtId="0">
      <sharedItems containsString="0" containsBlank="1" containsNumber="1" minValue="0" maxValue="692988104"/>
    </cacheField>
    <cacheField name="Other Spec Purp State-New" numFmtId="0">
      <sharedItems containsString="0" containsBlank="1" containsNumber="1" minValue="0" maxValue="752427712"/>
    </cacheField>
    <cacheField name="Tuition SP Ops-Old" numFmtId="37">
      <sharedItems containsString="0" containsBlank="1" containsNumber="1" containsInteger="1" minValue="0" maxValue="356205595"/>
    </cacheField>
    <cacheField name="Tuition SP Debt-Old" numFmtId="37">
      <sharedItems containsString="0" containsBlank="1" containsNumber="1" containsInteger="1" minValue="0" maxValue="400470"/>
    </cacheField>
    <cacheField name="Tuition SP Tot-Old" numFmtId="38">
      <sharedItems containsSemiMixedTypes="0" containsString="0" containsNumber="1" containsInteger="1" minValue="0" maxValue="356205595"/>
    </cacheField>
    <cacheField name="Tuition SP Ops-New" numFmtId="37">
      <sharedItems containsString="0" containsBlank="1" containsNumber="1" containsInteger="1" minValue="0" maxValue="369044818"/>
    </cacheField>
    <cacheField name="Tuition SP Debt-New" numFmtId="37">
      <sharedItems containsString="0" containsBlank="1" containsNumber="1" containsInteger="1" minValue="0" maxValue="33661032"/>
    </cacheField>
    <cacheField name="Tuition SP Tot-New" numFmtId="38">
      <sharedItems containsSemiMixedTypes="0" containsString="0" containsNumber="1" containsInteger="1" minValue="0" maxValue="369044818"/>
    </cacheField>
    <cacheField name="Health State-Old" numFmtId="37">
      <sharedItems containsString="0" containsBlank="1" containsNumber="1" minValue="20000" maxValue="343686111"/>
    </cacheField>
    <cacheField name="Health State-New" numFmtId="37">
      <sharedItems containsString="0" containsBlank="1" containsNumber="1" containsInteger="1" minValue="20000" maxValue="344546841"/>
    </cacheField>
    <cacheField name="Health Tuition-Old" numFmtId="37">
      <sharedItems containsString="0" containsBlank="1" containsNumber="1" containsInteger="1" minValue="262489" maxValue="162219794"/>
    </cacheField>
    <cacheField name="Health Tuition Debt - Old" numFmtId="37">
      <sharedItems containsBlank="1" containsMixedTypes="1" containsNumber="1" containsInteger="1" minValue="0" maxValue="154280557"/>
    </cacheField>
    <cacheField name="Health Tuition-New" numFmtId="37">
      <sharedItems containsString="0" containsBlank="1" containsNumber="1" minValue="135254" maxValue="165462822"/>
    </cacheField>
    <cacheField name="Health Tuition Debt - New" numFmtId="37">
      <sharedItems containsString="0" containsBlank="1" containsNumber="1" containsInteger="1" minValue="0" maxValue="4804575"/>
    </cacheField>
    <cacheField name="Total Funds-Old" numFmtId="38">
      <sharedItems containsSemiMixedTypes="0" containsString="0" containsNumber="1" minValue="0" maxValue="1230842611"/>
    </cacheField>
    <cacheField name="Total Funds-New" numFmtId="38">
      <sharedItems containsSemiMixedTypes="0" containsString="0" containsNumber="1" minValue="0" maxValue="1407712797"/>
    </cacheField>
    <cacheField name="category2" numFmtId="0" databaseField="0">
      <fieldGroup base="5">
        <discretePr count="17">
          <x v="3"/>
          <x v="3"/>
          <x v="3"/>
          <x v="3"/>
          <x v="3"/>
          <x v="3"/>
          <x v="4"/>
          <x v="4"/>
          <x v="4"/>
          <x v="5"/>
          <x v="5"/>
          <x v="0"/>
          <x v="2"/>
          <x v="1"/>
          <x v="4"/>
          <x v="4"/>
          <x v="5"/>
        </discretePr>
        <groupItems count="6">
          <n v="15"/>
          <m/>
          <n v="99"/>
          <s v="Group1"/>
          <s v="Group2"/>
          <s v="Group3"/>
        </groupItems>
      </fieldGroup>
    </cacheField>
    <cacheField name="% change in state gen purp" numFmtId="0" formula=" IF('State Gen Purp-Old'&gt;0,('State Gen Purp-New'-'State Gen Purp-Old')/'State Gen Purp-Old',)*100" databaseField="0"/>
    <cacheField name="% change in state ed spec purp" numFmtId="0" formula="IF('State Ed Spec Purp-Old'&gt;0,('State Ed Spec Purp-New'-'State Ed Spec Purp-Old')/'State Ed Spec Purp-Old',)*100" databaseField="0"/>
    <cacheField name="% change in local" numFmtId="0" formula="IF('Local-Old'&gt;0, ('Local-New'-'Local-Old')/'Local-Old',)*100" databaseField="0"/>
    <cacheField name="% change in tuition ops" numFmtId="0" formula=" IF('Tuition Ops-Old'&gt;0,('Tuition Ops-New'-'Tuition Ops-Old')/'Tuition Ops-Old',)*100" databaseField="0"/>
    <cacheField name="% change in tuition debt" numFmtId="0" formula=" IF('Tuition Debt-Old'&gt;0,('Tuition Debt-New'-'Tuition Debt-Old')/'Tuition Debt-Old',)*100" databaseField="0"/>
    <cacheField name="% change in tuition total" numFmtId="0" formula=" IF('Tuition Tot-Old'&gt;0,('Tuition Tot-New'-'Tuition Tot-Old')/'Tuition Tot-Old',)*100" databaseField="0"/>
    <cacheField name="% change in other spec purp state" numFmtId="0" formula="IF('Other Spec Purp State-Old'&gt;0, ('Other Spec Purp State-New'-'Other Spec Purp State-Old')/'Other Spec Purp State-Old',)*100" databaseField="0"/>
    <cacheField name="% change in tuition sp ops" numFmtId="0" formula=" IF('Tuition SP Ops-Old'&gt;0,('Tuition SP Ops-New'-'Tuition SP Ops-Old')/'Tuition SP Ops-Old',)*100" databaseField="0"/>
    <cacheField name="% change in tuition sp debt" numFmtId="0" formula=" IF('Tuition SP Debt-Old'&gt;0,('Tuition SP Debt-New'-'Tuition SP Debt-Old')/'Tuition SP Debt-Old',)*100" databaseField="0"/>
    <cacheField name="% change in tuition sp total" numFmtId="0" formula=" IF('Tuition SP Tot-Old'&gt;0,('Tuition SP Tot-New'-'Tuition SP Tot-Old')/'Tuition SP Tot-Old',)*100" databaseField="0"/>
    <cacheField name="% change in health tuition" numFmtId="0" formula=" IF('Health Tuition-Old'&gt;0,('Health Tuition-New'-'Health Tuition-Old')/'Health Tuition-Old',)*100" databaseField="0"/>
    <cacheField name="% change in health state" numFmtId="0" formula=" IF('Health State-Old'&gt;0,('Health State-New'-'Health State-Old')/'Health State-Old',)*100" databaseField="0"/>
    <cacheField name="% change in total E&amp;G funds" numFmtId="0" formula="IF('Total E&amp;G-Old'&gt;0,('Total E&amp;G-New'-'Total E&amp;G-Old')/'Total E&amp;G-Old')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24">
  <r>
    <x v="0"/>
    <x v="0"/>
    <s v="Auburn University  "/>
    <m/>
    <n v="100858"/>
    <x v="0"/>
    <n v="157684470"/>
    <n v="163186246"/>
    <m/>
    <m/>
    <m/>
    <m/>
    <n v="529614307"/>
    <n v="31091169"/>
    <n v="560705476"/>
    <n v="541022190"/>
    <n v="41541906"/>
    <n v="582564096"/>
    <n v="687298777"/>
    <n v="704208436"/>
    <m/>
    <m/>
    <m/>
    <m/>
    <n v="0"/>
    <m/>
    <m/>
    <n v="0"/>
    <m/>
    <m/>
    <m/>
    <m/>
    <m/>
    <m/>
    <n v="687298777"/>
    <n v="704208436"/>
  </r>
  <r>
    <x v="0"/>
    <x v="1"/>
    <s v="Health Professions Education"/>
    <m/>
    <n v="100858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"/>
    <s v="Veterinary School"/>
    <m/>
    <n v="100858"/>
    <x v="0"/>
    <m/>
    <m/>
    <m/>
    <m/>
    <m/>
    <m/>
    <m/>
    <m/>
    <n v="0"/>
    <m/>
    <m/>
    <n v="0"/>
    <n v="0"/>
    <n v="0"/>
    <m/>
    <m/>
    <m/>
    <m/>
    <n v="0"/>
    <m/>
    <m/>
    <n v="0"/>
    <n v="27855134"/>
    <n v="27980134"/>
    <n v="25526573"/>
    <m/>
    <n v="25826362"/>
    <m/>
    <n v="53381707"/>
    <n v="53806496"/>
  </r>
  <r>
    <x v="0"/>
    <x v="2"/>
    <s v="Educational Special-Purpose funds to public campuses"/>
    <m/>
    <n v="100858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"/>
    <s v="Community or public service units"/>
    <m/>
    <n v="100858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Non-credit continuing education"/>
    <m/>
    <n v="100858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858"/>
    <x v="0"/>
    <m/>
    <m/>
    <n v="238384"/>
    <n v="238384"/>
    <m/>
    <m/>
    <m/>
    <m/>
    <n v="0"/>
    <m/>
    <m/>
    <n v="0"/>
    <n v="238384"/>
    <n v="238384"/>
    <m/>
    <m/>
    <m/>
    <m/>
    <n v="0"/>
    <m/>
    <m/>
    <n v="0"/>
    <m/>
    <m/>
    <m/>
    <m/>
    <m/>
    <m/>
    <n v="238384"/>
    <n v="238384"/>
  </r>
  <r>
    <x v="0"/>
    <x v="5"/>
    <s v="Agricultural cooperative extension"/>
    <m/>
    <n v="100858"/>
    <x v="0"/>
    <m/>
    <m/>
    <n v="35367472"/>
    <n v="36074821"/>
    <m/>
    <m/>
    <m/>
    <m/>
    <n v="0"/>
    <m/>
    <m/>
    <n v="0"/>
    <n v="35367472"/>
    <n v="36074821"/>
    <m/>
    <m/>
    <m/>
    <m/>
    <n v="0"/>
    <m/>
    <m/>
    <n v="0"/>
    <m/>
    <m/>
    <m/>
    <m/>
    <m/>
    <m/>
    <n v="35367472"/>
    <n v="36074821"/>
  </r>
  <r>
    <x v="0"/>
    <x v="6"/>
    <s v="Agricultural experiment stations"/>
    <m/>
    <n v="100858"/>
    <x v="0"/>
    <m/>
    <m/>
    <n v="33681139"/>
    <n v="34354762"/>
    <m/>
    <m/>
    <m/>
    <m/>
    <n v="0"/>
    <m/>
    <m/>
    <n v="0"/>
    <n v="33681139"/>
    <n v="34354762"/>
    <m/>
    <m/>
    <m/>
    <m/>
    <n v="0"/>
    <m/>
    <m/>
    <n v="0"/>
    <m/>
    <m/>
    <m/>
    <m/>
    <m/>
    <m/>
    <n v="33681139"/>
    <n v="34354762"/>
  </r>
  <r>
    <x v="0"/>
    <x v="7"/>
    <s v="Research centers/institutes"/>
    <m/>
    <n v="100858"/>
    <x v="0"/>
    <m/>
    <m/>
    <n v="890125"/>
    <n v="890125"/>
    <m/>
    <m/>
    <m/>
    <m/>
    <n v="0"/>
    <m/>
    <m/>
    <n v="0"/>
    <n v="890125"/>
    <n v="890125"/>
    <m/>
    <m/>
    <m/>
    <m/>
    <n v="0"/>
    <m/>
    <m/>
    <n v="0"/>
    <m/>
    <m/>
    <m/>
    <m/>
    <m/>
    <m/>
    <n v="890125"/>
    <n v="890125"/>
  </r>
  <r>
    <x v="0"/>
    <x v="0"/>
    <s v="University of Alabama "/>
    <m/>
    <n v="100751"/>
    <x v="0"/>
    <n v="156605471"/>
    <n v="163135808"/>
    <m/>
    <m/>
    <m/>
    <m/>
    <n v="764714137"/>
    <n v="34756047"/>
    <n v="799470184"/>
    <n v="705493741"/>
    <n v="34722652"/>
    <n v="740216393"/>
    <n v="921319608"/>
    <n v="868629549"/>
    <m/>
    <m/>
    <m/>
    <m/>
    <n v="0"/>
    <m/>
    <m/>
    <n v="0"/>
    <m/>
    <m/>
    <m/>
    <m/>
    <m/>
    <m/>
    <n v="921319608"/>
    <n v="868629549"/>
  </r>
  <r>
    <x v="0"/>
    <x v="1"/>
    <s v="Health Center"/>
    <m/>
    <n v="100751"/>
    <x v="0"/>
    <m/>
    <m/>
    <m/>
    <m/>
    <m/>
    <m/>
    <m/>
    <m/>
    <n v="0"/>
    <m/>
    <m/>
    <n v="0"/>
    <n v="0"/>
    <n v="0"/>
    <m/>
    <m/>
    <m/>
    <m/>
    <n v="0"/>
    <m/>
    <m/>
    <n v="0"/>
    <n v="10025238"/>
    <n v="10025238"/>
    <n v="1598548"/>
    <m/>
    <n v="1851454"/>
    <m/>
    <n v="11623786"/>
    <n v="11876692"/>
  </r>
  <r>
    <x v="0"/>
    <x v="3"/>
    <s v="Community or public service units"/>
    <m/>
    <n v="100751"/>
    <x v="0"/>
    <m/>
    <m/>
    <n v="786600"/>
    <n v="786600"/>
    <m/>
    <m/>
    <m/>
    <m/>
    <n v="0"/>
    <m/>
    <m/>
    <n v="0"/>
    <n v="786600"/>
    <n v="786600"/>
    <m/>
    <m/>
    <m/>
    <m/>
    <n v="0"/>
    <m/>
    <m/>
    <n v="0"/>
    <m/>
    <m/>
    <m/>
    <m/>
    <m/>
    <m/>
    <n v="786600"/>
    <n v="786600"/>
  </r>
  <r>
    <x v="0"/>
    <x v="4"/>
    <s v="Non-credit continuing education"/>
    <m/>
    <n v="10075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751"/>
    <x v="0"/>
    <m/>
    <m/>
    <n v="217415"/>
    <n v="217415"/>
    <m/>
    <m/>
    <m/>
    <m/>
    <n v="0"/>
    <m/>
    <m/>
    <n v="0"/>
    <n v="217415"/>
    <n v="217415"/>
    <m/>
    <m/>
    <m/>
    <m/>
    <n v="0"/>
    <m/>
    <m/>
    <n v="0"/>
    <m/>
    <m/>
    <m/>
    <m/>
    <m/>
    <m/>
    <n v="217415"/>
    <n v="217415"/>
  </r>
  <r>
    <x v="0"/>
    <x v="7"/>
    <s v="Research centers/institutes"/>
    <m/>
    <n v="100751"/>
    <x v="0"/>
    <m/>
    <m/>
    <n v="7360000"/>
    <n v="7360000"/>
    <m/>
    <m/>
    <m/>
    <m/>
    <n v="0"/>
    <m/>
    <m/>
    <n v="0"/>
    <n v="7360000"/>
    <n v="7360000"/>
    <m/>
    <m/>
    <m/>
    <m/>
    <n v="0"/>
    <m/>
    <m/>
    <n v="0"/>
    <m/>
    <m/>
    <m/>
    <m/>
    <m/>
    <m/>
    <n v="7360000"/>
    <n v="7360000"/>
  </r>
  <r>
    <x v="0"/>
    <x v="0"/>
    <s v="University of Alabama at Birmingham"/>
    <m/>
    <n v="100663"/>
    <x v="0"/>
    <n v="50744220"/>
    <n v="52701065"/>
    <m/>
    <m/>
    <m/>
    <m/>
    <n v="185069832"/>
    <m/>
    <n v="185069832"/>
    <n v="182472878"/>
    <m/>
    <n v="182472878"/>
    <n v="235814052"/>
    <n v="235173943"/>
    <m/>
    <m/>
    <m/>
    <m/>
    <n v="0"/>
    <m/>
    <m/>
    <n v="0"/>
    <m/>
    <m/>
    <m/>
    <m/>
    <m/>
    <m/>
    <n v="235814052"/>
    <n v="235173943"/>
  </r>
  <r>
    <x v="0"/>
    <x v="1"/>
    <s v="Health Professions Education"/>
    <m/>
    <n v="100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"/>
    <s v="Medical Center"/>
    <m/>
    <n v="100663"/>
    <x v="0"/>
    <m/>
    <m/>
    <m/>
    <m/>
    <m/>
    <m/>
    <m/>
    <m/>
    <n v="0"/>
    <m/>
    <m/>
    <n v="0"/>
    <n v="0"/>
    <n v="0"/>
    <m/>
    <m/>
    <m/>
    <m/>
    <n v="0"/>
    <m/>
    <m/>
    <n v="0"/>
    <n v="235772694"/>
    <n v="241522048"/>
    <n v="139032071"/>
    <n v="154280557"/>
    <n v="152729574"/>
    <m/>
    <n v="374804765"/>
    <n v="394251622"/>
  </r>
  <r>
    <x v="0"/>
    <x v="1"/>
    <s v="Medical Center - Research Centers"/>
    <m/>
    <n v="100663"/>
    <x v="0"/>
    <m/>
    <m/>
    <m/>
    <m/>
    <m/>
    <m/>
    <m/>
    <m/>
    <n v="0"/>
    <m/>
    <m/>
    <n v="0"/>
    <n v="0"/>
    <n v="0"/>
    <m/>
    <m/>
    <m/>
    <m/>
    <n v="0"/>
    <m/>
    <m/>
    <n v="0"/>
    <n v="14890628"/>
    <n v="14890628"/>
    <m/>
    <m/>
    <m/>
    <m/>
    <n v="14890628"/>
    <n v="14890628"/>
  </r>
  <r>
    <x v="0"/>
    <x v="3"/>
    <s v="Community or public service units"/>
    <m/>
    <n v="100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Non-credit continuing education"/>
    <m/>
    <n v="100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663"/>
    <x v="0"/>
    <m/>
    <m/>
    <n v="301015"/>
    <n v="301015"/>
    <m/>
    <m/>
    <m/>
    <m/>
    <n v="0"/>
    <m/>
    <m/>
    <n v="0"/>
    <n v="301015"/>
    <n v="301015"/>
    <m/>
    <m/>
    <m/>
    <m/>
    <n v="0"/>
    <m/>
    <m/>
    <n v="0"/>
    <m/>
    <m/>
    <m/>
    <m/>
    <m/>
    <m/>
    <n v="301015"/>
    <n v="301015"/>
  </r>
  <r>
    <x v="0"/>
    <x v="0"/>
    <s v="University of Alabama in Huntsville"/>
    <s v="Met the criteria for Four-Year 3 in 2018-19 and 2019-20."/>
    <n v="100706"/>
    <x v="1"/>
    <n v="49254746"/>
    <n v="50839011"/>
    <m/>
    <m/>
    <m/>
    <m/>
    <n v="121546145"/>
    <n v="1800000"/>
    <n v="123346145"/>
    <n v="126351499"/>
    <n v="1800000"/>
    <n v="128151499"/>
    <n v="170800891"/>
    <n v="177190510"/>
    <m/>
    <m/>
    <m/>
    <m/>
    <n v="0"/>
    <m/>
    <m/>
    <n v="0"/>
    <m/>
    <m/>
    <m/>
    <m/>
    <m/>
    <m/>
    <n v="170800891"/>
    <n v="177190510"/>
  </r>
  <r>
    <x v="0"/>
    <x v="7"/>
    <s v="Research centers/institutes"/>
    <m/>
    <n v="100706"/>
    <x v="1"/>
    <m/>
    <m/>
    <n v="3550000"/>
    <n v="3550000"/>
    <m/>
    <m/>
    <m/>
    <m/>
    <n v="0"/>
    <m/>
    <m/>
    <n v="0"/>
    <n v="3550000"/>
    <n v="3550000"/>
    <m/>
    <m/>
    <m/>
    <m/>
    <n v="0"/>
    <m/>
    <m/>
    <n v="0"/>
    <m/>
    <m/>
    <m/>
    <m/>
    <m/>
    <m/>
    <n v="3550000"/>
    <n v="3550000"/>
  </r>
  <r>
    <x v="0"/>
    <x v="0"/>
    <s v="University of South Alabama"/>
    <m/>
    <n v="102094"/>
    <x v="1"/>
    <n v="64645208"/>
    <n v="66568037"/>
    <m/>
    <m/>
    <m/>
    <m/>
    <n v="69697396"/>
    <n v="19632631"/>
    <n v="89330027"/>
    <n v="61828198"/>
    <n v="19742717"/>
    <n v="81570915"/>
    <n v="134342604"/>
    <n v="128396235"/>
    <m/>
    <m/>
    <m/>
    <m/>
    <n v="0"/>
    <m/>
    <m/>
    <n v="0"/>
    <m/>
    <m/>
    <m/>
    <m/>
    <m/>
    <m/>
    <n v="134342604"/>
    <n v="128396235"/>
  </r>
  <r>
    <x v="0"/>
    <x v="1"/>
    <s v="Health Professions Education"/>
    <m/>
    <n v="102094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"/>
    <s v="Medical Center"/>
    <m/>
    <n v="102094"/>
    <x v="1"/>
    <m/>
    <m/>
    <m/>
    <m/>
    <m/>
    <m/>
    <m/>
    <m/>
    <n v="0"/>
    <m/>
    <m/>
    <n v="0"/>
    <n v="0"/>
    <n v="0"/>
    <m/>
    <m/>
    <m/>
    <m/>
    <n v="0"/>
    <m/>
    <m/>
    <n v="0"/>
    <n v="54894386"/>
    <n v="55895671"/>
    <n v="80351105"/>
    <m/>
    <n v="78311884"/>
    <m/>
    <n v="135245491"/>
    <n v="134207555"/>
  </r>
  <r>
    <x v="0"/>
    <x v="4"/>
    <s v="Non-credit continuing education"/>
    <m/>
    <n v="102094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2094"/>
    <x v="1"/>
    <m/>
    <m/>
    <n v="322811"/>
    <n v="322811"/>
    <m/>
    <m/>
    <m/>
    <m/>
    <n v="0"/>
    <m/>
    <m/>
    <n v="0"/>
    <n v="322811"/>
    <n v="322811"/>
    <m/>
    <m/>
    <m/>
    <m/>
    <n v="0"/>
    <m/>
    <m/>
    <n v="0"/>
    <m/>
    <m/>
    <m/>
    <m/>
    <m/>
    <m/>
    <n v="322811"/>
    <n v="322811"/>
  </r>
  <r>
    <x v="0"/>
    <x v="0"/>
    <s v="Alabama Agricultural &amp; Mechanical University"/>
    <m/>
    <n v="100654"/>
    <x v="2"/>
    <n v="36959664"/>
    <n v="37887679"/>
    <m/>
    <m/>
    <m/>
    <m/>
    <n v="66081922"/>
    <n v="6389517"/>
    <n v="72471439"/>
    <n v="67220931"/>
    <n v="6389517"/>
    <n v="73610448"/>
    <n v="103041586"/>
    <n v="105108610"/>
    <m/>
    <m/>
    <m/>
    <m/>
    <n v="0"/>
    <m/>
    <m/>
    <n v="0"/>
    <m/>
    <m/>
    <m/>
    <m/>
    <m/>
    <m/>
    <n v="103041586"/>
    <n v="105108610"/>
  </r>
  <r>
    <x v="0"/>
    <x v="3"/>
    <s v="Community or public service units"/>
    <m/>
    <n v="100654"/>
    <x v="2"/>
    <m/>
    <m/>
    <n v="400000"/>
    <n v="475000"/>
    <m/>
    <m/>
    <m/>
    <m/>
    <n v="0"/>
    <m/>
    <m/>
    <n v="0"/>
    <n v="400000"/>
    <n v="475000"/>
    <m/>
    <m/>
    <m/>
    <m/>
    <n v="0"/>
    <m/>
    <m/>
    <n v="0"/>
    <m/>
    <m/>
    <m/>
    <m/>
    <m/>
    <m/>
    <n v="400000"/>
    <n v="475000"/>
  </r>
  <r>
    <x v="0"/>
    <x v="4"/>
    <s v="Non-credit continuing education"/>
    <m/>
    <n v="100654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654"/>
    <x v="2"/>
    <m/>
    <m/>
    <n v="274253"/>
    <n v="274253"/>
    <m/>
    <m/>
    <m/>
    <m/>
    <n v="0"/>
    <m/>
    <m/>
    <n v="0"/>
    <n v="274253"/>
    <n v="274253"/>
    <m/>
    <m/>
    <m/>
    <m/>
    <n v="0"/>
    <m/>
    <m/>
    <n v="0"/>
    <m/>
    <m/>
    <m/>
    <m/>
    <m/>
    <m/>
    <n v="274253"/>
    <n v="274253"/>
  </r>
  <r>
    <x v="0"/>
    <x v="5"/>
    <s v="Agricultural"/>
    <m/>
    <n v="100654"/>
    <x v="2"/>
    <m/>
    <m/>
    <n v="5406363"/>
    <n v="5512018"/>
    <m/>
    <m/>
    <m/>
    <m/>
    <n v="0"/>
    <m/>
    <m/>
    <n v="0"/>
    <n v="5406363"/>
    <n v="5512018"/>
    <m/>
    <m/>
    <m/>
    <m/>
    <n v="0"/>
    <m/>
    <m/>
    <n v="0"/>
    <m/>
    <m/>
    <m/>
    <m/>
    <m/>
    <m/>
    <n v="5406363"/>
    <n v="5512018"/>
  </r>
  <r>
    <x v="0"/>
    <x v="5"/>
    <s v="AL Agricultural LG Alliance"/>
    <m/>
    <n v="100654"/>
    <x v="2"/>
    <m/>
    <m/>
    <n v="2253416"/>
    <n v="2253416"/>
    <m/>
    <m/>
    <m/>
    <m/>
    <n v="0"/>
    <m/>
    <m/>
    <n v="0"/>
    <n v="2253416"/>
    <n v="2253416"/>
    <m/>
    <m/>
    <m/>
    <m/>
    <n v="0"/>
    <m/>
    <m/>
    <n v="0"/>
    <m/>
    <m/>
    <m/>
    <m/>
    <m/>
    <m/>
    <n v="2253416"/>
    <n v="2253416"/>
  </r>
  <r>
    <x v="0"/>
    <x v="0"/>
    <s v="Jacksonville State University "/>
    <m/>
    <n v="101480"/>
    <x v="2"/>
    <n v="41275700"/>
    <n v="41844287"/>
    <m/>
    <m/>
    <m/>
    <m/>
    <n v="75226686"/>
    <n v="6719083"/>
    <n v="81945769"/>
    <n v="80268348"/>
    <n v="3316335"/>
    <n v="83584683"/>
    <n v="116502386"/>
    <n v="122112635"/>
    <m/>
    <m/>
    <m/>
    <m/>
    <n v="0"/>
    <m/>
    <m/>
    <n v="0"/>
    <m/>
    <m/>
    <m/>
    <m/>
    <m/>
    <m/>
    <n v="116502386"/>
    <n v="122112635"/>
  </r>
  <r>
    <x v="0"/>
    <x v="3"/>
    <s v="Community or public service units"/>
    <m/>
    <n v="101480"/>
    <x v="2"/>
    <m/>
    <m/>
    <n v="1620000"/>
    <n v="1620000"/>
    <m/>
    <m/>
    <m/>
    <m/>
    <n v="0"/>
    <m/>
    <m/>
    <n v="0"/>
    <n v="1620000"/>
    <n v="1620000"/>
    <m/>
    <m/>
    <m/>
    <m/>
    <n v="0"/>
    <m/>
    <m/>
    <n v="0"/>
    <m/>
    <m/>
    <m/>
    <m/>
    <m/>
    <m/>
    <n v="1620000"/>
    <n v="1620000"/>
  </r>
  <r>
    <x v="0"/>
    <x v="4"/>
    <s v="Non-credit continuing education"/>
    <m/>
    <n v="101480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1480"/>
    <x v="2"/>
    <m/>
    <m/>
    <n v="233695"/>
    <n v="233695"/>
    <m/>
    <m/>
    <m/>
    <m/>
    <n v="0"/>
    <m/>
    <m/>
    <n v="0"/>
    <n v="233695"/>
    <n v="233695"/>
    <m/>
    <m/>
    <m/>
    <m/>
    <n v="0"/>
    <m/>
    <m/>
    <n v="0"/>
    <m/>
    <m/>
    <m/>
    <m/>
    <m/>
    <m/>
    <n v="233695"/>
    <n v="233695"/>
  </r>
  <r>
    <x v="0"/>
    <x v="7"/>
    <s v="Research centers/institutes"/>
    <m/>
    <n v="101480"/>
    <x v="2"/>
    <m/>
    <m/>
    <n v="300000"/>
    <n v="300000"/>
    <m/>
    <m/>
    <m/>
    <m/>
    <n v="0"/>
    <m/>
    <m/>
    <n v="0"/>
    <n v="300000"/>
    <n v="300000"/>
    <m/>
    <m/>
    <m/>
    <m/>
    <n v="0"/>
    <m/>
    <m/>
    <n v="0"/>
    <m/>
    <m/>
    <m/>
    <m/>
    <m/>
    <m/>
    <n v="300000"/>
    <n v="300000"/>
  </r>
  <r>
    <x v="0"/>
    <x v="0"/>
    <s v="Troy University"/>
    <m/>
    <n v="102368"/>
    <x v="2"/>
    <n v="56631806"/>
    <n v="57657481"/>
    <m/>
    <m/>
    <m/>
    <m/>
    <n v="138825198"/>
    <n v="13281573"/>
    <n v="152106771"/>
    <n v="126806810"/>
    <n v="12802260"/>
    <n v="139609070"/>
    <n v="195457004"/>
    <n v="184464291"/>
    <m/>
    <m/>
    <m/>
    <m/>
    <n v="0"/>
    <m/>
    <m/>
    <n v="0"/>
    <m/>
    <m/>
    <m/>
    <m/>
    <m/>
    <m/>
    <n v="195457004"/>
    <n v="184464291"/>
  </r>
  <r>
    <x v="0"/>
    <x v="3"/>
    <s v="Community or public service units"/>
    <m/>
    <n v="102368"/>
    <x v="2"/>
    <m/>
    <m/>
    <n v="250000"/>
    <n v="250000"/>
    <m/>
    <m/>
    <m/>
    <m/>
    <n v="0"/>
    <m/>
    <m/>
    <n v="0"/>
    <n v="250000"/>
    <n v="250000"/>
    <m/>
    <m/>
    <m/>
    <m/>
    <n v="0"/>
    <m/>
    <m/>
    <n v="0"/>
    <m/>
    <m/>
    <m/>
    <m/>
    <m/>
    <m/>
    <n v="250000"/>
    <n v="250000"/>
  </r>
  <r>
    <x v="0"/>
    <x v="4"/>
    <s v="Non-credit continuing education"/>
    <m/>
    <n v="102368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2368"/>
    <x v="2"/>
    <m/>
    <m/>
    <n v="248042"/>
    <n v="248042"/>
    <m/>
    <m/>
    <m/>
    <m/>
    <n v="0"/>
    <m/>
    <m/>
    <n v="0"/>
    <n v="248042"/>
    <n v="248042"/>
    <m/>
    <m/>
    <m/>
    <m/>
    <n v="0"/>
    <m/>
    <m/>
    <n v="0"/>
    <m/>
    <m/>
    <m/>
    <m/>
    <m/>
    <m/>
    <n v="248042"/>
    <n v="248042"/>
  </r>
  <r>
    <x v="0"/>
    <x v="0"/>
    <s v="University of North Alabama"/>
    <m/>
    <n v="101879"/>
    <x v="2"/>
    <n v="32821960"/>
    <n v="34566514"/>
    <m/>
    <m/>
    <m/>
    <m/>
    <n v="71191242"/>
    <n v="2950000"/>
    <n v="74141242"/>
    <n v="69915000"/>
    <n v="3550000"/>
    <n v="73465000"/>
    <n v="104013202"/>
    <n v="104481514"/>
    <m/>
    <m/>
    <m/>
    <m/>
    <n v="0"/>
    <m/>
    <m/>
    <n v="0"/>
    <m/>
    <m/>
    <m/>
    <m/>
    <m/>
    <m/>
    <n v="104013202"/>
    <n v="104481514"/>
  </r>
  <r>
    <x v="0"/>
    <x v="4"/>
    <s v="Non-credit continuing education"/>
    <m/>
    <n v="10187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1879"/>
    <x v="2"/>
    <m/>
    <m/>
    <n v="212449"/>
    <n v="212449"/>
    <m/>
    <m/>
    <m/>
    <m/>
    <n v="0"/>
    <m/>
    <m/>
    <n v="0"/>
    <n v="212449"/>
    <n v="212449"/>
    <m/>
    <m/>
    <m/>
    <m/>
    <n v="0"/>
    <m/>
    <m/>
    <n v="0"/>
    <m/>
    <m/>
    <m/>
    <m/>
    <m/>
    <m/>
    <n v="212449"/>
    <n v="212449"/>
  </r>
  <r>
    <x v="0"/>
    <x v="0"/>
    <s v="Alabama State University "/>
    <m/>
    <n v="100724"/>
    <x v="3"/>
    <n v="48881738"/>
    <n v="49399287"/>
    <m/>
    <m/>
    <m/>
    <m/>
    <n v="36707201"/>
    <n v="13123189"/>
    <n v="49830390"/>
    <n v="37892456"/>
    <n v="15780000"/>
    <n v="53672456"/>
    <n v="85588939"/>
    <n v="87291743"/>
    <m/>
    <m/>
    <m/>
    <m/>
    <n v="0"/>
    <m/>
    <m/>
    <n v="0"/>
    <m/>
    <m/>
    <m/>
    <m/>
    <m/>
    <m/>
    <n v="85588939"/>
    <n v="87291743"/>
  </r>
  <r>
    <x v="0"/>
    <x v="3"/>
    <s v="Community or public service units"/>
    <m/>
    <n v="100724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Non-credit continuing education"/>
    <m/>
    <n v="100724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724"/>
    <x v="3"/>
    <m/>
    <m/>
    <n v="236454"/>
    <n v="236454"/>
    <m/>
    <m/>
    <m/>
    <m/>
    <n v="0"/>
    <m/>
    <m/>
    <n v="0"/>
    <n v="236454"/>
    <n v="236454"/>
    <m/>
    <m/>
    <m/>
    <m/>
    <n v="0"/>
    <m/>
    <m/>
    <n v="0"/>
    <m/>
    <m/>
    <m/>
    <m/>
    <m/>
    <m/>
    <n v="236454"/>
    <n v="236454"/>
  </r>
  <r>
    <x v="0"/>
    <x v="0"/>
    <s v="Auburn University at Montgomery"/>
    <s v="Reclassified: Met the criteria for Four-Year 3 in 2018-19, 2019-20, and 2020-21."/>
    <n v="100830"/>
    <x v="2"/>
    <n v="25418032"/>
    <n v="25885268"/>
    <m/>
    <m/>
    <m/>
    <m/>
    <n v="47162083"/>
    <n v="5627105"/>
    <n v="52789188"/>
    <n v="40964393"/>
    <n v="4880607"/>
    <n v="45845000"/>
    <n v="72580115"/>
    <n v="66849661"/>
    <m/>
    <m/>
    <m/>
    <m/>
    <n v="0"/>
    <m/>
    <m/>
    <n v="0"/>
    <m/>
    <m/>
    <m/>
    <m/>
    <m/>
    <m/>
    <n v="72580115"/>
    <n v="66849661"/>
  </r>
  <r>
    <x v="0"/>
    <x v="3"/>
    <s v="Community or public service units"/>
    <m/>
    <n v="100830"/>
    <x v="2"/>
    <m/>
    <m/>
    <n v="114915"/>
    <n v="114915"/>
    <m/>
    <m/>
    <m/>
    <m/>
    <n v="0"/>
    <m/>
    <m/>
    <n v="0"/>
    <n v="114915"/>
    <n v="114915"/>
    <m/>
    <m/>
    <m/>
    <m/>
    <n v="0"/>
    <m/>
    <m/>
    <n v="0"/>
    <m/>
    <m/>
    <m/>
    <m/>
    <m/>
    <m/>
    <n v="114915"/>
    <n v="114915"/>
  </r>
  <r>
    <x v="0"/>
    <x v="0"/>
    <s v="University of Montevallo"/>
    <m/>
    <n v="101709"/>
    <x v="4"/>
    <n v="22229240"/>
    <n v="22863165"/>
    <m/>
    <m/>
    <m/>
    <m/>
    <n v="36200238"/>
    <n v="1140858"/>
    <n v="37341096"/>
    <n v="36872073"/>
    <m/>
    <n v="36872073"/>
    <n v="58429478"/>
    <n v="59735238"/>
    <m/>
    <m/>
    <m/>
    <m/>
    <n v="0"/>
    <m/>
    <m/>
    <n v="0"/>
    <m/>
    <m/>
    <m/>
    <m/>
    <m/>
    <m/>
    <n v="58429478"/>
    <n v="59735238"/>
  </r>
  <r>
    <x v="0"/>
    <x v="3"/>
    <s v="Community or public service units"/>
    <m/>
    <n v="101709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Non-credit continuing education"/>
    <m/>
    <n v="101709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1709"/>
    <x v="4"/>
    <m/>
    <m/>
    <n v="245558"/>
    <n v="245558"/>
    <m/>
    <m/>
    <m/>
    <m/>
    <n v="0"/>
    <m/>
    <m/>
    <n v="0"/>
    <n v="245558"/>
    <n v="245558"/>
    <m/>
    <m/>
    <m/>
    <m/>
    <n v="0"/>
    <m/>
    <m/>
    <n v="0"/>
    <m/>
    <m/>
    <m/>
    <m/>
    <m/>
    <m/>
    <n v="245558"/>
    <n v="245558"/>
  </r>
  <r>
    <x v="0"/>
    <x v="0"/>
    <s v="University of West Alabama"/>
    <s v="Reclassified: Met the criteria for Four-Year 4 in 2018-19, 2019-20, and 2020-21."/>
    <n v="101587"/>
    <x v="3"/>
    <n v="17873142"/>
    <n v="19451085"/>
    <m/>
    <m/>
    <m/>
    <m/>
    <n v="41933429"/>
    <n v="1565626"/>
    <n v="43499055"/>
    <n v="44504810"/>
    <n v="1565626"/>
    <n v="46070436"/>
    <n v="59806571"/>
    <n v="63955895"/>
    <m/>
    <m/>
    <m/>
    <m/>
    <n v="0"/>
    <m/>
    <m/>
    <n v="0"/>
    <m/>
    <m/>
    <m/>
    <m/>
    <m/>
    <m/>
    <n v="59806571"/>
    <n v="63955895"/>
  </r>
  <r>
    <x v="0"/>
    <x v="3"/>
    <s v="Community or public service units"/>
    <m/>
    <n v="101587"/>
    <x v="3"/>
    <m/>
    <m/>
    <n v="500000"/>
    <n v="500000"/>
    <m/>
    <m/>
    <m/>
    <m/>
    <n v="0"/>
    <m/>
    <m/>
    <n v="0"/>
    <n v="500000"/>
    <n v="500000"/>
    <m/>
    <m/>
    <m/>
    <m/>
    <n v="0"/>
    <m/>
    <m/>
    <n v="0"/>
    <m/>
    <m/>
    <m/>
    <m/>
    <m/>
    <m/>
    <n v="500000"/>
    <n v="500000"/>
  </r>
  <r>
    <x v="0"/>
    <x v="4"/>
    <s v="Teacher In-service Center"/>
    <m/>
    <n v="101587"/>
    <x v="3"/>
    <m/>
    <m/>
    <m/>
    <n v="200000"/>
    <m/>
    <m/>
    <m/>
    <m/>
    <n v="0"/>
    <m/>
    <m/>
    <n v="0"/>
    <n v="0"/>
    <n v="200000"/>
    <m/>
    <m/>
    <m/>
    <m/>
    <n v="0"/>
    <m/>
    <m/>
    <n v="0"/>
    <m/>
    <m/>
    <m/>
    <m/>
    <m/>
    <m/>
    <n v="0"/>
    <n v="200000"/>
  </r>
  <r>
    <x v="0"/>
    <x v="0"/>
    <s v="Athens State University"/>
    <s v="Met the criteria for Four-Year 5 in 2019-20 and 2020-21."/>
    <n v="100812"/>
    <x v="5"/>
    <n v="15042919"/>
    <n v="15629039"/>
    <m/>
    <m/>
    <m/>
    <m/>
    <n v="18054501"/>
    <n v="1700841"/>
    <n v="19755342"/>
    <n v="18946120"/>
    <n v="1696610"/>
    <n v="20642730"/>
    <n v="33097420"/>
    <n v="34575159"/>
    <m/>
    <m/>
    <m/>
    <m/>
    <n v="0"/>
    <m/>
    <m/>
    <n v="0"/>
    <m/>
    <m/>
    <m/>
    <m/>
    <m/>
    <m/>
    <n v="33097420"/>
    <n v="34575159"/>
  </r>
  <r>
    <x v="0"/>
    <x v="3"/>
    <s v="Community or public service units"/>
    <m/>
    <n v="100812"/>
    <x v="5"/>
    <m/>
    <m/>
    <n v="331455"/>
    <n v="306455"/>
    <m/>
    <m/>
    <m/>
    <m/>
    <n v="0"/>
    <m/>
    <m/>
    <n v="0"/>
    <n v="331455"/>
    <n v="306455"/>
    <m/>
    <m/>
    <m/>
    <m/>
    <n v="0"/>
    <m/>
    <m/>
    <n v="0"/>
    <m/>
    <m/>
    <m/>
    <m/>
    <m/>
    <m/>
    <n v="331455"/>
    <n v="306455"/>
  </r>
  <r>
    <x v="0"/>
    <x v="4"/>
    <s v="Non-credit continuing education"/>
    <m/>
    <n v="100812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4"/>
    <s v="Teacher In-service Center"/>
    <m/>
    <n v="100812"/>
    <x v="5"/>
    <m/>
    <m/>
    <n v="229004"/>
    <n v="229004"/>
    <m/>
    <m/>
    <m/>
    <m/>
    <n v="0"/>
    <m/>
    <m/>
    <n v="0"/>
    <n v="229004"/>
    <n v="229004"/>
    <m/>
    <m/>
    <m/>
    <m/>
    <n v="0"/>
    <m/>
    <m/>
    <n v="0"/>
    <m/>
    <m/>
    <m/>
    <m/>
    <m/>
    <m/>
    <n v="229004"/>
    <n v="229004"/>
  </r>
  <r>
    <x v="0"/>
    <x v="0"/>
    <s v="Jefferson State Community College"/>
    <m/>
    <n v="101505"/>
    <x v="6"/>
    <n v="24372672"/>
    <n v="24761896"/>
    <m/>
    <m/>
    <m/>
    <m/>
    <n v="22936107"/>
    <n v="2254688"/>
    <n v="25190795"/>
    <n v="22413229"/>
    <n v="2777566"/>
    <n v="25190795"/>
    <n v="47308779"/>
    <n v="47175125"/>
    <m/>
    <m/>
    <m/>
    <m/>
    <n v="0"/>
    <m/>
    <m/>
    <n v="0"/>
    <m/>
    <m/>
    <m/>
    <m/>
    <m/>
    <m/>
    <n v="47308779"/>
    <n v="47175125"/>
  </r>
  <r>
    <x v="0"/>
    <x v="8"/>
    <s v="Special line items for education operations"/>
    <m/>
    <n v="101505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John C. Calhoun Community College "/>
    <m/>
    <n v="101514"/>
    <x v="6"/>
    <n v="29521651"/>
    <n v="30095242"/>
    <m/>
    <m/>
    <m/>
    <m/>
    <n v="28852897"/>
    <n v="3473239"/>
    <n v="32326136"/>
    <n v="27975115"/>
    <n v="4351021"/>
    <n v="32326136"/>
    <n v="58374548"/>
    <n v="58070357"/>
    <m/>
    <m/>
    <m/>
    <m/>
    <n v="0"/>
    <m/>
    <m/>
    <n v="0"/>
    <m/>
    <m/>
    <m/>
    <m/>
    <m/>
    <m/>
    <n v="58374548"/>
    <n v="58070357"/>
  </r>
  <r>
    <x v="0"/>
    <x v="8"/>
    <s v="Special line items for education operations"/>
    <m/>
    <n v="10151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Bevill State Community College"/>
    <m/>
    <n v="102429"/>
    <x v="7"/>
    <n v="16800983"/>
    <n v="17105208"/>
    <m/>
    <m/>
    <n v="245000"/>
    <n v="245000"/>
    <n v="12718886"/>
    <n v="395000"/>
    <n v="13113886"/>
    <n v="11317379"/>
    <n v="812712"/>
    <n v="12130091"/>
    <n v="29764869"/>
    <n v="28667587"/>
    <m/>
    <m/>
    <m/>
    <m/>
    <n v="0"/>
    <m/>
    <m/>
    <n v="0"/>
    <m/>
    <m/>
    <m/>
    <m/>
    <m/>
    <m/>
    <n v="29764869"/>
    <n v="28667587"/>
  </r>
  <r>
    <x v="0"/>
    <x v="8"/>
    <s v="Special line items for education operations"/>
    <m/>
    <n v="10242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Bishop State Community College"/>
    <s v="Met the criteria for Two-Year 3 in 2020-21."/>
    <n v="102030"/>
    <x v="7"/>
    <n v="14755261"/>
    <n v="14805172"/>
    <m/>
    <m/>
    <m/>
    <m/>
    <n v="9406996"/>
    <n v="1297028"/>
    <n v="10704024"/>
    <n v="10109270"/>
    <n v="594754"/>
    <n v="10704024"/>
    <n v="24162257"/>
    <n v="24914442"/>
    <m/>
    <m/>
    <m/>
    <m/>
    <n v="0"/>
    <m/>
    <m/>
    <n v="0"/>
    <m/>
    <m/>
    <m/>
    <m/>
    <m/>
    <m/>
    <n v="24162257"/>
    <n v="24914442"/>
  </r>
  <r>
    <x v="0"/>
    <x v="8"/>
    <s v="Special line items for education operations"/>
    <m/>
    <n v="10203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Coastal Alabama Community College"/>
    <s v="Reclassified: Met the criteria for Two-Year 1 in 2018-19, 2019-20, and 2020-21."/>
    <n v="101161"/>
    <x v="6"/>
    <n v="29204312"/>
    <n v="29305010"/>
    <m/>
    <m/>
    <n v="1639252"/>
    <n v="800000"/>
    <n v="23246253"/>
    <n v="1735002"/>
    <n v="24981255"/>
    <n v="22759448"/>
    <n v="2221807"/>
    <n v="24981255"/>
    <n v="54089817"/>
    <n v="52864458"/>
    <m/>
    <m/>
    <m/>
    <m/>
    <n v="0"/>
    <m/>
    <m/>
    <n v="0"/>
    <m/>
    <m/>
    <m/>
    <m/>
    <m/>
    <m/>
    <n v="54089817"/>
    <n v="52864458"/>
  </r>
  <r>
    <x v="0"/>
    <x v="8"/>
    <s v="Special line items for education operations"/>
    <m/>
    <n v="101161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Gadsden State Community College"/>
    <m/>
    <n v="101240"/>
    <x v="7"/>
    <n v="23548567"/>
    <n v="23507980"/>
    <m/>
    <m/>
    <m/>
    <m/>
    <n v="15705152"/>
    <n v="1904848"/>
    <n v="17610000"/>
    <n v="14951017"/>
    <n v="2658983"/>
    <n v="17610000"/>
    <n v="39253719"/>
    <n v="38458997"/>
    <m/>
    <m/>
    <m/>
    <m/>
    <n v="0"/>
    <m/>
    <m/>
    <n v="0"/>
    <m/>
    <m/>
    <m/>
    <m/>
    <m/>
    <m/>
    <n v="39253719"/>
    <n v="38458997"/>
  </r>
  <r>
    <x v="0"/>
    <x v="8"/>
    <s v="Special line items for education operations"/>
    <m/>
    <n v="10124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George C. Wallace Community College - Dothan"/>
    <m/>
    <n v="101286"/>
    <x v="7"/>
    <n v="17526266"/>
    <n v="17719093"/>
    <m/>
    <m/>
    <m/>
    <m/>
    <n v="14212000"/>
    <n v="631000"/>
    <n v="14843000"/>
    <n v="14030521"/>
    <n v="812479"/>
    <n v="14843000"/>
    <n v="31738266"/>
    <n v="31749614"/>
    <m/>
    <m/>
    <m/>
    <m/>
    <n v="0"/>
    <m/>
    <m/>
    <n v="0"/>
    <m/>
    <m/>
    <m/>
    <m/>
    <m/>
    <m/>
    <n v="31738266"/>
    <n v="31749614"/>
  </r>
  <r>
    <x v="0"/>
    <x v="8"/>
    <s v="Special line items for education operations"/>
    <m/>
    <n v="10128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Lawson State Community College "/>
    <m/>
    <n v="101569"/>
    <x v="7"/>
    <n v="14867915"/>
    <n v="15044873"/>
    <m/>
    <m/>
    <n v="115000"/>
    <m/>
    <n v="11721598"/>
    <n v="225000"/>
    <n v="11946598"/>
    <n v="10046598"/>
    <n v="1900000"/>
    <n v="11946598"/>
    <n v="26704513"/>
    <n v="25091471"/>
    <m/>
    <m/>
    <m/>
    <m/>
    <n v="0"/>
    <m/>
    <m/>
    <n v="0"/>
    <m/>
    <m/>
    <m/>
    <m/>
    <m/>
    <m/>
    <n v="26704513"/>
    <n v="25091471"/>
  </r>
  <r>
    <x v="0"/>
    <x v="8"/>
    <s v="Special line items for education operations"/>
    <m/>
    <n v="10156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Northwest-Shoals Community College "/>
    <m/>
    <n v="101736"/>
    <x v="7"/>
    <n v="13711972"/>
    <n v="13496783"/>
    <m/>
    <m/>
    <m/>
    <m/>
    <n v="10062893"/>
    <n v="392167"/>
    <n v="10455060"/>
    <n v="9920244"/>
    <n v="534816"/>
    <n v="10455060"/>
    <n v="23774865"/>
    <n v="23417027"/>
    <m/>
    <m/>
    <m/>
    <m/>
    <n v="0"/>
    <m/>
    <m/>
    <n v="0"/>
    <m/>
    <m/>
    <m/>
    <m/>
    <m/>
    <m/>
    <n v="23774865"/>
    <n v="23417027"/>
  </r>
  <r>
    <x v="0"/>
    <x v="8"/>
    <s v="Special line items for education operations"/>
    <m/>
    <n v="10173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Shelton State Community College"/>
    <m/>
    <n v="102067"/>
    <x v="7"/>
    <n v="19372857"/>
    <n v="19316473"/>
    <m/>
    <m/>
    <m/>
    <m/>
    <n v="15082736"/>
    <n v="0"/>
    <n v="15082736"/>
    <n v="15082736"/>
    <n v="0"/>
    <n v="15082736"/>
    <n v="34455593"/>
    <n v="34399209"/>
    <m/>
    <m/>
    <m/>
    <m/>
    <n v="0"/>
    <m/>
    <m/>
    <n v="0"/>
    <m/>
    <m/>
    <m/>
    <m/>
    <m/>
    <m/>
    <n v="34455593"/>
    <n v="34399209"/>
  </r>
  <r>
    <x v="0"/>
    <x v="8"/>
    <s v="Special line items for education operations"/>
    <m/>
    <n v="10206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Southern Union State Community College"/>
    <m/>
    <n v="251260"/>
    <x v="7"/>
    <n v="17247291"/>
    <n v="17703502"/>
    <m/>
    <m/>
    <m/>
    <m/>
    <n v="15660495"/>
    <n v="1922203"/>
    <n v="17582698"/>
    <n v="14778324"/>
    <n v="2804375"/>
    <n v="17582699"/>
    <n v="32907786"/>
    <n v="32481826"/>
    <m/>
    <m/>
    <m/>
    <m/>
    <n v="0"/>
    <m/>
    <m/>
    <n v="0"/>
    <m/>
    <m/>
    <m/>
    <m/>
    <m/>
    <m/>
    <n v="32907786"/>
    <n v="32481826"/>
  </r>
  <r>
    <x v="0"/>
    <x v="8"/>
    <s v="Special line items for education operations"/>
    <m/>
    <n v="25126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George C. Wallace State Community College - Hanceville"/>
    <m/>
    <n v="101295"/>
    <x v="7"/>
    <n v="20244045"/>
    <n v="20685901"/>
    <m/>
    <m/>
    <m/>
    <m/>
    <n v="16814963"/>
    <n v="2229000"/>
    <n v="19043963"/>
    <n v="15799815"/>
    <n v="3244148"/>
    <n v="19043963"/>
    <n v="37059008"/>
    <n v="36485716"/>
    <m/>
    <m/>
    <m/>
    <m/>
    <n v="0"/>
    <m/>
    <m/>
    <n v="0"/>
    <m/>
    <m/>
    <m/>
    <m/>
    <m/>
    <m/>
    <n v="37059008"/>
    <n v="36485716"/>
  </r>
  <r>
    <x v="0"/>
    <x v="8"/>
    <s v="Special line items for education operations"/>
    <m/>
    <n v="10129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Enterprise State Community College"/>
    <m/>
    <n v="101143"/>
    <x v="8"/>
    <n v="10232779"/>
    <n v="10064653"/>
    <m/>
    <m/>
    <m/>
    <m/>
    <n v="6762661"/>
    <n v="145000"/>
    <n v="6907661"/>
    <n v="6531848"/>
    <n v="375813"/>
    <n v="6907661"/>
    <n v="16995440"/>
    <n v="16596501"/>
    <m/>
    <m/>
    <m/>
    <m/>
    <n v="0"/>
    <m/>
    <m/>
    <n v="0"/>
    <m/>
    <m/>
    <m/>
    <m/>
    <m/>
    <m/>
    <n v="16995440"/>
    <n v="16596501"/>
  </r>
  <r>
    <x v="0"/>
    <x v="8"/>
    <s v="Special line items for education operations"/>
    <m/>
    <n v="101143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Central Alabama Community College"/>
    <m/>
    <n v="100760"/>
    <x v="8"/>
    <n v="9151960"/>
    <n v="9129654"/>
    <m/>
    <m/>
    <m/>
    <m/>
    <n v="5322734"/>
    <n v="630000"/>
    <n v="5952734"/>
    <n v="5085772"/>
    <n v="866963"/>
    <n v="5952735"/>
    <n v="14474694"/>
    <n v="14215426"/>
    <m/>
    <m/>
    <m/>
    <m/>
    <n v="0"/>
    <m/>
    <m/>
    <n v="0"/>
    <m/>
    <m/>
    <m/>
    <m/>
    <m/>
    <m/>
    <n v="14474694"/>
    <n v="14215426"/>
  </r>
  <r>
    <x v="0"/>
    <x v="8"/>
    <s v="Special line items for education operations"/>
    <m/>
    <n v="100760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Chattahoochee Valley Community College "/>
    <m/>
    <n v="101028"/>
    <x v="8"/>
    <n v="7275636"/>
    <n v="7506844"/>
    <m/>
    <m/>
    <m/>
    <n v="125000"/>
    <n v="6171100"/>
    <n v="320000"/>
    <n v="6491100"/>
    <n v="5876900"/>
    <n v="614200"/>
    <n v="6491100"/>
    <n v="13446736"/>
    <n v="13508744"/>
    <m/>
    <m/>
    <m/>
    <m/>
    <n v="0"/>
    <m/>
    <m/>
    <n v="0"/>
    <m/>
    <m/>
    <m/>
    <m/>
    <m/>
    <m/>
    <n v="13446736"/>
    <n v="13508744"/>
  </r>
  <r>
    <x v="0"/>
    <x v="8"/>
    <s v="Special line items for education operations"/>
    <m/>
    <n v="101028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George Corley Wallace State Community College - Selma"/>
    <m/>
    <n v="101301"/>
    <x v="8"/>
    <n v="9105209"/>
    <n v="9035745"/>
    <m/>
    <m/>
    <m/>
    <m/>
    <n v="5257991"/>
    <m/>
    <n v="5257991"/>
    <n v="5257991"/>
    <n v="0"/>
    <n v="5257991"/>
    <n v="14363200"/>
    <n v="14293736"/>
    <m/>
    <m/>
    <m/>
    <m/>
    <n v="0"/>
    <m/>
    <m/>
    <n v="0"/>
    <m/>
    <m/>
    <m/>
    <m/>
    <m/>
    <m/>
    <n v="14363200"/>
    <n v="14293736"/>
  </r>
  <r>
    <x v="0"/>
    <x v="8"/>
    <s v="Special line items for education operations"/>
    <m/>
    <n v="101301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Lurleen B. Wallace Community College "/>
    <m/>
    <n v="101602"/>
    <x v="8"/>
    <n v="8073980"/>
    <n v="8270150"/>
    <m/>
    <m/>
    <m/>
    <m/>
    <n v="4997139"/>
    <n v="1269741"/>
    <n v="6266880"/>
    <n v="5948310"/>
    <n v="318570"/>
    <n v="6266880"/>
    <n v="13071119"/>
    <n v="14218460"/>
    <m/>
    <m/>
    <m/>
    <m/>
    <n v="0"/>
    <m/>
    <m/>
    <n v="0"/>
    <m/>
    <m/>
    <m/>
    <m/>
    <m/>
    <m/>
    <n v="13071119"/>
    <n v="14218460"/>
  </r>
  <r>
    <x v="0"/>
    <x v="8"/>
    <s v="Special line items for education operations"/>
    <m/>
    <n v="10160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Northeast Alabama Community College "/>
    <s v="Met the criteria for Two-Year 2 in 2018-19 and 2019-20."/>
    <n v="101897"/>
    <x v="8"/>
    <n v="9896424"/>
    <n v="10090090"/>
    <m/>
    <m/>
    <m/>
    <m/>
    <n v="9310426"/>
    <n v="378829"/>
    <n v="9689255"/>
    <n v="8947416"/>
    <n v="741839"/>
    <n v="9689255"/>
    <n v="19206850"/>
    <n v="19037506"/>
    <m/>
    <m/>
    <m/>
    <m/>
    <n v="0"/>
    <m/>
    <m/>
    <n v="0"/>
    <m/>
    <m/>
    <m/>
    <m/>
    <m/>
    <m/>
    <n v="19206850"/>
    <n v="19037506"/>
  </r>
  <r>
    <x v="0"/>
    <x v="8"/>
    <s v="Special line items for education operations"/>
    <m/>
    <n v="10189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Snead State Community College "/>
    <s v="Met the criteria for Two-Year 2 in 2018-19 and 2019-20."/>
    <n v="102076"/>
    <x v="8"/>
    <n v="9238573"/>
    <n v="9355519"/>
    <m/>
    <m/>
    <m/>
    <m/>
    <n v="9020528"/>
    <n v="463792"/>
    <n v="9484320"/>
    <n v="8575816"/>
    <n v="908504"/>
    <n v="9484320"/>
    <n v="18259101"/>
    <n v="17931335"/>
    <m/>
    <m/>
    <m/>
    <m/>
    <n v="0"/>
    <m/>
    <m/>
    <n v="0"/>
    <m/>
    <m/>
    <m/>
    <m/>
    <m/>
    <m/>
    <n v="18259101"/>
    <n v="17931335"/>
  </r>
  <r>
    <x v="0"/>
    <x v="8"/>
    <s v="Special line items for education operations"/>
    <m/>
    <n v="102076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H. Councill Trenholm State Community College"/>
    <m/>
    <n v="102313"/>
    <x v="9"/>
    <n v="9003953"/>
    <n v="9149336"/>
    <m/>
    <m/>
    <m/>
    <m/>
    <n v="6886551"/>
    <n v="180000"/>
    <n v="7066551"/>
    <n v="6568734"/>
    <n v="497818"/>
    <n v="7066552"/>
    <n v="15890504"/>
    <n v="15718070"/>
    <m/>
    <m/>
    <m/>
    <m/>
    <n v="0"/>
    <m/>
    <m/>
    <n v="0"/>
    <m/>
    <m/>
    <m/>
    <m/>
    <m/>
    <m/>
    <n v="15890504"/>
    <n v="15718070"/>
  </r>
  <r>
    <x v="0"/>
    <x v="8"/>
    <s v="Special line items for education operations"/>
    <m/>
    <n v="102313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J.F. Drake State Community and Technical College "/>
    <m/>
    <n v="101462"/>
    <x v="10"/>
    <n v="5731872"/>
    <n v="6055703"/>
    <m/>
    <m/>
    <m/>
    <m/>
    <n v="2334756"/>
    <n v="216000"/>
    <n v="2550756"/>
    <n v="2322888"/>
    <n v="227868"/>
    <n v="2550756"/>
    <n v="8066628"/>
    <n v="8378591"/>
    <m/>
    <m/>
    <m/>
    <m/>
    <n v="0"/>
    <m/>
    <m/>
    <n v="0"/>
    <m/>
    <m/>
    <m/>
    <m/>
    <m/>
    <m/>
    <n v="8066628"/>
    <n v="8378591"/>
  </r>
  <r>
    <x v="0"/>
    <x v="8"/>
    <s v="Special line items for education operations"/>
    <m/>
    <n v="101462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J.F. Ingram State Technical College "/>
    <m/>
    <n v="101471"/>
    <x v="10"/>
    <n v="7824666"/>
    <n v="7417128"/>
    <m/>
    <m/>
    <m/>
    <m/>
    <n v="3802500"/>
    <m/>
    <n v="3802500"/>
    <n v="3802500"/>
    <n v="0"/>
    <n v="3802500"/>
    <n v="11627166"/>
    <n v="11219628"/>
    <m/>
    <m/>
    <m/>
    <m/>
    <n v="0"/>
    <m/>
    <m/>
    <n v="0"/>
    <m/>
    <m/>
    <m/>
    <m/>
    <m/>
    <m/>
    <n v="11627166"/>
    <n v="11219628"/>
  </r>
  <r>
    <x v="0"/>
    <x v="8"/>
    <s v="Special line items for education operations"/>
    <m/>
    <n v="101471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0"/>
    <s v="Reid State Technical College "/>
    <m/>
    <n v="101994"/>
    <x v="10"/>
    <n v="4723687"/>
    <n v="4786813"/>
    <m/>
    <m/>
    <m/>
    <m/>
    <n v="1717018"/>
    <n v="225000"/>
    <n v="1942018"/>
    <n v="1694040"/>
    <n v="247978"/>
    <n v="1942018"/>
    <n v="6440705"/>
    <n v="6480853"/>
    <m/>
    <m/>
    <m/>
    <m/>
    <n v="0"/>
    <m/>
    <m/>
    <n v="0"/>
    <m/>
    <m/>
    <m/>
    <m/>
    <m/>
    <m/>
    <n v="6440705"/>
    <n v="6480853"/>
  </r>
  <r>
    <x v="0"/>
    <x v="8"/>
    <s v="Special line items for education operations"/>
    <m/>
    <n v="101994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9"/>
    <s v="Marion Military Institute"/>
    <m/>
    <n v="101648"/>
    <x v="11"/>
    <m/>
    <m/>
    <m/>
    <m/>
    <m/>
    <m/>
    <m/>
    <m/>
    <n v="0"/>
    <m/>
    <m/>
    <n v="0"/>
    <n v="0"/>
    <n v="0"/>
    <n v="8994438"/>
    <n v="8994438"/>
    <n v="3549264"/>
    <n v="120543"/>
    <n v="3669807"/>
    <n v="3492807"/>
    <n v="177000"/>
    <n v="3669807"/>
    <m/>
    <m/>
    <m/>
    <m/>
    <m/>
    <m/>
    <n v="12543702"/>
    <n v="12487245"/>
  </r>
  <r>
    <x v="0"/>
    <x v="10"/>
    <s v="Educational special purpose funds - to statewid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1"/>
    <s v="Research centers/institut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1"/>
    <s v="Exprmntl Prog. for the Stimulation of Competitive Rsrch (EPSCOR) Consort."/>
    <m/>
    <m/>
    <x v="12"/>
    <m/>
    <m/>
    <n v="1200216"/>
    <n v="1200216"/>
    <m/>
    <m/>
    <m/>
    <m/>
    <n v="0"/>
    <m/>
    <m/>
    <n v="0"/>
    <n v="1200216"/>
    <n v="1200216"/>
    <m/>
    <m/>
    <m/>
    <m/>
    <n v="0"/>
    <m/>
    <m/>
    <n v="0"/>
    <m/>
    <m/>
    <m/>
    <m/>
    <m/>
    <m/>
    <n v="1200216"/>
    <n v="1200216"/>
  </r>
  <r>
    <x v="0"/>
    <x v="11"/>
    <s v="MESC/Dauphin Isl Sealab/Marine Environmental Sci Consort."/>
    <m/>
    <m/>
    <x v="12"/>
    <m/>
    <m/>
    <n v="6203025"/>
    <n v="7203025"/>
    <m/>
    <m/>
    <m/>
    <m/>
    <n v="0"/>
    <m/>
    <m/>
    <n v="0"/>
    <n v="6203025"/>
    <n v="7203025"/>
    <m/>
    <m/>
    <m/>
    <m/>
    <n v="0"/>
    <m/>
    <m/>
    <n v="0"/>
    <m/>
    <m/>
    <m/>
    <m/>
    <m/>
    <m/>
    <n v="6203025"/>
    <n v="7203025"/>
  </r>
  <r>
    <x v="0"/>
    <x v="12"/>
    <s v="Special line items for education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2"/>
    <s v="Network of Al Academic Libraries (NAAL)"/>
    <m/>
    <m/>
    <x v="12"/>
    <m/>
    <m/>
    <n v="303428"/>
    <n v="303428"/>
    <m/>
    <m/>
    <m/>
    <m/>
    <n v="0"/>
    <m/>
    <m/>
    <n v="0"/>
    <n v="303428"/>
    <n v="303428"/>
    <m/>
    <m/>
    <m/>
    <m/>
    <n v="0"/>
    <m/>
    <m/>
    <n v="0"/>
    <m/>
    <m/>
    <m/>
    <m/>
    <m/>
    <m/>
    <n v="303428"/>
    <n v="303428"/>
  </r>
  <r>
    <x v="0"/>
    <x v="12"/>
    <s v="AL Agricultural LG Alliance"/>
    <m/>
    <m/>
    <x v="12"/>
    <m/>
    <m/>
    <n v="539524"/>
    <n v="539524"/>
    <m/>
    <m/>
    <m/>
    <m/>
    <n v="0"/>
    <m/>
    <m/>
    <n v="0"/>
    <n v="539524"/>
    <n v="539524"/>
    <m/>
    <m/>
    <m/>
    <m/>
    <n v="0"/>
    <m/>
    <m/>
    <n v="0"/>
    <m/>
    <m/>
    <m/>
    <m/>
    <m/>
    <m/>
    <n v="539524"/>
    <n v="539524"/>
  </r>
  <r>
    <x v="0"/>
    <x v="12"/>
    <s v="AL Firefighters' Personnel Standards &amp; Ed Commission’s “Alabama Fire College”"/>
    <m/>
    <m/>
    <x v="12"/>
    <m/>
    <m/>
    <n v="5392437"/>
    <n v="5548437"/>
    <m/>
    <m/>
    <m/>
    <m/>
    <n v="0"/>
    <m/>
    <m/>
    <n v="0"/>
    <n v="5392437"/>
    <n v="5548437"/>
    <m/>
    <m/>
    <m/>
    <m/>
    <n v="0"/>
    <m/>
    <m/>
    <n v="0"/>
    <m/>
    <m/>
    <m/>
    <m/>
    <m/>
    <m/>
    <n v="5392437"/>
    <n v="5548437"/>
  </r>
  <r>
    <x v="0"/>
    <x v="12"/>
    <s v="Special line items for education operations - 2 Year colleges"/>
    <m/>
    <m/>
    <x v="12"/>
    <m/>
    <m/>
    <n v="41722953"/>
    <n v="44540338"/>
    <m/>
    <m/>
    <m/>
    <m/>
    <n v="0"/>
    <m/>
    <m/>
    <n v="0"/>
    <n v="41722953"/>
    <n v="44540338"/>
    <m/>
    <m/>
    <m/>
    <m/>
    <n v="0"/>
    <m/>
    <m/>
    <n v="0"/>
    <m/>
    <m/>
    <m/>
    <m/>
    <m/>
    <m/>
    <n v="41722953"/>
    <n v="44540338"/>
  </r>
  <r>
    <x v="0"/>
    <x v="12"/>
    <s v="Alabama Technology Network"/>
    <m/>
    <m/>
    <x v="12"/>
    <m/>
    <m/>
    <n v="5448518"/>
    <n v="5448518"/>
    <m/>
    <m/>
    <m/>
    <m/>
    <n v="0"/>
    <m/>
    <m/>
    <n v="0"/>
    <n v="5448518"/>
    <n v="5448518"/>
    <m/>
    <m/>
    <m/>
    <m/>
    <n v="0"/>
    <m/>
    <m/>
    <n v="0"/>
    <m/>
    <m/>
    <m/>
    <m/>
    <m/>
    <m/>
    <n v="5448518"/>
    <n v="5448518"/>
  </r>
  <r>
    <x v="0"/>
    <x v="12"/>
    <s v="Prison Education - Therapeutic Training"/>
    <m/>
    <m/>
    <x v="12"/>
    <m/>
    <m/>
    <n v="1939901"/>
    <n v="1939901"/>
    <m/>
    <m/>
    <m/>
    <m/>
    <n v="0"/>
    <m/>
    <m/>
    <n v="0"/>
    <n v="1939901"/>
    <n v="1939901"/>
    <m/>
    <m/>
    <m/>
    <m/>
    <n v="0"/>
    <m/>
    <m/>
    <n v="0"/>
    <m/>
    <m/>
    <m/>
    <m/>
    <m/>
    <m/>
    <n v="1939901"/>
    <n v="1939901"/>
  </r>
  <r>
    <x v="0"/>
    <x v="12"/>
    <s v="LifeTech"/>
    <m/>
    <m/>
    <x v="12"/>
    <m/>
    <m/>
    <n v="2000000"/>
    <n v="2000000"/>
    <m/>
    <m/>
    <m/>
    <m/>
    <n v="0"/>
    <m/>
    <m/>
    <n v="0"/>
    <n v="2000000"/>
    <n v="2000000"/>
    <m/>
    <m/>
    <m/>
    <m/>
    <n v="0"/>
    <m/>
    <m/>
    <n v="0"/>
    <m/>
    <m/>
    <m/>
    <m/>
    <m/>
    <m/>
    <n v="2000000"/>
    <n v="2000000"/>
  </r>
  <r>
    <x v="0"/>
    <x v="12"/>
    <s v="Continuing Ed for EMT Personnel"/>
    <m/>
    <m/>
    <x v="12"/>
    <m/>
    <m/>
    <n v="2635782"/>
    <n v="1635782"/>
    <m/>
    <m/>
    <m/>
    <m/>
    <n v="0"/>
    <m/>
    <m/>
    <n v="0"/>
    <n v="2635782"/>
    <n v="1635782"/>
    <m/>
    <m/>
    <m/>
    <m/>
    <n v="0"/>
    <m/>
    <m/>
    <n v="0"/>
    <m/>
    <m/>
    <m/>
    <m/>
    <m/>
    <m/>
    <n v="2635782"/>
    <n v="1635782"/>
  </r>
  <r>
    <x v="0"/>
    <x v="12"/>
    <s v="Automotive Workforce Training Pgm"/>
    <m/>
    <m/>
    <x v="12"/>
    <m/>
    <m/>
    <n v="210000"/>
    <n v="210000"/>
    <m/>
    <m/>
    <m/>
    <m/>
    <n v="0"/>
    <m/>
    <m/>
    <n v="0"/>
    <n v="210000"/>
    <n v="210000"/>
    <m/>
    <m/>
    <m/>
    <m/>
    <n v="0"/>
    <m/>
    <m/>
    <n v="0"/>
    <m/>
    <m/>
    <m/>
    <m/>
    <m/>
    <m/>
    <n v="210000"/>
    <n v="210000"/>
  </r>
  <r>
    <x v="0"/>
    <x v="12"/>
    <s v="Automotive Manufacturing Development Pgm"/>
    <m/>
    <m/>
    <x v="12"/>
    <m/>
    <m/>
    <n v="262500"/>
    <n v="262500"/>
    <m/>
    <m/>
    <m/>
    <m/>
    <n v="0"/>
    <m/>
    <m/>
    <n v="0"/>
    <n v="262500"/>
    <n v="262500"/>
    <m/>
    <m/>
    <m/>
    <m/>
    <n v="0"/>
    <m/>
    <m/>
    <n v="0"/>
    <m/>
    <m/>
    <m/>
    <m/>
    <m/>
    <m/>
    <n v="262500"/>
    <n v="262500"/>
  </r>
  <r>
    <x v="0"/>
    <x v="12"/>
    <s v="Distance Learning Pgm "/>
    <m/>
    <m/>
    <x v="12"/>
    <m/>
    <m/>
    <n v="3375000"/>
    <n v="3375000"/>
    <m/>
    <m/>
    <m/>
    <m/>
    <n v="0"/>
    <m/>
    <m/>
    <n v="0"/>
    <n v="3375000"/>
    <n v="3375000"/>
    <m/>
    <m/>
    <m/>
    <m/>
    <n v="0"/>
    <m/>
    <m/>
    <n v="0"/>
    <m/>
    <m/>
    <m/>
    <m/>
    <m/>
    <m/>
    <n v="3375000"/>
    <n v="3375000"/>
  </r>
  <r>
    <x v="0"/>
    <x v="12"/>
    <s v="Volunteer EMT Certificates"/>
    <m/>
    <m/>
    <x v="12"/>
    <m/>
    <m/>
    <n v="125000"/>
    <n v="125000"/>
    <m/>
    <m/>
    <m/>
    <m/>
    <n v="0"/>
    <m/>
    <m/>
    <n v="0"/>
    <n v="125000"/>
    <n v="125000"/>
    <m/>
    <m/>
    <m/>
    <m/>
    <n v="0"/>
    <m/>
    <m/>
    <n v="0"/>
    <m/>
    <m/>
    <m/>
    <m/>
    <m/>
    <m/>
    <n v="125000"/>
    <n v="125000"/>
  </r>
  <r>
    <x v="0"/>
    <x v="12"/>
    <s v="STEAM Pilot Projects"/>
    <m/>
    <m/>
    <x v="12"/>
    <m/>
    <m/>
    <n v="450000"/>
    <n v="450000"/>
    <m/>
    <m/>
    <m/>
    <m/>
    <n v="0"/>
    <m/>
    <m/>
    <n v="0"/>
    <n v="450000"/>
    <n v="450000"/>
    <m/>
    <m/>
    <m/>
    <m/>
    <n v="0"/>
    <m/>
    <m/>
    <n v="0"/>
    <m/>
    <m/>
    <m/>
    <m/>
    <m/>
    <m/>
    <n v="450000"/>
    <n v="450000"/>
  </r>
  <r>
    <x v="0"/>
    <x v="12"/>
    <s v="Mine Safety Training Pgm"/>
    <m/>
    <m/>
    <x v="12"/>
    <m/>
    <m/>
    <n v="1300000"/>
    <n v="350000"/>
    <m/>
    <m/>
    <m/>
    <m/>
    <n v="0"/>
    <m/>
    <m/>
    <n v="0"/>
    <n v="1300000"/>
    <n v="350000"/>
    <m/>
    <m/>
    <m/>
    <m/>
    <n v="0"/>
    <m/>
    <m/>
    <n v="0"/>
    <m/>
    <m/>
    <m/>
    <m/>
    <m/>
    <m/>
    <n v="1300000"/>
    <n v="350000"/>
  </r>
  <r>
    <x v="0"/>
    <x v="12"/>
    <s v="Day Reporting Center Pilot Program"/>
    <m/>
    <m/>
    <x v="12"/>
    <m/>
    <m/>
    <m/>
    <n v="1000000"/>
    <m/>
    <m/>
    <m/>
    <m/>
    <n v="0"/>
    <m/>
    <m/>
    <n v="0"/>
    <n v="0"/>
    <n v="1000000"/>
    <m/>
    <m/>
    <m/>
    <m/>
    <n v="0"/>
    <m/>
    <m/>
    <n v="0"/>
    <m/>
    <m/>
    <m/>
    <m/>
    <m/>
    <m/>
    <n v="0"/>
    <n v="1000000"/>
  </r>
  <r>
    <x v="0"/>
    <x v="12"/>
    <s v="AL Workforce Council Com on Credentialing and Career Pathways"/>
    <m/>
    <m/>
    <x v="12"/>
    <m/>
    <m/>
    <m/>
    <n v="1000000"/>
    <m/>
    <m/>
    <m/>
    <m/>
    <n v="0"/>
    <m/>
    <m/>
    <n v="0"/>
    <n v="0"/>
    <n v="1000000"/>
    <m/>
    <m/>
    <m/>
    <m/>
    <n v="0"/>
    <m/>
    <m/>
    <n v="0"/>
    <m/>
    <m/>
    <m/>
    <m/>
    <m/>
    <m/>
    <n v="0"/>
    <n v="1000000"/>
  </r>
  <r>
    <x v="0"/>
    <x v="12"/>
    <s v="Women's Fund of Greater Birmingham Ed Support Pgm"/>
    <m/>
    <m/>
    <x v="12"/>
    <m/>
    <m/>
    <m/>
    <n v="400000"/>
    <m/>
    <m/>
    <m/>
    <m/>
    <n v="0"/>
    <m/>
    <m/>
    <n v="0"/>
    <n v="0"/>
    <n v="400000"/>
    <m/>
    <m/>
    <m/>
    <m/>
    <n v="0"/>
    <m/>
    <m/>
    <n v="0"/>
    <m/>
    <m/>
    <m/>
    <m/>
    <m/>
    <m/>
    <n v="0"/>
    <n v="400000"/>
  </r>
  <r>
    <x v="0"/>
    <x v="12"/>
    <s v="Smart Career Workforce Pgm"/>
    <m/>
    <m/>
    <x v="12"/>
    <m/>
    <m/>
    <m/>
    <n v="200000"/>
    <m/>
    <m/>
    <m/>
    <m/>
    <n v="0"/>
    <m/>
    <m/>
    <n v="0"/>
    <n v="0"/>
    <n v="200000"/>
    <m/>
    <m/>
    <m/>
    <m/>
    <n v="0"/>
    <m/>
    <m/>
    <n v="0"/>
    <m/>
    <m/>
    <m/>
    <m/>
    <m/>
    <m/>
    <n v="0"/>
    <n v="200000"/>
  </r>
  <r>
    <x v="0"/>
    <x v="12"/>
    <s v="LPN Programs Throughout the Stat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n v="2000000"/>
    <m/>
    <m/>
    <m/>
    <m/>
    <n v="0"/>
    <n v="2000000"/>
  </r>
  <r>
    <x v="0"/>
    <x v="13"/>
    <s v="Educational special purpose funds -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3"/>
    <s v="Articulation "/>
    <m/>
    <m/>
    <x v="12"/>
    <m/>
    <m/>
    <n v="393067"/>
    <n v="393067"/>
    <m/>
    <m/>
    <m/>
    <m/>
    <n v="0"/>
    <m/>
    <m/>
    <n v="0"/>
    <n v="393067"/>
    <n v="393067"/>
    <m/>
    <m/>
    <m/>
    <m/>
    <n v="0"/>
    <m/>
    <m/>
    <n v="0"/>
    <m/>
    <m/>
    <m/>
    <m/>
    <m/>
    <m/>
    <n v="393067"/>
    <n v="393067"/>
  </r>
  <r>
    <x v="0"/>
    <x v="13"/>
    <s v="Arts Council"/>
    <m/>
    <m/>
    <x v="12"/>
    <m/>
    <m/>
    <n v="875000"/>
    <n v="1000000"/>
    <m/>
    <m/>
    <m/>
    <m/>
    <n v="0"/>
    <m/>
    <m/>
    <n v="0"/>
    <n v="875000"/>
    <n v="1000000"/>
    <m/>
    <m/>
    <m/>
    <m/>
    <n v="0"/>
    <m/>
    <m/>
    <n v="0"/>
    <m/>
    <m/>
    <m/>
    <m/>
    <m/>
    <m/>
    <n v="875000"/>
    <n v="1000000"/>
  </r>
  <r>
    <x v="0"/>
    <x v="13"/>
    <s v="Adaptive &amp; Disability Sports 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3"/>
    <s v="Alabama Innovation Fund"/>
    <s v="Alabama Innovation Fund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3"/>
    <s v="Best &amp; Brightest Pilot"/>
    <m/>
    <m/>
    <x v="12"/>
    <m/>
    <m/>
    <n v="240000"/>
    <n v="270000"/>
    <m/>
    <m/>
    <m/>
    <m/>
    <n v="0"/>
    <m/>
    <m/>
    <n v="0"/>
    <n v="240000"/>
    <n v="270000"/>
    <m/>
    <m/>
    <m/>
    <m/>
    <n v="0"/>
    <m/>
    <m/>
    <n v="0"/>
    <m/>
    <m/>
    <m/>
    <m/>
    <m/>
    <m/>
    <n v="240000"/>
    <n v="270000"/>
  </r>
  <r>
    <x v="0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5"/>
    <s v="Alabama Commission on Higher Education (ACHE) Operations "/>
    <m/>
    <m/>
    <x v="12"/>
    <m/>
    <m/>
    <m/>
    <m/>
    <m/>
    <m/>
    <m/>
    <m/>
    <n v="0"/>
    <m/>
    <m/>
    <n v="0"/>
    <n v="0"/>
    <n v="0"/>
    <n v="3598466"/>
    <n v="4068466"/>
    <m/>
    <m/>
    <n v="0"/>
    <m/>
    <m/>
    <n v="0"/>
    <m/>
    <m/>
    <m/>
    <m/>
    <m/>
    <m/>
    <n v="3598466"/>
    <n v="4068466"/>
  </r>
  <r>
    <x v="0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6"/>
    <s v="Alabama Community College System "/>
    <m/>
    <m/>
    <x v="12"/>
    <m/>
    <m/>
    <m/>
    <m/>
    <m/>
    <m/>
    <m/>
    <m/>
    <n v="0"/>
    <m/>
    <m/>
    <n v="0"/>
    <n v="0"/>
    <n v="0"/>
    <n v="12081721"/>
    <n v="12081721"/>
    <m/>
    <m/>
    <n v="0"/>
    <m/>
    <m/>
    <n v="0"/>
    <m/>
    <m/>
    <m/>
    <m/>
    <m/>
    <m/>
    <n v="12081721"/>
    <n v="12081721"/>
  </r>
  <r>
    <x v="0"/>
    <x v="16"/>
    <s v="Two Year College appropriation not yet Distributed"/>
    <m/>
    <m/>
    <x v="12"/>
    <n v="8342490"/>
    <n v="13177000"/>
    <m/>
    <m/>
    <m/>
    <m/>
    <m/>
    <m/>
    <n v="0"/>
    <m/>
    <m/>
    <n v="0"/>
    <n v="8342490"/>
    <n v="13177000"/>
    <m/>
    <m/>
    <m/>
    <m/>
    <n v="0"/>
    <m/>
    <m/>
    <n v="0"/>
    <m/>
    <m/>
    <m/>
    <m/>
    <m/>
    <m/>
    <n v="8342490"/>
    <n v="13177000"/>
  </r>
  <r>
    <x v="0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7"/>
    <s v="SREB Membership  *"/>
    <m/>
    <m/>
    <x v="12"/>
    <m/>
    <m/>
    <m/>
    <m/>
    <m/>
    <m/>
    <m/>
    <m/>
    <n v="0"/>
    <m/>
    <m/>
    <n v="0"/>
    <n v="0"/>
    <n v="0"/>
    <n v="209508"/>
    <n v="209508"/>
    <m/>
    <m/>
    <n v="0"/>
    <m/>
    <m/>
    <n v="0"/>
    <m/>
    <m/>
    <m/>
    <m/>
    <m/>
    <m/>
    <n v="209508"/>
    <n v="209508"/>
  </r>
  <r>
    <x v="0"/>
    <x v="17"/>
    <s v="SREB ACHE Administrative Costs"/>
    <m/>
    <m/>
    <x v="12"/>
    <m/>
    <m/>
    <m/>
    <m/>
    <m/>
    <m/>
    <m/>
    <m/>
    <n v="0"/>
    <m/>
    <m/>
    <n v="0"/>
    <n v="0"/>
    <n v="0"/>
    <n v="62982"/>
    <n v="53000"/>
    <m/>
    <m/>
    <n v="0"/>
    <m/>
    <m/>
    <n v="0"/>
    <m/>
    <m/>
    <m/>
    <m/>
    <m/>
    <m/>
    <n v="62982"/>
    <n v="53000"/>
  </r>
  <r>
    <x v="0"/>
    <x v="18"/>
    <s v="Adm. of Statewide Student Aid Progs. (including centralized guaranteed student loans)"/>
    <m/>
    <m/>
    <x v="12"/>
    <m/>
    <m/>
    <m/>
    <m/>
    <m/>
    <m/>
    <m/>
    <m/>
    <n v="0"/>
    <m/>
    <m/>
    <n v="0"/>
    <n v="0"/>
    <n v="0"/>
    <n v="349561"/>
    <n v="575110"/>
    <m/>
    <m/>
    <n v="0"/>
    <m/>
    <m/>
    <n v="0"/>
    <m/>
    <m/>
    <m/>
    <m/>
    <m/>
    <m/>
    <n v="349561"/>
    <n v="575110"/>
  </r>
  <r>
    <x v="0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19"/>
    <s v="AL A&amp;M-Miles College Consortium"/>
    <m/>
    <m/>
    <x v="12"/>
    <m/>
    <m/>
    <m/>
    <m/>
    <m/>
    <m/>
    <m/>
    <m/>
    <n v="0"/>
    <m/>
    <m/>
    <n v="0"/>
    <n v="0"/>
    <n v="0"/>
    <n v="418486"/>
    <n v="383486"/>
    <m/>
    <m/>
    <n v="0"/>
    <m/>
    <m/>
    <n v="0"/>
    <m/>
    <m/>
    <m/>
    <m/>
    <m/>
    <m/>
    <n v="418486"/>
    <n v="383486"/>
  </r>
  <r>
    <x v="0"/>
    <x v="19"/>
    <s v="Talladega College"/>
    <m/>
    <m/>
    <x v="12"/>
    <m/>
    <m/>
    <m/>
    <m/>
    <m/>
    <m/>
    <m/>
    <m/>
    <n v="0"/>
    <m/>
    <m/>
    <n v="0"/>
    <n v="0"/>
    <n v="0"/>
    <n v="927147"/>
    <n v="947147"/>
    <m/>
    <m/>
    <n v="0"/>
    <m/>
    <m/>
    <n v="0"/>
    <m/>
    <m/>
    <m/>
    <m/>
    <m/>
    <m/>
    <n v="927147"/>
    <n v="947147"/>
  </r>
  <r>
    <x v="0"/>
    <x v="19"/>
    <s v="Tuskegee University"/>
    <m/>
    <m/>
    <x v="12"/>
    <m/>
    <m/>
    <m/>
    <m/>
    <m/>
    <m/>
    <m/>
    <m/>
    <n v="0"/>
    <m/>
    <m/>
    <n v="0"/>
    <n v="0"/>
    <n v="0"/>
    <n v="11501562"/>
    <n v="12676562"/>
    <m/>
    <m/>
    <n v="0"/>
    <m/>
    <m/>
    <n v="0"/>
    <m/>
    <m/>
    <m/>
    <m/>
    <m/>
    <m/>
    <n v="11501562"/>
    <n v="12676562"/>
  </r>
  <r>
    <x v="0"/>
    <x v="19"/>
    <s v="AL Agricultural LG Alliance Tuskegee University"/>
    <m/>
    <m/>
    <x v="12"/>
    <m/>
    <m/>
    <m/>
    <m/>
    <m/>
    <m/>
    <m/>
    <m/>
    <n v="0"/>
    <m/>
    <m/>
    <n v="0"/>
    <n v="0"/>
    <n v="0"/>
    <n v="2723343"/>
    <n v="2823343"/>
    <m/>
    <m/>
    <n v="0"/>
    <m/>
    <m/>
    <n v="0"/>
    <m/>
    <m/>
    <m/>
    <m/>
    <m/>
    <m/>
    <n v="2723343"/>
    <n v="2823343"/>
  </r>
  <r>
    <x v="0"/>
    <x v="19"/>
    <s v="UWA-Stillman College"/>
    <m/>
    <m/>
    <x v="12"/>
    <m/>
    <m/>
    <m/>
    <m/>
    <m/>
    <m/>
    <m/>
    <m/>
    <n v="0"/>
    <m/>
    <m/>
    <n v="0"/>
    <n v="0"/>
    <n v="0"/>
    <n v="135000"/>
    <n v="100000"/>
    <m/>
    <m/>
    <n v="0"/>
    <m/>
    <m/>
    <n v="0"/>
    <m/>
    <m/>
    <m/>
    <m/>
    <m/>
    <m/>
    <n v="135000"/>
    <n v="100000"/>
  </r>
  <r>
    <x v="0"/>
    <x v="20"/>
    <s v="Other 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for medical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4"/>
    <s v="Non need-based"/>
    <m/>
    <m/>
    <x v="12"/>
    <m/>
    <m/>
    <m/>
    <m/>
    <m/>
    <m/>
    <m/>
    <m/>
    <n v="0"/>
    <m/>
    <m/>
    <n v="0"/>
    <n v="0"/>
    <n v="0"/>
    <n v="1440014"/>
    <n v="2440014"/>
    <m/>
    <m/>
    <n v="0"/>
    <m/>
    <m/>
    <n v="0"/>
    <m/>
    <m/>
    <m/>
    <m/>
    <m/>
    <m/>
    <n v="1440014"/>
    <n v="2440014"/>
  </r>
  <r>
    <x v="0"/>
    <x v="22"/>
    <s v="for dental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4"/>
    <s v="Non need-based"/>
    <m/>
    <m/>
    <x v="12"/>
    <m/>
    <m/>
    <m/>
    <m/>
    <m/>
    <m/>
    <m/>
    <m/>
    <n v="0"/>
    <m/>
    <m/>
    <n v="0"/>
    <n v="0"/>
    <n v="0"/>
    <n v="231166"/>
    <n v="731166"/>
    <m/>
    <m/>
    <n v="0"/>
    <m/>
    <m/>
    <n v="0"/>
    <m/>
    <m/>
    <m/>
    <m/>
    <m/>
    <m/>
    <n v="231166"/>
    <n v="731166"/>
  </r>
  <r>
    <x v="0"/>
    <x v="22"/>
    <s v="for optometry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2"/>
    <m/>
    <m/>
    <m/>
    <m/>
    <m/>
    <m/>
    <m/>
    <m/>
    <n v="0"/>
    <m/>
    <m/>
    <n v="0"/>
    <n v="0"/>
    <n v="0"/>
    <n v="165000"/>
    <n v="180000"/>
    <m/>
    <m/>
    <n v="0"/>
    <m/>
    <m/>
    <n v="0"/>
    <m/>
    <m/>
    <m/>
    <m/>
    <m/>
    <m/>
    <n v="165000"/>
    <n v="180000"/>
  </r>
  <r>
    <x v="0"/>
    <x v="22"/>
    <s v="Board of Nursing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4"/>
    <s v="Non need-based"/>
    <m/>
    <m/>
    <x v="12"/>
    <m/>
    <m/>
    <m/>
    <m/>
    <m/>
    <m/>
    <m/>
    <m/>
    <n v="0"/>
    <m/>
    <m/>
    <n v="0"/>
    <n v="0"/>
    <n v="0"/>
    <n v="616027"/>
    <n v="616027"/>
    <m/>
    <m/>
    <n v="0"/>
    <m/>
    <m/>
    <n v="0"/>
    <m/>
    <m/>
    <m/>
    <m/>
    <m/>
    <m/>
    <n v="616027"/>
    <n v="616027"/>
  </r>
  <r>
    <x v="0"/>
    <x v="22"/>
    <s v="SREB minority doctoral fellow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2"/>
    <m/>
    <m/>
    <m/>
    <m/>
    <m/>
    <m/>
    <m/>
    <m/>
    <n v="0"/>
    <m/>
    <m/>
    <n v="0"/>
    <n v="0"/>
    <n v="0"/>
    <n v="383724"/>
    <n v="393706"/>
    <m/>
    <m/>
    <n v="0"/>
    <m/>
    <m/>
    <n v="0"/>
    <m/>
    <m/>
    <m/>
    <m/>
    <m/>
    <m/>
    <n v="383724"/>
    <n v="393706"/>
  </r>
  <r>
    <x v="0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Alabama Student Assistance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2"/>
    <m/>
    <m/>
    <m/>
    <m/>
    <m/>
    <m/>
    <m/>
    <m/>
    <n v="0"/>
    <m/>
    <m/>
    <n v="0"/>
    <n v="0"/>
    <n v="0"/>
    <n v="4507130"/>
    <n v="4862533"/>
    <m/>
    <m/>
    <n v="0"/>
    <m/>
    <m/>
    <n v="0"/>
    <m/>
    <m/>
    <m/>
    <m/>
    <m/>
    <m/>
    <n v="4507130"/>
    <n v="4862533"/>
  </r>
  <r>
    <x v="0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0"/>
    <s v="Need-based"/>
    <m/>
    <m/>
    <x v="12"/>
    <m/>
    <m/>
    <m/>
    <m/>
    <m/>
    <m/>
    <m/>
    <m/>
    <n v="0"/>
    <m/>
    <m/>
    <n v="0"/>
    <n v="0"/>
    <n v="0"/>
    <n v="795376"/>
    <n v="858094"/>
    <m/>
    <m/>
    <n v="0"/>
    <m/>
    <m/>
    <n v="0"/>
    <m/>
    <m/>
    <m/>
    <m/>
    <m/>
    <m/>
    <n v="795376"/>
    <n v="858094"/>
  </r>
  <r>
    <x v="0"/>
    <x v="22"/>
    <s v="Dependents of blind parents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3"/>
    <s v="Need-based"/>
    <m/>
    <m/>
    <x v="12"/>
    <m/>
    <m/>
    <m/>
    <m/>
    <m/>
    <m/>
    <m/>
    <m/>
    <n v="0"/>
    <m/>
    <m/>
    <n v="0"/>
    <n v="0"/>
    <n v="0"/>
    <n v="10399"/>
    <n v="10399"/>
    <m/>
    <m/>
    <n v="0"/>
    <m/>
    <m/>
    <n v="0"/>
    <m/>
    <m/>
    <m/>
    <m/>
    <m/>
    <m/>
    <n v="10399"/>
    <n v="10399"/>
  </r>
  <r>
    <x v="0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Department of Veterans Affairs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2"/>
    <m/>
    <m/>
    <m/>
    <m/>
    <m/>
    <m/>
    <m/>
    <m/>
    <n v="0"/>
    <m/>
    <m/>
    <n v="0"/>
    <n v="0"/>
    <n v="0"/>
    <n v="82584496"/>
    <n v="82584496"/>
    <m/>
    <m/>
    <n v="0"/>
    <m/>
    <m/>
    <n v="0"/>
    <m/>
    <m/>
    <m/>
    <m/>
    <m/>
    <m/>
    <n v="82584496"/>
    <n v="82584496"/>
  </r>
  <r>
    <x v="0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Police Officer's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2"/>
    <m/>
    <m/>
    <m/>
    <m/>
    <m/>
    <m/>
    <m/>
    <m/>
    <n v="0"/>
    <m/>
    <m/>
    <n v="0"/>
    <n v="0"/>
    <n v="0"/>
    <n v="302000"/>
    <n v="300000"/>
    <m/>
    <m/>
    <n v="0"/>
    <m/>
    <m/>
    <n v="0"/>
    <m/>
    <m/>
    <m/>
    <m/>
    <m/>
    <m/>
    <n v="302000"/>
    <n v="300000"/>
  </r>
  <r>
    <x v="0"/>
    <x v="22"/>
    <s v="Fostering Hope Scholarship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2"/>
    <m/>
    <m/>
    <m/>
    <m/>
    <m/>
    <m/>
    <m/>
    <m/>
    <n v="0"/>
    <m/>
    <m/>
    <n v="0"/>
    <n v="0"/>
    <n v="0"/>
    <n v="1205608"/>
    <n v="1205608"/>
    <m/>
    <m/>
    <n v="0"/>
    <m/>
    <m/>
    <n v="0"/>
    <m/>
    <m/>
    <m/>
    <m/>
    <m/>
    <m/>
    <n v="1205608"/>
    <n v="1205608"/>
  </r>
  <r>
    <x v="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National Guard Ed Assistanc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2"/>
    <m/>
    <m/>
    <m/>
    <m/>
    <m/>
    <m/>
    <m/>
    <m/>
    <n v="0"/>
    <m/>
    <m/>
    <n v="0"/>
    <n v="0"/>
    <n v="0"/>
    <n v="4314310"/>
    <n v="4269865"/>
    <m/>
    <m/>
    <n v="0"/>
    <m/>
    <m/>
    <n v="0"/>
    <m/>
    <m/>
    <m/>
    <m/>
    <m/>
    <m/>
    <n v="4314310"/>
    <n v="4269865"/>
  </r>
  <r>
    <x v="0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9"/>
    <s v="Non need-based"/>
    <m/>
    <m/>
    <x v="12"/>
    <m/>
    <m/>
    <m/>
    <m/>
    <m/>
    <m/>
    <m/>
    <m/>
    <n v="0"/>
    <m/>
    <m/>
    <n v="0"/>
    <n v="0"/>
    <n v="0"/>
    <n v="479368"/>
    <n v="474430"/>
    <m/>
    <m/>
    <n v="0"/>
    <m/>
    <m/>
    <n v="0"/>
    <m/>
    <m/>
    <m/>
    <m/>
    <m/>
    <m/>
    <n v="479368"/>
    <n v="474430"/>
  </r>
  <r>
    <x v="0"/>
    <x v="22"/>
    <s v="Birmingham Promise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2"/>
    <m/>
    <m/>
    <m/>
    <m/>
    <m/>
    <m/>
    <m/>
    <m/>
    <n v="0"/>
    <m/>
    <m/>
    <n v="0"/>
    <n v="0"/>
    <n v="0"/>
    <m/>
    <n v="750000"/>
    <m/>
    <m/>
    <n v="0"/>
    <m/>
    <m/>
    <n v="0"/>
    <m/>
    <m/>
    <m/>
    <m/>
    <m/>
    <m/>
    <n v="0"/>
    <n v="750000"/>
  </r>
  <r>
    <x v="0"/>
    <x v="22"/>
    <s v="Math &amp; Science Teacher Ed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7"/>
    <s v="Non need-based"/>
    <m/>
    <m/>
    <x v="12"/>
    <m/>
    <m/>
    <m/>
    <m/>
    <m/>
    <m/>
    <m/>
    <m/>
    <n v="0"/>
    <m/>
    <m/>
    <n v="0"/>
    <n v="0"/>
    <n v="0"/>
    <n v="725000"/>
    <n v="703250"/>
    <m/>
    <m/>
    <n v="0"/>
    <m/>
    <m/>
    <n v="0"/>
    <m/>
    <m/>
    <m/>
    <m/>
    <m/>
    <m/>
    <n v="725000"/>
    <n v="703250"/>
  </r>
  <r>
    <x v="0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22"/>
    <s v="American Legion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3"/>
    <s v="Non need-based"/>
    <m/>
    <m/>
    <x v="12"/>
    <m/>
    <m/>
    <m/>
    <m/>
    <m/>
    <m/>
    <m/>
    <m/>
    <n v="0"/>
    <m/>
    <m/>
    <n v="0"/>
    <n v="0"/>
    <n v="0"/>
    <n v="112500"/>
    <n v="112500"/>
    <m/>
    <m/>
    <n v="0"/>
    <m/>
    <m/>
    <n v="0"/>
    <m/>
    <m/>
    <m/>
    <m/>
    <m/>
    <m/>
    <n v="112500"/>
    <n v="112500"/>
  </r>
  <r>
    <x v="0"/>
    <x v="34"/>
    <s v="Limited to private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4"/>
    <s v="Alabama Student Grant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0"/>
    <x v="36"/>
    <s v="Non need-based"/>
    <m/>
    <m/>
    <x v="12"/>
    <m/>
    <m/>
    <m/>
    <m/>
    <m/>
    <m/>
    <m/>
    <m/>
    <n v="0"/>
    <m/>
    <m/>
    <n v="0"/>
    <n v="0"/>
    <n v="0"/>
    <n v="6366482"/>
    <n v="6795945"/>
    <m/>
    <m/>
    <n v="0"/>
    <m/>
    <m/>
    <n v="0"/>
    <m/>
    <m/>
    <m/>
    <m/>
    <m/>
    <m/>
    <n v="6366482"/>
    <n v="6795945"/>
  </r>
  <r>
    <x v="1"/>
    <x v="0"/>
    <s v="University of Arkansas, Fayetteville"/>
    <m/>
    <n v="106397"/>
    <x v="0"/>
    <n v="132493798"/>
    <n v="133641316"/>
    <m/>
    <m/>
    <m/>
    <m/>
    <n v="250062036"/>
    <m/>
    <n v="250062036"/>
    <n v="330448683"/>
    <m/>
    <n v="330448683"/>
    <n v="382555834"/>
    <n v="464089999"/>
    <m/>
    <m/>
    <m/>
    <m/>
    <n v="0"/>
    <m/>
    <m/>
    <n v="0"/>
    <m/>
    <m/>
    <m/>
    <m/>
    <m/>
    <m/>
    <n v="382555834"/>
    <n v="464089999"/>
  </r>
  <r>
    <x v="1"/>
    <x v="37"/>
    <s v="Agricultural cooperative extension"/>
    <m/>
    <n v="106397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7"/>
    <s v="Univ of Ark. System Divison of Agriculture"/>
    <m/>
    <n v="106397"/>
    <x v="0"/>
    <m/>
    <m/>
    <n v="70123228"/>
    <n v="72190502"/>
    <m/>
    <m/>
    <n v="0"/>
    <m/>
    <n v="0"/>
    <m/>
    <m/>
    <n v="0"/>
    <n v="70123228"/>
    <n v="72190502"/>
    <m/>
    <m/>
    <m/>
    <m/>
    <n v="0"/>
    <m/>
    <m/>
    <n v="0"/>
    <m/>
    <m/>
    <m/>
    <m/>
    <m/>
    <m/>
    <n v="70123228"/>
    <n v="72190502"/>
  </r>
  <r>
    <x v="1"/>
    <x v="11"/>
    <s v="Univ of Ark. System Archeological Survey"/>
    <m/>
    <n v="106397"/>
    <x v="0"/>
    <m/>
    <m/>
    <n v="2520148"/>
    <n v="2524962"/>
    <m/>
    <m/>
    <n v="0"/>
    <m/>
    <n v="0"/>
    <m/>
    <m/>
    <n v="0"/>
    <n v="2520148"/>
    <n v="2524962"/>
    <m/>
    <m/>
    <m/>
    <m/>
    <n v="0"/>
    <m/>
    <m/>
    <n v="0"/>
    <m/>
    <m/>
    <m/>
    <m/>
    <m/>
    <m/>
    <n v="2520148"/>
    <n v="2524962"/>
  </r>
  <r>
    <x v="1"/>
    <x v="11"/>
    <s v="Univ of Ark. System Criminal Justice Institute"/>
    <m/>
    <n v="106397"/>
    <x v="0"/>
    <m/>
    <m/>
    <n v="1858633"/>
    <n v="2258634"/>
    <m/>
    <m/>
    <n v="0"/>
    <m/>
    <n v="0"/>
    <m/>
    <m/>
    <n v="0"/>
    <n v="1858633"/>
    <n v="2258634"/>
    <m/>
    <m/>
    <m/>
    <m/>
    <n v="0"/>
    <m/>
    <m/>
    <n v="0"/>
    <m/>
    <m/>
    <m/>
    <m/>
    <m/>
    <m/>
    <n v="1858633"/>
    <n v="2258634"/>
  </r>
  <r>
    <x v="1"/>
    <x v="3"/>
    <s v="Community or public service units"/>
    <m/>
    <n v="106397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"/>
    <s v="Univ. of Ark. System Arkansas School of Mathematics, Sciences and the Arts"/>
    <m/>
    <n v="106397"/>
    <x v="0"/>
    <m/>
    <m/>
    <n v="9408690"/>
    <n v="9672854"/>
    <m/>
    <m/>
    <n v="0"/>
    <m/>
    <n v="0"/>
    <m/>
    <m/>
    <n v="0"/>
    <n v="9408690"/>
    <n v="9672854"/>
    <m/>
    <m/>
    <m/>
    <m/>
    <n v="0"/>
    <m/>
    <m/>
    <n v="0"/>
    <m/>
    <m/>
    <m/>
    <m/>
    <m/>
    <m/>
    <n v="9408690"/>
    <n v="9672854"/>
  </r>
  <r>
    <x v="1"/>
    <x v="0"/>
    <s v="Clinton School for Public Service"/>
    <m/>
    <n v="106397"/>
    <x v="0"/>
    <m/>
    <m/>
    <n v="2336895"/>
    <n v="2336896"/>
    <m/>
    <m/>
    <n v="1325000"/>
    <m/>
    <n v="1325000"/>
    <n v="1048844"/>
    <m/>
    <n v="1048844"/>
    <n v="3661895"/>
    <n v="3385740"/>
    <m/>
    <m/>
    <m/>
    <m/>
    <n v="0"/>
    <m/>
    <m/>
    <n v="0"/>
    <m/>
    <m/>
    <m/>
    <m/>
    <m/>
    <m/>
    <n v="3661895"/>
    <n v="3385740"/>
  </r>
  <r>
    <x v="1"/>
    <x v="0"/>
    <s v="University of Arkansas at Little Rock"/>
    <m/>
    <n v="106245"/>
    <x v="1"/>
    <n v="62805132"/>
    <n v="63093365"/>
    <m/>
    <m/>
    <m/>
    <m/>
    <n v="71918687"/>
    <m/>
    <n v="71918687"/>
    <n v="65571181"/>
    <m/>
    <n v="65571181"/>
    <n v="134723819"/>
    <n v="128664546"/>
    <m/>
    <m/>
    <m/>
    <m/>
    <n v="0"/>
    <m/>
    <m/>
    <n v="0"/>
    <m/>
    <m/>
    <m/>
    <m/>
    <m/>
    <m/>
    <n v="134723819"/>
    <n v="128664546"/>
  </r>
  <r>
    <x v="1"/>
    <x v="3"/>
    <s v="Community or public service units"/>
    <m/>
    <n v="106245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"/>
    <s v="Research and Public Service Unit"/>
    <m/>
    <n v="106245"/>
    <x v="1"/>
    <m/>
    <m/>
    <n v="4161417"/>
    <n v="4161417"/>
    <m/>
    <m/>
    <m/>
    <m/>
    <n v="0"/>
    <m/>
    <m/>
    <n v="0"/>
    <n v="4161417"/>
    <n v="4161417"/>
    <m/>
    <m/>
    <m/>
    <m/>
    <n v="0"/>
    <m/>
    <m/>
    <n v="0"/>
    <m/>
    <m/>
    <m/>
    <m/>
    <m/>
    <m/>
    <n v="4161417"/>
    <n v="4161417"/>
  </r>
  <r>
    <x v="1"/>
    <x v="0"/>
    <s v="Arkansas State University"/>
    <m/>
    <n v="106458"/>
    <x v="2"/>
    <n v="63192266"/>
    <n v="64605932"/>
    <m/>
    <m/>
    <m/>
    <m/>
    <n v="101588348"/>
    <m/>
    <n v="101588348"/>
    <n v="104536058"/>
    <m/>
    <n v="104536058"/>
    <n v="164780614"/>
    <n v="169141990"/>
    <m/>
    <m/>
    <m/>
    <m/>
    <n v="0"/>
    <m/>
    <m/>
    <n v="0"/>
    <m/>
    <m/>
    <m/>
    <m/>
    <m/>
    <m/>
    <n v="164780614"/>
    <n v="169141990"/>
  </r>
  <r>
    <x v="1"/>
    <x v="3"/>
    <s v="Community or public service units"/>
    <m/>
    <n v="106458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0"/>
    <s v="Arkansas Tech University"/>
    <m/>
    <n v="106467"/>
    <x v="2"/>
    <n v="32733915"/>
    <n v="33323117"/>
    <m/>
    <m/>
    <m/>
    <m/>
    <n v="68551156"/>
    <m/>
    <n v="68551156"/>
    <n v="67337772"/>
    <m/>
    <n v="67337772"/>
    <n v="101285071"/>
    <n v="100660889"/>
    <m/>
    <m/>
    <m/>
    <m/>
    <n v="0"/>
    <m/>
    <m/>
    <n v="0"/>
    <m/>
    <m/>
    <m/>
    <m/>
    <m/>
    <m/>
    <n v="101285071"/>
    <n v="100660889"/>
  </r>
  <r>
    <x v="1"/>
    <x v="3"/>
    <s v="Community or public service units"/>
    <m/>
    <n v="106467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"/>
    <s v="Arkansas Tech University - Ozark"/>
    <m/>
    <n v="106467"/>
    <x v="2"/>
    <m/>
    <m/>
    <n v="3213029"/>
    <n v="3276109"/>
    <m/>
    <m/>
    <n v="5201550"/>
    <m/>
    <n v="5201550"/>
    <n v="4828050"/>
    <m/>
    <n v="4828050"/>
    <n v="8414579"/>
    <n v="8104159"/>
    <m/>
    <m/>
    <m/>
    <m/>
    <n v="0"/>
    <m/>
    <m/>
    <n v="0"/>
    <m/>
    <m/>
    <m/>
    <m/>
    <m/>
    <m/>
    <n v="8414579"/>
    <n v="8104159"/>
  </r>
  <r>
    <x v="1"/>
    <x v="0"/>
    <s v="University of Central Arkansas "/>
    <m/>
    <n v="106704"/>
    <x v="2"/>
    <n v="59635056"/>
    <n v="60756666"/>
    <m/>
    <m/>
    <m/>
    <m/>
    <n v="90714545"/>
    <m/>
    <n v="90714545"/>
    <n v="95119694"/>
    <m/>
    <n v="95119694"/>
    <n v="150349601"/>
    <n v="155876360"/>
    <m/>
    <m/>
    <m/>
    <m/>
    <n v="0"/>
    <m/>
    <m/>
    <n v="0"/>
    <m/>
    <m/>
    <m/>
    <m/>
    <m/>
    <m/>
    <n v="150349601"/>
    <n v="155876360"/>
  </r>
  <r>
    <x v="1"/>
    <x v="0"/>
    <s v="Henderson State University "/>
    <m/>
    <n v="107071"/>
    <x v="3"/>
    <n v="21389785"/>
    <n v="21450380"/>
    <m/>
    <m/>
    <m/>
    <m/>
    <n v="29278838"/>
    <m/>
    <n v="29278838"/>
    <n v="27214559"/>
    <m/>
    <n v="27214559"/>
    <n v="50668623"/>
    <n v="48664939"/>
    <m/>
    <m/>
    <m/>
    <m/>
    <n v="0"/>
    <m/>
    <m/>
    <n v="0"/>
    <m/>
    <m/>
    <m/>
    <m/>
    <m/>
    <m/>
    <n v="50668623"/>
    <n v="48664939"/>
  </r>
  <r>
    <x v="1"/>
    <x v="3"/>
    <s v="Community or public service units"/>
    <m/>
    <n v="107071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"/>
    <s v="Henderson State Community Education Center "/>
    <m/>
    <n v="107071"/>
    <x v="3"/>
    <m/>
    <m/>
    <n v="81234"/>
    <n v="81234"/>
    <m/>
    <m/>
    <m/>
    <m/>
    <n v="0"/>
    <m/>
    <m/>
    <n v="0"/>
    <n v="81234"/>
    <n v="81234"/>
    <m/>
    <m/>
    <m/>
    <m/>
    <n v="0"/>
    <m/>
    <m/>
    <n v="0"/>
    <m/>
    <m/>
    <m/>
    <m/>
    <m/>
    <m/>
    <n v="81234"/>
    <n v="81234"/>
  </r>
  <r>
    <x v="1"/>
    <x v="0"/>
    <s v="Southern Arkansas University"/>
    <m/>
    <n v="107983"/>
    <x v="3"/>
    <n v="18975426"/>
    <n v="18657621"/>
    <m/>
    <m/>
    <m/>
    <m/>
    <n v="35485878"/>
    <m/>
    <n v="35485878"/>
    <n v="41895786"/>
    <m/>
    <n v="41895786"/>
    <n v="54461304"/>
    <n v="60553407"/>
    <m/>
    <m/>
    <m/>
    <m/>
    <n v="0"/>
    <m/>
    <m/>
    <n v="0"/>
    <m/>
    <m/>
    <m/>
    <m/>
    <m/>
    <m/>
    <n v="54461304"/>
    <n v="60553407"/>
  </r>
  <r>
    <x v="1"/>
    <x v="0"/>
    <s v="University of Arkansas at Monticello"/>
    <m/>
    <n v="106485"/>
    <x v="3"/>
    <n v="14326386"/>
    <n v="14525673"/>
    <m/>
    <m/>
    <m/>
    <m/>
    <n v="17236033"/>
    <m/>
    <n v="17236033"/>
    <n v="20242443"/>
    <m/>
    <n v="20242443"/>
    <n v="31562419"/>
    <n v="34768116"/>
    <m/>
    <m/>
    <m/>
    <m/>
    <n v="0"/>
    <m/>
    <m/>
    <n v="0"/>
    <m/>
    <m/>
    <m/>
    <m/>
    <m/>
    <m/>
    <n v="31562419"/>
    <n v="34768116"/>
  </r>
  <r>
    <x v="1"/>
    <x v="3"/>
    <s v="Community or public service units"/>
    <s v=" "/>
    <n v="106485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"/>
    <s v="UAM College of Technology-McGehee"/>
    <s v=" "/>
    <n v="106485"/>
    <x v="3"/>
    <m/>
    <m/>
    <n v="2412775"/>
    <n v="2432976"/>
    <m/>
    <m/>
    <n v="815562"/>
    <m/>
    <n v="815562"/>
    <n v="941462"/>
    <m/>
    <n v="941462"/>
    <n v="3228337"/>
    <n v="3374438"/>
    <m/>
    <m/>
    <m/>
    <m/>
    <n v="0"/>
    <m/>
    <m/>
    <n v="0"/>
    <m/>
    <m/>
    <m/>
    <m/>
    <m/>
    <m/>
    <n v="3228337"/>
    <n v="3374438"/>
  </r>
  <r>
    <x v="1"/>
    <x v="3"/>
    <s v="UAM College of Technology-Crossett "/>
    <m/>
    <n v="106485"/>
    <x v="3"/>
    <m/>
    <m/>
    <n v="1799780"/>
    <n v="1841836"/>
    <m/>
    <m/>
    <n v="888743"/>
    <m/>
    <n v="888743"/>
    <n v="791917"/>
    <m/>
    <n v="791917"/>
    <n v="2688523"/>
    <n v="2633753"/>
    <m/>
    <m/>
    <m/>
    <m/>
    <n v="0"/>
    <m/>
    <m/>
    <n v="0"/>
    <m/>
    <m/>
    <m/>
    <m/>
    <m/>
    <m/>
    <n v="2688523"/>
    <n v="2633753"/>
  </r>
  <r>
    <x v="1"/>
    <x v="0"/>
    <s v="University of Arkansas at Fort Smith"/>
    <m/>
    <n v="108092"/>
    <x v="5"/>
    <n v="24144594"/>
    <n v="24031204"/>
    <m/>
    <m/>
    <n v="6247185"/>
    <n v="7246839"/>
    <n v="33795071"/>
    <m/>
    <n v="33795071"/>
    <n v="37037703"/>
    <m/>
    <n v="37037703"/>
    <n v="64186850"/>
    <n v="68315746"/>
    <m/>
    <m/>
    <m/>
    <m/>
    <n v="0"/>
    <m/>
    <m/>
    <n v="0"/>
    <m/>
    <m/>
    <m/>
    <m/>
    <m/>
    <m/>
    <n v="64186850"/>
    <n v="68315746"/>
  </r>
  <r>
    <x v="1"/>
    <x v="0"/>
    <s v="University of Arkansas at Pine Bluff"/>
    <s v="Met the criteria for Four-Year 4 in 2020-21."/>
    <n v="106412"/>
    <x v="5"/>
    <n v="24280824"/>
    <n v="28427100"/>
    <m/>
    <m/>
    <m/>
    <m/>
    <n v="20719242"/>
    <m/>
    <n v="20719242"/>
    <n v="23399599"/>
    <m/>
    <n v="23399599"/>
    <n v="45000066"/>
    <n v="51826699"/>
    <m/>
    <m/>
    <m/>
    <m/>
    <n v="0"/>
    <m/>
    <m/>
    <n v="0"/>
    <m/>
    <m/>
    <m/>
    <m/>
    <m/>
    <m/>
    <n v="45000066"/>
    <n v="51826699"/>
  </r>
  <r>
    <x v="1"/>
    <x v="0"/>
    <s v="Northwest Arkansas Community College "/>
    <s v="Met the criteria for Two-Year 2 in 2020-21."/>
    <n v="367459"/>
    <x v="6"/>
    <n v="12559563"/>
    <n v="13362899"/>
    <m/>
    <m/>
    <n v="11003333"/>
    <n v="11984504"/>
    <n v="23408921"/>
    <m/>
    <n v="23408921"/>
    <n v="23171155"/>
    <m/>
    <n v="23171155"/>
    <n v="46971817"/>
    <n v="48518558"/>
    <m/>
    <m/>
    <m/>
    <m/>
    <n v="0"/>
    <m/>
    <m/>
    <n v="0"/>
    <m/>
    <m/>
    <m/>
    <m/>
    <m/>
    <m/>
    <n v="46971817"/>
    <n v="48518558"/>
  </r>
  <r>
    <x v="1"/>
    <x v="0"/>
    <s v="Arkansas State University-Beebe"/>
    <m/>
    <n v="106449"/>
    <x v="7"/>
    <n v="14422334"/>
    <n v="14297628"/>
    <m/>
    <m/>
    <n v="1791708"/>
    <n v="2292974"/>
    <n v="9945394"/>
    <m/>
    <n v="9945394"/>
    <n v="8252503"/>
    <m/>
    <n v="8252503"/>
    <n v="26159436"/>
    <n v="24843105"/>
    <m/>
    <m/>
    <m/>
    <m/>
    <n v="0"/>
    <m/>
    <m/>
    <n v="0"/>
    <m/>
    <m/>
    <m/>
    <m/>
    <m/>
    <m/>
    <n v="26159436"/>
    <n v="24843105"/>
  </r>
  <r>
    <x v="1"/>
    <x v="0"/>
    <s v="University of Arkansas - Pulaski Technical College"/>
    <m/>
    <n v="107664"/>
    <x v="7"/>
    <n v="17404858"/>
    <n v="17186419"/>
    <m/>
    <m/>
    <m/>
    <m/>
    <n v="23293269"/>
    <m/>
    <n v="23293269"/>
    <n v="22870418"/>
    <m/>
    <n v="22870418"/>
    <n v="40698127"/>
    <n v="40056837"/>
    <m/>
    <m/>
    <m/>
    <m/>
    <n v="0"/>
    <m/>
    <m/>
    <n v="0"/>
    <m/>
    <m/>
    <m/>
    <m/>
    <m/>
    <m/>
    <n v="40698127"/>
    <n v="40056837"/>
  </r>
  <r>
    <x v="1"/>
    <x v="0"/>
    <s v="Arkansas Northeastern College"/>
    <m/>
    <n v="107327"/>
    <x v="8"/>
    <n v="10140236"/>
    <n v="10377660"/>
    <m/>
    <m/>
    <n v="841684"/>
    <n v="846473"/>
    <n v="2672249"/>
    <m/>
    <n v="2672249"/>
    <n v="2748343"/>
    <m/>
    <n v="2748343"/>
    <n v="13654169"/>
    <n v="13972476"/>
    <m/>
    <m/>
    <m/>
    <m/>
    <n v="0"/>
    <m/>
    <m/>
    <n v="0"/>
    <m/>
    <m/>
    <m/>
    <m/>
    <m/>
    <m/>
    <n v="13654169"/>
    <n v="13972476"/>
  </r>
  <r>
    <x v="1"/>
    <x v="0"/>
    <s v="Arkansas State University Mid-South"/>
    <m/>
    <n v="107318"/>
    <x v="8"/>
    <n v="6136414"/>
    <n v="7760297"/>
    <m/>
    <m/>
    <n v="2935242"/>
    <n v="3087368"/>
    <n v="3121525"/>
    <m/>
    <n v="3121525"/>
    <n v="2617185"/>
    <m/>
    <n v="2617185"/>
    <n v="12193181"/>
    <n v="13464850"/>
    <m/>
    <m/>
    <m/>
    <m/>
    <n v="0"/>
    <m/>
    <m/>
    <n v="0"/>
    <m/>
    <m/>
    <m/>
    <m/>
    <m/>
    <m/>
    <n v="12193181"/>
    <n v="13464850"/>
  </r>
  <r>
    <x v="1"/>
    <x v="0"/>
    <s v="Arkansas State University Mountain Home"/>
    <m/>
    <n v="420538"/>
    <x v="8"/>
    <n v="4664755"/>
    <n v="4507691"/>
    <m/>
    <m/>
    <n v="1454816"/>
    <n v="1592529"/>
    <n v="4177189"/>
    <m/>
    <n v="4177189"/>
    <n v="3805066"/>
    <m/>
    <n v="3805066"/>
    <n v="10296760"/>
    <n v="9905286"/>
    <m/>
    <m/>
    <m/>
    <m/>
    <n v="0"/>
    <m/>
    <m/>
    <n v="0"/>
    <m/>
    <m/>
    <m/>
    <m/>
    <m/>
    <m/>
    <n v="10296760"/>
    <n v="9905286"/>
  </r>
  <r>
    <x v="1"/>
    <x v="0"/>
    <s v="Arkansas State University-Newport"/>
    <m/>
    <n v="440402"/>
    <x v="8"/>
    <n v="8391250"/>
    <n v="8215653"/>
    <m/>
    <m/>
    <n v="1060410"/>
    <n v="1190965"/>
    <n v="7710652"/>
    <m/>
    <n v="7710652"/>
    <n v="6683755"/>
    <m/>
    <n v="6683755"/>
    <n v="17162312"/>
    <n v="16090373"/>
    <m/>
    <m/>
    <m/>
    <m/>
    <n v="0"/>
    <m/>
    <m/>
    <n v="0"/>
    <m/>
    <m/>
    <m/>
    <m/>
    <m/>
    <m/>
    <n v="17162312"/>
    <n v="16090373"/>
  </r>
  <r>
    <x v="1"/>
    <x v="0"/>
    <s v="Black River Technical College"/>
    <m/>
    <n v="106625"/>
    <x v="8"/>
    <n v="8356160"/>
    <n v="8267940"/>
    <m/>
    <m/>
    <m/>
    <m/>
    <n v="4980575"/>
    <m/>
    <n v="4980575"/>
    <n v="6084064"/>
    <m/>
    <n v="6084064"/>
    <n v="13336735"/>
    <n v="14352004"/>
    <m/>
    <m/>
    <m/>
    <m/>
    <n v="0"/>
    <m/>
    <m/>
    <n v="0"/>
    <m/>
    <m/>
    <m/>
    <m/>
    <m/>
    <m/>
    <n v="13336735"/>
    <n v="14352004"/>
  </r>
  <r>
    <x v="1"/>
    <x v="0"/>
    <s v="Arkansas State University Three Rivers"/>
    <s v="2019-20: Institution joined one of our university systems"/>
    <n v="107521"/>
    <x v="8"/>
    <n v="4714219"/>
    <n v="4662856"/>
    <m/>
    <m/>
    <m/>
    <m/>
    <n v="2908500"/>
    <m/>
    <n v="2908500"/>
    <n v="2877603"/>
    <m/>
    <n v="2877603"/>
    <n v="7622719"/>
    <n v="7540459"/>
    <m/>
    <m/>
    <m/>
    <m/>
    <n v="0"/>
    <m/>
    <m/>
    <n v="0"/>
    <m/>
    <m/>
    <m/>
    <m/>
    <m/>
    <m/>
    <n v="7622719"/>
    <n v="7540459"/>
  </r>
  <r>
    <x v="1"/>
    <x v="0"/>
    <s v="Cossatot Community College of the University of Arkansas"/>
    <m/>
    <n v="106795"/>
    <x v="8"/>
    <n v="4962939"/>
    <n v="4826376"/>
    <m/>
    <m/>
    <n v="1377932"/>
    <n v="1352403"/>
    <n v="4150000"/>
    <m/>
    <n v="4150000"/>
    <n v="3963495"/>
    <m/>
    <n v="3963495"/>
    <n v="10490871"/>
    <n v="10142274"/>
    <m/>
    <m/>
    <m/>
    <m/>
    <n v="0"/>
    <m/>
    <m/>
    <n v="0"/>
    <m/>
    <m/>
    <m/>
    <m/>
    <m/>
    <m/>
    <n v="10490871"/>
    <n v="10142274"/>
  </r>
  <r>
    <x v="1"/>
    <x v="0"/>
    <s v="East Arkansas Community College "/>
    <m/>
    <n v="106883"/>
    <x v="8"/>
    <n v="10084694"/>
    <n v="10012255"/>
    <m/>
    <m/>
    <n v="316550"/>
    <n v="370073"/>
    <n v="3086740"/>
    <m/>
    <n v="3086740"/>
    <n v="2760731"/>
    <m/>
    <n v="2760731"/>
    <n v="13487984"/>
    <n v="13143059"/>
    <m/>
    <m/>
    <m/>
    <m/>
    <n v="0"/>
    <m/>
    <m/>
    <n v="0"/>
    <m/>
    <m/>
    <m/>
    <m/>
    <m/>
    <m/>
    <n v="13487984"/>
    <n v="13143059"/>
  </r>
  <r>
    <x v="1"/>
    <x v="0"/>
    <s v="National Park College"/>
    <m/>
    <n v="106980"/>
    <x v="8"/>
    <n v="11015738"/>
    <n v="10926851"/>
    <m/>
    <m/>
    <n v="1493881"/>
    <n v="1695833"/>
    <n v="7987000"/>
    <m/>
    <n v="7987000"/>
    <n v="7052667"/>
    <m/>
    <n v="7052667"/>
    <n v="20496619"/>
    <n v="19675351"/>
    <m/>
    <m/>
    <m/>
    <m/>
    <n v="0"/>
    <m/>
    <m/>
    <n v="0"/>
    <m/>
    <m/>
    <m/>
    <m/>
    <m/>
    <m/>
    <n v="20496619"/>
    <n v="19675351"/>
  </r>
  <r>
    <x v="1"/>
    <x v="0"/>
    <s v="North Arkansas College"/>
    <m/>
    <n v="107460"/>
    <x v="8"/>
    <n v="9093165"/>
    <n v="8994083"/>
    <m/>
    <m/>
    <n v="898777"/>
    <n v="946561"/>
    <n v="5002707"/>
    <m/>
    <n v="5002707"/>
    <n v="4928551"/>
    <m/>
    <n v="4928551"/>
    <n v="14994649"/>
    <n v="14869195"/>
    <m/>
    <m/>
    <m/>
    <m/>
    <n v="0"/>
    <m/>
    <m/>
    <n v="0"/>
    <m/>
    <m/>
    <m/>
    <m/>
    <m/>
    <m/>
    <n v="14994649"/>
    <n v="14869195"/>
  </r>
  <r>
    <x v="1"/>
    <x v="0"/>
    <s v="Ozarka College "/>
    <m/>
    <n v="107549"/>
    <x v="8"/>
    <n v="4397004"/>
    <n v="4351888"/>
    <m/>
    <m/>
    <n v="477739"/>
    <n v="591394"/>
    <n v="3362720"/>
    <m/>
    <n v="3362720"/>
    <n v="3745392"/>
    <m/>
    <n v="3745392"/>
    <n v="8237463"/>
    <n v="8688674"/>
    <m/>
    <m/>
    <m/>
    <m/>
    <n v="0"/>
    <m/>
    <m/>
    <n v="0"/>
    <m/>
    <m/>
    <m/>
    <m/>
    <m/>
    <m/>
    <n v="8237463"/>
    <n v="8688674"/>
  </r>
  <r>
    <x v="1"/>
    <x v="0"/>
    <s v="Phillips Community College of the Univ of Arkansas"/>
    <m/>
    <n v="107619"/>
    <x v="8"/>
    <n v="10438889"/>
    <n v="10486053"/>
    <m/>
    <m/>
    <n v="2215791"/>
    <n v="2080969"/>
    <n v="3009900"/>
    <m/>
    <n v="3009900"/>
    <n v="2311596"/>
    <m/>
    <n v="2311596"/>
    <n v="15664580"/>
    <n v="14878618"/>
    <m/>
    <m/>
    <m/>
    <m/>
    <n v="0"/>
    <m/>
    <m/>
    <n v="0"/>
    <m/>
    <m/>
    <m/>
    <m/>
    <m/>
    <m/>
    <n v="15664580"/>
    <n v="14878618"/>
  </r>
  <r>
    <x v="1"/>
    <x v="0"/>
    <s v="University of Arkansas Community College Rich Mountain"/>
    <m/>
    <n v="107743"/>
    <x v="8"/>
    <n v="3435845"/>
    <n v="3831157"/>
    <m/>
    <m/>
    <n v="441316"/>
    <n v="484757"/>
    <n v="2718885"/>
    <m/>
    <n v="2718885"/>
    <n v="2665126"/>
    <m/>
    <n v="2665126"/>
    <n v="6596046"/>
    <n v="6981040"/>
    <m/>
    <m/>
    <m/>
    <m/>
    <n v="0"/>
    <m/>
    <m/>
    <n v="0"/>
    <m/>
    <m/>
    <m/>
    <m/>
    <m/>
    <m/>
    <n v="6596046"/>
    <n v="6981040"/>
  </r>
  <r>
    <x v="1"/>
    <x v="0"/>
    <s v="South Arkansas Community College"/>
    <m/>
    <n v="107974"/>
    <x v="8"/>
    <n v="7310943"/>
    <n v="7110149"/>
    <m/>
    <m/>
    <n v="484475"/>
    <n v="477165"/>
    <n v="4650156"/>
    <m/>
    <n v="4650156"/>
    <n v="3895501"/>
    <m/>
    <n v="3895501"/>
    <n v="12445574"/>
    <n v="11482815"/>
    <m/>
    <m/>
    <m/>
    <m/>
    <n v="0"/>
    <m/>
    <m/>
    <n v="0"/>
    <m/>
    <m/>
    <m/>
    <m/>
    <m/>
    <m/>
    <n v="12445574"/>
    <n v="11482815"/>
  </r>
  <r>
    <x v="1"/>
    <x v="0"/>
    <s v="Southeast Arkansas College"/>
    <m/>
    <n v="107637"/>
    <x v="8"/>
    <n v="7609632"/>
    <n v="7528290"/>
    <m/>
    <m/>
    <m/>
    <m/>
    <n v="3244789"/>
    <m/>
    <n v="3244789"/>
    <n v="3297710"/>
    <m/>
    <n v="3297710"/>
    <n v="10854421"/>
    <n v="10826000"/>
    <m/>
    <m/>
    <m/>
    <m/>
    <n v="0"/>
    <m/>
    <m/>
    <n v="0"/>
    <m/>
    <m/>
    <m/>
    <m/>
    <m/>
    <m/>
    <n v="10854421"/>
    <n v="10826000"/>
  </r>
  <r>
    <x v="1"/>
    <x v="0"/>
    <s v="Southern Arkansas University Tech"/>
    <m/>
    <n v="107992"/>
    <x v="8"/>
    <n v="5938370"/>
    <n v="5870730"/>
    <m/>
    <m/>
    <m/>
    <m/>
    <n v="4954055"/>
    <m/>
    <n v="4954055"/>
    <n v="4103870"/>
    <m/>
    <n v="4103870"/>
    <n v="10892425"/>
    <n v="9974600"/>
    <m/>
    <m/>
    <m/>
    <m/>
    <n v="0"/>
    <m/>
    <m/>
    <n v="0"/>
    <m/>
    <m/>
    <m/>
    <m/>
    <m/>
    <m/>
    <n v="10892425"/>
    <n v="9974600"/>
  </r>
  <r>
    <x v="1"/>
    <x v="3"/>
    <s v="Environmental Control Academy &amp; Fire Control Academy"/>
    <m/>
    <n v="107992"/>
    <x v="8"/>
    <m/>
    <m/>
    <n v="2194790"/>
    <n v="2199221"/>
    <m/>
    <m/>
    <n v="435500"/>
    <m/>
    <n v="435500"/>
    <n v="523470"/>
    <m/>
    <n v="523470"/>
    <n v="2630290"/>
    <n v="2722691"/>
    <m/>
    <m/>
    <m/>
    <m/>
    <n v="0"/>
    <m/>
    <m/>
    <n v="0"/>
    <m/>
    <m/>
    <m/>
    <m/>
    <m/>
    <m/>
    <n v="2630290"/>
    <n v="2722691"/>
  </r>
  <r>
    <x v="1"/>
    <x v="0"/>
    <s v="University of Arkansas Community College at Batesville"/>
    <m/>
    <n v="106999"/>
    <x v="8"/>
    <n v="5061933"/>
    <n v="4996893"/>
    <m/>
    <m/>
    <n v="1502001"/>
    <n v="1765284"/>
    <n v="3490637"/>
    <m/>
    <n v="3490637"/>
    <n v="3011700"/>
    <m/>
    <n v="3011700"/>
    <n v="10054571"/>
    <n v="9773877"/>
    <m/>
    <m/>
    <m/>
    <m/>
    <n v="0"/>
    <m/>
    <m/>
    <n v="0"/>
    <m/>
    <m/>
    <m/>
    <m/>
    <m/>
    <m/>
    <n v="10054571"/>
    <n v="9773877"/>
  </r>
  <r>
    <x v="1"/>
    <x v="0"/>
    <s v="University of Arkansas Community College at Hope-Texarkana"/>
    <m/>
    <n v="107725"/>
    <x v="8"/>
    <n v="6971807"/>
    <n v="6948043"/>
    <m/>
    <m/>
    <n v="1501704"/>
    <n v="1561687"/>
    <n v="3415558"/>
    <m/>
    <n v="3415558"/>
    <n v="2867899"/>
    <m/>
    <n v="2867899"/>
    <n v="11889069"/>
    <n v="11377629"/>
    <m/>
    <m/>
    <m/>
    <m/>
    <n v="0"/>
    <m/>
    <m/>
    <n v="0"/>
    <m/>
    <m/>
    <m/>
    <m/>
    <m/>
    <m/>
    <n v="11889069"/>
    <n v="11377629"/>
  </r>
  <r>
    <x v="1"/>
    <x v="0"/>
    <s v="University of Arkansas Community College at Morrilton"/>
    <m/>
    <n v="107585"/>
    <x v="8"/>
    <n v="6311812"/>
    <n v="6695675"/>
    <m/>
    <m/>
    <n v="744688"/>
    <n v="891469"/>
    <n v="6497934"/>
    <m/>
    <n v="6497934"/>
    <n v="6167665"/>
    <m/>
    <n v="6167665"/>
    <n v="13554434"/>
    <n v="13754809"/>
    <m/>
    <m/>
    <m/>
    <m/>
    <n v="0"/>
    <m/>
    <m/>
    <n v="0"/>
    <m/>
    <m/>
    <m/>
    <m/>
    <m/>
    <m/>
    <n v="13554434"/>
    <n v="13754809"/>
  </r>
  <r>
    <x v="1"/>
    <x v="38"/>
    <s v="University of Arkansas for Medical Sciences"/>
    <m/>
    <n v="106263"/>
    <x v="11"/>
    <m/>
    <m/>
    <m/>
    <m/>
    <m/>
    <m/>
    <m/>
    <m/>
    <n v="0"/>
    <m/>
    <m/>
    <n v="0"/>
    <n v="0"/>
    <n v="0"/>
    <m/>
    <m/>
    <m/>
    <m/>
    <n v="0"/>
    <m/>
    <m/>
    <n v="0"/>
    <n v="107777725"/>
    <n v="108124376"/>
    <n v="47840199"/>
    <m/>
    <n v="49671650"/>
    <m/>
    <n v="155617924"/>
    <n v="157796026"/>
  </r>
  <r>
    <x v="1"/>
    <x v="13"/>
    <s v="All Other State Operating Appropriations Related to Postsecondary Education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3"/>
    <s v="Y.O.U. Program for At-Risk Youth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3"/>
    <s v="Tuition Waiver Adjustments"/>
    <m/>
    <m/>
    <x v="12"/>
    <m/>
    <m/>
    <n v="350000"/>
    <n v="350000"/>
    <m/>
    <m/>
    <m/>
    <m/>
    <n v="0"/>
    <m/>
    <m/>
    <n v="0"/>
    <n v="350000"/>
    <n v="350000"/>
    <m/>
    <m/>
    <m/>
    <m/>
    <n v="0"/>
    <m/>
    <m/>
    <n v="0"/>
    <m/>
    <m/>
    <m/>
    <m/>
    <m/>
    <m/>
    <n v="350000"/>
    <n v="350000"/>
  </r>
  <r>
    <x v="1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5"/>
    <s v="Higher Education Coordinating Board"/>
    <m/>
    <m/>
    <x v="12"/>
    <m/>
    <m/>
    <m/>
    <m/>
    <m/>
    <m/>
    <m/>
    <m/>
    <n v="0"/>
    <m/>
    <m/>
    <n v="0"/>
    <n v="0"/>
    <n v="0"/>
    <n v="3401648"/>
    <n v="3644080"/>
    <m/>
    <m/>
    <n v="0"/>
    <m/>
    <m/>
    <n v="0"/>
    <m/>
    <m/>
    <m/>
    <m/>
    <m/>
    <m/>
    <n v="3401648"/>
    <n v="3644080"/>
  </r>
  <r>
    <x v="1"/>
    <x v="15"/>
    <s v="Univ. of Ark System Office"/>
    <m/>
    <m/>
    <x v="12"/>
    <m/>
    <m/>
    <m/>
    <m/>
    <m/>
    <m/>
    <m/>
    <m/>
    <n v="0"/>
    <m/>
    <m/>
    <n v="0"/>
    <n v="0"/>
    <n v="0"/>
    <n v="3999721"/>
    <n v="4016329"/>
    <m/>
    <m/>
    <n v="0"/>
    <m/>
    <m/>
    <n v="0"/>
    <m/>
    <m/>
    <m/>
    <m/>
    <m/>
    <m/>
    <n v="3999721"/>
    <n v="4016329"/>
  </r>
  <r>
    <x v="1"/>
    <x v="15"/>
    <s v="Arkansas State University System Office"/>
    <m/>
    <m/>
    <x v="12"/>
    <m/>
    <m/>
    <m/>
    <m/>
    <m/>
    <m/>
    <m/>
    <m/>
    <n v="0"/>
    <m/>
    <m/>
    <n v="0"/>
    <n v="0"/>
    <n v="0"/>
    <n v="2568683"/>
    <n v="2566106"/>
    <m/>
    <m/>
    <n v="0"/>
    <m/>
    <m/>
    <n v="0"/>
    <m/>
    <m/>
    <m/>
    <m/>
    <m/>
    <m/>
    <n v="2568683"/>
    <n v="2566106"/>
  </r>
  <r>
    <x v="1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7"/>
    <s v="SREB Membe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8"/>
    <s v="Adm. of Statewide Student Aid Progs. (incld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40"/>
    <s v="Ohio College of Podiatric Medicine"/>
    <m/>
    <m/>
    <x v="12"/>
    <m/>
    <m/>
    <m/>
    <m/>
    <m/>
    <m/>
    <m/>
    <m/>
    <n v="0"/>
    <m/>
    <m/>
    <n v="0"/>
    <n v="0"/>
    <n v="0"/>
    <n v="13000"/>
    <n v="0"/>
    <m/>
    <m/>
    <n v="0"/>
    <m/>
    <m/>
    <n v="0"/>
    <m/>
    <m/>
    <m/>
    <m/>
    <m/>
    <m/>
    <n v="13000"/>
    <n v="0"/>
  </r>
  <r>
    <x v="1"/>
    <x v="40"/>
    <s v="Meharry Medical College (Dentistry)"/>
    <m/>
    <m/>
    <x v="12"/>
    <m/>
    <m/>
    <m/>
    <m/>
    <m/>
    <m/>
    <m/>
    <m/>
    <n v="0"/>
    <m/>
    <m/>
    <n v="0"/>
    <n v="0"/>
    <n v="0"/>
    <n v="21900"/>
    <n v="65700"/>
    <m/>
    <m/>
    <n v="0"/>
    <m/>
    <m/>
    <n v="0"/>
    <m/>
    <m/>
    <m/>
    <m/>
    <m/>
    <m/>
    <n v="21900"/>
    <n v="65700"/>
  </r>
  <r>
    <x v="1"/>
    <x v="40"/>
    <s v="Rosalind Franklin University"/>
    <m/>
    <m/>
    <x v="12"/>
    <m/>
    <m/>
    <m/>
    <m/>
    <m/>
    <m/>
    <m/>
    <m/>
    <n v="0"/>
    <m/>
    <m/>
    <n v="0"/>
    <n v="0"/>
    <n v="0"/>
    <n v="26000"/>
    <n v="0"/>
    <m/>
    <m/>
    <n v="0"/>
    <m/>
    <m/>
    <n v="0"/>
    <m/>
    <m/>
    <m/>
    <m/>
    <m/>
    <m/>
    <n v="26000"/>
    <n v="0"/>
  </r>
  <r>
    <x v="1"/>
    <x v="40"/>
    <s v="Southern College of Optometry"/>
    <m/>
    <m/>
    <x v="12"/>
    <m/>
    <m/>
    <m/>
    <m/>
    <m/>
    <m/>
    <m/>
    <m/>
    <n v="0"/>
    <m/>
    <m/>
    <n v="0"/>
    <n v="0"/>
    <n v="0"/>
    <n v="384000"/>
    <n v="384000"/>
    <m/>
    <m/>
    <n v="0"/>
    <m/>
    <m/>
    <n v="0"/>
    <m/>
    <m/>
    <m/>
    <m/>
    <m/>
    <m/>
    <n v="384000"/>
    <n v="384000"/>
  </r>
  <r>
    <x v="1"/>
    <x v="40"/>
    <s v="Virginia College of Osteopathic Medicine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40"/>
    <s v="Southeastern University College of Osteopathic Medicine (NOVA)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41"/>
    <s v="Louisiana State Univ. Medical Center (Dentistry)"/>
    <m/>
    <m/>
    <x v="12"/>
    <m/>
    <m/>
    <m/>
    <m/>
    <m/>
    <m/>
    <m/>
    <m/>
    <n v="0"/>
    <m/>
    <m/>
    <n v="0"/>
    <n v="0"/>
    <n v="0"/>
    <n v="328500"/>
    <n v="350400"/>
    <m/>
    <m/>
    <n v="0"/>
    <m/>
    <m/>
    <n v="0"/>
    <m/>
    <m/>
    <m/>
    <m/>
    <m/>
    <m/>
    <n v="328500"/>
    <n v="350400"/>
  </r>
  <r>
    <x v="1"/>
    <x v="41"/>
    <s v="Mississippi State University (Veterinary Medicine)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41"/>
    <s v="Oklahoma State University (Osteopathic Medicine)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41"/>
    <s v="University of Tennessee (Dentistry)"/>
    <m/>
    <m/>
    <x v="12"/>
    <m/>
    <m/>
    <m/>
    <m/>
    <m/>
    <m/>
    <m/>
    <m/>
    <n v="0"/>
    <m/>
    <m/>
    <n v="0"/>
    <n v="0"/>
    <n v="0"/>
    <n v="1894350"/>
    <n v="2014800"/>
    <m/>
    <m/>
    <n v="0"/>
    <m/>
    <m/>
    <n v="0"/>
    <m/>
    <m/>
    <m/>
    <m/>
    <m/>
    <m/>
    <n v="1894350"/>
    <n v="2014800"/>
  </r>
  <r>
    <x v="1"/>
    <x v="41"/>
    <s v="University of Oklahoma (Dentistry)"/>
    <m/>
    <m/>
    <x v="12"/>
    <m/>
    <m/>
    <m/>
    <m/>
    <m/>
    <m/>
    <m/>
    <m/>
    <n v="0"/>
    <m/>
    <m/>
    <n v="0"/>
    <n v="0"/>
    <n v="0"/>
    <n v="43800"/>
    <n v="0"/>
    <m/>
    <m/>
    <n v="0"/>
    <m/>
    <m/>
    <n v="0"/>
    <m/>
    <m/>
    <m/>
    <m/>
    <m/>
    <m/>
    <n v="43800"/>
    <n v="0"/>
  </r>
  <r>
    <x v="1"/>
    <x v="41"/>
    <s v="Baylor College of Medicine-Texas A&amp;M (Dentistry)"/>
    <m/>
    <m/>
    <x v="12"/>
    <m/>
    <m/>
    <m/>
    <m/>
    <m/>
    <m/>
    <m/>
    <m/>
    <n v="0"/>
    <m/>
    <m/>
    <n v="0"/>
    <n v="0"/>
    <n v="0"/>
    <n v="197100"/>
    <n v="197100"/>
    <m/>
    <m/>
    <n v="0"/>
    <m/>
    <m/>
    <n v="0"/>
    <m/>
    <m/>
    <m/>
    <m/>
    <m/>
    <m/>
    <n v="197100"/>
    <n v="197100"/>
  </r>
  <r>
    <x v="1"/>
    <x v="41"/>
    <s v="Louisiana State University (Veterinary Medicine)"/>
    <m/>
    <m/>
    <x v="12"/>
    <m/>
    <m/>
    <m/>
    <m/>
    <m/>
    <m/>
    <m/>
    <m/>
    <n v="0"/>
    <m/>
    <m/>
    <n v="0"/>
    <n v="0"/>
    <n v="0"/>
    <n v="1206000"/>
    <n v="1214375"/>
    <m/>
    <m/>
    <n v="0"/>
    <m/>
    <m/>
    <n v="0"/>
    <m/>
    <m/>
    <m/>
    <m/>
    <m/>
    <m/>
    <n v="1206000"/>
    <n v="1214375"/>
  </r>
  <r>
    <x v="1"/>
    <x v="41"/>
    <s v="Northeastern University (Optometry)"/>
    <m/>
    <m/>
    <x v="12"/>
    <m/>
    <m/>
    <m/>
    <m/>
    <m/>
    <m/>
    <m/>
    <m/>
    <n v="0"/>
    <m/>
    <m/>
    <n v="0"/>
    <n v="0"/>
    <n v="0"/>
    <n v="134400"/>
    <n v="115200"/>
    <m/>
    <m/>
    <n v="0"/>
    <m/>
    <m/>
    <n v="0"/>
    <m/>
    <m/>
    <m/>
    <m/>
    <m/>
    <m/>
    <n v="134400"/>
    <n v="115200"/>
  </r>
  <r>
    <x v="1"/>
    <x v="41"/>
    <s v="University of Louisville (Dentistry)"/>
    <m/>
    <m/>
    <x v="12"/>
    <m/>
    <m/>
    <m/>
    <m/>
    <m/>
    <m/>
    <m/>
    <m/>
    <n v="0"/>
    <m/>
    <m/>
    <n v="0"/>
    <n v="0"/>
    <n v="0"/>
    <n v="21900"/>
    <n v="0"/>
    <m/>
    <m/>
    <n v="0"/>
    <m/>
    <m/>
    <n v="0"/>
    <m/>
    <m/>
    <m/>
    <m/>
    <m/>
    <m/>
    <n v="21900"/>
    <n v="0"/>
  </r>
  <r>
    <x v="1"/>
    <x v="20"/>
    <s v="Other 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Governor's Scholar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n v="15978161"/>
    <n v="17755384"/>
    <m/>
    <m/>
    <n v="0"/>
    <m/>
    <m/>
    <n v="0"/>
    <m/>
    <m/>
    <m/>
    <m/>
    <m/>
    <m/>
    <n v="15978161"/>
    <n v="17755384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n v="4242434"/>
    <n v="4189940"/>
    <m/>
    <m/>
    <n v="0"/>
    <m/>
    <m/>
    <n v="0"/>
    <m/>
    <m/>
    <m/>
    <m/>
    <m/>
    <m/>
    <n v="4242434"/>
    <n v="4189940"/>
  </r>
  <r>
    <x v="1"/>
    <x v="22"/>
    <s v="Arkansas Academic Challenge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n v="78690208"/>
    <n v="78052566"/>
    <m/>
    <m/>
    <n v="0"/>
    <m/>
    <m/>
    <n v="0"/>
    <m/>
    <m/>
    <m/>
    <m/>
    <m/>
    <m/>
    <n v="78690208"/>
    <n v="78052566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n v="9939076"/>
    <n v="10004601"/>
    <m/>
    <m/>
    <n v="0"/>
    <m/>
    <m/>
    <n v="0"/>
    <m/>
    <m/>
    <m/>
    <m/>
    <m/>
    <m/>
    <n v="9939076"/>
    <n v="10004601"/>
  </r>
  <r>
    <x v="1"/>
    <x v="22"/>
    <s v="Higher Education Opportunities Grant (GO! Opportunities Grant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n v="628750"/>
    <n v="105191"/>
    <m/>
    <m/>
    <n v="0"/>
    <m/>
    <m/>
    <n v="0"/>
    <m/>
    <m/>
    <m/>
    <m/>
    <m/>
    <m/>
    <n v="628750"/>
    <n v="105191"/>
  </r>
  <r>
    <x v="1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n v="51685"/>
    <n v="2500"/>
    <m/>
    <m/>
    <n v="0"/>
    <m/>
    <m/>
    <n v="0"/>
    <m/>
    <m/>
    <m/>
    <m/>
    <m/>
    <m/>
    <n v="51685"/>
    <n v="2500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Teacher Opportunity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n v="1837532"/>
    <n v="1785780"/>
    <m/>
    <m/>
    <n v="0"/>
    <m/>
    <m/>
    <n v="0"/>
    <m/>
    <m/>
    <m/>
    <m/>
    <m/>
    <m/>
    <n v="1837532"/>
    <n v="178578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22"/>
    <s v="Second Effort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MIA/KIA Dependents'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n v="1567626"/>
    <n v="1465071"/>
    <m/>
    <m/>
    <n v="0"/>
    <m/>
    <m/>
    <n v="0"/>
    <m/>
    <m/>
    <m/>
    <m/>
    <m/>
    <m/>
    <n v="1567626"/>
    <n v="1465071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National Guard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n v="1030056"/>
    <n v="1694810"/>
    <m/>
    <m/>
    <n v="0"/>
    <m/>
    <m/>
    <n v="0"/>
    <m/>
    <m/>
    <m/>
    <m/>
    <m/>
    <m/>
    <n v="1030056"/>
    <n v="169481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n v="2500"/>
    <n v="2500"/>
    <m/>
    <m/>
    <n v="0"/>
    <m/>
    <m/>
    <n v="0"/>
    <m/>
    <m/>
    <m/>
    <m/>
    <m/>
    <m/>
    <n v="2500"/>
    <n v="2500"/>
  </r>
  <r>
    <x v="1"/>
    <x v="22"/>
    <s v="Junior/Senior Minority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Minority Master's Fellows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SREB Doctoral Scholars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4"/>
    <s v="Non need-based"/>
    <m/>
    <m/>
    <x v="12"/>
    <m/>
    <m/>
    <m/>
    <m/>
    <m/>
    <m/>
    <m/>
    <m/>
    <n v="0"/>
    <m/>
    <m/>
    <n v="0"/>
    <n v="0"/>
    <n v="0"/>
    <n v="175000"/>
    <n v="175000"/>
    <m/>
    <m/>
    <n v="0"/>
    <m/>
    <m/>
    <n v="0"/>
    <m/>
    <m/>
    <m/>
    <m/>
    <m/>
    <m/>
    <n v="175000"/>
    <n v="17500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Geographical Critical Needs Teacher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n v="81750"/>
    <n v="58500"/>
    <m/>
    <m/>
    <n v="0"/>
    <m/>
    <m/>
    <n v="0"/>
    <m/>
    <m/>
    <m/>
    <m/>
    <m/>
    <m/>
    <n v="81750"/>
    <n v="5850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Workforce Improvement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6"/>
    <s v="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2"/>
    <s v="State Teacher Education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5"/>
    <s v="Amount to public sector students"/>
    <m/>
    <m/>
    <x v="12"/>
    <m/>
    <m/>
    <m/>
    <m/>
    <m/>
    <m/>
    <m/>
    <m/>
    <n v="0"/>
    <m/>
    <m/>
    <n v="0"/>
    <n v="0"/>
    <n v="0"/>
    <n v="1455498"/>
    <n v="1100958"/>
    <m/>
    <m/>
    <n v="0"/>
    <m/>
    <m/>
    <n v="0"/>
    <m/>
    <m/>
    <m/>
    <m/>
    <m/>
    <m/>
    <n v="1455498"/>
    <n v="1100958"/>
  </r>
  <r>
    <x v="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1"/>
    <s v="Surviving Chidren of Law Enforcement Offs.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"/>
    <x v="33"/>
    <s v="Non need-based"/>
    <m/>
    <m/>
    <x v="12"/>
    <m/>
    <m/>
    <m/>
    <m/>
    <m/>
    <m/>
    <m/>
    <m/>
    <n v="0"/>
    <m/>
    <m/>
    <n v="0"/>
    <n v="0"/>
    <n v="0"/>
    <n v="393048"/>
    <n v="377855"/>
    <m/>
    <m/>
    <n v="0"/>
    <m/>
    <m/>
    <n v="0"/>
    <m/>
    <m/>
    <m/>
    <m/>
    <m/>
    <m/>
    <n v="393048"/>
    <n v="377855"/>
  </r>
  <r>
    <x v="2"/>
    <x v="0"/>
    <s v="University of Delaware"/>
    <m/>
    <n v="130943"/>
    <x v="0"/>
    <n v="123247100"/>
    <n v="125167500"/>
    <m/>
    <m/>
    <m/>
    <m/>
    <n v="685702649"/>
    <n v="0"/>
    <n v="685702649"/>
    <n v="634953901"/>
    <n v="0"/>
    <n v="634953901"/>
    <n v="808949749"/>
    <n v="760121401"/>
    <m/>
    <m/>
    <m/>
    <m/>
    <n v="0"/>
    <m/>
    <m/>
    <n v="0"/>
    <m/>
    <m/>
    <m/>
    <m/>
    <m/>
    <m/>
    <n v="808949749"/>
    <n v="760121401"/>
  </r>
  <r>
    <x v="2"/>
    <x v="3"/>
    <s v="Community/Public Service"/>
    <m/>
    <n v="13094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"/>
    <s v="The College School"/>
    <m/>
    <n v="130943"/>
    <x v="0"/>
    <m/>
    <m/>
    <n v="115950"/>
    <n v="121345"/>
    <m/>
    <m/>
    <m/>
    <m/>
    <n v="0"/>
    <m/>
    <m/>
    <n v="0"/>
    <n v="115950"/>
    <n v="121345"/>
    <m/>
    <m/>
    <m/>
    <m/>
    <n v="0"/>
    <m/>
    <m/>
    <n v="0"/>
    <m/>
    <m/>
    <m/>
    <m/>
    <m/>
    <m/>
    <n v="115950"/>
    <n v="121345"/>
  </r>
  <r>
    <x v="2"/>
    <x v="5"/>
    <s v="Agricultural cooperative extension"/>
    <m/>
    <n v="130943"/>
    <x v="0"/>
    <m/>
    <m/>
    <n v="2445000"/>
    <n v="2445000"/>
    <m/>
    <m/>
    <m/>
    <m/>
    <n v="0"/>
    <m/>
    <m/>
    <n v="0"/>
    <n v="2445000"/>
    <n v="2445000"/>
    <m/>
    <m/>
    <m/>
    <m/>
    <n v="0"/>
    <m/>
    <m/>
    <n v="0"/>
    <m/>
    <m/>
    <m/>
    <m/>
    <m/>
    <m/>
    <n v="2445000"/>
    <n v="2445000"/>
  </r>
  <r>
    <x v="2"/>
    <x v="6"/>
    <s v="Agricultural experiment stations"/>
    <m/>
    <n v="130943"/>
    <x v="0"/>
    <m/>
    <m/>
    <n v="680000"/>
    <n v="680000"/>
    <m/>
    <m/>
    <m/>
    <m/>
    <n v="0"/>
    <m/>
    <m/>
    <n v="0"/>
    <n v="680000"/>
    <n v="680000"/>
    <m/>
    <m/>
    <m/>
    <m/>
    <n v="0"/>
    <m/>
    <m/>
    <n v="0"/>
    <m/>
    <m/>
    <m/>
    <m/>
    <m/>
    <m/>
    <n v="680000"/>
    <n v="680000"/>
  </r>
  <r>
    <x v="2"/>
    <x v="7"/>
    <s v="Research centers/institutes"/>
    <m/>
    <n v="13094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7"/>
    <s v="Delaware Biotech Institute Operating Funds"/>
    <m/>
    <n v="130943"/>
    <x v="0"/>
    <m/>
    <m/>
    <n v="507700"/>
    <n v="518000"/>
    <m/>
    <m/>
    <m/>
    <m/>
    <n v="0"/>
    <m/>
    <m/>
    <n v="0"/>
    <n v="507700"/>
    <n v="518000"/>
    <m/>
    <m/>
    <m/>
    <m/>
    <n v="0"/>
    <m/>
    <m/>
    <n v="0"/>
    <m/>
    <m/>
    <m/>
    <m/>
    <m/>
    <m/>
    <n v="507700"/>
    <n v="518000"/>
  </r>
  <r>
    <x v="2"/>
    <x v="7"/>
    <s v="Sea Grant"/>
    <m/>
    <n v="130943"/>
    <x v="0"/>
    <m/>
    <m/>
    <n v="615352"/>
    <n v="631552"/>
    <m/>
    <m/>
    <m/>
    <m/>
    <n v="0"/>
    <m/>
    <m/>
    <n v="0"/>
    <n v="615352"/>
    <n v="631552"/>
    <m/>
    <m/>
    <m/>
    <m/>
    <n v="0"/>
    <m/>
    <m/>
    <n v="0"/>
    <m/>
    <m/>
    <m/>
    <m/>
    <m/>
    <m/>
    <n v="615352"/>
    <n v="631552"/>
  </r>
  <r>
    <x v="2"/>
    <x v="7"/>
    <s v="Urban Agent"/>
    <m/>
    <n v="130943"/>
    <x v="0"/>
    <m/>
    <m/>
    <n v="115640"/>
    <n v="115640"/>
    <m/>
    <m/>
    <m/>
    <m/>
    <n v="0"/>
    <m/>
    <m/>
    <n v="0"/>
    <n v="115640"/>
    <n v="115640"/>
    <m/>
    <m/>
    <m/>
    <m/>
    <n v="0"/>
    <m/>
    <m/>
    <n v="0"/>
    <m/>
    <m/>
    <m/>
    <m/>
    <m/>
    <m/>
    <n v="115640"/>
    <n v="115640"/>
  </r>
  <r>
    <x v="2"/>
    <x v="7"/>
    <s v="Public Service &amp; Applied Research Projects"/>
    <m/>
    <n v="130943"/>
    <x v="0"/>
    <m/>
    <m/>
    <n v="254800"/>
    <n v="254550"/>
    <m/>
    <m/>
    <m/>
    <m/>
    <n v="0"/>
    <m/>
    <m/>
    <n v="0"/>
    <n v="254800"/>
    <n v="254550"/>
    <m/>
    <m/>
    <m/>
    <m/>
    <n v="0"/>
    <m/>
    <m/>
    <n v="0"/>
    <m/>
    <m/>
    <m/>
    <m/>
    <m/>
    <m/>
    <n v="254800"/>
    <n v="254550"/>
  </r>
  <r>
    <x v="2"/>
    <x v="7"/>
    <s v="Local Government Research &amp; Assistance"/>
    <m/>
    <n v="130943"/>
    <x v="0"/>
    <m/>
    <m/>
    <n v="203350"/>
    <n v="203350"/>
    <m/>
    <m/>
    <m/>
    <m/>
    <n v="0"/>
    <m/>
    <m/>
    <n v="0"/>
    <n v="203350"/>
    <n v="203350"/>
    <m/>
    <m/>
    <m/>
    <m/>
    <n v="0"/>
    <m/>
    <m/>
    <n v="0"/>
    <m/>
    <m/>
    <m/>
    <m/>
    <m/>
    <m/>
    <n v="203350"/>
    <n v="203350"/>
  </r>
  <r>
    <x v="2"/>
    <x v="7"/>
    <s v="Research on School Finance"/>
    <m/>
    <n v="130943"/>
    <x v="0"/>
    <m/>
    <m/>
    <n v="76930"/>
    <n v="76930"/>
    <m/>
    <m/>
    <m/>
    <m/>
    <n v="0"/>
    <m/>
    <m/>
    <n v="0"/>
    <n v="76930"/>
    <n v="76930"/>
    <m/>
    <m/>
    <m/>
    <m/>
    <n v="0"/>
    <m/>
    <m/>
    <n v="0"/>
    <m/>
    <m/>
    <m/>
    <m/>
    <m/>
    <m/>
    <n v="76930"/>
    <n v="76930"/>
  </r>
  <r>
    <x v="2"/>
    <x v="7"/>
    <s v="Delaware Education Research &amp; Development Center"/>
    <m/>
    <n v="130943"/>
    <x v="0"/>
    <m/>
    <m/>
    <n v="253300"/>
    <n v="253300"/>
    <m/>
    <m/>
    <m/>
    <m/>
    <n v="0"/>
    <m/>
    <m/>
    <n v="0"/>
    <n v="253300"/>
    <n v="253300"/>
    <m/>
    <m/>
    <m/>
    <m/>
    <n v="0"/>
    <m/>
    <m/>
    <n v="0"/>
    <m/>
    <m/>
    <m/>
    <m/>
    <m/>
    <m/>
    <n v="253300"/>
    <n v="253300"/>
  </r>
  <r>
    <x v="2"/>
    <x v="7"/>
    <s v="Geological Survey"/>
    <m/>
    <n v="130943"/>
    <x v="0"/>
    <m/>
    <m/>
    <n v="2057200"/>
    <n v="2113500"/>
    <m/>
    <m/>
    <m/>
    <m/>
    <n v="0"/>
    <m/>
    <m/>
    <n v="0"/>
    <n v="2057200"/>
    <n v="2113500"/>
    <m/>
    <m/>
    <m/>
    <m/>
    <n v="0"/>
    <m/>
    <m/>
    <n v="0"/>
    <m/>
    <m/>
    <m/>
    <m/>
    <m/>
    <m/>
    <n v="2057200"/>
    <n v="2113500"/>
  </r>
  <r>
    <x v="2"/>
    <x v="0"/>
    <s v="Delaware State University"/>
    <m/>
    <n v="130934"/>
    <x v="2"/>
    <n v="36507700"/>
    <n v="38383200"/>
    <m/>
    <m/>
    <m/>
    <m/>
    <n v="32312437"/>
    <n v="7923700"/>
    <n v="40236137"/>
    <n v="34660317"/>
    <n v="7977161"/>
    <n v="42637478"/>
    <n v="68820137"/>
    <n v="73043517"/>
    <m/>
    <m/>
    <m/>
    <m/>
    <n v="0"/>
    <m/>
    <m/>
    <n v="0"/>
    <m/>
    <m/>
    <m/>
    <m/>
    <m/>
    <m/>
    <n v="68820137"/>
    <n v="73043517"/>
  </r>
  <r>
    <x v="2"/>
    <x v="0"/>
    <s v="Delaware Technical and Community College--Terry"/>
    <s v="Met the criteria for Two-Year with Bachelor's in 2019-20 and 2020-21. "/>
    <n v="130907"/>
    <x v="7"/>
    <n v="72167400"/>
    <n v="74091500"/>
    <m/>
    <m/>
    <m/>
    <m/>
    <n v="51008900"/>
    <n v="0"/>
    <n v="51008900"/>
    <n v="46760500"/>
    <n v="0"/>
    <n v="46760500"/>
    <n v="123176300"/>
    <n v="120852000"/>
    <m/>
    <m/>
    <m/>
    <m/>
    <n v="0"/>
    <m/>
    <m/>
    <n v="0"/>
    <m/>
    <m/>
    <m/>
    <m/>
    <m/>
    <m/>
    <n v="123176300"/>
    <n v="120852000"/>
  </r>
  <r>
    <x v="2"/>
    <x v="13"/>
    <s v="Educational special-purpose funds--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3"/>
    <s v="Matching Funds Minority Engineering Recruitme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3"/>
    <s v="Matching Funds; Advancement of Minorities in Engineering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3"/>
    <s v="Associate in Arts Program (joint Del. Tech - UD program administered by Del Tech)"/>
    <m/>
    <m/>
    <x v="12"/>
    <m/>
    <m/>
    <n v="1732900"/>
    <n v="1732900"/>
    <m/>
    <m/>
    <m/>
    <m/>
    <n v="0"/>
    <m/>
    <m/>
    <n v="0"/>
    <n v="1732900"/>
    <n v="1732900"/>
    <m/>
    <m/>
    <m/>
    <m/>
    <n v="0"/>
    <m/>
    <m/>
    <n v="0"/>
    <m/>
    <m/>
    <m/>
    <m/>
    <m/>
    <m/>
    <n v="1732900"/>
    <n v="1732900"/>
  </r>
  <r>
    <x v="2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5"/>
    <s v="DE Higher Education Commission"/>
    <m/>
    <m/>
    <x v="12"/>
    <m/>
    <m/>
    <m/>
    <m/>
    <m/>
    <m/>
    <m/>
    <m/>
    <n v="0"/>
    <m/>
    <m/>
    <n v="0"/>
    <n v="0"/>
    <n v="0"/>
    <n v="381200"/>
    <n v="381200"/>
    <m/>
    <m/>
    <n v="0"/>
    <m/>
    <m/>
    <n v="0"/>
    <m/>
    <m/>
    <m/>
    <m/>
    <m/>
    <m/>
    <n v="381200"/>
    <n v="381200"/>
  </r>
  <r>
    <x v="2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6"/>
    <s v="Delaware Tech College System Office"/>
    <m/>
    <m/>
    <x v="12"/>
    <m/>
    <m/>
    <m/>
    <m/>
    <m/>
    <m/>
    <m/>
    <m/>
    <n v="0"/>
    <m/>
    <m/>
    <n v="0"/>
    <n v="0"/>
    <n v="0"/>
    <n v="12699300"/>
    <n v="12591900"/>
    <m/>
    <m/>
    <n v="0"/>
    <m/>
    <m/>
    <n v="0"/>
    <m/>
    <m/>
    <m/>
    <m/>
    <m/>
    <m/>
    <n v="12699300"/>
    <n v="12591900"/>
  </r>
  <r>
    <x v="2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7"/>
    <s v="SREB"/>
    <m/>
    <m/>
    <x v="12"/>
    <m/>
    <m/>
    <m/>
    <m/>
    <m/>
    <m/>
    <m/>
    <m/>
    <n v="0"/>
    <m/>
    <m/>
    <n v="0"/>
    <n v="0"/>
    <n v="0"/>
    <n v="368500"/>
    <n v="208508"/>
    <m/>
    <m/>
    <n v="0"/>
    <m/>
    <m/>
    <n v="0"/>
    <m/>
    <m/>
    <m/>
    <m/>
    <m/>
    <m/>
    <n v="368500"/>
    <n v="208508"/>
  </r>
  <r>
    <x v="2"/>
    <x v="18"/>
    <s v="Adm. of Statewide Student Aid Programs (includi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19"/>
    <s v="Support to private colleges other than student financial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40"/>
    <s v="Del Institute for Medical Ed &amp; Rsch (DIMER)"/>
    <m/>
    <m/>
    <x v="12"/>
    <m/>
    <m/>
    <m/>
    <m/>
    <m/>
    <m/>
    <m/>
    <m/>
    <n v="0"/>
    <m/>
    <m/>
    <n v="0"/>
    <n v="0"/>
    <n v="0"/>
    <n v="1980200"/>
    <n v="1980200"/>
    <m/>
    <m/>
    <n v="0"/>
    <m/>
    <m/>
    <n v="0"/>
    <m/>
    <m/>
    <m/>
    <m/>
    <m/>
    <m/>
    <n v="1980200"/>
    <n v="1980200"/>
  </r>
  <r>
    <x v="2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41"/>
    <s v="Del Institute for Vet Medical Education (DIVME)"/>
    <m/>
    <m/>
    <x v="12"/>
    <m/>
    <m/>
    <m/>
    <m/>
    <m/>
    <m/>
    <m/>
    <m/>
    <n v="0"/>
    <m/>
    <m/>
    <n v="0"/>
    <n v="0"/>
    <n v="0"/>
    <n v="402000"/>
    <n v="414000"/>
    <m/>
    <m/>
    <n v="0"/>
    <m/>
    <m/>
    <n v="0"/>
    <m/>
    <m/>
    <m/>
    <m/>
    <m/>
    <m/>
    <n v="402000"/>
    <n v="414000"/>
  </r>
  <r>
    <x v="2"/>
    <x v="41"/>
    <s v="Del Institute for Dental Ed &amp; Rsch (DIDER)"/>
    <m/>
    <m/>
    <x v="12"/>
    <m/>
    <m/>
    <m/>
    <m/>
    <m/>
    <m/>
    <m/>
    <m/>
    <n v="0"/>
    <m/>
    <m/>
    <n v="0"/>
    <n v="0"/>
    <n v="0"/>
    <n v="217500"/>
    <n v="217500"/>
    <m/>
    <m/>
    <n v="0"/>
    <m/>
    <m/>
    <n v="0"/>
    <m/>
    <m/>
    <m/>
    <m/>
    <m/>
    <m/>
    <n v="217500"/>
    <n v="217500"/>
  </r>
  <r>
    <x v="2"/>
    <x v="20"/>
    <s v="Other 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Scholarship Incentive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n v="582746"/>
    <n v="599720"/>
    <m/>
    <m/>
    <n v="0"/>
    <m/>
    <m/>
    <n v="0"/>
    <m/>
    <m/>
    <m/>
    <m/>
    <m/>
    <m/>
    <n v="582746"/>
    <n v="599720"/>
  </r>
  <r>
    <x v="2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n v="252400"/>
    <n v="207500"/>
    <m/>
    <m/>
    <n v="0"/>
    <m/>
    <m/>
    <n v="0"/>
    <m/>
    <m/>
    <m/>
    <m/>
    <m/>
    <m/>
    <n v="252400"/>
    <n v="20750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Diamond State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128750"/>
    <n v="99375"/>
    <m/>
    <m/>
    <n v="0"/>
    <m/>
    <m/>
    <n v="0"/>
    <m/>
    <m/>
    <m/>
    <m/>
    <m/>
    <m/>
    <n v="128750"/>
    <n v="99375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n v="75000"/>
    <n v="81250"/>
    <m/>
    <m/>
    <n v="0"/>
    <m/>
    <m/>
    <n v="0"/>
    <m/>
    <m/>
    <m/>
    <m/>
    <m/>
    <m/>
    <n v="75000"/>
    <n v="81250"/>
  </r>
  <r>
    <x v="2"/>
    <x v="22"/>
    <s v="Ed Benefits for Children of Deceased Vets &amp; Other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32475"/>
    <n v="16452"/>
    <m/>
    <m/>
    <n v="0"/>
    <m/>
    <m/>
    <n v="0"/>
    <m/>
    <m/>
    <m/>
    <m/>
    <m/>
    <m/>
    <n v="32475"/>
    <n v="16452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2"/>
    <x v="22"/>
    <s v="Christa McAuliffe Teacher Scholarship Loan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45000"/>
    <n v="30000"/>
    <m/>
    <m/>
    <n v="0"/>
    <m/>
    <m/>
    <n v="0"/>
    <m/>
    <m/>
    <m/>
    <m/>
    <m/>
    <m/>
    <n v="45000"/>
    <n v="3000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n v="25000"/>
    <n v="37500"/>
    <m/>
    <m/>
    <n v="0"/>
    <m/>
    <m/>
    <n v="0"/>
    <m/>
    <m/>
    <m/>
    <m/>
    <m/>
    <m/>
    <n v="25000"/>
    <n v="37500"/>
  </r>
  <r>
    <x v="2"/>
    <x v="22"/>
    <s v="Librarian and Archivist Incentive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75192"/>
    <n v="73452"/>
    <m/>
    <m/>
    <n v="0"/>
    <m/>
    <m/>
    <n v="0"/>
    <m/>
    <m/>
    <m/>
    <m/>
    <m/>
    <m/>
    <n v="75192"/>
    <n v="73452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n v="81015"/>
    <n v="50582"/>
    <m/>
    <m/>
    <n v="0"/>
    <m/>
    <m/>
    <n v="0"/>
    <m/>
    <m/>
    <m/>
    <m/>
    <m/>
    <m/>
    <n v="81015"/>
    <n v="50582"/>
  </r>
  <r>
    <x v="2"/>
    <x v="22"/>
    <s v="Delaware Nursing Incentive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22500"/>
    <n v="20000"/>
    <m/>
    <m/>
    <n v="0"/>
    <m/>
    <m/>
    <n v="0"/>
    <m/>
    <m/>
    <m/>
    <m/>
    <m/>
    <m/>
    <n v="22500"/>
    <n v="2000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n v="10000"/>
    <n v="5000"/>
    <m/>
    <m/>
    <n v="0"/>
    <m/>
    <m/>
    <n v="0"/>
    <m/>
    <m/>
    <m/>
    <m/>
    <m/>
    <m/>
    <n v="10000"/>
    <n v="5000"/>
  </r>
  <r>
    <x v="2"/>
    <x v="22"/>
    <s v="B. Bradford Barnes Memorial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87441"/>
    <n v="64853"/>
    <m/>
    <m/>
    <n v="0"/>
    <m/>
    <m/>
    <n v="0"/>
    <m/>
    <m/>
    <m/>
    <m/>
    <m/>
    <m/>
    <n v="87441"/>
    <n v="64853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Speech/Language Pathologist Incentive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35000"/>
    <n v="55000"/>
    <m/>
    <m/>
    <n v="0"/>
    <m/>
    <m/>
    <n v="0"/>
    <m/>
    <m/>
    <m/>
    <m/>
    <m/>
    <m/>
    <n v="35000"/>
    <n v="5500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2"/>
    <x v="22"/>
    <s v="Herman M. Holloway, Sr. Memorial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46826"/>
    <n v="36942"/>
    <m/>
    <m/>
    <n v="0"/>
    <m/>
    <m/>
    <n v="0"/>
    <m/>
    <m/>
    <m/>
    <m/>
    <m/>
    <m/>
    <n v="46826"/>
    <n v="36942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Charles L. Hebner Memorial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122227"/>
    <n v="113242"/>
    <m/>
    <m/>
    <n v="0"/>
    <m/>
    <m/>
    <n v="0"/>
    <m/>
    <m/>
    <m/>
    <m/>
    <m/>
    <m/>
    <n v="122227"/>
    <n v="113242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Del. Institute for Med. Ed. &amp; Research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Michael C. Ferguson Achievement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91000"/>
    <n v="11500"/>
    <m/>
    <m/>
    <n v="0"/>
    <m/>
    <m/>
    <n v="0"/>
    <m/>
    <m/>
    <m/>
    <m/>
    <m/>
    <m/>
    <n v="91000"/>
    <n v="1150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n v="29500"/>
    <n v="9500"/>
    <m/>
    <m/>
    <n v="0"/>
    <m/>
    <m/>
    <n v="0"/>
    <m/>
    <m/>
    <m/>
    <m/>
    <m/>
    <m/>
    <n v="29500"/>
    <n v="9500"/>
  </r>
  <r>
    <x v="2"/>
    <x v="22"/>
    <s v="Delaware Optometric Institutional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n v="16000"/>
    <n v="16000"/>
    <m/>
    <m/>
    <n v="0"/>
    <m/>
    <m/>
    <n v="0"/>
    <m/>
    <m/>
    <m/>
    <m/>
    <m/>
    <m/>
    <n v="16000"/>
    <n v="16000"/>
  </r>
  <r>
    <x v="2"/>
    <x v="22"/>
    <s v="Critical Need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n v="450411"/>
    <n v="213329"/>
    <m/>
    <m/>
    <n v="0"/>
    <m/>
    <m/>
    <n v="0"/>
    <m/>
    <m/>
    <m/>
    <m/>
    <m/>
    <m/>
    <n v="450411"/>
    <n v="213329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n v="396691"/>
    <m/>
    <m/>
    <n v="0"/>
    <m/>
    <m/>
    <n v="0"/>
    <m/>
    <m/>
    <m/>
    <m/>
    <m/>
    <m/>
    <n v="0"/>
    <n v="396691"/>
  </r>
  <r>
    <x v="2"/>
    <x v="22"/>
    <s v="DE State Loan Repayment Program/Physicians &amp; Dentists"/>
    <s v="No longer administered by Higher Education office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DE Institute for Dental Education &amp; Research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2"/>
    <s v="Inspire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4"/>
    <s v="Non need-based"/>
    <m/>
    <m/>
    <x v="12"/>
    <m/>
    <m/>
    <m/>
    <m/>
    <m/>
    <m/>
    <m/>
    <m/>
    <n v="0"/>
    <m/>
    <m/>
    <n v="0"/>
    <n v="0"/>
    <n v="0"/>
    <n v="2352968"/>
    <n v="2607442"/>
    <m/>
    <m/>
    <n v="0"/>
    <m/>
    <m/>
    <n v="0"/>
    <m/>
    <m/>
    <m/>
    <m/>
    <m/>
    <m/>
    <n v="2352968"/>
    <n v="2607442"/>
  </r>
  <r>
    <x v="2"/>
    <x v="25"/>
    <s v="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8"/>
    <s v="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1"/>
    <s v="Limited to public college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3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4"/>
    <s v="Limited to private college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2"/>
    <x v="36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3"/>
    <x v="42"/>
    <m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3"/>
    <x v="0"/>
    <s v="Eastern Florida State College"/>
    <m/>
    <n v="132693"/>
    <x v="14"/>
    <n v="44197452"/>
    <n v="44692574"/>
    <m/>
    <m/>
    <m/>
    <m/>
    <n v="23224448"/>
    <m/>
    <n v="23224448"/>
    <n v="21284458"/>
    <m/>
    <n v="21284458"/>
    <n v="67421900"/>
    <n v="65977032"/>
    <m/>
    <m/>
    <m/>
    <m/>
    <n v="0"/>
    <m/>
    <m/>
    <n v="0"/>
    <m/>
    <m/>
    <m/>
    <m/>
    <m/>
    <m/>
    <n v="67421900"/>
    <n v="65977032"/>
  </r>
  <r>
    <x v="3"/>
    <x v="0"/>
    <s v="Broward College "/>
    <m/>
    <n v="132709"/>
    <x v="14"/>
    <n v="91590175"/>
    <n v="91291301"/>
    <m/>
    <m/>
    <m/>
    <m/>
    <n v="70272836"/>
    <m/>
    <n v="70272836"/>
    <n v="62052259"/>
    <m/>
    <n v="62052259"/>
    <n v="161863011"/>
    <n v="153343560"/>
    <m/>
    <m/>
    <m/>
    <m/>
    <n v="0"/>
    <m/>
    <m/>
    <n v="0"/>
    <m/>
    <m/>
    <m/>
    <m/>
    <m/>
    <m/>
    <n v="161863011"/>
    <n v="153343560"/>
  </r>
  <r>
    <x v="3"/>
    <x v="0"/>
    <s v="College of Central Florida"/>
    <m/>
    <n v="132851"/>
    <x v="14"/>
    <n v="23926607"/>
    <n v="26109231"/>
    <m/>
    <m/>
    <m/>
    <m/>
    <n v="12313166"/>
    <m/>
    <n v="12313166"/>
    <n v="11430903"/>
    <m/>
    <n v="11430903"/>
    <n v="36239773"/>
    <n v="37540134"/>
    <m/>
    <m/>
    <m/>
    <m/>
    <n v="0"/>
    <m/>
    <m/>
    <n v="0"/>
    <m/>
    <m/>
    <m/>
    <m/>
    <m/>
    <m/>
    <n v="36239773"/>
    <n v="37540134"/>
  </r>
  <r>
    <x v="3"/>
    <x v="0"/>
    <s v="Chipola College "/>
    <m/>
    <n v="133021"/>
    <x v="14"/>
    <n v="12242625"/>
    <n v="12553081"/>
    <m/>
    <m/>
    <m/>
    <m/>
    <n v="2663520"/>
    <m/>
    <n v="2663520"/>
    <n v="2619374"/>
    <m/>
    <n v="2619374"/>
    <n v="14906145"/>
    <n v="15172455"/>
    <m/>
    <m/>
    <m/>
    <m/>
    <n v="0"/>
    <m/>
    <m/>
    <n v="0"/>
    <m/>
    <m/>
    <m/>
    <m/>
    <m/>
    <m/>
    <n v="14906145"/>
    <n v="15172455"/>
  </r>
  <r>
    <x v="3"/>
    <x v="0"/>
    <s v="Daytona State College "/>
    <m/>
    <n v="133386"/>
    <x v="14"/>
    <n v="51567701"/>
    <n v="51081601"/>
    <m/>
    <m/>
    <m/>
    <m/>
    <n v="24538498"/>
    <m/>
    <n v="24538498"/>
    <n v="22641205"/>
    <m/>
    <n v="22641205"/>
    <n v="76106199"/>
    <n v="73722806"/>
    <m/>
    <m/>
    <m/>
    <m/>
    <n v="0"/>
    <m/>
    <m/>
    <n v="0"/>
    <m/>
    <m/>
    <m/>
    <m/>
    <m/>
    <m/>
    <n v="76106199"/>
    <n v="73722806"/>
  </r>
  <r>
    <x v="3"/>
    <x v="0"/>
    <s v="Florida SouthWestern State College"/>
    <m/>
    <n v="133508"/>
    <x v="14"/>
    <n v="33706769"/>
    <n v="36921478"/>
    <m/>
    <m/>
    <m/>
    <m/>
    <n v="24592028"/>
    <m/>
    <n v="24592028"/>
    <n v="22981783"/>
    <m/>
    <n v="22981783"/>
    <n v="58298797"/>
    <n v="59903261"/>
    <m/>
    <m/>
    <m/>
    <m/>
    <n v="0"/>
    <m/>
    <m/>
    <n v="0"/>
    <m/>
    <m/>
    <m/>
    <m/>
    <m/>
    <m/>
    <n v="58298797"/>
    <n v="59903261"/>
  </r>
  <r>
    <x v="3"/>
    <x v="0"/>
    <s v="Florida State College at Jacksonville"/>
    <m/>
    <n v="133702"/>
    <x v="14"/>
    <n v="78455987"/>
    <n v="78876686"/>
    <m/>
    <m/>
    <m/>
    <m/>
    <n v="45156013"/>
    <m/>
    <n v="45156013"/>
    <n v="40800402"/>
    <m/>
    <n v="40800402"/>
    <n v="123612000"/>
    <n v="119677088"/>
    <m/>
    <m/>
    <m/>
    <m/>
    <n v="0"/>
    <m/>
    <m/>
    <n v="0"/>
    <m/>
    <m/>
    <m/>
    <m/>
    <m/>
    <m/>
    <n v="123612000"/>
    <n v="119677088"/>
  </r>
  <r>
    <x v="3"/>
    <x v="0"/>
    <s v="The College of the Florida Keys"/>
    <s v="Met the criteria for Two-Year with Bachelor's in 2018-19 and 2019-20. "/>
    <n v="133960"/>
    <x v="8"/>
    <n v="7545792"/>
    <n v="8474857"/>
    <m/>
    <m/>
    <m/>
    <m/>
    <n v="2203530"/>
    <m/>
    <n v="2203530"/>
    <n v="2162647"/>
    <m/>
    <n v="2162647"/>
    <n v="9749322"/>
    <n v="10637504"/>
    <m/>
    <m/>
    <m/>
    <m/>
    <n v="0"/>
    <m/>
    <m/>
    <n v="0"/>
    <m/>
    <m/>
    <m/>
    <m/>
    <m/>
    <m/>
    <n v="9749322"/>
    <n v="10637504"/>
  </r>
  <r>
    <x v="3"/>
    <x v="0"/>
    <s v="Gulf Coast State College "/>
    <m/>
    <n v="134343"/>
    <x v="14"/>
    <n v="22537037"/>
    <n v="23775548"/>
    <m/>
    <m/>
    <m/>
    <m/>
    <n v="6954157"/>
    <m/>
    <n v="6954157"/>
    <n v="6480706"/>
    <m/>
    <n v="6480706"/>
    <n v="29491194"/>
    <n v="30256254"/>
    <m/>
    <m/>
    <m/>
    <m/>
    <n v="0"/>
    <m/>
    <m/>
    <n v="0"/>
    <m/>
    <m/>
    <m/>
    <m/>
    <m/>
    <m/>
    <n v="29491194"/>
    <n v="30256254"/>
  </r>
  <r>
    <x v="3"/>
    <x v="0"/>
    <s v="Hillsborough Community College "/>
    <m/>
    <n v="134495"/>
    <x v="6"/>
    <n v="68620100"/>
    <n v="69709807"/>
    <m/>
    <m/>
    <m/>
    <m/>
    <n v="47540710"/>
    <m/>
    <n v="47540710"/>
    <n v="42507706"/>
    <m/>
    <n v="42507706"/>
    <n v="116160810"/>
    <n v="112217513"/>
    <m/>
    <m/>
    <m/>
    <m/>
    <n v="0"/>
    <m/>
    <m/>
    <n v="0"/>
    <m/>
    <m/>
    <m/>
    <m/>
    <m/>
    <m/>
    <n v="116160810"/>
    <n v="112217513"/>
  </r>
  <r>
    <x v="3"/>
    <x v="0"/>
    <s v="Indian River State College "/>
    <m/>
    <n v="134608"/>
    <x v="14"/>
    <n v="51079213"/>
    <n v="51422971"/>
    <m/>
    <m/>
    <m/>
    <m/>
    <n v="24242494"/>
    <m/>
    <n v="24242494"/>
    <n v="22530160"/>
    <m/>
    <n v="22530160"/>
    <n v="75321707"/>
    <n v="73953131"/>
    <m/>
    <m/>
    <m/>
    <m/>
    <n v="0"/>
    <m/>
    <m/>
    <n v="0"/>
    <m/>
    <m/>
    <m/>
    <m/>
    <m/>
    <m/>
    <n v="75321707"/>
    <n v="73953131"/>
  </r>
  <r>
    <x v="3"/>
    <x v="0"/>
    <s v="Florida Gateway College"/>
    <m/>
    <n v="135160"/>
    <x v="14"/>
    <n v="14255549"/>
    <n v="14740433"/>
    <m/>
    <m/>
    <m/>
    <m/>
    <n v="4859308"/>
    <m/>
    <n v="4859308"/>
    <n v="4481911"/>
    <m/>
    <n v="4481911"/>
    <n v="19114857"/>
    <n v="19222344"/>
    <m/>
    <m/>
    <m/>
    <m/>
    <n v="0"/>
    <m/>
    <m/>
    <n v="0"/>
    <m/>
    <m/>
    <m/>
    <m/>
    <m/>
    <m/>
    <n v="19114857"/>
    <n v="19222344"/>
  </r>
  <r>
    <x v="3"/>
    <x v="0"/>
    <s v="Lake-Sumter State College "/>
    <m/>
    <n v="135188"/>
    <x v="14"/>
    <n v="14816344"/>
    <n v="15389255"/>
    <m/>
    <m/>
    <m/>
    <m/>
    <n v="6791502"/>
    <m/>
    <n v="6791502"/>
    <n v="6298410"/>
    <m/>
    <n v="6298410"/>
    <n v="21607846"/>
    <n v="21687665"/>
    <m/>
    <m/>
    <m/>
    <m/>
    <n v="0"/>
    <m/>
    <m/>
    <n v="0"/>
    <m/>
    <m/>
    <m/>
    <m/>
    <m/>
    <m/>
    <n v="21607846"/>
    <n v="21687665"/>
  </r>
  <r>
    <x v="3"/>
    <x v="0"/>
    <s v="State College of Florida, Manatee-Sarasota"/>
    <m/>
    <n v="135391"/>
    <x v="14"/>
    <n v="27649126"/>
    <n v="26014659"/>
    <m/>
    <m/>
    <m/>
    <m/>
    <n v="16516955"/>
    <m/>
    <n v="16516955"/>
    <n v="16992880"/>
    <m/>
    <n v="16992880"/>
    <n v="44166081"/>
    <n v="43007539"/>
    <m/>
    <m/>
    <m/>
    <m/>
    <n v="0"/>
    <m/>
    <m/>
    <n v="0"/>
    <m/>
    <m/>
    <m/>
    <m/>
    <m/>
    <m/>
    <n v="44166081"/>
    <n v="43007539"/>
  </r>
  <r>
    <x v="3"/>
    <x v="0"/>
    <s v="Miami Dade College "/>
    <m/>
    <n v="135717"/>
    <x v="14"/>
    <n v="177709518"/>
    <n v="178905947"/>
    <m/>
    <m/>
    <m/>
    <m/>
    <n v="120652141"/>
    <m/>
    <n v="120652141"/>
    <n v="111081186"/>
    <m/>
    <n v="111081186"/>
    <n v="298361659"/>
    <n v="289987133"/>
    <m/>
    <m/>
    <m/>
    <m/>
    <n v="0"/>
    <m/>
    <m/>
    <n v="0"/>
    <m/>
    <m/>
    <m/>
    <m/>
    <m/>
    <m/>
    <n v="298361659"/>
    <n v="289987133"/>
  </r>
  <r>
    <x v="3"/>
    <x v="0"/>
    <s v="North Florida College "/>
    <s v="Met the criteria for Two-Year with Bachelor's in 2019-20. "/>
    <n v="136145"/>
    <x v="8"/>
    <n v="8193715"/>
    <n v="8181614"/>
    <m/>
    <m/>
    <m/>
    <m/>
    <n v="1691914"/>
    <m/>
    <n v="1691914"/>
    <n v="1608195"/>
    <m/>
    <n v="1608195"/>
    <n v="9885629"/>
    <n v="9789809"/>
    <m/>
    <m/>
    <m/>
    <m/>
    <n v="0"/>
    <m/>
    <m/>
    <n v="0"/>
    <m/>
    <m/>
    <m/>
    <m/>
    <m/>
    <m/>
    <n v="9885629"/>
    <n v="9789809"/>
  </r>
  <r>
    <x v="3"/>
    <x v="0"/>
    <s v="Northwest Florida State College"/>
    <m/>
    <n v="136233"/>
    <x v="14"/>
    <n v="19802196"/>
    <n v="19925089"/>
    <m/>
    <m/>
    <m/>
    <m/>
    <n v="8584895"/>
    <m/>
    <n v="8584895"/>
    <n v="7969842"/>
    <m/>
    <n v="7969842"/>
    <n v="28387091"/>
    <n v="27894931"/>
    <m/>
    <m/>
    <m/>
    <m/>
    <n v="0"/>
    <m/>
    <m/>
    <n v="0"/>
    <m/>
    <m/>
    <m/>
    <m/>
    <m/>
    <m/>
    <n v="28387091"/>
    <n v="27894931"/>
  </r>
  <r>
    <x v="3"/>
    <x v="0"/>
    <s v="Palm Beach State College "/>
    <m/>
    <n v="136358"/>
    <x v="14"/>
    <n v="65377254"/>
    <n v="67766511"/>
    <m/>
    <m/>
    <m/>
    <m/>
    <n v="50211339"/>
    <m/>
    <n v="50211339"/>
    <n v="45386494"/>
    <m/>
    <n v="45386494"/>
    <n v="115588593"/>
    <n v="113153005"/>
    <m/>
    <m/>
    <m/>
    <m/>
    <n v="0"/>
    <m/>
    <m/>
    <n v="0"/>
    <m/>
    <m/>
    <m/>
    <m/>
    <m/>
    <m/>
    <n v="115588593"/>
    <n v="113153005"/>
  </r>
  <r>
    <x v="3"/>
    <x v="0"/>
    <s v="Pasco-Hernando State College "/>
    <m/>
    <n v="136400"/>
    <x v="14"/>
    <n v="31907963"/>
    <n v="32173371"/>
    <m/>
    <m/>
    <m/>
    <m/>
    <n v="16211928"/>
    <m/>
    <n v="16211928"/>
    <n v="14393305"/>
    <m/>
    <n v="14393305"/>
    <n v="48119891"/>
    <n v="46566676"/>
    <m/>
    <m/>
    <m/>
    <m/>
    <n v="0"/>
    <m/>
    <m/>
    <n v="0"/>
    <m/>
    <m/>
    <m/>
    <m/>
    <m/>
    <m/>
    <n v="48119891"/>
    <n v="46566676"/>
  </r>
  <r>
    <x v="3"/>
    <x v="0"/>
    <s v="Pensacola State College "/>
    <m/>
    <n v="136473"/>
    <x v="14"/>
    <n v="36612231"/>
    <n v="37209127"/>
    <m/>
    <m/>
    <m/>
    <m/>
    <n v="16251344"/>
    <m/>
    <n v="16251344"/>
    <n v="14562895"/>
    <m/>
    <n v="14562895"/>
    <n v="52863575"/>
    <n v="51772022"/>
    <m/>
    <m/>
    <m/>
    <m/>
    <n v="0"/>
    <m/>
    <m/>
    <n v="0"/>
    <m/>
    <m/>
    <m/>
    <m/>
    <m/>
    <m/>
    <n v="52863575"/>
    <n v="51772022"/>
  </r>
  <r>
    <x v="3"/>
    <x v="0"/>
    <s v="Polk State College "/>
    <m/>
    <n v="136516"/>
    <x v="14"/>
    <n v="32198826"/>
    <n v="33319787"/>
    <m/>
    <m/>
    <m/>
    <m/>
    <n v="16058153"/>
    <m/>
    <n v="16058153"/>
    <n v="14060637"/>
    <m/>
    <n v="14060637"/>
    <n v="48256979"/>
    <n v="47380424"/>
    <m/>
    <m/>
    <m/>
    <m/>
    <n v="0"/>
    <m/>
    <m/>
    <n v="0"/>
    <m/>
    <m/>
    <m/>
    <m/>
    <m/>
    <m/>
    <n v="48256979"/>
    <n v="47380424"/>
  </r>
  <r>
    <x v="3"/>
    <x v="0"/>
    <s v="St. Johns River State College "/>
    <m/>
    <n v="137281"/>
    <x v="14"/>
    <n v="23064654"/>
    <n v="24698500"/>
    <m/>
    <m/>
    <m/>
    <m/>
    <n v="9101701"/>
    <m/>
    <n v="9101701"/>
    <n v="8494066"/>
    <m/>
    <n v="8494066"/>
    <n v="32166355"/>
    <n v="33192566"/>
    <m/>
    <m/>
    <m/>
    <m/>
    <n v="0"/>
    <m/>
    <m/>
    <n v="0"/>
    <m/>
    <m/>
    <m/>
    <m/>
    <m/>
    <m/>
    <n v="32166355"/>
    <n v="33192566"/>
  </r>
  <r>
    <x v="3"/>
    <x v="0"/>
    <s v="St. Petersburg College "/>
    <m/>
    <n v="137078"/>
    <x v="14"/>
    <n v="71914178"/>
    <n v="72572258"/>
    <m/>
    <m/>
    <m/>
    <m/>
    <n v="47375218"/>
    <m/>
    <n v="47375218"/>
    <n v="42727325"/>
    <m/>
    <n v="42727325"/>
    <n v="119289396"/>
    <n v="115299583"/>
    <m/>
    <m/>
    <m/>
    <m/>
    <n v="0"/>
    <m/>
    <m/>
    <n v="0"/>
    <m/>
    <m/>
    <m/>
    <m/>
    <m/>
    <m/>
    <n v="119289396"/>
    <n v="115299583"/>
  </r>
  <r>
    <x v="3"/>
    <x v="0"/>
    <s v="Santa Fe College "/>
    <m/>
    <n v="137096"/>
    <x v="14"/>
    <n v="44263290"/>
    <n v="44452602"/>
    <m/>
    <m/>
    <m/>
    <m/>
    <n v="28280392"/>
    <m/>
    <n v="28280392"/>
    <n v="24950861"/>
    <m/>
    <n v="24950861"/>
    <n v="72543682"/>
    <n v="69403463"/>
    <m/>
    <m/>
    <m/>
    <m/>
    <n v="0"/>
    <m/>
    <m/>
    <n v="0"/>
    <m/>
    <m/>
    <m/>
    <m/>
    <m/>
    <m/>
    <n v="72543682"/>
    <n v="69403463"/>
  </r>
  <r>
    <x v="3"/>
    <x v="0"/>
    <s v="Seminole State College of Florida"/>
    <m/>
    <n v="137209"/>
    <x v="14"/>
    <n v="45564565"/>
    <n v="46320934"/>
    <m/>
    <m/>
    <m/>
    <m/>
    <n v="29669509"/>
    <m/>
    <n v="29669509"/>
    <n v="27984856"/>
    <m/>
    <n v="27984856"/>
    <n v="75234074"/>
    <n v="74305790"/>
    <m/>
    <m/>
    <m/>
    <m/>
    <n v="0"/>
    <m/>
    <m/>
    <n v="0"/>
    <m/>
    <m/>
    <m/>
    <m/>
    <m/>
    <m/>
    <n v="75234074"/>
    <n v="74305790"/>
  </r>
  <r>
    <x v="3"/>
    <x v="0"/>
    <s v="South Florida State College "/>
    <m/>
    <n v="137315"/>
    <x v="14"/>
    <n v="16762802"/>
    <n v="16836789"/>
    <m/>
    <m/>
    <m/>
    <m/>
    <n v="3718996"/>
    <m/>
    <n v="3718996"/>
    <n v="3897242"/>
    <m/>
    <n v="3897242"/>
    <n v="20481798"/>
    <n v="20734031"/>
    <m/>
    <m/>
    <m/>
    <m/>
    <n v="0"/>
    <m/>
    <m/>
    <n v="0"/>
    <m/>
    <m/>
    <m/>
    <m/>
    <m/>
    <m/>
    <n v="20481798"/>
    <n v="20734031"/>
  </r>
  <r>
    <x v="3"/>
    <x v="0"/>
    <s v="Tallahassee Community College "/>
    <s v="Met the criteria for Two-Year with Bachelor's in 2019-20. "/>
    <n v="137759"/>
    <x v="6"/>
    <n v="34129013"/>
    <n v="34295994"/>
    <m/>
    <m/>
    <m/>
    <m/>
    <n v="23556516"/>
    <m/>
    <n v="23556516"/>
    <n v="22164943"/>
    <m/>
    <n v="22164943"/>
    <n v="57685529"/>
    <n v="56460937"/>
    <m/>
    <m/>
    <m/>
    <m/>
    <n v="0"/>
    <m/>
    <m/>
    <n v="0"/>
    <m/>
    <m/>
    <m/>
    <m/>
    <m/>
    <m/>
    <n v="57685529"/>
    <n v="56460937"/>
  </r>
  <r>
    <x v="3"/>
    <x v="0"/>
    <s v="Valencia College "/>
    <m/>
    <n v="138187"/>
    <x v="14"/>
    <n v="89894401"/>
    <n v="94697528"/>
    <m/>
    <m/>
    <m/>
    <m/>
    <n v="90904468"/>
    <m/>
    <n v="90904468"/>
    <n v="94519809"/>
    <m/>
    <n v="94519809"/>
    <n v="180798869"/>
    <n v="189217337"/>
    <m/>
    <m/>
    <m/>
    <m/>
    <n v="0"/>
    <m/>
    <m/>
    <n v="0"/>
    <m/>
    <m/>
    <m/>
    <m/>
    <m/>
    <m/>
    <n v="180798869"/>
    <n v="189217337"/>
  </r>
  <r>
    <x v="3"/>
    <x v="16"/>
    <s v="Division of Florida Colleges Central Office "/>
    <m/>
    <m/>
    <x v="12"/>
    <n v="2358105.2400000002"/>
    <n v="2451005"/>
    <m/>
    <m/>
    <m/>
    <m/>
    <m/>
    <m/>
    <n v="0"/>
    <m/>
    <m/>
    <n v="0"/>
    <n v="2358105.2400000002"/>
    <n v="2451005"/>
    <m/>
    <m/>
    <m/>
    <m/>
    <n v="0"/>
    <m/>
    <m/>
    <n v="0"/>
    <m/>
    <m/>
    <m/>
    <m/>
    <m/>
    <m/>
    <n v="2358105.2400000002"/>
    <n v="2451005"/>
  </r>
  <r>
    <x v="3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0"/>
    <s v="Georgia State University "/>
    <m/>
    <n v="139940"/>
    <x v="0"/>
    <n v="285467569"/>
    <n v="266043536"/>
    <m/>
    <m/>
    <m/>
    <m/>
    <n v="361534586.97000003"/>
    <m/>
    <n v="361534586.97000003"/>
    <n v="360064448.81"/>
    <m/>
    <n v="360064448.81"/>
    <n v="647002155.97000003"/>
    <n v="626107984.80999994"/>
    <m/>
    <m/>
    <m/>
    <m/>
    <n v="0"/>
    <m/>
    <m/>
    <n v="0"/>
    <m/>
    <m/>
    <m/>
    <m/>
    <m/>
    <m/>
    <n v="647002155.97000003"/>
    <n v="626107984.80999994"/>
  </r>
  <r>
    <x v="4"/>
    <x v="0"/>
    <s v="University of Georgia"/>
    <m/>
    <n v="139959"/>
    <x v="0"/>
    <n v="407665063"/>
    <n v="374049384"/>
    <m/>
    <m/>
    <m/>
    <m/>
    <n v="466404305.81"/>
    <m/>
    <n v="466404305.81"/>
    <n v="478413431.02999997"/>
    <m/>
    <n v="478413431.02999997"/>
    <n v="874069368.80999994"/>
    <n v="852462815.02999997"/>
    <m/>
    <m/>
    <m/>
    <m/>
    <n v="0"/>
    <m/>
    <m/>
    <n v="0"/>
    <m/>
    <m/>
    <m/>
    <m/>
    <m/>
    <m/>
    <n v="874069368.80999994"/>
    <n v="852462815.02999997"/>
  </r>
  <r>
    <x v="4"/>
    <x v="1"/>
    <s v="Heatlh Professions Education"/>
    <m/>
    <n v="13995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"/>
    <s v="College of Veterinary Medicine"/>
    <m/>
    <n v="139959"/>
    <x v="0"/>
    <m/>
    <m/>
    <m/>
    <m/>
    <m/>
    <m/>
    <m/>
    <m/>
    <n v="0"/>
    <m/>
    <m/>
    <n v="0"/>
    <n v="0"/>
    <n v="0"/>
    <m/>
    <m/>
    <m/>
    <m/>
    <n v="0"/>
    <m/>
    <m/>
    <n v="0"/>
    <n v="19577806"/>
    <n v="18714246"/>
    <n v="10541896"/>
    <m/>
    <n v="10076902"/>
    <m/>
    <n v="30119702"/>
    <n v="28791148"/>
  </r>
  <r>
    <x v="4"/>
    <x v="1"/>
    <s v="Vet Med Teaching Hospital"/>
    <m/>
    <n v="139959"/>
    <x v="0"/>
    <m/>
    <m/>
    <m/>
    <m/>
    <m/>
    <m/>
    <m/>
    <m/>
    <n v="0"/>
    <m/>
    <m/>
    <n v="0"/>
    <n v="0"/>
    <n v="0"/>
    <m/>
    <m/>
    <m/>
    <m/>
    <n v="0"/>
    <m/>
    <m/>
    <n v="0"/>
    <n v="469806"/>
    <n v="481991"/>
    <m/>
    <m/>
    <m/>
    <m/>
    <n v="469806"/>
    <n v="481991"/>
  </r>
  <r>
    <x v="4"/>
    <x v="3"/>
    <s v="Public Service Units"/>
    <m/>
    <n v="13995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5"/>
    <s v="Ag Cooperative Extension Service"/>
    <m/>
    <n v="139959"/>
    <x v="0"/>
    <m/>
    <m/>
    <n v="42437198"/>
    <n v="41953059"/>
    <m/>
    <m/>
    <m/>
    <m/>
    <n v="0"/>
    <m/>
    <m/>
    <n v="0"/>
    <n v="42437198"/>
    <n v="41953059"/>
    <m/>
    <m/>
    <m/>
    <m/>
    <n v="0"/>
    <m/>
    <m/>
    <n v="0"/>
    <m/>
    <m/>
    <m/>
    <m/>
    <m/>
    <m/>
    <n v="42437198"/>
    <n v="41953059"/>
  </r>
  <r>
    <x v="4"/>
    <x v="6"/>
    <s v="Ag Experiment Stations"/>
    <m/>
    <n v="139959"/>
    <x v="0"/>
    <m/>
    <m/>
    <n v="45818324"/>
    <n v="45142840"/>
    <m/>
    <m/>
    <m/>
    <m/>
    <n v="0"/>
    <m/>
    <m/>
    <n v="0"/>
    <n v="45818324"/>
    <n v="45142840"/>
    <m/>
    <m/>
    <m/>
    <m/>
    <n v="0"/>
    <m/>
    <m/>
    <n v="0"/>
    <m/>
    <m/>
    <m/>
    <m/>
    <m/>
    <m/>
    <n v="45818324"/>
    <n v="45142840"/>
  </r>
  <r>
    <x v="4"/>
    <x v="7"/>
    <s v="Research Units"/>
    <m/>
    <n v="13995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7"/>
    <s v="Marine Extension Service"/>
    <m/>
    <n v="139959"/>
    <x v="0"/>
    <m/>
    <m/>
    <n v="1516672"/>
    <n v="1510947"/>
    <m/>
    <m/>
    <m/>
    <m/>
    <n v="0"/>
    <m/>
    <m/>
    <n v="0"/>
    <n v="1516672"/>
    <n v="1510947"/>
    <m/>
    <m/>
    <m/>
    <m/>
    <n v="0"/>
    <m/>
    <m/>
    <n v="0"/>
    <m/>
    <m/>
    <m/>
    <m/>
    <m/>
    <m/>
    <n v="1516672"/>
    <n v="1510947"/>
  </r>
  <r>
    <x v="4"/>
    <x v="7"/>
    <s v="Vet Med Exp Station"/>
    <m/>
    <n v="139959"/>
    <x v="0"/>
    <m/>
    <m/>
    <n v="4457398"/>
    <n v="4226424"/>
    <m/>
    <m/>
    <m/>
    <m/>
    <n v="0"/>
    <m/>
    <m/>
    <n v="0"/>
    <n v="4457398"/>
    <n v="4226424"/>
    <m/>
    <m/>
    <m/>
    <m/>
    <n v="0"/>
    <m/>
    <m/>
    <n v="0"/>
    <m/>
    <m/>
    <m/>
    <m/>
    <m/>
    <m/>
    <n v="4457398"/>
    <n v="4226424"/>
  </r>
  <r>
    <x v="4"/>
    <x v="7"/>
    <s v="Marine Institute"/>
    <m/>
    <n v="139959"/>
    <x v="0"/>
    <m/>
    <m/>
    <n v="988234"/>
    <n v="972325"/>
    <m/>
    <m/>
    <m/>
    <m/>
    <n v="0"/>
    <m/>
    <m/>
    <n v="0"/>
    <n v="988234"/>
    <n v="972325"/>
    <m/>
    <m/>
    <m/>
    <m/>
    <n v="0"/>
    <m/>
    <m/>
    <n v="0"/>
    <m/>
    <m/>
    <m/>
    <m/>
    <m/>
    <m/>
    <n v="988234"/>
    <n v="972325"/>
  </r>
  <r>
    <x v="4"/>
    <x v="7"/>
    <s v="Forest Research"/>
    <m/>
    <n v="139959"/>
    <x v="0"/>
    <m/>
    <m/>
    <n v="3868092"/>
    <n v="3820984"/>
    <m/>
    <m/>
    <m/>
    <m/>
    <n v="0"/>
    <m/>
    <m/>
    <n v="0"/>
    <n v="3868092"/>
    <n v="3820984"/>
    <m/>
    <m/>
    <m/>
    <m/>
    <n v="0"/>
    <m/>
    <m/>
    <n v="0"/>
    <m/>
    <m/>
    <m/>
    <m/>
    <m/>
    <m/>
    <n v="3868092"/>
    <n v="3820984"/>
  </r>
  <r>
    <x v="4"/>
    <x v="7"/>
    <s v="Skidaway Inst of Oceanography"/>
    <m/>
    <n v="139959"/>
    <x v="0"/>
    <m/>
    <m/>
    <n v="3114405"/>
    <n v="2953952"/>
    <m/>
    <m/>
    <m/>
    <m/>
    <n v="0"/>
    <m/>
    <m/>
    <n v="0"/>
    <n v="3114405"/>
    <n v="2953952"/>
    <m/>
    <m/>
    <m/>
    <m/>
    <n v="0"/>
    <m/>
    <m/>
    <n v="0"/>
    <m/>
    <m/>
    <m/>
    <m/>
    <m/>
    <m/>
    <n v="3114405"/>
    <n v="2953952"/>
  </r>
  <r>
    <x v="4"/>
    <x v="0"/>
    <s v="Georgia Institute of Technology"/>
    <m/>
    <n v="139755"/>
    <x v="1"/>
    <n v="326601790"/>
    <n v="321574558"/>
    <m/>
    <m/>
    <m/>
    <m/>
    <n v="459606817.08999997"/>
    <m/>
    <n v="459606817.08999997"/>
    <n v="470679562.51999998"/>
    <m/>
    <n v="470679562.51999998"/>
    <n v="786208607.08999991"/>
    <n v="792254120.51999998"/>
    <m/>
    <m/>
    <m/>
    <m/>
    <n v="0"/>
    <m/>
    <m/>
    <n v="0"/>
    <m/>
    <m/>
    <m/>
    <m/>
    <m/>
    <m/>
    <n v="786208607.08999991"/>
    <n v="792254120.51999998"/>
  </r>
  <r>
    <x v="4"/>
    <x v="3"/>
    <s v="Public Service Units"/>
    <m/>
    <n v="139755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"/>
    <s v="Enterprise Innovation Institute"/>
    <m/>
    <n v="139755"/>
    <x v="1"/>
    <m/>
    <m/>
    <n v="9106171"/>
    <n v="9435472"/>
    <m/>
    <m/>
    <m/>
    <m/>
    <n v="0"/>
    <m/>
    <m/>
    <n v="0"/>
    <n v="9106171"/>
    <n v="9435472"/>
    <m/>
    <m/>
    <m/>
    <m/>
    <n v="0"/>
    <m/>
    <m/>
    <n v="0"/>
    <m/>
    <m/>
    <m/>
    <m/>
    <m/>
    <m/>
    <n v="9106171"/>
    <n v="9435472"/>
  </r>
  <r>
    <x v="4"/>
    <x v="7"/>
    <s v="Research Units"/>
    <m/>
    <n v="139755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3"/>
    <s v="Eng Experiment Station (Ga. Tech. Resch Inst.)"/>
    <m/>
    <n v="139755"/>
    <x v="1"/>
    <m/>
    <m/>
    <n v="5855190"/>
    <n v="5849684"/>
    <m/>
    <m/>
    <m/>
    <m/>
    <n v="0"/>
    <m/>
    <m/>
    <n v="0"/>
    <n v="5855190"/>
    <n v="5849684"/>
    <m/>
    <m/>
    <m/>
    <m/>
    <n v="0"/>
    <m/>
    <m/>
    <n v="0"/>
    <m/>
    <m/>
    <m/>
    <m/>
    <m/>
    <m/>
    <n v="5855190"/>
    <n v="5849684"/>
  </r>
  <r>
    <x v="4"/>
    <x v="0"/>
    <s v="Georgia Southern University"/>
    <s v="Met the criteria for Four-Year 2 in 2019-20."/>
    <n v="139931"/>
    <x v="2"/>
    <n v="142242476"/>
    <n v="122255679"/>
    <m/>
    <m/>
    <m/>
    <m/>
    <n v="152424806.77000001"/>
    <m/>
    <n v="152424806.77000001"/>
    <n v="158063206.40000001"/>
    <m/>
    <n v="158063206.40000001"/>
    <n v="294667282.76999998"/>
    <n v="280318885.39999998"/>
    <m/>
    <m/>
    <m/>
    <m/>
    <n v="0"/>
    <m/>
    <m/>
    <n v="0"/>
    <m/>
    <m/>
    <m/>
    <m/>
    <m/>
    <m/>
    <n v="294667282.76999998"/>
    <n v="280318885.39999998"/>
  </r>
  <r>
    <x v="4"/>
    <x v="0"/>
    <s v="Kennesaw State University"/>
    <s v="Met the criteria for Four-Year 2 in 2019-20."/>
    <n v="486840"/>
    <x v="2"/>
    <n v="163351566"/>
    <n v="149031170"/>
    <m/>
    <m/>
    <m/>
    <m/>
    <n v="223365350.25"/>
    <m/>
    <n v="223365350.25"/>
    <n v="234767588.38"/>
    <m/>
    <n v="234767588.38"/>
    <n v="386716916.25"/>
    <n v="383798758.38"/>
    <m/>
    <m/>
    <m/>
    <m/>
    <n v="0"/>
    <m/>
    <m/>
    <n v="0"/>
    <m/>
    <m/>
    <m/>
    <m/>
    <m/>
    <m/>
    <n v="386716916.25"/>
    <n v="383798758.38"/>
  </r>
  <r>
    <x v="4"/>
    <x v="0"/>
    <s v="University of West Georgia"/>
    <m/>
    <n v="141334"/>
    <x v="2"/>
    <n v="67449485"/>
    <n v="63141540"/>
    <m/>
    <m/>
    <m/>
    <m/>
    <n v="89969258.560000002"/>
    <m/>
    <n v="89969258.560000002"/>
    <n v="89997024.909999996"/>
    <m/>
    <n v="89997024.909999996"/>
    <n v="157418743.56"/>
    <n v="153138564.91"/>
    <m/>
    <m/>
    <m/>
    <m/>
    <n v="0"/>
    <m/>
    <m/>
    <n v="0"/>
    <m/>
    <m/>
    <m/>
    <m/>
    <m/>
    <m/>
    <n v="157418743.56"/>
    <n v="153138564.91"/>
  </r>
  <r>
    <x v="4"/>
    <x v="0"/>
    <s v="Valdosta State University"/>
    <m/>
    <n v="141264"/>
    <x v="2"/>
    <n v="51899243"/>
    <n v="46470181"/>
    <m/>
    <m/>
    <m/>
    <m/>
    <n v="63974264"/>
    <m/>
    <n v="63974264"/>
    <n v="66319293.280000001"/>
    <m/>
    <n v="66319293.280000001"/>
    <n v="115873507"/>
    <n v="112789474.28"/>
    <m/>
    <m/>
    <m/>
    <m/>
    <n v="0"/>
    <m/>
    <m/>
    <n v="0"/>
    <m/>
    <m/>
    <m/>
    <m/>
    <m/>
    <m/>
    <n v="115873507"/>
    <n v="112789474.28"/>
  </r>
  <r>
    <x v="4"/>
    <x v="0"/>
    <s v="Albany State University "/>
    <m/>
    <n v="138716"/>
    <x v="3"/>
    <n v="29039060"/>
    <n v="25830640"/>
    <m/>
    <m/>
    <m/>
    <m/>
    <n v="25819589.41"/>
    <m/>
    <n v="25819589.41"/>
    <n v="21059684.420000002"/>
    <m/>
    <n v="21059684.420000002"/>
    <n v="54858649.409999996"/>
    <n v="46890324.420000002"/>
    <m/>
    <m/>
    <m/>
    <m/>
    <n v="0"/>
    <m/>
    <m/>
    <n v="0"/>
    <m/>
    <m/>
    <m/>
    <m/>
    <m/>
    <m/>
    <n v="54858649.409999996"/>
    <n v="46890324.420000002"/>
  </r>
  <r>
    <x v="4"/>
    <x v="0"/>
    <s v="Augusta University"/>
    <m/>
    <n v="482149"/>
    <x v="3"/>
    <n v="32202731"/>
    <n v="30863977"/>
    <m/>
    <m/>
    <m/>
    <m/>
    <n v="28588010.899999999"/>
    <m/>
    <n v="28588010.899999999"/>
    <n v="29472938.390000001"/>
    <m/>
    <n v="29472938.390000001"/>
    <n v="60790741.899999999"/>
    <n v="60336915.390000001"/>
    <m/>
    <m/>
    <m/>
    <m/>
    <n v="0"/>
    <m/>
    <m/>
    <n v="0"/>
    <m/>
    <m/>
    <m/>
    <m/>
    <m/>
    <m/>
    <n v="60790741.899999999"/>
    <n v="60336915.390000001"/>
  </r>
  <r>
    <x v="4"/>
    <x v="1"/>
    <s v="Heatlh Professions Education"/>
    <m/>
    <n v="482149"/>
    <x v="3"/>
    <m/>
    <m/>
    <m/>
    <m/>
    <m/>
    <m/>
    <m/>
    <m/>
    <n v="0"/>
    <m/>
    <m/>
    <n v="0"/>
    <n v="0"/>
    <n v="0"/>
    <m/>
    <m/>
    <m/>
    <m/>
    <n v="0"/>
    <m/>
    <m/>
    <n v="0"/>
    <n v="224890259"/>
    <n v="214532525"/>
    <n v="72720519"/>
    <m/>
    <n v="73095620"/>
    <m/>
    <n v="297610778"/>
    <n v="287628145"/>
  </r>
  <r>
    <x v="4"/>
    <x v="0"/>
    <s v="Clayton State University"/>
    <m/>
    <n v="139311"/>
    <x v="3"/>
    <n v="28233759"/>
    <n v="26385003"/>
    <m/>
    <m/>
    <m/>
    <m/>
    <n v="33960760.109999999"/>
    <m/>
    <n v="33960760.109999999"/>
    <n v="33075927.149999999"/>
    <m/>
    <n v="33075927.149999999"/>
    <n v="62194519.109999999"/>
    <n v="59460930.149999999"/>
    <m/>
    <m/>
    <m/>
    <m/>
    <n v="0"/>
    <m/>
    <m/>
    <n v="0"/>
    <m/>
    <m/>
    <m/>
    <m/>
    <m/>
    <m/>
    <n v="62194519.109999999"/>
    <n v="59460930.149999999"/>
  </r>
  <r>
    <x v="4"/>
    <x v="0"/>
    <s v="Columbus State University"/>
    <s v="Met the criteria for Four-Year 3 in 2018-19 and 2019-20."/>
    <n v="139366"/>
    <x v="3"/>
    <n v="45601911"/>
    <n v="39799975"/>
    <m/>
    <m/>
    <m/>
    <m/>
    <n v="42682692.479999997"/>
    <m/>
    <n v="42682692.479999997"/>
    <n v="42854556.079999998"/>
    <m/>
    <n v="42854556.079999998"/>
    <n v="88284603.479999989"/>
    <n v="82654531.079999998"/>
    <m/>
    <m/>
    <m/>
    <m/>
    <n v="0"/>
    <m/>
    <m/>
    <n v="0"/>
    <m/>
    <m/>
    <m/>
    <m/>
    <m/>
    <m/>
    <n v="88284603.479999989"/>
    <n v="82654531.079999998"/>
  </r>
  <r>
    <x v="4"/>
    <x v="0"/>
    <s v="Fort Valley State University"/>
    <s v="Reclassified: Met the criteria for Four-Year 5 in 2018-19, 2019-20, and 2020-21."/>
    <n v="139719"/>
    <x v="4"/>
    <n v="24259424"/>
    <n v="22536611"/>
    <m/>
    <m/>
    <m/>
    <m/>
    <n v="13811966.609999999"/>
    <m/>
    <n v="13811966.609999999"/>
    <n v="14077688.539999999"/>
    <m/>
    <n v="14077688.539999999"/>
    <n v="38071390.609999999"/>
    <n v="36614299.539999999"/>
    <m/>
    <m/>
    <m/>
    <m/>
    <n v="0"/>
    <m/>
    <m/>
    <n v="0"/>
    <m/>
    <m/>
    <m/>
    <m/>
    <m/>
    <m/>
    <n v="38071390.609999999"/>
    <n v="36614299.539999999"/>
  </r>
  <r>
    <x v="4"/>
    <x v="0"/>
    <s v="Georgia College and State University"/>
    <m/>
    <n v="139861"/>
    <x v="3"/>
    <n v="43400239"/>
    <n v="39121142"/>
    <m/>
    <m/>
    <m/>
    <m/>
    <n v="58499708.380000003"/>
    <m/>
    <n v="58499708.380000003"/>
    <n v="56732163.350000001"/>
    <m/>
    <n v="56732163.350000001"/>
    <n v="101899947.38"/>
    <n v="95853305.349999994"/>
    <m/>
    <m/>
    <m/>
    <m/>
    <n v="0"/>
    <m/>
    <m/>
    <n v="0"/>
    <m/>
    <m/>
    <m/>
    <m/>
    <m/>
    <m/>
    <n v="101899947.38"/>
    <n v="95853305.349999994"/>
  </r>
  <r>
    <x v="4"/>
    <x v="0"/>
    <s v="Georgia Southwestern State University"/>
    <s v="Met the criteria for Four-Year 5 in 2019-20."/>
    <n v="139764"/>
    <x v="3"/>
    <n v="16167839"/>
    <n v="14386876"/>
    <m/>
    <m/>
    <m/>
    <m/>
    <n v="14443152.529999999"/>
    <m/>
    <n v="14443152.529999999"/>
    <n v="15035362.68"/>
    <m/>
    <n v="15035362.68"/>
    <n v="30610991.530000001"/>
    <n v="29422238.68"/>
    <m/>
    <m/>
    <m/>
    <m/>
    <n v="0"/>
    <m/>
    <m/>
    <n v="0"/>
    <m/>
    <m/>
    <m/>
    <m/>
    <m/>
    <m/>
    <n v="30610991.530000001"/>
    <n v="29422238.68"/>
  </r>
  <r>
    <x v="4"/>
    <x v="0"/>
    <s v="University of North Georgia"/>
    <m/>
    <n v="482680"/>
    <x v="3"/>
    <n v="86681369"/>
    <n v="82375657"/>
    <m/>
    <m/>
    <m/>
    <m/>
    <n v="92893454.659999996"/>
    <m/>
    <n v="92893454.659999996"/>
    <n v="87287151.739999995"/>
    <m/>
    <n v="87287151.739999995"/>
    <n v="179574823.66"/>
    <n v="169662808.74000001"/>
    <m/>
    <m/>
    <m/>
    <m/>
    <n v="0"/>
    <m/>
    <m/>
    <n v="0"/>
    <m/>
    <m/>
    <m/>
    <m/>
    <m/>
    <m/>
    <n v="179574823.66"/>
    <n v="169662808.74000001"/>
  </r>
  <r>
    <x v="4"/>
    <x v="0"/>
    <s v="Savannah State University"/>
    <s v="Met the criteria for Four-Year 4 in 2020-21."/>
    <n v="140960"/>
    <x v="4"/>
    <n v="24846184"/>
    <n v="20715552"/>
    <m/>
    <m/>
    <m/>
    <m/>
    <n v="19709761.379999999"/>
    <m/>
    <n v="19709761.379999999"/>
    <n v="15674284.52"/>
    <m/>
    <n v="15674284.52"/>
    <n v="44555945.379999995"/>
    <n v="36389836.519999996"/>
    <m/>
    <m/>
    <m/>
    <m/>
    <n v="0"/>
    <m/>
    <m/>
    <n v="0"/>
    <m/>
    <m/>
    <m/>
    <m/>
    <m/>
    <m/>
    <n v="44555945.379999995"/>
    <n v="36389836.519999996"/>
  </r>
  <r>
    <x v="4"/>
    <x v="0"/>
    <s v="Abraham Baldwin Agricultural College "/>
    <m/>
    <n v="138558"/>
    <x v="5"/>
    <n v="26057553"/>
    <n v="23186030"/>
    <m/>
    <m/>
    <m/>
    <m/>
    <n v="12107699.65"/>
    <m/>
    <n v="12107699.65"/>
    <n v="11994243.76"/>
    <m/>
    <n v="11994243.76"/>
    <n v="38165252.649999999"/>
    <n v="35180273.759999998"/>
    <m/>
    <m/>
    <m/>
    <m/>
    <n v="0"/>
    <m/>
    <m/>
    <n v="0"/>
    <m/>
    <m/>
    <m/>
    <m/>
    <m/>
    <m/>
    <n v="38165252.649999999"/>
    <n v="35180273.759999998"/>
  </r>
  <r>
    <x v="4"/>
    <x v="0"/>
    <s v="College of Coastal Georgia"/>
    <m/>
    <n v="139250"/>
    <x v="5"/>
    <n v="17690362"/>
    <n v="15840974"/>
    <m/>
    <m/>
    <m/>
    <m/>
    <n v="10811450.869999999"/>
    <m/>
    <n v="10811450.869999999"/>
    <n v="9747549.7699999996"/>
    <m/>
    <n v="9747549.7699999996"/>
    <n v="28501812.869999997"/>
    <n v="25588523.77"/>
    <m/>
    <m/>
    <m/>
    <m/>
    <n v="0"/>
    <m/>
    <m/>
    <n v="0"/>
    <m/>
    <m/>
    <m/>
    <m/>
    <m/>
    <m/>
    <n v="28501812.869999997"/>
    <n v="25588523.77"/>
  </r>
  <r>
    <x v="4"/>
    <x v="0"/>
    <s v="Dalton State College "/>
    <m/>
    <n v="139463"/>
    <x v="5"/>
    <n v="19129440"/>
    <n v="17051010"/>
    <m/>
    <m/>
    <m/>
    <m/>
    <n v="14737206.24"/>
    <m/>
    <n v="14737206.24"/>
    <n v="13411408.890000001"/>
    <m/>
    <n v="13411408.890000001"/>
    <n v="33866646.240000002"/>
    <n v="30462418.890000001"/>
    <m/>
    <m/>
    <m/>
    <m/>
    <n v="0"/>
    <m/>
    <m/>
    <n v="0"/>
    <m/>
    <m/>
    <m/>
    <m/>
    <m/>
    <m/>
    <n v="33866646.240000002"/>
    <n v="30462418.890000001"/>
  </r>
  <r>
    <x v="4"/>
    <x v="9"/>
    <s v="Georgia Gwinnett College"/>
    <m/>
    <n v="447689"/>
    <x v="5"/>
    <n v="60028351"/>
    <n v="53607939"/>
    <m/>
    <m/>
    <m/>
    <m/>
    <n v="50707350"/>
    <m/>
    <n v="50707350"/>
    <n v="46946168.490000002"/>
    <m/>
    <n v="46946168.490000002"/>
    <n v="110735701"/>
    <n v="100554107.49000001"/>
    <m/>
    <m/>
    <m/>
    <m/>
    <n v="0"/>
    <m/>
    <m/>
    <n v="0"/>
    <m/>
    <m/>
    <m/>
    <m/>
    <m/>
    <m/>
    <n v="110735701"/>
    <n v="100554107.49000001"/>
  </r>
  <r>
    <x v="4"/>
    <x v="0"/>
    <s v="Gordon State College "/>
    <m/>
    <n v="482158"/>
    <x v="5"/>
    <n v="13782332"/>
    <n v="11903429"/>
    <m/>
    <m/>
    <m/>
    <m/>
    <n v="10148660.27"/>
    <m/>
    <n v="10148660.27"/>
    <n v="8682253"/>
    <m/>
    <n v="8682253"/>
    <n v="23930992.27"/>
    <n v="20585682"/>
    <m/>
    <m/>
    <m/>
    <m/>
    <n v="0"/>
    <m/>
    <m/>
    <n v="0"/>
    <m/>
    <m/>
    <m/>
    <m/>
    <m/>
    <m/>
    <n v="23930992.27"/>
    <n v="20585682"/>
  </r>
  <r>
    <x v="4"/>
    <x v="0"/>
    <s v="Middle Georgia State University"/>
    <s v="Reclassified: Met the criteria for Four-Year 5 in 2018-19, 2019-20, and 2020-21."/>
    <n v="482158"/>
    <x v="4"/>
    <n v="36905041"/>
    <n v="36844586"/>
    <m/>
    <m/>
    <m/>
    <m/>
    <n v="28643595.640000001"/>
    <m/>
    <n v="28643595.640000001"/>
    <n v="28341240.870000001"/>
    <m/>
    <n v="28341240.870000001"/>
    <n v="65548636.640000001"/>
    <n v="65185826.870000005"/>
    <m/>
    <m/>
    <m/>
    <m/>
    <n v="0"/>
    <m/>
    <m/>
    <n v="0"/>
    <m/>
    <m/>
    <m/>
    <m/>
    <m/>
    <m/>
    <n v="65548636.640000001"/>
    <n v="65185826.870000005"/>
  </r>
  <r>
    <x v="4"/>
    <x v="0"/>
    <s v="Atlanta Metropolitan State College"/>
    <m/>
    <n v="138901"/>
    <x v="14"/>
    <n v="9982355"/>
    <n v="8612181"/>
    <m/>
    <m/>
    <m/>
    <m/>
    <n v="6401846.2599999998"/>
    <m/>
    <n v="6401846.2599999998"/>
    <n v="4487261.4000000004"/>
    <m/>
    <n v="4487261.4000000004"/>
    <n v="16384201.26"/>
    <n v="13099442.4"/>
    <m/>
    <m/>
    <m/>
    <m/>
    <n v="0"/>
    <m/>
    <m/>
    <n v="0"/>
    <m/>
    <m/>
    <m/>
    <m/>
    <m/>
    <m/>
    <n v="16384201.26"/>
    <n v="13099442.4"/>
  </r>
  <r>
    <x v="4"/>
    <x v="0"/>
    <s v="East Georgia State College"/>
    <m/>
    <n v="139621"/>
    <x v="14"/>
    <n v="10126926"/>
    <n v="9895581"/>
    <m/>
    <m/>
    <m/>
    <m/>
    <n v="7623782.79"/>
    <m/>
    <n v="7623782.79"/>
    <n v="5873649.6799999997"/>
    <m/>
    <n v="5873649.6799999997"/>
    <n v="17750708.789999999"/>
    <n v="15769230.68"/>
    <m/>
    <m/>
    <m/>
    <m/>
    <n v="0"/>
    <m/>
    <m/>
    <n v="0"/>
    <m/>
    <m/>
    <m/>
    <m/>
    <m/>
    <m/>
    <n v="17750708.789999999"/>
    <n v="15769230.68"/>
  </r>
  <r>
    <x v="4"/>
    <x v="0"/>
    <s v="Georgia Highlands College "/>
    <m/>
    <n v="139700"/>
    <x v="14"/>
    <n v="20389147"/>
    <n v="20133599"/>
    <m/>
    <m/>
    <m/>
    <m/>
    <n v="15689735.27"/>
    <m/>
    <n v="15689735.27"/>
    <n v="14064578.029999999"/>
    <m/>
    <n v="14064578.029999999"/>
    <n v="36078882.269999996"/>
    <n v="34198177.030000001"/>
    <m/>
    <m/>
    <m/>
    <m/>
    <n v="0"/>
    <m/>
    <m/>
    <n v="0"/>
    <m/>
    <m/>
    <m/>
    <m/>
    <m/>
    <m/>
    <n v="36078882.269999996"/>
    <n v="34198177.030000001"/>
  </r>
  <r>
    <x v="4"/>
    <x v="0"/>
    <s v="South Georgia State College"/>
    <m/>
    <n v="482699"/>
    <x v="14"/>
    <n v="12196835"/>
    <n v="11588476"/>
    <m/>
    <m/>
    <m/>
    <m/>
    <n v="6518976.9500000002"/>
    <m/>
    <n v="6518976.9500000002"/>
    <n v="5311424.1100000003"/>
    <m/>
    <n v="5311424.1100000003"/>
    <n v="18715811.949999999"/>
    <n v="16899900.109999999"/>
    <m/>
    <m/>
    <m/>
    <m/>
    <n v="0"/>
    <m/>
    <m/>
    <n v="0"/>
    <m/>
    <m/>
    <m/>
    <m/>
    <m/>
    <m/>
    <n v="18715811.949999999"/>
    <n v="16899900.109999999"/>
  </r>
  <r>
    <x v="4"/>
    <x v="10"/>
    <s v="Statewide Special-Purpos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1"/>
    <s v="Research centers/institut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1"/>
    <s v="Georgia Archives"/>
    <m/>
    <m/>
    <x v="12"/>
    <m/>
    <m/>
    <n v="4669595"/>
    <n v="4304139"/>
    <m/>
    <m/>
    <m/>
    <m/>
    <n v="0"/>
    <m/>
    <m/>
    <n v="0"/>
    <n v="4669595"/>
    <n v="4304139"/>
    <m/>
    <m/>
    <m/>
    <m/>
    <n v="0"/>
    <m/>
    <m/>
    <n v="0"/>
    <m/>
    <m/>
    <m/>
    <m/>
    <m/>
    <m/>
    <n v="4669595"/>
    <n v="4304139"/>
  </r>
  <r>
    <x v="4"/>
    <x v="11"/>
    <s v="Georgia Public Libraries"/>
    <m/>
    <m/>
    <x v="12"/>
    <m/>
    <m/>
    <n v="39657132"/>
    <n v="39738860"/>
    <m/>
    <m/>
    <m/>
    <m/>
    <n v="0"/>
    <m/>
    <m/>
    <n v="0"/>
    <n v="39657132"/>
    <n v="39738860"/>
    <m/>
    <m/>
    <m/>
    <m/>
    <n v="0"/>
    <m/>
    <m/>
    <n v="0"/>
    <m/>
    <m/>
    <m/>
    <m/>
    <m/>
    <m/>
    <n v="39657132"/>
    <n v="39738860"/>
  </r>
  <r>
    <x v="4"/>
    <x v="13"/>
    <s v="Education special purpose funds -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3"/>
    <s v="Residence Instruction Reserv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3"/>
    <s v="Office of Information and Instructional Technology"/>
    <m/>
    <m/>
    <x v="12"/>
    <m/>
    <m/>
    <n v="33313349"/>
    <n v="27844530"/>
    <m/>
    <m/>
    <m/>
    <m/>
    <n v="0"/>
    <m/>
    <m/>
    <n v="0"/>
    <n v="33313349"/>
    <n v="27844530"/>
    <m/>
    <m/>
    <m/>
    <m/>
    <n v="0"/>
    <m/>
    <m/>
    <n v="0"/>
    <m/>
    <m/>
    <m/>
    <m/>
    <m/>
    <m/>
    <n v="33313349"/>
    <n v="27844530"/>
  </r>
  <r>
    <x v="4"/>
    <x v="13"/>
    <s v="(SHARED SERVICES) University System Regents"/>
    <m/>
    <m/>
    <x v="12"/>
    <m/>
    <m/>
    <n v="6096722.9400000004"/>
    <n v="5863842"/>
    <m/>
    <m/>
    <m/>
    <m/>
    <n v="0"/>
    <m/>
    <m/>
    <n v="0"/>
    <n v="6096722.9400000004"/>
    <n v="5863842"/>
    <m/>
    <m/>
    <m/>
    <m/>
    <n v="0"/>
    <m/>
    <m/>
    <n v="0"/>
    <m/>
    <m/>
    <m/>
    <m/>
    <m/>
    <m/>
    <n v="6096722.9400000004"/>
    <n v="5863842"/>
  </r>
  <r>
    <x v="4"/>
    <x v="13"/>
    <s v="&quot;RCO A&quot;"/>
    <m/>
    <m/>
    <x v="12"/>
    <m/>
    <m/>
    <n v="35238491.68"/>
    <n v="35690384"/>
    <m/>
    <m/>
    <n v="595050"/>
    <m/>
    <n v="595050"/>
    <n v="645600.01"/>
    <m/>
    <n v="645600.01"/>
    <n v="35833541.68"/>
    <n v="36335984.009999998"/>
    <m/>
    <m/>
    <m/>
    <m/>
    <n v="0"/>
    <m/>
    <m/>
    <n v="0"/>
    <m/>
    <m/>
    <m/>
    <m/>
    <m/>
    <m/>
    <n v="35833541.68"/>
    <n v="36335984.009999998"/>
  </r>
  <r>
    <x v="4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5"/>
    <s v="&quot;RCO B&quot;"/>
    <m/>
    <m/>
    <x v="12"/>
    <m/>
    <m/>
    <m/>
    <m/>
    <m/>
    <m/>
    <m/>
    <m/>
    <n v="0"/>
    <m/>
    <m/>
    <n v="0"/>
    <n v="0"/>
    <n v="0"/>
    <n v="11017100"/>
    <n v="10821119"/>
    <m/>
    <m/>
    <n v="0"/>
    <m/>
    <m/>
    <n v="0"/>
    <m/>
    <m/>
    <m/>
    <m/>
    <m/>
    <m/>
    <n v="11017100"/>
    <n v="10821119"/>
  </r>
  <r>
    <x v="4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7"/>
    <s v="SREB membership"/>
    <m/>
    <m/>
    <x v="12"/>
    <m/>
    <m/>
    <m/>
    <m/>
    <m/>
    <m/>
    <m/>
    <m/>
    <n v="0"/>
    <m/>
    <m/>
    <n v="0"/>
    <n v="0"/>
    <n v="0"/>
    <n v="208508"/>
    <n v="208508"/>
    <m/>
    <m/>
    <n v="0"/>
    <m/>
    <m/>
    <n v="0"/>
    <m/>
    <m/>
    <m/>
    <m/>
    <m/>
    <m/>
    <n v="208508"/>
    <n v="208508"/>
  </r>
  <r>
    <x v="4"/>
    <x v="17"/>
    <s v="Doctoral Scholars"/>
    <m/>
    <m/>
    <x v="12"/>
    <m/>
    <m/>
    <m/>
    <m/>
    <m/>
    <m/>
    <m/>
    <m/>
    <n v="0"/>
    <m/>
    <m/>
    <n v="0"/>
    <n v="0"/>
    <n v="0"/>
    <n v="500000"/>
    <n v="500000"/>
    <m/>
    <m/>
    <n v="0"/>
    <m/>
    <m/>
    <n v="0"/>
    <m/>
    <m/>
    <m/>
    <m/>
    <m/>
    <m/>
    <n v="500000"/>
    <n v="500000"/>
  </r>
  <r>
    <x v="4"/>
    <x v="18"/>
    <s v="Adm. of Statewide Student Aid Progs. (incld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8"/>
    <s v="Ga Student Finance Commission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9"/>
    <s v="Ga Military College"/>
    <m/>
    <m/>
    <x v="12"/>
    <m/>
    <m/>
    <m/>
    <m/>
    <m/>
    <m/>
    <m/>
    <m/>
    <n v="0"/>
    <m/>
    <m/>
    <n v="0"/>
    <n v="0"/>
    <n v="0"/>
    <n v="7809322"/>
    <n v="7267924"/>
    <m/>
    <m/>
    <n v="0"/>
    <m/>
    <m/>
    <n v="0"/>
    <m/>
    <m/>
    <m/>
    <m/>
    <m/>
    <m/>
    <n v="7809322"/>
    <n v="7267924"/>
  </r>
  <r>
    <x v="4"/>
    <x v="19"/>
    <s v="Mercer University (Medicine)"/>
    <m/>
    <m/>
    <x v="12"/>
    <m/>
    <m/>
    <m/>
    <m/>
    <m/>
    <m/>
    <m/>
    <m/>
    <n v="0"/>
    <m/>
    <m/>
    <n v="0"/>
    <n v="0"/>
    <n v="0"/>
    <n v="24039911"/>
    <n v="24881103"/>
    <m/>
    <m/>
    <n v="0"/>
    <m/>
    <m/>
    <n v="0"/>
    <m/>
    <m/>
    <m/>
    <m/>
    <m/>
    <m/>
    <n v="24039911"/>
    <n v="24881103"/>
  </r>
  <r>
    <x v="4"/>
    <x v="19"/>
    <s v="Morehouse School of Medicine"/>
    <m/>
    <m/>
    <x v="12"/>
    <m/>
    <m/>
    <m/>
    <m/>
    <m/>
    <m/>
    <m/>
    <m/>
    <n v="0"/>
    <m/>
    <m/>
    <n v="0"/>
    <n v="0"/>
    <n v="0"/>
    <n v="28931713"/>
    <n v="28931713"/>
    <m/>
    <m/>
    <n v="0"/>
    <m/>
    <m/>
    <n v="0"/>
    <m/>
    <m/>
    <m/>
    <m/>
    <m/>
    <m/>
    <n v="28931713"/>
    <n v="28931713"/>
  </r>
  <r>
    <x v="4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0"/>
    <s v="Georgia Military Colleg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0"/>
    <s v="Southern College (Optometry)"/>
    <m/>
    <m/>
    <x v="12"/>
    <m/>
    <m/>
    <m/>
    <m/>
    <m/>
    <m/>
    <m/>
    <m/>
    <n v="0"/>
    <m/>
    <m/>
    <n v="0"/>
    <n v="0"/>
    <n v="0"/>
    <n v="460800"/>
    <n v="475200"/>
    <m/>
    <m/>
    <n v="0"/>
    <m/>
    <m/>
    <n v="0"/>
    <m/>
    <m/>
    <m/>
    <m/>
    <m/>
    <m/>
    <n v="460800"/>
    <n v="475200"/>
  </r>
  <r>
    <x v="4"/>
    <x v="40"/>
    <s v="Nova Southeastern University (Osteopathic Medicine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41"/>
    <s v="University of Alabama at Birmingham (Medicine)"/>
    <m/>
    <m/>
    <x v="12"/>
    <m/>
    <m/>
    <m/>
    <m/>
    <m/>
    <m/>
    <m/>
    <m/>
    <n v="0"/>
    <m/>
    <m/>
    <n v="0"/>
    <n v="0"/>
    <n v="0"/>
    <n v="192000"/>
    <n v="198000"/>
    <m/>
    <m/>
    <n v="0"/>
    <m/>
    <m/>
    <n v="0"/>
    <m/>
    <m/>
    <m/>
    <m/>
    <m/>
    <m/>
    <n v="192000"/>
    <n v="198000"/>
  </r>
  <r>
    <x v="4"/>
    <x v="20"/>
    <s v="Other contracted programs (Med. Student Capitation Grant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0"/>
    <s v="Mercer University (Medicine)"/>
    <m/>
    <m/>
    <x v="12"/>
    <m/>
    <m/>
    <m/>
    <m/>
    <m/>
    <m/>
    <m/>
    <m/>
    <n v="0"/>
    <m/>
    <m/>
    <n v="0"/>
    <n v="0"/>
    <n v="0"/>
    <n v="1336333"/>
    <n v="1336317"/>
    <m/>
    <m/>
    <n v="0"/>
    <m/>
    <m/>
    <n v="0"/>
    <m/>
    <m/>
    <m/>
    <m/>
    <m/>
    <m/>
    <n v="1336333"/>
    <n v="1336317"/>
  </r>
  <r>
    <x v="4"/>
    <x v="20"/>
    <s v="Morehouse School of Medicine"/>
    <m/>
    <m/>
    <x v="12"/>
    <m/>
    <m/>
    <m/>
    <m/>
    <m/>
    <m/>
    <m/>
    <m/>
    <n v="0"/>
    <m/>
    <m/>
    <n v="0"/>
    <n v="0"/>
    <n v="0"/>
    <n v="610895"/>
    <n v="610888"/>
    <m/>
    <m/>
    <n v="0"/>
    <m/>
    <m/>
    <n v="0"/>
    <m/>
    <m/>
    <m/>
    <m/>
    <m/>
    <m/>
    <n v="610895"/>
    <n v="610888"/>
  </r>
  <r>
    <x v="4"/>
    <x v="20"/>
    <s v="Emory University (Medicine)"/>
    <m/>
    <m/>
    <x v="12"/>
    <m/>
    <m/>
    <m/>
    <m/>
    <m/>
    <m/>
    <m/>
    <m/>
    <n v="0"/>
    <m/>
    <m/>
    <n v="0"/>
    <n v="0"/>
    <n v="0"/>
    <n v="719075"/>
    <n v="719066"/>
    <m/>
    <m/>
    <n v="0"/>
    <m/>
    <m/>
    <n v="0"/>
    <m/>
    <m/>
    <m/>
    <m/>
    <m/>
    <m/>
    <n v="719075"/>
    <n v="719066"/>
  </r>
  <r>
    <x v="4"/>
    <x v="20"/>
    <s v="Philadelphia College of Osteopathic Medicine – Georgia Campus "/>
    <m/>
    <m/>
    <x v="12"/>
    <m/>
    <m/>
    <m/>
    <m/>
    <m/>
    <m/>
    <m/>
    <m/>
    <n v="0"/>
    <m/>
    <m/>
    <n v="0"/>
    <n v="0"/>
    <n v="0"/>
    <n v="954480"/>
    <n v="954512"/>
    <m/>
    <m/>
    <n v="0"/>
    <m/>
    <m/>
    <n v="0"/>
    <m/>
    <m/>
    <m/>
    <m/>
    <m/>
    <m/>
    <n v="954480"/>
    <n v="954512"/>
  </r>
  <r>
    <x v="4"/>
    <x v="20"/>
    <s v="Philadelphia College of Osteopathic Medicine –South Georgia Campus "/>
    <m/>
    <m/>
    <x v="12"/>
    <m/>
    <m/>
    <m/>
    <m/>
    <m/>
    <m/>
    <m/>
    <m/>
    <n v="0"/>
    <m/>
    <m/>
    <n v="0"/>
    <n v="0"/>
    <n v="0"/>
    <n v="200000"/>
    <n v="200000"/>
    <m/>
    <m/>
    <n v="0"/>
    <m/>
    <m/>
    <n v="0"/>
    <m/>
    <m/>
    <m/>
    <m/>
    <m/>
    <m/>
    <n v="200000"/>
    <n v="200000"/>
  </r>
  <r>
    <x v="4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2"/>
    <s v="Public Safety Memorial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7"/>
    <s v="Non need-based"/>
    <m/>
    <m/>
    <x v="12"/>
    <m/>
    <m/>
    <m/>
    <m/>
    <m/>
    <m/>
    <m/>
    <m/>
    <n v="0"/>
    <m/>
    <m/>
    <n v="0"/>
    <n v="0"/>
    <n v="0"/>
    <n v="600000"/>
    <n v="540000"/>
    <m/>
    <m/>
    <n v="0"/>
    <m/>
    <m/>
    <n v="0"/>
    <m/>
    <m/>
    <m/>
    <m/>
    <m/>
    <m/>
    <n v="600000"/>
    <n v="540000"/>
  </r>
  <r>
    <x v="4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2"/>
    <s v="Engineer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29"/>
    <s v="Non need-based"/>
    <m/>
    <m/>
    <x v="12"/>
    <m/>
    <m/>
    <m/>
    <m/>
    <m/>
    <m/>
    <m/>
    <m/>
    <n v="0"/>
    <m/>
    <m/>
    <n v="0"/>
    <n v="0"/>
    <n v="0"/>
    <n v="1060500"/>
    <n v="1146950"/>
    <m/>
    <m/>
    <n v="0"/>
    <m/>
    <m/>
    <n v="0"/>
    <m/>
    <m/>
    <m/>
    <m/>
    <m/>
    <m/>
    <n v="1060500"/>
    <n v="1146950"/>
  </r>
  <r>
    <x v="4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1"/>
    <s v="HOPE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3"/>
    <s v="Non need-based"/>
    <m/>
    <m/>
    <x v="12"/>
    <m/>
    <m/>
    <m/>
    <m/>
    <m/>
    <m/>
    <m/>
    <m/>
    <n v="0"/>
    <m/>
    <m/>
    <n v="0"/>
    <n v="0"/>
    <n v="0"/>
    <n v="692988104"/>
    <n v="752427712"/>
    <m/>
    <m/>
    <n v="0"/>
    <m/>
    <m/>
    <n v="0"/>
    <m/>
    <m/>
    <m/>
    <m/>
    <m/>
    <m/>
    <n v="692988104"/>
    <n v="752427712"/>
  </r>
  <r>
    <x v="4"/>
    <x v="34"/>
    <s v="Limited to private college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4"/>
    <s v="Georgia Military College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6"/>
    <s v="Non need-based"/>
    <m/>
    <m/>
    <x v="12"/>
    <m/>
    <m/>
    <m/>
    <m/>
    <m/>
    <m/>
    <m/>
    <m/>
    <n v="0"/>
    <m/>
    <m/>
    <n v="0"/>
    <n v="0"/>
    <n v="0"/>
    <n v="1203240"/>
    <n v="1082916"/>
    <m/>
    <m/>
    <n v="0"/>
    <m/>
    <m/>
    <n v="0"/>
    <m/>
    <m/>
    <m/>
    <m/>
    <m/>
    <m/>
    <n v="1203240"/>
    <n v="1082916"/>
  </r>
  <r>
    <x v="4"/>
    <x v="34"/>
    <s v="HOPE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35"/>
    <s v="Need-based"/>
    <m/>
    <m/>
    <x v="12"/>
    <m/>
    <m/>
    <m/>
    <m/>
    <m/>
    <m/>
    <m/>
    <m/>
    <n v="0"/>
    <m/>
    <m/>
    <n v="0"/>
    <n v="0"/>
    <n v="0"/>
    <n v="62792274"/>
    <n v="68258147"/>
    <m/>
    <m/>
    <n v="0"/>
    <m/>
    <m/>
    <n v="0"/>
    <m/>
    <m/>
    <m/>
    <m/>
    <m/>
    <m/>
    <n v="62792274"/>
    <n v="68258147"/>
  </r>
  <r>
    <x v="4"/>
    <x v="0"/>
    <s v="Albany Technical College"/>
    <m/>
    <n v="138682"/>
    <x v="9"/>
    <n v="11629387"/>
    <n v="10670910.5"/>
    <m/>
    <m/>
    <m/>
    <m/>
    <n v="9898898.2200000007"/>
    <m/>
    <n v="9898898.2200000007"/>
    <n v="9514181.3100000098"/>
    <m/>
    <n v="9514181.3100000098"/>
    <n v="21528285.219999999"/>
    <n v="20185091.81000001"/>
    <m/>
    <m/>
    <m/>
    <m/>
    <n v="0"/>
    <m/>
    <m/>
    <n v="0"/>
    <m/>
    <m/>
    <m/>
    <m/>
    <m/>
    <m/>
    <n v="21528285.219999999"/>
    <n v="20185091.81000001"/>
  </r>
  <r>
    <x v="4"/>
    <x v="0"/>
    <s v="Athens Technical College"/>
    <m/>
    <n v="246813"/>
    <x v="9"/>
    <n v="12310461"/>
    <n v="11361710"/>
    <m/>
    <m/>
    <m/>
    <m/>
    <n v="12694957.98"/>
    <m/>
    <n v="12694957.98"/>
    <n v="11784124.33"/>
    <m/>
    <n v="11784124.33"/>
    <n v="25005418.98"/>
    <n v="23145834.329999998"/>
    <m/>
    <m/>
    <m/>
    <m/>
    <n v="0"/>
    <m/>
    <m/>
    <n v="0"/>
    <m/>
    <m/>
    <m/>
    <m/>
    <m/>
    <m/>
    <n v="25005418.98"/>
    <n v="23145834.329999998"/>
  </r>
  <r>
    <x v="4"/>
    <x v="0"/>
    <s v="Atlanta Technical College"/>
    <m/>
    <n v="138840"/>
    <x v="9"/>
    <n v="13536643"/>
    <n v="12281624"/>
    <m/>
    <m/>
    <m/>
    <m/>
    <n v="14842842.199999999"/>
    <m/>
    <n v="14842842.199999999"/>
    <n v="12974239.51"/>
    <m/>
    <n v="12974239.51"/>
    <n v="28379485.199999999"/>
    <n v="25255863.509999998"/>
    <m/>
    <m/>
    <m/>
    <m/>
    <n v="0"/>
    <m/>
    <m/>
    <n v="0"/>
    <m/>
    <m/>
    <m/>
    <m/>
    <m/>
    <m/>
    <n v="28379485.199999999"/>
    <n v="25255863.509999998"/>
  </r>
  <r>
    <x v="4"/>
    <x v="0"/>
    <s v="Augusta Technical College"/>
    <m/>
    <n v="138956"/>
    <x v="9"/>
    <n v="14379569"/>
    <n v="13176603.5"/>
    <m/>
    <m/>
    <m/>
    <m/>
    <n v="12327778.720000001"/>
    <m/>
    <n v="12327778.720000001"/>
    <n v="14713897.5"/>
    <m/>
    <n v="14713897.5"/>
    <n v="26707347.719999999"/>
    <n v="27890501"/>
    <m/>
    <m/>
    <m/>
    <m/>
    <n v="0"/>
    <m/>
    <m/>
    <n v="0"/>
    <m/>
    <m/>
    <m/>
    <m/>
    <m/>
    <m/>
    <n v="26707347.719999999"/>
    <n v="27890501"/>
  </r>
  <r>
    <x v="4"/>
    <x v="0"/>
    <s v="Central Georgia Technical College"/>
    <m/>
    <n v="483045"/>
    <x v="9"/>
    <n v="25789261"/>
    <n v="21779409.5"/>
    <m/>
    <m/>
    <m/>
    <m/>
    <n v="23015638.07"/>
    <m/>
    <n v="23015638.07"/>
    <n v="21271226.489999998"/>
    <m/>
    <n v="21271226.489999998"/>
    <n v="48804899.07"/>
    <n v="43050635.989999995"/>
    <m/>
    <m/>
    <m/>
    <m/>
    <n v="0"/>
    <m/>
    <m/>
    <n v="0"/>
    <m/>
    <m/>
    <m/>
    <m/>
    <m/>
    <m/>
    <n v="48804899.07"/>
    <n v="43050635.989999995"/>
  </r>
  <r>
    <x v="4"/>
    <x v="0"/>
    <s v="Chattahoochee Technical College"/>
    <m/>
    <n v="140331"/>
    <x v="9"/>
    <n v="24257357"/>
    <n v="21190925.5"/>
    <m/>
    <m/>
    <m/>
    <m/>
    <n v="29923022.77"/>
    <m/>
    <n v="29923022.77"/>
    <n v="27356718.73"/>
    <m/>
    <n v="27356718.73"/>
    <n v="54180379.769999996"/>
    <n v="48547644.230000004"/>
    <m/>
    <m/>
    <m/>
    <m/>
    <n v="0"/>
    <m/>
    <m/>
    <n v="0"/>
    <m/>
    <m/>
    <m/>
    <m/>
    <m/>
    <m/>
    <n v="54180379.769999996"/>
    <n v="48547644.230000004"/>
  </r>
  <r>
    <x v="4"/>
    <x v="0"/>
    <s v="Coastal Pines Technical College"/>
    <m/>
    <n v="485458"/>
    <x v="9"/>
    <n v="13341955"/>
    <n v="13632712.5"/>
    <m/>
    <m/>
    <m/>
    <m/>
    <n v="10428120.800000001"/>
    <m/>
    <n v="10428120.800000001"/>
    <n v="9377152.9700000007"/>
    <m/>
    <n v="9377152.9700000007"/>
    <n v="23770075.800000001"/>
    <n v="23009865.469999999"/>
    <m/>
    <m/>
    <m/>
    <m/>
    <n v="0"/>
    <m/>
    <m/>
    <n v="0"/>
    <m/>
    <m/>
    <m/>
    <m/>
    <m/>
    <m/>
    <n v="23770075.800000001"/>
    <n v="23009865.469999999"/>
  </r>
  <r>
    <x v="4"/>
    <x v="0"/>
    <s v="Columbus Technical College"/>
    <m/>
    <n v="139357"/>
    <x v="9"/>
    <n v="11491695"/>
    <n v="10111639.5"/>
    <m/>
    <m/>
    <m/>
    <m/>
    <n v="10823484.460000001"/>
    <m/>
    <n v="10823484.460000001"/>
    <n v="10055664.050000001"/>
    <m/>
    <n v="10055664.050000001"/>
    <n v="22315179.460000001"/>
    <n v="20167303.550000001"/>
    <m/>
    <m/>
    <m/>
    <m/>
    <n v="0"/>
    <m/>
    <m/>
    <n v="0"/>
    <m/>
    <m/>
    <m/>
    <m/>
    <m/>
    <m/>
    <n v="22315179.460000001"/>
    <n v="20167303.550000001"/>
  </r>
  <r>
    <x v="4"/>
    <x v="0"/>
    <s v="Georgia Northwestern Technical College"/>
    <m/>
    <n v="139384"/>
    <x v="9"/>
    <n v="16963463"/>
    <n v="17897038.5"/>
    <m/>
    <m/>
    <m/>
    <m/>
    <n v="16359495.050000001"/>
    <m/>
    <n v="16359495.050000001"/>
    <n v="16675992.5"/>
    <m/>
    <n v="16675992.5"/>
    <n v="33322958.050000001"/>
    <n v="34573031"/>
    <m/>
    <m/>
    <m/>
    <m/>
    <n v="0"/>
    <m/>
    <m/>
    <n v="0"/>
    <m/>
    <m/>
    <m/>
    <m/>
    <m/>
    <m/>
    <n v="33322958.050000001"/>
    <n v="34573031"/>
  </r>
  <r>
    <x v="4"/>
    <x v="0"/>
    <s v="Georgia Piedmont Technical College"/>
    <m/>
    <n v="244446"/>
    <x v="9"/>
    <n v="10443724"/>
    <n v="13084959.5"/>
    <m/>
    <m/>
    <m/>
    <m/>
    <n v="11480000.640000001"/>
    <m/>
    <n v="11480000.640000001"/>
    <n v="7967955.8499999996"/>
    <m/>
    <n v="7967955.8499999996"/>
    <n v="21923724.640000001"/>
    <n v="21052915.350000001"/>
    <m/>
    <m/>
    <m/>
    <m/>
    <n v="0"/>
    <m/>
    <m/>
    <n v="0"/>
    <m/>
    <m/>
    <m/>
    <m/>
    <m/>
    <m/>
    <n v="21923724.640000001"/>
    <n v="21052915.350000001"/>
  </r>
  <r>
    <x v="4"/>
    <x v="0"/>
    <s v="Gwinnett Technical College"/>
    <m/>
    <n v="140012"/>
    <x v="9"/>
    <n v="15986317"/>
    <n v="15372466"/>
    <m/>
    <m/>
    <m/>
    <m/>
    <n v="29950813.57"/>
    <m/>
    <n v="29950813.57"/>
    <n v="25842038.629999999"/>
    <m/>
    <n v="25842038.629999999"/>
    <n v="45937130.57"/>
    <n v="41214504.629999995"/>
    <m/>
    <m/>
    <m/>
    <m/>
    <n v="0"/>
    <m/>
    <m/>
    <n v="0"/>
    <m/>
    <m/>
    <m/>
    <m/>
    <m/>
    <m/>
    <n v="45937130.57"/>
    <n v="41214504.629999995"/>
  </r>
  <r>
    <x v="4"/>
    <x v="0"/>
    <s v="Lanier Technical College"/>
    <m/>
    <n v="140243"/>
    <x v="9"/>
    <n v="11775012"/>
    <n v="11078975.5"/>
    <m/>
    <m/>
    <m/>
    <m/>
    <n v="15830957.869999999"/>
    <m/>
    <n v="15830957.869999999"/>
    <n v="14325990.74"/>
    <m/>
    <n v="14325990.74"/>
    <n v="27605969.869999997"/>
    <n v="25404966.240000002"/>
    <m/>
    <m/>
    <m/>
    <m/>
    <n v="0"/>
    <m/>
    <m/>
    <n v="0"/>
    <m/>
    <m/>
    <m/>
    <m/>
    <m/>
    <m/>
    <n v="27605969.869999997"/>
    <n v="25404966.240000002"/>
  </r>
  <r>
    <x v="4"/>
    <x v="0"/>
    <s v="North Georgia Technical College"/>
    <m/>
    <n v="140678"/>
    <x v="9"/>
    <n v="10547704"/>
    <n v="9534759.1999999993"/>
    <m/>
    <m/>
    <m/>
    <m/>
    <n v="9767079.3100000005"/>
    <m/>
    <n v="9767079.3100000005"/>
    <n v="8630782.6199999992"/>
    <m/>
    <n v="8630782.6199999992"/>
    <n v="20314783.310000002"/>
    <n v="18165541.82"/>
    <m/>
    <m/>
    <m/>
    <m/>
    <n v="0"/>
    <m/>
    <m/>
    <n v="0"/>
    <m/>
    <m/>
    <m/>
    <m/>
    <m/>
    <m/>
    <n v="20314783.310000002"/>
    <n v="18165541.82"/>
  </r>
  <r>
    <x v="4"/>
    <x v="0"/>
    <s v="Oconee Fall Line Technical College"/>
    <m/>
    <n v="420431"/>
    <x v="9"/>
    <n v="8868604"/>
    <n v="8638909"/>
    <m/>
    <m/>
    <m/>
    <m/>
    <n v="5999159.1600000001"/>
    <m/>
    <n v="5999159.1600000001"/>
    <n v="5611400.4000000004"/>
    <m/>
    <n v="5611400.4000000004"/>
    <n v="14867763.16"/>
    <n v="14250309.4"/>
    <m/>
    <m/>
    <m/>
    <m/>
    <n v="0"/>
    <m/>
    <m/>
    <n v="0"/>
    <m/>
    <m/>
    <m/>
    <m/>
    <m/>
    <m/>
    <n v="14867763.16"/>
    <n v="14250309.4"/>
  </r>
  <r>
    <x v="4"/>
    <x v="0"/>
    <s v="Ogeechee Technical College"/>
    <m/>
    <n v="366465"/>
    <x v="9"/>
    <n v="8726105"/>
    <n v="7916017"/>
    <m/>
    <m/>
    <m/>
    <m/>
    <n v="8129015.7300000004"/>
    <m/>
    <n v="8129015.7300000004"/>
    <n v="8824906.3000000007"/>
    <m/>
    <n v="8824906.3000000007"/>
    <n v="16855120.73"/>
    <n v="16740923.300000001"/>
    <m/>
    <m/>
    <m/>
    <m/>
    <n v="0"/>
    <m/>
    <m/>
    <n v="0"/>
    <m/>
    <m/>
    <m/>
    <m/>
    <m/>
    <m/>
    <n v="16855120.73"/>
    <n v="16740923.300000001"/>
  </r>
  <r>
    <x v="4"/>
    <x v="0"/>
    <s v="Savannah Technical College"/>
    <m/>
    <n v="140942"/>
    <x v="9"/>
    <n v="13710317"/>
    <n v="12565772.5"/>
    <m/>
    <m/>
    <m/>
    <m/>
    <n v="14603534.810000001"/>
    <m/>
    <n v="14603534.810000001"/>
    <n v="13599367.199999999"/>
    <m/>
    <n v="13599367.199999999"/>
    <n v="28313851.810000002"/>
    <n v="26165139.699999999"/>
    <m/>
    <m/>
    <m/>
    <m/>
    <n v="0"/>
    <m/>
    <m/>
    <n v="0"/>
    <m/>
    <m/>
    <m/>
    <m/>
    <m/>
    <m/>
    <n v="28313851.810000002"/>
    <n v="26165139.699999999"/>
  </r>
  <r>
    <x v="4"/>
    <x v="0"/>
    <s v="South Georgia Technical College"/>
    <m/>
    <n v="141006"/>
    <x v="9"/>
    <n v="9173855"/>
    <n v="8390398.5"/>
    <m/>
    <m/>
    <m/>
    <m/>
    <n v="6821116.9100000001"/>
    <m/>
    <n v="6821116.9100000001"/>
    <n v="5986114.2599999998"/>
    <m/>
    <n v="5986114.2599999998"/>
    <n v="15994971.91"/>
    <n v="14376512.76"/>
    <m/>
    <m/>
    <m/>
    <m/>
    <n v="0"/>
    <m/>
    <m/>
    <n v="0"/>
    <m/>
    <m/>
    <m/>
    <m/>
    <m/>
    <m/>
    <n v="15994971.91"/>
    <n v="14376512.76"/>
  </r>
  <r>
    <x v="4"/>
    <x v="0"/>
    <s v="Southeastern Technical College"/>
    <m/>
    <n v="368911"/>
    <x v="9"/>
    <n v="9381094"/>
    <n v="7843864.5"/>
    <m/>
    <m/>
    <m/>
    <m/>
    <n v="5944644.6399999997"/>
    <m/>
    <n v="5944644.6399999997"/>
    <n v="4951555.6500000004"/>
    <m/>
    <n v="4951555.6500000004"/>
    <n v="15325738.640000001"/>
    <n v="12795420.15"/>
    <m/>
    <m/>
    <m/>
    <m/>
    <n v="0"/>
    <m/>
    <m/>
    <n v="0"/>
    <m/>
    <m/>
    <m/>
    <m/>
    <m/>
    <m/>
    <n v="15325738.640000001"/>
    <n v="12795420.15"/>
  </r>
  <r>
    <x v="4"/>
    <x v="0"/>
    <s v="Southern Crescent Technical College"/>
    <m/>
    <n v="139986"/>
    <x v="9"/>
    <n v="14184052"/>
    <n v="13405735"/>
    <m/>
    <m/>
    <m/>
    <m/>
    <n v="16442767.550000001"/>
    <m/>
    <n v="16442767.550000001"/>
    <n v="15887561.27"/>
    <m/>
    <n v="15887561.27"/>
    <n v="30626819.550000001"/>
    <n v="29293296.27"/>
    <m/>
    <m/>
    <m/>
    <m/>
    <n v="0"/>
    <m/>
    <m/>
    <n v="0"/>
    <m/>
    <m/>
    <m/>
    <m/>
    <m/>
    <m/>
    <n v="30626819.550000001"/>
    <n v="29293296.27"/>
  </r>
  <r>
    <x v="4"/>
    <x v="0"/>
    <s v="Southern Regional Technical College"/>
    <m/>
    <n v="487162"/>
    <x v="9"/>
    <n v="19223727"/>
    <n v="17597532"/>
    <m/>
    <m/>
    <m/>
    <m/>
    <n v="13933618.58"/>
    <m/>
    <n v="13933618.58"/>
    <n v="12257923.27"/>
    <m/>
    <n v="12257923.27"/>
    <n v="33157345.579999998"/>
    <n v="29855455.27"/>
    <m/>
    <m/>
    <m/>
    <m/>
    <n v="0"/>
    <m/>
    <m/>
    <n v="0"/>
    <m/>
    <m/>
    <m/>
    <m/>
    <m/>
    <m/>
    <n v="33157345.579999998"/>
    <n v="29855455.27"/>
  </r>
  <r>
    <x v="4"/>
    <x v="0"/>
    <s v="West Georgia Technical College"/>
    <m/>
    <n v="139278"/>
    <x v="9"/>
    <n v="20242347"/>
    <n v="17625975.5"/>
    <m/>
    <m/>
    <m/>
    <m/>
    <n v="20568774.899999999"/>
    <m/>
    <n v="20568774.899999999"/>
    <n v="18148523.989999998"/>
    <m/>
    <n v="18148523.989999998"/>
    <n v="40811121.899999999"/>
    <n v="35774499.489999995"/>
    <m/>
    <m/>
    <m/>
    <m/>
    <n v="0"/>
    <m/>
    <m/>
    <n v="0"/>
    <m/>
    <m/>
    <m/>
    <m/>
    <m/>
    <m/>
    <n v="40811121.899999999"/>
    <n v="35774499.489999995"/>
  </r>
  <r>
    <x v="4"/>
    <x v="0"/>
    <s v="Wiregrass Georgia Technical College"/>
    <m/>
    <n v="141255"/>
    <x v="9"/>
    <n v="14772223"/>
    <n v="11665779.5"/>
    <m/>
    <m/>
    <m/>
    <m/>
    <n v="13356519.630000001"/>
    <m/>
    <n v="13356519.630000001"/>
    <n v="12277758.58"/>
    <m/>
    <n v="12277758.58"/>
    <n v="28128742.630000003"/>
    <n v="23943538.079999998"/>
    <m/>
    <m/>
    <m/>
    <m/>
    <n v="0"/>
    <m/>
    <m/>
    <n v="0"/>
    <m/>
    <m/>
    <m/>
    <m/>
    <m/>
    <m/>
    <n v="28128742.630000003"/>
    <n v="23943538.079999998"/>
  </r>
  <r>
    <x v="4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4"/>
    <x v="16"/>
    <s v="TCSG Oversight Uni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0"/>
    <s v="University of Kentucky"/>
    <s v=" "/>
    <n v="157085"/>
    <x v="0"/>
    <n v="129293200"/>
    <n v="132281300"/>
    <m/>
    <m/>
    <n v="27915000"/>
    <n v="27285000"/>
    <n v="465746200"/>
    <n v="8023000"/>
    <n v="473769200"/>
    <n v="471360494.75999999"/>
    <n v="3927894"/>
    <n v="475288388.75999999"/>
    <n v="622954400"/>
    <n v="630926794.75999999"/>
    <m/>
    <m/>
    <m/>
    <m/>
    <n v="0"/>
    <m/>
    <m/>
    <n v="0"/>
    <m/>
    <m/>
    <m/>
    <m/>
    <m/>
    <m/>
    <n v="622954400"/>
    <n v="630926794.75999999"/>
  </r>
  <r>
    <x v="5"/>
    <x v="1"/>
    <s v="Medical School"/>
    <s v=" "/>
    <n v="157085"/>
    <x v="0"/>
    <m/>
    <m/>
    <m/>
    <m/>
    <m/>
    <m/>
    <m/>
    <m/>
    <n v="0"/>
    <m/>
    <m/>
    <n v="0"/>
    <n v="0"/>
    <n v="0"/>
    <m/>
    <m/>
    <m/>
    <m/>
    <n v="0"/>
    <m/>
    <m/>
    <n v="0"/>
    <n v="52380700"/>
    <n v="52380700"/>
    <n v="40630783"/>
    <m/>
    <n v="44082611.240000002"/>
    <m/>
    <n v="93011483"/>
    <n v="96463311.24000001"/>
  </r>
  <r>
    <x v="5"/>
    <x v="3"/>
    <s v="Public Service Units"/>
    <s v=" "/>
    <n v="157085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Livestock Disease Diagnostic Laboratory"/>
    <s v=" "/>
    <n v="157085"/>
    <x v="0"/>
    <m/>
    <m/>
    <n v="4034200"/>
    <n v="4034200"/>
    <m/>
    <m/>
    <m/>
    <m/>
    <n v="0"/>
    <m/>
    <m/>
    <n v="0"/>
    <n v="4034200"/>
    <n v="4034200"/>
    <m/>
    <m/>
    <m/>
    <m/>
    <n v="0"/>
    <m/>
    <m/>
    <n v="0"/>
    <m/>
    <m/>
    <m/>
    <m/>
    <m/>
    <m/>
    <n v="4034200"/>
    <n v="4034200"/>
  </r>
  <r>
    <x v="5"/>
    <x v="3"/>
    <s v="Agriculture Public Service"/>
    <s v=" "/>
    <n v="157085"/>
    <x v="0"/>
    <m/>
    <m/>
    <n v="1800000"/>
    <n v="1800000"/>
    <m/>
    <m/>
    <m/>
    <m/>
    <n v="0"/>
    <m/>
    <m/>
    <n v="0"/>
    <n v="1800000"/>
    <n v="1800000"/>
    <m/>
    <m/>
    <m/>
    <m/>
    <n v="0"/>
    <m/>
    <m/>
    <n v="0"/>
    <m/>
    <m/>
    <m/>
    <m/>
    <m/>
    <m/>
    <n v="1800000"/>
    <n v="1800000"/>
  </r>
  <r>
    <x v="5"/>
    <x v="3"/>
    <s v="Kentucky Geological Survey"/>
    <s v=" "/>
    <n v="157085"/>
    <x v="0"/>
    <m/>
    <m/>
    <n v="4076300"/>
    <n v="4076300"/>
    <m/>
    <m/>
    <m/>
    <m/>
    <n v="0"/>
    <m/>
    <m/>
    <n v="0"/>
    <n v="4076300"/>
    <n v="4076300"/>
    <m/>
    <m/>
    <m/>
    <m/>
    <n v="0"/>
    <m/>
    <m/>
    <n v="0"/>
    <m/>
    <m/>
    <m/>
    <m/>
    <m/>
    <m/>
    <n v="4076300"/>
    <n v="4076300"/>
  </r>
  <r>
    <x v="5"/>
    <x v="3"/>
    <s v="University Press"/>
    <s v=" "/>
    <n v="157085"/>
    <x v="0"/>
    <m/>
    <m/>
    <n v="0"/>
    <n v="586300"/>
    <m/>
    <m/>
    <m/>
    <m/>
    <n v="0"/>
    <m/>
    <m/>
    <n v="0"/>
    <n v="0"/>
    <n v="586300"/>
    <m/>
    <m/>
    <m/>
    <m/>
    <n v="0"/>
    <m/>
    <m/>
    <n v="0"/>
    <m/>
    <m/>
    <m/>
    <m/>
    <m/>
    <m/>
    <n v="0"/>
    <n v="586300"/>
  </r>
  <r>
    <x v="5"/>
    <x v="3"/>
    <s v="College of Agriculture Division of Regulatory Services"/>
    <m/>
    <n v="157085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College of Agriculture Kentucky Small Business Development Center"/>
    <m/>
    <n v="157085"/>
    <x v="0"/>
    <m/>
    <m/>
    <n v="0"/>
    <n v="600000"/>
    <m/>
    <m/>
    <m/>
    <m/>
    <n v="0"/>
    <m/>
    <m/>
    <n v="0"/>
    <n v="0"/>
    <n v="600000"/>
    <m/>
    <m/>
    <m/>
    <m/>
    <n v="0"/>
    <m/>
    <m/>
    <n v="0"/>
    <m/>
    <m/>
    <m/>
    <m/>
    <m/>
    <m/>
    <n v="0"/>
    <n v="600000"/>
  </r>
  <r>
    <x v="5"/>
    <x v="5"/>
    <s v="Agricultural cooperative extension"/>
    <s v=" "/>
    <n v="157085"/>
    <x v="0"/>
    <m/>
    <m/>
    <n v="31275300"/>
    <n v="31275300"/>
    <m/>
    <m/>
    <m/>
    <m/>
    <n v="0"/>
    <m/>
    <m/>
    <n v="0"/>
    <n v="31275300"/>
    <n v="31275300"/>
    <m/>
    <m/>
    <m/>
    <m/>
    <n v="0"/>
    <m/>
    <m/>
    <n v="0"/>
    <m/>
    <m/>
    <m/>
    <m/>
    <m/>
    <m/>
    <n v="31275300"/>
    <n v="31275300"/>
  </r>
  <r>
    <x v="5"/>
    <x v="5"/>
    <s v="Agricultural experiment stations"/>
    <s v=" "/>
    <n v="157085"/>
    <x v="0"/>
    <m/>
    <m/>
    <n v="29479600"/>
    <n v="29479600"/>
    <m/>
    <m/>
    <m/>
    <m/>
    <n v="0"/>
    <m/>
    <m/>
    <n v="0"/>
    <n v="29479600"/>
    <n v="29479600"/>
    <m/>
    <m/>
    <m/>
    <m/>
    <n v="0"/>
    <m/>
    <m/>
    <n v="0"/>
    <m/>
    <m/>
    <m/>
    <m/>
    <m/>
    <m/>
    <n v="29479600"/>
    <n v="29479600"/>
  </r>
  <r>
    <x v="5"/>
    <x v="7"/>
    <s v="Research centers/institutes"/>
    <s v=" "/>
    <n v="157085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7"/>
    <s v="Center on Aging"/>
    <s v=" "/>
    <n v="157085"/>
    <x v="0"/>
    <m/>
    <m/>
    <n v="2040500"/>
    <n v="2040500"/>
    <m/>
    <m/>
    <m/>
    <m/>
    <n v="0"/>
    <m/>
    <m/>
    <n v="0"/>
    <n v="2040500"/>
    <n v="2040500"/>
    <m/>
    <m/>
    <m/>
    <m/>
    <n v="0"/>
    <m/>
    <m/>
    <n v="0"/>
    <m/>
    <m/>
    <m/>
    <m/>
    <m/>
    <m/>
    <n v="2040500"/>
    <n v="2040500"/>
  </r>
  <r>
    <x v="5"/>
    <x v="7"/>
    <s v="Center for Entrepreneurship"/>
    <s v=" "/>
    <n v="157085"/>
    <x v="0"/>
    <m/>
    <m/>
    <n v="600000"/>
    <n v="0"/>
    <m/>
    <m/>
    <m/>
    <m/>
    <n v="0"/>
    <m/>
    <m/>
    <n v="0"/>
    <n v="600000"/>
    <n v="0"/>
    <m/>
    <m/>
    <m/>
    <m/>
    <n v="0"/>
    <m/>
    <m/>
    <n v="0"/>
    <m/>
    <m/>
    <m/>
    <m/>
    <m/>
    <m/>
    <n v="600000"/>
    <n v="0"/>
  </r>
  <r>
    <x v="5"/>
    <x v="7"/>
    <s v="Center for Applied Energy Research"/>
    <s v=" "/>
    <n v="157085"/>
    <x v="0"/>
    <m/>
    <m/>
    <n v="5176200"/>
    <n v="5176200"/>
    <m/>
    <m/>
    <m/>
    <m/>
    <n v="0"/>
    <m/>
    <m/>
    <n v="0"/>
    <n v="5176200"/>
    <n v="5176200"/>
    <m/>
    <m/>
    <m/>
    <m/>
    <n v="0"/>
    <m/>
    <m/>
    <n v="0"/>
    <m/>
    <m/>
    <m/>
    <m/>
    <m/>
    <m/>
    <n v="5176200"/>
    <n v="5176200"/>
  </r>
  <r>
    <x v="5"/>
    <x v="7"/>
    <s v="Rural Health Care"/>
    <s v=" "/>
    <n v="157085"/>
    <x v="0"/>
    <m/>
    <m/>
    <n v="450200"/>
    <n v="450200"/>
    <m/>
    <m/>
    <m/>
    <m/>
    <n v="0"/>
    <m/>
    <m/>
    <n v="0"/>
    <n v="450200"/>
    <n v="450200"/>
    <m/>
    <m/>
    <m/>
    <m/>
    <n v="0"/>
    <m/>
    <m/>
    <n v="0"/>
    <m/>
    <m/>
    <m/>
    <m/>
    <m/>
    <m/>
    <n v="450200"/>
    <n v="450200"/>
  </r>
  <r>
    <x v="5"/>
    <x v="7"/>
    <s v="Kentucky Cancer Registry"/>
    <m/>
    <n v="157085"/>
    <x v="0"/>
    <m/>
    <m/>
    <n v="450200"/>
    <n v="450200"/>
    <m/>
    <m/>
    <m/>
    <m/>
    <n v="0"/>
    <m/>
    <m/>
    <n v="0"/>
    <n v="450200"/>
    <n v="450200"/>
    <m/>
    <m/>
    <m/>
    <m/>
    <n v="0"/>
    <m/>
    <m/>
    <n v="0"/>
    <m/>
    <m/>
    <m/>
    <m/>
    <m/>
    <m/>
    <n v="450200"/>
    <n v="450200"/>
  </r>
  <r>
    <x v="5"/>
    <x v="7"/>
    <s v="Human Development Institute Supported Higher Education Project"/>
    <m/>
    <n v="157085"/>
    <x v="0"/>
    <m/>
    <m/>
    <n v="0"/>
    <n v="500000"/>
    <m/>
    <m/>
    <m/>
    <m/>
    <n v="0"/>
    <m/>
    <m/>
    <n v="0"/>
    <n v="0"/>
    <n v="500000"/>
    <m/>
    <m/>
    <m/>
    <m/>
    <n v="0"/>
    <m/>
    <m/>
    <n v="0"/>
    <m/>
    <m/>
    <m/>
    <m/>
    <m/>
    <m/>
    <n v="0"/>
    <n v="500000"/>
  </r>
  <r>
    <x v="5"/>
    <x v="7"/>
    <s v="Sports Medicine Research Institute"/>
    <m/>
    <n v="157085"/>
    <x v="0"/>
    <m/>
    <m/>
    <n v="0"/>
    <n v="100000"/>
    <m/>
    <m/>
    <m/>
    <m/>
    <n v="0"/>
    <m/>
    <m/>
    <n v="0"/>
    <n v="0"/>
    <n v="100000"/>
    <m/>
    <m/>
    <m/>
    <m/>
    <n v="0"/>
    <m/>
    <m/>
    <n v="0"/>
    <m/>
    <m/>
    <m/>
    <m/>
    <m/>
    <m/>
    <n v="0"/>
    <n v="100000"/>
  </r>
  <r>
    <x v="5"/>
    <x v="0"/>
    <s v="University of Louisville"/>
    <s v=" "/>
    <n v="157289"/>
    <x v="0"/>
    <n v="124989100"/>
    <n v="113271835"/>
    <m/>
    <m/>
    <m/>
    <m/>
    <n v="259279100"/>
    <n v="4559800"/>
    <n v="263838900"/>
    <n v="264855880.239739"/>
    <n v="4229839.1900000004"/>
    <n v="269085719.429739"/>
    <n v="384268200"/>
    <n v="378127715.239739"/>
    <m/>
    <m/>
    <m/>
    <m/>
    <n v="0"/>
    <m/>
    <m/>
    <n v="0"/>
    <m/>
    <m/>
    <m/>
    <m/>
    <m/>
    <m/>
    <n v="384268200"/>
    <n v="378127715.239739"/>
  </r>
  <r>
    <x v="5"/>
    <x v="1"/>
    <s v="Medical School"/>
    <s v=" "/>
    <n v="157289"/>
    <x v="0"/>
    <m/>
    <m/>
    <m/>
    <m/>
    <m/>
    <m/>
    <m/>
    <m/>
    <n v="0"/>
    <m/>
    <m/>
    <n v="0"/>
    <n v="0"/>
    <n v="0"/>
    <m/>
    <m/>
    <m/>
    <m/>
    <n v="0"/>
    <m/>
    <m/>
    <n v="0"/>
    <n v="12739666.947464999"/>
    <n v="12939765"/>
    <n v="62012518"/>
    <m/>
    <n v="64306700.570261396"/>
    <m/>
    <n v="74752184.947465003"/>
    <n v="77246465.570261389"/>
  </r>
  <r>
    <x v="5"/>
    <x v="3"/>
    <s v="Public Service Units"/>
    <s v=" "/>
    <n v="15728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Community Cancer Program"/>
    <s v=" "/>
    <n v="157289"/>
    <x v="0"/>
    <m/>
    <m/>
    <n v="0"/>
    <n v="0"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Rural Health Care"/>
    <s v=" "/>
    <n v="157289"/>
    <x v="0"/>
    <m/>
    <m/>
    <n v="638200"/>
    <n v="695200"/>
    <m/>
    <m/>
    <m/>
    <m/>
    <n v="0"/>
    <m/>
    <m/>
    <n v="0"/>
    <n v="638200"/>
    <n v="695200"/>
    <m/>
    <m/>
    <m/>
    <m/>
    <n v="0"/>
    <m/>
    <m/>
    <n v="0"/>
    <m/>
    <m/>
    <m/>
    <m/>
    <m/>
    <m/>
    <n v="638200"/>
    <n v="695200"/>
  </r>
  <r>
    <x v="5"/>
    <x v="3"/>
    <s v="Kentucky Autism Training Center"/>
    <s v=" "/>
    <n v="157289"/>
    <x v="0"/>
    <m/>
    <m/>
    <n v="150000"/>
    <n v="150000"/>
    <m/>
    <m/>
    <m/>
    <m/>
    <n v="0"/>
    <m/>
    <m/>
    <n v="0"/>
    <n v="150000"/>
    <n v="150000"/>
    <m/>
    <m/>
    <m/>
    <m/>
    <n v="0"/>
    <m/>
    <m/>
    <n v="0"/>
    <m/>
    <m/>
    <m/>
    <m/>
    <m/>
    <m/>
    <n v="150000"/>
    <n v="150000"/>
  </r>
  <r>
    <x v="5"/>
    <x v="7"/>
    <s v="Research centers/institutes"/>
    <s v=" "/>
    <n v="157289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0"/>
    <s v="Eastern Kentucky University "/>
    <s v=" "/>
    <n v="156620"/>
    <x v="2"/>
    <n v="61681700"/>
    <n v="60842300"/>
    <m/>
    <m/>
    <m/>
    <m/>
    <n v="146911300"/>
    <n v="3961800"/>
    <n v="150873100"/>
    <n v="141793617.13999999"/>
    <n v="3849214"/>
    <n v="145642831.13999999"/>
    <n v="208593000"/>
    <n v="202635917.13999999"/>
    <m/>
    <m/>
    <m/>
    <m/>
    <n v="0"/>
    <m/>
    <m/>
    <n v="0"/>
    <m/>
    <m/>
    <m/>
    <m/>
    <m/>
    <m/>
    <n v="208593000"/>
    <n v="202635917.13999999"/>
  </r>
  <r>
    <x v="5"/>
    <x v="3"/>
    <s v="Community Operations Board"/>
    <s v=" "/>
    <n v="156620"/>
    <x v="2"/>
    <m/>
    <m/>
    <n v="0"/>
    <n v="0"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Model Laboratory School"/>
    <s v=" "/>
    <n v="156620"/>
    <x v="2"/>
    <m/>
    <m/>
    <n v="2071900"/>
    <n v="4571900"/>
    <m/>
    <m/>
    <m/>
    <m/>
    <n v="0"/>
    <m/>
    <m/>
    <n v="0"/>
    <n v="2071900"/>
    <n v="4571900"/>
    <m/>
    <m/>
    <m/>
    <m/>
    <n v="0"/>
    <m/>
    <m/>
    <n v="0"/>
    <m/>
    <m/>
    <m/>
    <m/>
    <m/>
    <m/>
    <n v="2071900"/>
    <n v="4571900"/>
  </r>
  <r>
    <x v="5"/>
    <x v="0"/>
    <s v="Morehead State University "/>
    <s v=" "/>
    <n v="157386"/>
    <x v="2"/>
    <n v="35644400"/>
    <n v="34931500"/>
    <m/>
    <m/>
    <m/>
    <m/>
    <n v="65390800"/>
    <n v="842200"/>
    <n v="66233000"/>
    <n v="62198900"/>
    <n v="811400"/>
    <n v="63010300"/>
    <n v="101035200"/>
    <n v="97130400"/>
    <m/>
    <m/>
    <m/>
    <m/>
    <n v="0"/>
    <m/>
    <m/>
    <n v="0"/>
    <m/>
    <m/>
    <m/>
    <m/>
    <m/>
    <m/>
    <n v="101035200"/>
    <n v="97130400"/>
  </r>
  <r>
    <x v="5"/>
    <x v="3"/>
    <s v="Public Service Units"/>
    <s v=" "/>
    <n v="157386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KY Folk Art Center"/>
    <s v=" "/>
    <n v="157386"/>
    <x v="2"/>
    <m/>
    <m/>
    <n v="0"/>
    <n v="0"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Craft Academy for Excellence in Science and Mathematics"/>
    <s v=" "/>
    <n v="157386"/>
    <x v="2"/>
    <m/>
    <m/>
    <n v="2822400"/>
    <n v="3151400"/>
    <m/>
    <m/>
    <m/>
    <m/>
    <n v="0"/>
    <m/>
    <m/>
    <n v="0"/>
    <n v="2822400"/>
    <n v="3151400"/>
    <m/>
    <m/>
    <m/>
    <m/>
    <n v="0"/>
    <m/>
    <m/>
    <n v="0"/>
    <m/>
    <m/>
    <m/>
    <m/>
    <m/>
    <m/>
    <n v="2822400"/>
    <n v="3151400"/>
  </r>
  <r>
    <x v="5"/>
    <x v="3"/>
    <s v="Jet Propulsion Laboratory"/>
    <m/>
    <n v="157386"/>
    <x v="13"/>
    <m/>
    <m/>
    <n v="0"/>
    <n v="250000"/>
    <m/>
    <m/>
    <m/>
    <m/>
    <n v="0"/>
    <m/>
    <m/>
    <n v="0"/>
    <n v="0"/>
    <n v="250000"/>
    <m/>
    <m/>
    <m/>
    <m/>
    <n v="0"/>
    <m/>
    <m/>
    <n v="0"/>
    <m/>
    <m/>
    <m/>
    <m/>
    <m/>
    <m/>
    <n v="0"/>
    <n v="250000"/>
  </r>
  <r>
    <x v="5"/>
    <x v="7"/>
    <s v="Research centers/institutes"/>
    <s v=" "/>
    <n v="157386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0"/>
    <s v="Murray State University "/>
    <s v=" "/>
    <n v="157401"/>
    <x v="2"/>
    <n v="41381400"/>
    <n v="40553800"/>
    <m/>
    <m/>
    <m/>
    <m/>
    <n v="101202100"/>
    <n v="596500"/>
    <n v="101798600"/>
    <n v="99770032"/>
    <n v="590568"/>
    <n v="100360600"/>
    <n v="142583500"/>
    <n v="140323832"/>
    <m/>
    <m/>
    <m/>
    <m/>
    <n v="0"/>
    <m/>
    <m/>
    <n v="0"/>
    <m/>
    <m/>
    <m/>
    <m/>
    <m/>
    <m/>
    <n v="142583500"/>
    <n v="140323832"/>
  </r>
  <r>
    <x v="5"/>
    <x v="3"/>
    <s v="Community or public service units"/>
    <s v=" "/>
    <n v="157401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Breathitt Veterinary Clinic"/>
    <s v=" "/>
    <n v="157401"/>
    <x v="2"/>
    <m/>
    <m/>
    <n v="3200000"/>
    <n v="3200000"/>
    <m/>
    <m/>
    <m/>
    <m/>
    <n v="0"/>
    <m/>
    <m/>
    <n v="0"/>
    <n v="3200000"/>
    <n v="3200000"/>
    <m/>
    <m/>
    <m/>
    <m/>
    <n v="0"/>
    <m/>
    <m/>
    <n v="0"/>
    <m/>
    <m/>
    <m/>
    <m/>
    <m/>
    <m/>
    <n v="3200000"/>
    <n v="3200000"/>
  </r>
  <r>
    <x v="5"/>
    <x v="0"/>
    <s v="Northern Kentucky University "/>
    <s v=" "/>
    <n v="157447"/>
    <x v="2"/>
    <n v="50976100"/>
    <n v="50923600"/>
    <m/>
    <m/>
    <m/>
    <m/>
    <n v="166447000"/>
    <n v="4720500"/>
    <n v="171167500"/>
    <n v="163773580"/>
    <n v="4737620"/>
    <n v="168511200"/>
    <n v="217423100"/>
    <n v="214697180"/>
    <m/>
    <m/>
    <m/>
    <m/>
    <n v="0"/>
    <m/>
    <m/>
    <n v="0"/>
    <m/>
    <m/>
    <m/>
    <m/>
    <m/>
    <m/>
    <n v="217423100"/>
    <n v="214697180"/>
  </r>
  <r>
    <x v="5"/>
    <x v="3"/>
    <s v="Community or public service units"/>
    <s v=" "/>
    <n v="157447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Kentucky Center for Mathematics"/>
    <s v=" "/>
    <n v="157447"/>
    <x v="2"/>
    <m/>
    <m/>
    <n v="1323900"/>
    <n v="1323900"/>
    <m/>
    <m/>
    <m/>
    <m/>
    <n v="0"/>
    <m/>
    <m/>
    <n v="0"/>
    <n v="1323900"/>
    <n v="1323900"/>
    <m/>
    <m/>
    <m/>
    <m/>
    <n v="0"/>
    <m/>
    <m/>
    <n v="0"/>
    <m/>
    <m/>
    <m/>
    <m/>
    <m/>
    <m/>
    <n v="1323900"/>
    <n v="1323900"/>
  </r>
  <r>
    <x v="5"/>
    <x v="0"/>
    <s v="Western Kentucky University "/>
    <s v=" "/>
    <n v="157951"/>
    <x v="2"/>
    <n v="68225600"/>
    <n v="67619000"/>
    <m/>
    <m/>
    <m/>
    <m/>
    <n v="178795700"/>
    <n v="724723"/>
    <n v="179520423"/>
    <n v="177668213"/>
    <n v="720287"/>
    <n v="178388500"/>
    <n v="247021300"/>
    <n v="245287213"/>
    <m/>
    <m/>
    <m/>
    <m/>
    <n v="0"/>
    <m/>
    <m/>
    <n v="0"/>
    <m/>
    <m/>
    <m/>
    <m/>
    <m/>
    <m/>
    <n v="247021300"/>
    <n v="245287213"/>
  </r>
  <r>
    <x v="5"/>
    <x v="3"/>
    <s v="Community or public service units"/>
    <s v=" "/>
    <n v="157951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"/>
    <s v="Kentucky Academy for Math and Science (Gatton Academy)"/>
    <s v=" "/>
    <n v="157951"/>
    <x v="2"/>
    <m/>
    <m/>
    <n v="4747700"/>
    <n v="4985100"/>
    <m/>
    <m/>
    <m/>
    <m/>
    <n v="0"/>
    <m/>
    <m/>
    <n v="0"/>
    <n v="4747700"/>
    <n v="4985100"/>
    <m/>
    <m/>
    <m/>
    <m/>
    <n v="0"/>
    <m/>
    <m/>
    <n v="0"/>
    <m/>
    <m/>
    <m/>
    <m/>
    <m/>
    <m/>
    <n v="4747700"/>
    <n v="4985100"/>
  </r>
  <r>
    <x v="5"/>
    <x v="3"/>
    <s v="Kentucky Mesonet"/>
    <s v=" "/>
    <n v="157951"/>
    <x v="2"/>
    <m/>
    <m/>
    <n v="750000"/>
    <n v="750000"/>
    <m/>
    <m/>
    <m/>
    <m/>
    <n v="0"/>
    <m/>
    <m/>
    <n v="0"/>
    <n v="750000"/>
    <n v="750000"/>
    <m/>
    <m/>
    <m/>
    <m/>
    <n v="0"/>
    <m/>
    <m/>
    <n v="0"/>
    <m/>
    <m/>
    <m/>
    <m/>
    <m/>
    <m/>
    <n v="750000"/>
    <n v="750000"/>
  </r>
  <r>
    <x v="5"/>
    <x v="0"/>
    <s v="Kentucky State University "/>
    <s v="Met the criteria for Four-Year 6 in 2020-21."/>
    <n v="157058"/>
    <x v="3"/>
    <n v="18607700"/>
    <n v="17173900"/>
    <m/>
    <m/>
    <m/>
    <m/>
    <n v="13760022"/>
    <n v="398500"/>
    <n v="14158522"/>
    <n v="17770347"/>
    <n v="462865"/>
    <n v="18233212"/>
    <n v="32367722"/>
    <n v="34944247"/>
    <m/>
    <m/>
    <m/>
    <m/>
    <n v="0"/>
    <m/>
    <m/>
    <n v="0"/>
    <m/>
    <m/>
    <m/>
    <m/>
    <m/>
    <m/>
    <n v="32367722"/>
    <n v="34944247"/>
  </r>
  <r>
    <x v="5"/>
    <x v="3"/>
    <s v="Public Service Units"/>
    <s v=" "/>
    <n v="157058"/>
    <x v="3"/>
    <m/>
    <m/>
    <n v="3513564"/>
    <n v="4375846"/>
    <m/>
    <m/>
    <m/>
    <m/>
    <n v="0"/>
    <m/>
    <m/>
    <n v="0"/>
    <n v="3513564"/>
    <n v="4375846"/>
    <m/>
    <m/>
    <m/>
    <m/>
    <n v="0"/>
    <m/>
    <m/>
    <n v="0"/>
    <m/>
    <m/>
    <m/>
    <m/>
    <m/>
    <m/>
    <n v="3513564"/>
    <n v="4375846"/>
  </r>
  <r>
    <x v="5"/>
    <x v="5"/>
    <s v="Agricultural cooperative extension"/>
    <s v=" "/>
    <n v="157058"/>
    <x v="3"/>
    <m/>
    <m/>
    <n v="3635236"/>
    <n v="3834554"/>
    <m/>
    <m/>
    <m/>
    <m/>
    <n v="0"/>
    <m/>
    <m/>
    <n v="0"/>
    <n v="3635236"/>
    <n v="3834554"/>
    <m/>
    <m/>
    <m/>
    <m/>
    <n v="0"/>
    <m/>
    <m/>
    <n v="0"/>
    <m/>
    <m/>
    <m/>
    <m/>
    <m/>
    <m/>
    <n v="3635236"/>
    <n v="3834554"/>
  </r>
  <r>
    <x v="5"/>
    <x v="0"/>
    <s v="Bluegrass Community and Technical College"/>
    <s v="Changed # from 157173 to 156392"/>
    <n v="156392"/>
    <x v="6"/>
    <n v="14246500"/>
    <n v="14076800"/>
    <m/>
    <m/>
    <m/>
    <m/>
    <n v="36401100"/>
    <n v="1624500"/>
    <n v="38025600"/>
    <n v="38151000"/>
    <n v="1521000"/>
    <n v="39672000"/>
    <n v="50647600"/>
    <n v="52227800"/>
    <m/>
    <m/>
    <m/>
    <m/>
    <n v="0"/>
    <m/>
    <m/>
    <n v="0"/>
    <m/>
    <m/>
    <m/>
    <m/>
    <m/>
    <m/>
    <n v="50647600"/>
    <n v="52227800"/>
  </r>
  <r>
    <x v="5"/>
    <x v="0"/>
    <s v="Jefferson Community and Technical College "/>
    <s v=" "/>
    <n v="156921"/>
    <x v="6"/>
    <n v="17139000"/>
    <n v="16704100"/>
    <m/>
    <m/>
    <m/>
    <m/>
    <n v="34297400"/>
    <n v="1595200"/>
    <n v="35892600"/>
    <n v="34083000"/>
    <n v="1358800"/>
    <n v="35441800"/>
    <n v="51436400"/>
    <n v="50787100"/>
    <m/>
    <m/>
    <m/>
    <m/>
    <n v="0"/>
    <m/>
    <m/>
    <n v="0"/>
    <m/>
    <m/>
    <m/>
    <m/>
    <m/>
    <m/>
    <n v="51436400"/>
    <n v="50787100"/>
  </r>
  <r>
    <x v="5"/>
    <x v="0"/>
    <s v="Big Sandy Community and Technical College "/>
    <s v="Met the criteria for Two-Year 3 in 2019-20 and 2020-21."/>
    <n v="157553"/>
    <x v="7"/>
    <n v="8552600"/>
    <n v="8121300"/>
    <m/>
    <m/>
    <m/>
    <m/>
    <n v="10044500"/>
    <n v="446800"/>
    <n v="10491300"/>
    <n v="9509000"/>
    <n v="379100"/>
    <n v="9888100"/>
    <n v="18597100"/>
    <n v="17630300"/>
    <m/>
    <m/>
    <m/>
    <m/>
    <n v="0"/>
    <m/>
    <m/>
    <n v="0"/>
    <m/>
    <m/>
    <m/>
    <m/>
    <m/>
    <m/>
    <n v="18597100"/>
    <n v="17630300"/>
  </r>
  <r>
    <x v="5"/>
    <x v="0"/>
    <s v="Elizabethtown Community and Technical College "/>
    <s v=" "/>
    <n v="156648"/>
    <x v="7"/>
    <n v="9524000"/>
    <n v="9339200"/>
    <m/>
    <m/>
    <m/>
    <m/>
    <n v="18370500"/>
    <n v="806500"/>
    <n v="19177000"/>
    <n v="19164000"/>
    <n v="764000"/>
    <n v="19928000"/>
    <n v="27894500"/>
    <n v="28503200"/>
    <m/>
    <m/>
    <m/>
    <m/>
    <n v="0"/>
    <m/>
    <m/>
    <n v="0"/>
    <m/>
    <m/>
    <m/>
    <m/>
    <m/>
    <m/>
    <n v="27894500"/>
    <n v="28503200"/>
  </r>
  <r>
    <x v="5"/>
    <x v="0"/>
    <s v="Maysville Community and Technical College "/>
    <s v=" "/>
    <n v="157331"/>
    <x v="7"/>
    <n v="6616800"/>
    <n v="6534500"/>
    <m/>
    <m/>
    <m/>
    <m/>
    <n v="11321200"/>
    <n v="485400"/>
    <n v="11806600"/>
    <n v="11126000"/>
    <n v="443600"/>
    <n v="11569600"/>
    <n v="17938000"/>
    <n v="17660500"/>
    <m/>
    <m/>
    <m/>
    <m/>
    <n v="0"/>
    <m/>
    <m/>
    <n v="0"/>
    <m/>
    <m/>
    <m/>
    <m/>
    <m/>
    <m/>
    <n v="17938000"/>
    <n v="17660500"/>
  </r>
  <r>
    <x v="5"/>
    <x v="0"/>
    <s v="Owensboro Community and Technical College "/>
    <s v=" "/>
    <n v="247940"/>
    <x v="7"/>
    <n v="6732200"/>
    <n v="6659300"/>
    <m/>
    <m/>
    <m/>
    <m/>
    <n v="12684200"/>
    <n v="576700"/>
    <n v="13260900"/>
    <n v="12639000"/>
    <n v="503900"/>
    <n v="13142900"/>
    <n v="19416400"/>
    <n v="19298300"/>
    <m/>
    <m/>
    <m/>
    <m/>
    <n v="0"/>
    <m/>
    <m/>
    <n v="0"/>
    <m/>
    <m/>
    <m/>
    <m/>
    <m/>
    <m/>
    <n v="19416400"/>
    <n v="19298300"/>
  </r>
  <r>
    <x v="5"/>
    <x v="0"/>
    <s v="Somerset Community College "/>
    <s v=" "/>
    <n v="157711"/>
    <x v="7"/>
    <n v="10249400"/>
    <n v="10034100"/>
    <m/>
    <m/>
    <m/>
    <m/>
    <n v="18315300"/>
    <n v="773000"/>
    <n v="19088300"/>
    <n v="17424000"/>
    <n v="694700"/>
    <n v="18118700"/>
    <n v="28564700"/>
    <n v="27458100"/>
    <m/>
    <m/>
    <m/>
    <m/>
    <n v="0"/>
    <m/>
    <m/>
    <n v="0"/>
    <m/>
    <m/>
    <m/>
    <m/>
    <m/>
    <m/>
    <n v="28564700"/>
    <n v="27458100"/>
  </r>
  <r>
    <x v="5"/>
    <x v="0"/>
    <s v="West Kentucky Community and Technical College"/>
    <s v=" "/>
    <n v="157483"/>
    <x v="7"/>
    <n v="9958800"/>
    <n v="9705700"/>
    <m/>
    <m/>
    <m/>
    <m/>
    <n v="15901100"/>
    <n v="691300"/>
    <n v="16592400"/>
    <n v="15459000"/>
    <n v="616300"/>
    <n v="16075300"/>
    <n v="25859900"/>
    <n v="25164700"/>
    <m/>
    <m/>
    <m/>
    <m/>
    <n v="0"/>
    <m/>
    <m/>
    <n v="0"/>
    <m/>
    <m/>
    <m/>
    <m/>
    <m/>
    <m/>
    <n v="25859900"/>
    <n v="25164700"/>
  </r>
  <r>
    <x v="5"/>
    <x v="0"/>
    <s v="Ashland Community and Technical College"/>
    <s v="Reclassified: Met the criteria for Two-Year 3 in 2017-18, 2018-19, and 2019-20."/>
    <n v="156231"/>
    <x v="8"/>
    <n v="7589900"/>
    <n v="7207900"/>
    <m/>
    <m/>
    <m/>
    <m/>
    <n v="9792500"/>
    <n v="426100"/>
    <n v="10218600"/>
    <n v="9700000"/>
    <n v="386700"/>
    <n v="10086700"/>
    <n v="17382400"/>
    <n v="16907900"/>
    <m/>
    <m/>
    <m/>
    <m/>
    <n v="0"/>
    <m/>
    <m/>
    <n v="0"/>
    <m/>
    <m/>
    <m/>
    <m/>
    <m/>
    <m/>
    <n v="17382400"/>
    <n v="16907900"/>
  </r>
  <r>
    <x v="5"/>
    <x v="0"/>
    <s v="Hazard Community and Technical College"/>
    <s v=" "/>
    <n v="156790"/>
    <x v="8"/>
    <n v="10116000"/>
    <n v="9627400"/>
    <m/>
    <m/>
    <m/>
    <m/>
    <n v="10343100"/>
    <n v="376100"/>
    <n v="10719200"/>
    <n v="9678000"/>
    <n v="385800"/>
    <n v="10063800"/>
    <n v="20459100"/>
    <n v="19305400"/>
    <m/>
    <m/>
    <m/>
    <m/>
    <n v="0"/>
    <m/>
    <m/>
    <n v="0"/>
    <m/>
    <m/>
    <m/>
    <m/>
    <m/>
    <m/>
    <n v="20459100"/>
    <n v="19305400"/>
  </r>
  <r>
    <x v="5"/>
    <x v="0"/>
    <s v="Henderson Community College "/>
    <s v=" "/>
    <n v="156851"/>
    <x v="8"/>
    <n v="3697100"/>
    <n v="3504800"/>
    <m/>
    <m/>
    <m/>
    <m/>
    <n v="4197400"/>
    <n v="187000"/>
    <n v="4384400"/>
    <n v="4285000"/>
    <n v="170800"/>
    <n v="4455800"/>
    <n v="7894500"/>
    <n v="7789800"/>
    <m/>
    <m/>
    <m/>
    <m/>
    <n v="0"/>
    <m/>
    <m/>
    <n v="0"/>
    <m/>
    <m/>
    <m/>
    <m/>
    <m/>
    <m/>
    <n v="7894500"/>
    <n v="7789800"/>
  </r>
  <r>
    <x v="5"/>
    <x v="0"/>
    <s v="Hopkinsville Community College "/>
    <s v=" "/>
    <n v="156860"/>
    <x v="8"/>
    <n v="4784200"/>
    <n v="4720700"/>
    <m/>
    <m/>
    <m/>
    <m/>
    <n v="7990400"/>
    <n v="379600"/>
    <n v="8370000"/>
    <n v="7275000"/>
    <n v="290000"/>
    <n v="7565000"/>
    <n v="12774600"/>
    <n v="11995700"/>
    <m/>
    <m/>
    <m/>
    <m/>
    <n v="0"/>
    <m/>
    <m/>
    <n v="0"/>
    <m/>
    <m/>
    <m/>
    <m/>
    <m/>
    <m/>
    <n v="12774600"/>
    <n v="11995700"/>
  </r>
  <r>
    <x v="5"/>
    <x v="0"/>
    <s v="Madisonville Community College"/>
    <s v=" "/>
    <n v="157304"/>
    <x v="8"/>
    <n v="7011300"/>
    <n v="6659800"/>
    <m/>
    <m/>
    <m/>
    <m/>
    <n v="9267200"/>
    <n v="392600"/>
    <n v="9659800"/>
    <n v="10349000"/>
    <n v="412600"/>
    <n v="10761600"/>
    <n v="16278500"/>
    <n v="17008800"/>
    <m/>
    <m/>
    <m/>
    <m/>
    <n v="0"/>
    <m/>
    <m/>
    <n v="0"/>
    <m/>
    <m/>
    <m/>
    <m/>
    <m/>
    <m/>
    <n v="16278500"/>
    <n v="17008800"/>
  </r>
  <r>
    <x v="5"/>
    <x v="0"/>
    <s v="Southeast Kentucky Community and Technical College"/>
    <s v=" "/>
    <n v="157739"/>
    <x v="8"/>
    <n v="8314300"/>
    <n v="7904100"/>
    <m/>
    <m/>
    <m/>
    <m/>
    <n v="9540100"/>
    <n v="399300"/>
    <n v="9939400"/>
    <n v="8517000"/>
    <n v="339600"/>
    <n v="8856600"/>
    <n v="17854400"/>
    <n v="16421100"/>
    <m/>
    <m/>
    <m/>
    <m/>
    <n v="0"/>
    <m/>
    <m/>
    <n v="0"/>
    <m/>
    <m/>
    <m/>
    <m/>
    <m/>
    <m/>
    <n v="17854400"/>
    <n v="16421100"/>
  </r>
  <r>
    <x v="5"/>
    <x v="0"/>
    <s v="Gateway Community and Technical College"/>
    <s v=" "/>
    <n v="157438"/>
    <x v="9"/>
    <n v="7462800"/>
    <n v="7357800"/>
    <m/>
    <m/>
    <m/>
    <m/>
    <n v="13007000"/>
    <n v="598100"/>
    <n v="13605100"/>
    <n v="15142000"/>
    <n v="603700"/>
    <n v="15745700"/>
    <n v="20469800"/>
    <n v="22499800"/>
    <m/>
    <m/>
    <m/>
    <m/>
    <n v="0"/>
    <m/>
    <m/>
    <n v="0"/>
    <m/>
    <m/>
    <m/>
    <m/>
    <m/>
    <m/>
    <n v="20469800"/>
    <n v="22499800"/>
  </r>
  <r>
    <x v="5"/>
    <x v="0"/>
    <s v="Southcentral Kentucky Community and Technical College"/>
    <s v=" "/>
    <n v="156338"/>
    <x v="9"/>
    <n v="7755300"/>
    <n v="7642600"/>
    <m/>
    <m/>
    <m/>
    <m/>
    <n v="14160700"/>
    <n v="614400"/>
    <n v="14775100"/>
    <n v="14754000"/>
    <n v="588200"/>
    <n v="15342200"/>
    <n v="21916000"/>
    <n v="22396600"/>
    <m/>
    <m/>
    <m/>
    <m/>
    <n v="0"/>
    <m/>
    <m/>
    <n v="0"/>
    <m/>
    <m/>
    <m/>
    <m/>
    <m/>
    <m/>
    <n v="21916000"/>
    <n v="22396600"/>
  </r>
  <r>
    <x v="5"/>
    <x v="44"/>
    <s v="Education special purpose funds -statewide units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44"/>
    <s v="Public Service Units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44"/>
    <s v="KY WINS (KCTCS-TRAINS)"/>
    <s v=" "/>
    <m/>
    <x v="12"/>
    <m/>
    <m/>
    <n v="4149800"/>
    <n v="4149700"/>
    <m/>
    <m/>
    <m/>
    <m/>
    <n v="0"/>
    <m/>
    <m/>
    <n v="0"/>
    <n v="4149800"/>
    <n v="4149700"/>
    <m/>
    <m/>
    <m/>
    <m/>
    <n v="0"/>
    <m/>
    <m/>
    <n v="0"/>
    <m/>
    <m/>
    <m/>
    <m/>
    <m/>
    <m/>
    <n v="4149800"/>
    <n v="4149700"/>
  </r>
  <r>
    <x v="5"/>
    <x v="44"/>
    <s v="University Health Insurance Premium Supplement"/>
    <s v=" "/>
    <m/>
    <x v="12"/>
    <m/>
    <m/>
    <n v="750800"/>
    <n v="0"/>
    <m/>
    <m/>
    <m/>
    <m/>
    <n v="0"/>
    <m/>
    <m/>
    <n v="0"/>
    <n v="750800"/>
    <n v="0"/>
    <m/>
    <m/>
    <m/>
    <m/>
    <n v="0"/>
    <m/>
    <m/>
    <n v="0"/>
    <m/>
    <m/>
    <m/>
    <m/>
    <m/>
    <m/>
    <n v="750800"/>
    <n v="0"/>
  </r>
  <r>
    <x v="5"/>
    <x v="44"/>
    <s v="Kentucky Board of Emergency Medical Services"/>
    <s v=" "/>
    <m/>
    <x v="12"/>
    <m/>
    <m/>
    <n v="1799700"/>
    <n v="1758100"/>
    <m/>
    <m/>
    <m/>
    <m/>
    <n v="0"/>
    <m/>
    <m/>
    <n v="0"/>
    <n v="1799700"/>
    <n v="1758100"/>
    <m/>
    <m/>
    <m/>
    <m/>
    <n v="0"/>
    <m/>
    <m/>
    <n v="0"/>
    <m/>
    <m/>
    <m/>
    <m/>
    <m/>
    <m/>
    <n v="1799700"/>
    <n v="1758100"/>
  </r>
  <r>
    <x v="5"/>
    <x v="44"/>
    <s v="Fire Commission"/>
    <s v=" "/>
    <m/>
    <x v="12"/>
    <m/>
    <m/>
    <n v="1869900"/>
    <n v="1826700"/>
    <m/>
    <m/>
    <m/>
    <m/>
    <n v="0"/>
    <m/>
    <m/>
    <n v="0"/>
    <n v="1869900"/>
    <n v="1826700"/>
    <m/>
    <m/>
    <m/>
    <m/>
    <n v="0"/>
    <m/>
    <m/>
    <n v="0"/>
    <m/>
    <m/>
    <m/>
    <m/>
    <m/>
    <m/>
    <n v="1869900"/>
    <n v="1826700"/>
  </r>
  <r>
    <x v="5"/>
    <x v="44"/>
    <s v="Adult Agriculture Education"/>
    <s v=" "/>
    <m/>
    <x v="12"/>
    <m/>
    <m/>
    <n v="1000000"/>
    <n v="1000000"/>
    <m/>
    <m/>
    <m/>
    <m/>
    <n v="0"/>
    <m/>
    <m/>
    <n v="0"/>
    <n v="1000000"/>
    <n v="1000000"/>
    <m/>
    <m/>
    <m/>
    <m/>
    <n v="0"/>
    <m/>
    <m/>
    <n v="0"/>
    <m/>
    <m/>
    <m/>
    <m/>
    <m/>
    <m/>
    <n v="1000000"/>
    <n v="1000000"/>
  </r>
  <r>
    <x v="5"/>
    <x v="13"/>
    <s v="Education special purpose funds — all other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3"/>
    <s v="Research Challenge Trust Fund-(Lung) Cancer Research &amp; Screening"/>
    <s v=" "/>
    <m/>
    <x v="12"/>
    <m/>
    <m/>
    <n v="6132800"/>
    <n v="6876100"/>
    <m/>
    <m/>
    <m/>
    <m/>
    <n v="0"/>
    <m/>
    <m/>
    <n v="0"/>
    <n v="6132800"/>
    <n v="6876100"/>
    <m/>
    <m/>
    <m/>
    <m/>
    <n v="0"/>
    <m/>
    <m/>
    <n v="0"/>
    <m/>
    <m/>
    <m/>
    <m/>
    <m/>
    <m/>
    <n v="6132800"/>
    <n v="6876100"/>
  </r>
  <r>
    <x v="5"/>
    <x v="13"/>
    <s v="KY Postsecondary Education Network"/>
    <s v=" "/>
    <m/>
    <x v="12"/>
    <m/>
    <m/>
    <n v="1724000"/>
    <n v="773700"/>
    <m/>
    <m/>
    <m/>
    <m/>
    <n v="0"/>
    <m/>
    <m/>
    <n v="0"/>
    <n v="1724000"/>
    <n v="773700"/>
    <m/>
    <m/>
    <m/>
    <m/>
    <n v="0"/>
    <m/>
    <m/>
    <n v="0"/>
    <m/>
    <m/>
    <m/>
    <m/>
    <m/>
    <m/>
    <n v="1724000"/>
    <n v="773700"/>
  </r>
  <r>
    <x v="5"/>
    <x v="13"/>
    <s v="Commonwealth Virtual Univ (Technology Support)"/>
    <s v=" "/>
    <m/>
    <x v="12"/>
    <m/>
    <m/>
    <n v="381800"/>
    <n v="171300"/>
    <m/>
    <m/>
    <m/>
    <m/>
    <n v="0"/>
    <m/>
    <m/>
    <n v="0"/>
    <n v="381800"/>
    <n v="171300"/>
    <m/>
    <m/>
    <m/>
    <m/>
    <n v="0"/>
    <m/>
    <m/>
    <n v="0"/>
    <m/>
    <m/>
    <m/>
    <m/>
    <m/>
    <m/>
    <n v="381800"/>
    <n v="171300"/>
  </r>
  <r>
    <x v="5"/>
    <x v="13"/>
    <s v="Adult Education Operations"/>
    <s v=" "/>
    <m/>
    <x v="12"/>
    <m/>
    <m/>
    <n v="856200"/>
    <n v="856200"/>
    <m/>
    <m/>
    <m/>
    <m/>
    <n v="0"/>
    <m/>
    <m/>
    <n v="0"/>
    <n v="856200"/>
    <n v="856200"/>
    <m/>
    <m/>
    <m/>
    <m/>
    <n v="0"/>
    <m/>
    <m/>
    <n v="0"/>
    <m/>
    <m/>
    <m/>
    <m/>
    <m/>
    <m/>
    <n v="856200"/>
    <n v="856200"/>
  </r>
  <r>
    <x v="5"/>
    <x v="13"/>
    <s v=" Adult Education and Literacy Funding Program"/>
    <s v=" "/>
    <m/>
    <x v="12"/>
    <m/>
    <m/>
    <n v="17551200"/>
    <n v="17551200"/>
    <m/>
    <m/>
    <m/>
    <m/>
    <n v="0"/>
    <m/>
    <m/>
    <n v="0"/>
    <n v="17551200"/>
    <n v="17551200"/>
    <m/>
    <m/>
    <m/>
    <m/>
    <n v="0"/>
    <m/>
    <m/>
    <n v="0"/>
    <m/>
    <m/>
    <m/>
    <m/>
    <m/>
    <m/>
    <n v="17551200"/>
    <n v="17551200"/>
  </r>
  <r>
    <x v="5"/>
    <x v="13"/>
    <s v="Science and Technology Trust Fund"/>
    <s v=" "/>
    <m/>
    <x v="12"/>
    <m/>
    <m/>
    <n v="0"/>
    <n v="0"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4"/>
    <s v="Statewide System Operations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5"/>
    <s v="Colleges and universities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5"/>
    <s v=" Ky Council on Postsecondary Education"/>
    <s v=" "/>
    <m/>
    <x v="12"/>
    <m/>
    <m/>
    <m/>
    <m/>
    <m/>
    <m/>
    <m/>
    <m/>
    <n v="0"/>
    <m/>
    <m/>
    <n v="0"/>
    <n v="0"/>
    <n v="0"/>
    <n v="5830700"/>
    <n v="4341100"/>
    <m/>
    <m/>
    <n v="0"/>
    <m/>
    <m/>
    <n v="0"/>
    <m/>
    <m/>
    <m/>
    <m/>
    <m/>
    <m/>
    <n v="5830700"/>
    <n v="4341100"/>
  </r>
  <r>
    <x v="5"/>
    <x v="16"/>
    <s v="Two-year system(s), if any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6"/>
    <s v="Ky Community and Technical College System operations"/>
    <s v=" "/>
    <m/>
    <x v="12"/>
    <m/>
    <m/>
    <m/>
    <m/>
    <m/>
    <m/>
    <m/>
    <m/>
    <n v="0"/>
    <m/>
    <m/>
    <n v="0"/>
    <n v="0"/>
    <n v="0"/>
    <n v="25423800"/>
    <n v="26011500"/>
    <m/>
    <m/>
    <n v="0"/>
    <m/>
    <m/>
    <n v="0"/>
    <m/>
    <m/>
    <m/>
    <m/>
    <m/>
    <m/>
    <n v="25423800"/>
    <n v="26011500"/>
  </r>
  <r>
    <x v="5"/>
    <x v="17"/>
    <s v="National or regional associations, compacts or consortia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7"/>
    <s v="SREB (General Operations + Small Grants)"/>
    <s v=" "/>
    <m/>
    <x v="12"/>
    <m/>
    <m/>
    <m/>
    <m/>
    <m/>
    <m/>
    <m/>
    <m/>
    <n v="0"/>
    <m/>
    <m/>
    <n v="0"/>
    <n v="0"/>
    <n v="0"/>
    <n v="200000"/>
    <n v="211600"/>
    <m/>
    <m/>
    <n v="0"/>
    <m/>
    <m/>
    <n v="0"/>
    <m/>
    <m/>
    <m/>
    <m/>
    <m/>
    <m/>
    <n v="200000"/>
    <n v="211600"/>
  </r>
  <r>
    <x v="5"/>
    <x v="13"/>
    <s v="SREB Doctoral Scholar Program"/>
    <s v=" "/>
    <m/>
    <x v="12"/>
    <m/>
    <m/>
    <n v="0"/>
    <n v="50000"/>
    <m/>
    <m/>
    <m/>
    <m/>
    <n v="0"/>
    <m/>
    <m/>
    <n v="0"/>
    <n v="0"/>
    <n v="50000"/>
    <m/>
    <m/>
    <m/>
    <m/>
    <n v="0"/>
    <m/>
    <m/>
    <n v="0"/>
    <m/>
    <m/>
    <m/>
    <m/>
    <m/>
    <m/>
    <n v="0"/>
    <n v="50000"/>
  </r>
  <r>
    <x v="5"/>
    <x v="18"/>
    <s v="Adm. of Statewide Student Aid Progs. (including centralized guaranteed student loans)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8"/>
    <s v="H. Ed. Asst. Authority (KHEAA)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19"/>
    <s v="State Support to Private Colleges Other Than Student Aid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9"/>
    <s v="Contract Education Programs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40"/>
    <s v="SREB contract program with private colleges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40"/>
    <s v="Tuskegee University (Veterinary Medicine)"/>
    <s v=" "/>
    <m/>
    <x v="12"/>
    <m/>
    <m/>
    <m/>
    <m/>
    <m/>
    <m/>
    <m/>
    <m/>
    <n v="0"/>
    <m/>
    <m/>
    <n v="0"/>
    <n v="0"/>
    <n v="0"/>
    <n v="372000"/>
    <n v="320000"/>
    <m/>
    <m/>
    <n v="0"/>
    <m/>
    <m/>
    <n v="0"/>
    <m/>
    <m/>
    <m/>
    <m/>
    <m/>
    <m/>
    <n v="372000"/>
    <n v="320000"/>
  </r>
  <r>
    <x v="5"/>
    <x v="40"/>
    <s v="Southern College of Optometry"/>
    <s v=" "/>
    <m/>
    <x v="12"/>
    <m/>
    <m/>
    <m/>
    <m/>
    <m/>
    <m/>
    <m/>
    <m/>
    <n v="0"/>
    <m/>
    <m/>
    <n v="0"/>
    <n v="0"/>
    <n v="0"/>
    <n v="249600"/>
    <n v="249600"/>
    <m/>
    <m/>
    <n v="0"/>
    <m/>
    <m/>
    <n v="0"/>
    <m/>
    <m/>
    <m/>
    <m/>
    <m/>
    <m/>
    <n v="249600"/>
    <n v="249600"/>
  </r>
  <r>
    <x v="5"/>
    <x v="41"/>
    <s v="SREB contract program with public colleges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41"/>
    <s v="Auburn University (Veterinary Medicine)"/>
    <s v=" "/>
    <m/>
    <x v="12"/>
    <m/>
    <m/>
    <m/>
    <m/>
    <m/>
    <m/>
    <m/>
    <m/>
    <n v="0"/>
    <m/>
    <m/>
    <n v="0"/>
    <n v="0"/>
    <n v="0"/>
    <n v="4712000"/>
    <n v="4832000"/>
    <m/>
    <m/>
    <n v="0"/>
    <m/>
    <m/>
    <n v="0"/>
    <m/>
    <m/>
    <m/>
    <m/>
    <m/>
    <m/>
    <n v="4712000"/>
    <n v="4832000"/>
  </r>
  <r>
    <x v="5"/>
    <x v="41"/>
    <s v="University of Alabama at Birmingham (Optometry)"/>
    <s v=" "/>
    <m/>
    <x v="12"/>
    <m/>
    <m/>
    <m/>
    <m/>
    <m/>
    <m/>
    <m/>
    <m/>
    <n v="0"/>
    <m/>
    <m/>
    <n v="0"/>
    <n v="0"/>
    <n v="0"/>
    <n v="96000"/>
    <n v="76800"/>
    <m/>
    <m/>
    <n v="0"/>
    <m/>
    <m/>
    <n v="0"/>
    <m/>
    <m/>
    <m/>
    <m/>
    <m/>
    <m/>
    <n v="96000"/>
    <n v="76800"/>
  </r>
  <r>
    <x v="5"/>
    <x v="20"/>
    <s v="Other contract education programs (University of Pikeville)"/>
    <s v=" "/>
    <m/>
    <x v="12"/>
    <m/>
    <m/>
    <m/>
    <m/>
    <m/>
    <m/>
    <m/>
    <m/>
    <n v="0"/>
    <m/>
    <m/>
    <n v="0"/>
    <n v="0"/>
    <n v="0"/>
    <n v="288000"/>
    <n v="288000"/>
    <m/>
    <m/>
    <n v="0"/>
    <m/>
    <m/>
    <n v="0"/>
    <m/>
    <m/>
    <m/>
    <m/>
    <m/>
    <m/>
    <n v="288000"/>
    <n v="288000"/>
  </r>
  <r>
    <x v="5"/>
    <x v="20"/>
    <s v="Other contract education programs (Indiana University)"/>
    <s v=" "/>
    <m/>
    <x v="12"/>
    <m/>
    <m/>
    <m/>
    <m/>
    <m/>
    <m/>
    <m/>
    <m/>
    <n v="0"/>
    <m/>
    <m/>
    <n v="0"/>
    <n v="0"/>
    <n v="0"/>
    <n v="143000"/>
    <n v="150424"/>
    <m/>
    <m/>
    <n v="0"/>
    <m/>
    <m/>
    <n v="0"/>
    <m/>
    <m/>
    <m/>
    <m/>
    <m/>
    <m/>
    <n v="143000"/>
    <n v="150424"/>
  </r>
  <r>
    <x v="5"/>
    <x v="21"/>
    <s v="Statewide Student Financial Aid Programs Administered Off Campus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2"/>
    <s v="Available to public &amp; private sector students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5"/>
    <s v="KEES Kentucky Educational Excellence Scholarship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5"/>
    <s v="Amount to public sector students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6"/>
    <s v="Need-based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7"/>
    <s v="Non need-based"/>
    <s v=" "/>
    <m/>
    <x v="12"/>
    <m/>
    <m/>
    <m/>
    <m/>
    <m/>
    <m/>
    <m/>
    <m/>
    <n v="0"/>
    <m/>
    <m/>
    <n v="0"/>
    <n v="0"/>
    <n v="0"/>
    <n v="97452700"/>
    <n v="96905400"/>
    <m/>
    <m/>
    <n v="0"/>
    <m/>
    <m/>
    <n v="0"/>
    <m/>
    <m/>
    <m/>
    <m/>
    <m/>
    <m/>
    <n v="97452700"/>
    <n v="96905400"/>
  </r>
  <r>
    <x v="5"/>
    <x v="28"/>
    <s v="Amount to private sector students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0"/>
    <s v="Need-based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9"/>
    <s v="Non need-based"/>
    <s v=" "/>
    <m/>
    <x v="12"/>
    <m/>
    <m/>
    <m/>
    <m/>
    <m/>
    <m/>
    <m/>
    <m/>
    <n v="0"/>
    <m/>
    <m/>
    <n v="0"/>
    <n v="0"/>
    <n v="0"/>
    <n v="21261900"/>
    <n v="21850000"/>
    <m/>
    <m/>
    <n v="0"/>
    <m/>
    <m/>
    <n v="0"/>
    <m/>
    <m/>
    <m/>
    <m/>
    <m/>
    <m/>
    <n v="21261900"/>
    <n v="21850000"/>
  </r>
  <r>
    <x v="5"/>
    <x v="22"/>
    <s v="College Access Program(CAP)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5"/>
    <s v="Amount to public sector students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6"/>
    <s v="Need-based"/>
    <s v=" "/>
    <m/>
    <x v="12"/>
    <m/>
    <m/>
    <m/>
    <m/>
    <m/>
    <m/>
    <m/>
    <m/>
    <n v="0"/>
    <m/>
    <m/>
    <n v="0"/>
    <n v="0"/>
    <n v="0"/>
    <n v="73030000"/>
    <n v="69257700"/>
    <m/>
    <m/>
    <n v="0"/>
    <m/>
    <m/>
    <n v="0"/>
    <m/>
    <m/>
    <m/>
    <m/>
    <m/>
    <m/>
    <n v="73030000"/>
    <n v="69257700"/>
  </r>
  <r>
    <x v="5"/>
    <x v="27"/>
    <s v="Non need-based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28"/>
    <s v="Amount to private sector students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0"/>
    <s v="Need-based"/>
    <s v=" "/>
    <m/>
    <x v="12"/>
    <m/>
    <m/>
    <m/>
    <m/>
    <m/>
    <m/>
    <m/>
    <m/>
    <n v="0"/>
    <m/>
    <m/>
    <n v="0"/>
    <n v="0"/>
    <n v="0"/>
    <n v="18516400"/>
    <n v="20541500"/>
    <m/>
    <m/>
    <n v="0"/>
    <m/>
    <m/>
    <n v="0"/>
    <m/>
    <m/>
    <m/>
    <m/>
    <m/>
    <m/>
    <n v="18516400"/>
    <n v="20541500"/>
  </r>
  <r>
    <x v="5"/>
    <x v="29"/>
    <s v="Non need-based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1"/>
    <s v="Limited to public college students only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4"/>
    <s v="Limited to private college students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4"/>
    <s v="Kentucky Tuition Grant (KTG)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5"/>
    <s v="Need-based"/>
    <s v=" "/>
    <m/>
    <x v="12"/>
    <m/>
    <m/>
    <m/>
    <m/>
    <m/>
    <m/>
    <m/>
    <m/>
    <n v="0"/>
    <m/>
    <m/>
    <n v="0"/>
    <n v="0"/>
    <n v="0"/>
    <n v="35685100"/>
    <n v="35511000"/>
    <m/>
    <m/>
    <n v="0"/>
    <m/>
    <m/>
    <n v="0"/>
    <m/>
    <m/>
    <m/>
    <m/>
    <m/>
    <m/>
    <n v="35685100"/>
    <n v="35511000"/>
  </r>
  <r>
    <x v="5"/>
    <x v="36"/>
    <s v="Non need-based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4"/>
    <s v="Pikeville College Osteopathic Medicine Scholarship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5"/>
    <s v="Need-based"/>
    <s v=" 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5"/>
    <x v="36"/>
    <s v="Non need-based"/>
    <s v=" "/>
    <m/>
    <x v="12"/>
    <m/>
    <m/>
    <m/>
    <m/>
    <m/>
    <m/>
    <m/>
    <m/>
    <n v="0"/>
    <m/>
    <m/>
    <n v="0"/>
    <n v="0"/>
    <n v="0"/>
    <n v="210265"/>
    <n v="219404"/>
    <m/>
    <m/>
    <n v="0"/>
    <m/>
    <m/>
    <n v="0"/>
    <m/>
    <m/>
    <m/>
    <m/>
    <m/>
    <m/>
    <n v="210265"/>
    <n v="219404"/>
  </r>
  <r>
    <x v="6"/>
    <x v="0"/>
    <s v="Louisiana State University and A &amp; M College"/>
    <m/>
    <n v="159391"/>
    <x v="0"/>
    <n v="125224723"/>
    <n v="115694350"/>
    <m/>
    <m/>
    <m/>
    <m/>
    <n v="401082711"/>
    <m/>
    <n v="401082711"/>
    <n v="413220777"/>
    <m/>
    <n v="413220777"/>
    <n v="526307434"/>
    <n v="528915127"/>
    <m/>
    <m/>
    <m/>
    <m/>
    <n v="0"/>
    <m/>
    <m/>
    <n v="0"/>
    <m/>
    <m/>
    <m/>
    <m/>
    <m/>
    <m/>
    <n v="526307434"/>
    <n v="528915127"/>
  </r>
  <r>
    <x v="6"/>
    <x v="12"/>
    <s v="Special line items for education operations"/>
    <m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2"/>
    <s v="Paul M. Hebert Law Center"/>
    <m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"/>
    <s v="Health professions education"/>
    <m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"/>
    <s v="Vet School"/>
    <m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5"/>
    <s v="Agricultural Center"/>
    <m/>
    <n v="15939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5"/>
    <s v="Agricultural cooperative extension"/>
    <m/>
    <n v="159391"/>
    <x v="0"/>
    <m/>
    <m/>
    <n v="26140323"/>
    <n v="26996954"/>
    <m/>
    <m/>
    <m/>
    <m/>
    <n v="0"/>
    <m/>
    <m/>
    <n v="0"/>
    <n v="26140323"/>
    <n v="26996954"/>
    <m/>
    <m/>
    <m/>
    <m/>
    <n v="0"/>
    <m/>
    <m/>
    <n v="0"/>
    <m/>
    <m/>
    <m/>
    <m/>
    <m/>
    <m/>
    <n v="26140323"/>
    <n v="26996954"/>
  </r>
  <r>
    <x v="6"/>
    <x v="6"/>
    <s v="Agricultural experiment stations"/>
    <m/>
    <n v="159391"/>
    <x v="0"/>
    <m/>
    <m/>
    <n v="32826906"/>
    <n v="37860100"/>
    <m/>
    <m/>
    <m/>
    <m/>
    <n v="0"/>
    <m/>
    <m/>
    <n v="0"/>
    <n v="32826906"/>
    <n v="37860100"/>
    <m/>
    <m/>
    <m/>
    <m/>
    <n v="0"/>
    <m/>
    <m/>
    <n v="0"/>
    <m/>
    <m/>
    <m/>
    <m/>
    <m/>
    <m/>
    <n v="32826906"/>
    <n v="37860100"/>
  </r>
  <r>
    <x v="6"/>
    <x v="5"/>
    <s v="Administration"/>
    <m/>
    <n v="159391"/>
    <x v="0"/>
    <m/>
    <m/>
    <n v="11996081"/>
    <n v="13559310"/>
    <m/>
    <m/>
    <m/>
    <m/>
    <n v="0"/>
    <m/>
    <m/>
    <n v="0"/>
    <n v="11996081"/>
    <n v="13559310"/>
    <m/>
    <m/>
    <m/>
    <m/>
    <n v="0"/>
    <m/>
    <m/>
    <n v="0"/>
    <m/>
    <m/>
    <m/>
    <m/>
    <m/>
    <m/>
    <n v="11996081"/>
    <n v="13559310"/>
  </r>
  <r>
    <x v="6"/>
    <x v="0"/>
    <s v="Louisiana Tech University "/>
    <m/>
    <n v="159647"/>
    <x v="1"/>
    <n v="29557479"/>
    <n v="22314221"/>
    <m/>
    <m/>
    <m/>
    <m/>
    <n v="95728100"/>
    <m/>
    <n v="95728100"/>
    <n v="92054000"/>
    <m/>
    <n v="92054000"/>
    <n v="125285579"/>
    <n v="114368221"/>
    <m/>
    <m/>
    <m/>
    <m/>
    <n v="0"/>
    <m/>
    <m/>
    <n v="0"/>
    <m/>
    <m/>
    <m/>
    <m/>
    <m/>
    <m/>
    <n v="125285579"/>
    <n v="114368221"/>
  </r>
  <r>
    <x v="6"/>
    <x v="0"/>
    <s v="University of Louisiana at Lafayette"/>
    <m/>
    <n v="160658"/>
    <x v="1"/>
    <n v="50026162"/>
    <n v="40902381"/>
    <m/>
    <m/>
    <m/>
    <m/>
    <n v="129741536"/>
    <m/>
    <n v="129741536"/>
    <n v="127922425"/>
    <m/>
    <n v="127922425"/>
    <n v="179767698"/>
    <n v="168824806"/>
    <m/>
    <m/>
    <m/>
    <m/>
    <n v="0"/>
    <m/>
    <m/>
    <n v="0"/>
    <m/>
    <m/>
    <m/>
    <m/>
    <m/>
    <m/>
    <n v="179767698"/>
    <n v="168824806"/>
  </r>
  <r>
    <x v="6"/>
    <x v="0"/>
    <s v="University of New Orleans"/>
    <m/>
    <n v="159939"/>
    <x v="1"/>
    <n v="27547758"/>
    <n v="18240668"/>
    <m/>
    <m/>
    <m/>
    <m/>
    <n v="62522445"/>
    <m/>
    <n v="62522445"/>
    <n v="60979257"/>
    <m/>
    <n v="60979257"/>
    <n v="90070203"/>
    <n v="79219925"/>
    <m/>
    <m/>
    <m/>
    <m/>
    <n v="0"/>
    <m/>
    <m/>
    <n v="0"/>
    <m/>
    <m/>
    <m/>
    <m/>
    <m/>
    <m/>
    <n v="90070203"/>
    <n v="79219925"/>
  </r>
  <r>
    <x v="6"/>
    <x v="0"/>
    <s v="McNeese State University"/>
    <m/>
    <n v="159717"/>
    <x v="2"/>
    <n v="19959570"/>
    <n v="14642745"/>
    <m/>
    <m/>
    <m/>
    <m/>
    <n v="50778710"/>
    <m/>
    <n v="50778710"/>
    <n v="52203706"/>
    <m/>
    <n v="52203706"/>
    <n v="70738280"/>
    <n v="66846451"/>
    <m/>
    <m/>
    <m/>
    <m/>
    <n v="0"/>
    <m/>
    <m/>
    <n v="0"/>
    <m/>
    <m/>
    <m/>
    <m/>
    <m/>
    <m/>
    <n v="70738280"/>
    <n v="66846451"/>
  </r>
  <r>
    <x v="6"/>
    <x v="0"/>
    <s v="Southeastern Louisiana University "/>
    <m/>
    <n v="160612"/>
    <x v="2"/>
    <n v="29811449"/>
    <n v="23826675"/>
    <m/>
    <m/>
    <m/>
    <m/>
    <n v="91170055"/>
    <m/>
    <n v="91170055"/>
    <n v="92594788"/>
    <m/>
    <n v="92594788"/>
    <n v="120981504"/>
    <n v="116421463"/>
    <m/>
    <m/>
    <m/>
    <m/>
    <n v="0"/>
    <m/>
    <m/>
    <n v="0"/>
    <m/>
    <m/>
    <m/>
    <m/>
    <m/>
    <m/>
    <n v="120981504"/>
    <n v="116421463"/>
  </r>
  <r>
    <x v="6"/>
    <x v="0"/>
    <s v="Southern University and A&amp;M College at Baton Rouge "/>
    <m/>
    <n v="160621"/>
    <x v="2"/>
    <n v="21291565"/>
    <n v="18868973"/>
    <m/>
    <m/>
    <m/>
    <m/>
    <n v="54410802"/>
    <m/>
    <n v="54410802"/>
    <n v="59971734"/>
    <m/>
    <n v="59971734"/>
    <n v="75702367"/>
    <n v="78840707"/>
    <m/>
    <m/>
    <m/>
    <m/>
    <n v="0"/>
    <m/>
    <m/>
    <n v="0"/>
    <m/>
    <m/>
    <m/>
    <m/>
    <m/>
    <m/>
    <n v="75702367"/>
    <n v="78840707"/>
  </r>
  <r>
    <x v="6"/>
    <x v="5"/>
    <s v="Agricultural Center"/>
    <m/>
    <n v="160621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5"/>
    <s v="Agriculture Center"/>
    <m/>
    <n v="160621"/>
    <x v="2"/>
    <m/>
    <m/>
    <n v="5797292"/>
    <n v="6711927"/>
    <m/>
    <m/>
    <m/>
    <m/>
    <n v="0"/>
    <m/>
    <m/>
    <n v="0"/>
    <n v="5797292"/>
    <n v="6711927"/>
    <m/>
    <m/>
    <m/>
    <m/>
    <n v="0"/>
    <m/>
    <m/>
    <n v="0"/>
    <m/>
    <m/>
    <m/>
    <m/>
    <m/>
    <m/>
    <n v="5797292"/>
    <n v="6711927"/>
  </r>
  <r>
    <x v="6"/>
    <x v="0"/>
    <s v="University of Louisiana at Monroe"/>
    <m/>
    <n v="159993"/>
    <x v="2"/>
    <n v="31592781"/>
    <n v="23466990"/>
    <m/>
    <m/>
    <m/>
    <m/>
    <n v="66490910"/>
    <m/>
    <n v="66490910"/>
    <n v="65888844"/>
    <m/>
    <n v="65888844"/>
    <n v="98083691"/>
    <n v="89355834"/>
    <m/>
    <m/>
    <m/>
    <m/>
    <n v="0"/>
    <m/>
    <m/>
    <n v="0"/>
    <m/>
    <m/>
    <m/>
    <m/>
    <m/>
    <m/>
    <n v="98083691"/>
    <n v="89355834"/>
  </r>
  <r>
    <x v="6"/>
    <x v="0"/>
    <s v="Grambling State University"/>
    <m/>
    <n v="159009"/>
    <x v="3"/>
    <n v="15092911"/>
    <n v="11536171"/>
    <m/>
    <m/>
    <m/>
    <m/>
    <n v="35057011"/>
    <m/>
    <n v="35057011"/>
    <n v="35105511"/>
    <m/>
    <n v="35105511"/>
    <n v="50149922"/>
    <n v="46641682"/>
    <m/>
    <m/>
    <m/>
    <m/>
    <n v="0"/>
    <m/>
    <m/>
    <n v="0"/>
    <m/>
    <m/>
    <m/>
    <m/>
    <m/>
    <m/>
    <n v="50149922"/>
    <n v="46641682"/>
  </r>
  <r>
    <x v="6"/>
    <x v="0"/>
    <s v="Louisiana State University in Shreveport"/>
    <m/>
    <n v="159416"/>
    <x v="3"/>
    <n v="9660395"/>
    <n v="8562308"/>
    <m/>
    <m/>
    <m/>
    <m/>
    <n v="50384747"/>
    <m/>
    <n v="50384747"/>
    <n v="52594397"/>
    <m/>
    <n v="52594397"/>
    <n v="60045142"/>
    <n v="61156705"/>
    <m/>
    <m/>
    <m/>
    <m/>
    <n v="0"/>
    <m/>
    <m/>
    <n v="0"/>
    <m/>
    <m/>
    <m/>
    <m/>
    <m/>
    <m/>
    <n v="60045142"/>
    <n v="61156705"/>
  </r>
  <r>
    <x v="6"/>
    <x v="0"/>
    <s v="Nicholls State University "/>
    <m/>
    <n v="159966"/>
    <x v="3"/>
    <n v="15355859"/>
    <n v="11900620"/>
    <m/>
    <m/>
    <m/>
    <m/>
    <n v="41262700"/>
    <m/>
    <n v="41262700"/>
    <n v="41529761"/>
    <m/>
    <n v="41529761"/>
    <n v="56618559"/>
    <n v="53430381"/>
    <m/>
    <m/>
    <m/>
    <m/>
    <n v="0"/>
    <m/>
    <m/>
    <n v="0"/>
    <m/>
    <m/>
    <m/>
    <m/>
    <m/>
    <m/>
    <n v="56618559"/>
    <n v="53430381"/>
  </r>
  <r>
    <x v="6"/>
    <x v="0"/>
    <s v="Northwestern State University"/>
    <m/>
    <n v="160038"/>
    <x v="3"/>
    <n v="21891835"/>
    <n v="17595530"/>
    <m/>
    <m/>
    <m/>
    <m/>
    <n v="60936131"/>
    <m/>
    <n v="60936131"/>
    <n v="61007813"/>
    <m/>
    <n v="61007813"/>
    <n v="82827966"/>
    <n v="78603343"/>
    <m/>
    <m/>
    <m/>
    <m/>
    <n v="0"/>
    <m/>
    <m/>
    <n v="0"/>
    <m/>
    <m/>
    <m/>
    <m/>
    <m/>
    <m/>
    <n v="82827966"/>
    <n v="78603343"/>
  </r>
  <r>
    <x v="6"/>
    <x v="0"/>
    <s v="Southern University at New Orleans"/>
    <m/>
    <n v="160630"/>
    <x v="4"/>
    <n v="9718803"/>
    <n v="8661520"/>
    <m/>
    <m/>
    <m/>
    <m/>
    <n v="14936578"/>
    <m/>
    <n v="14936578"/>
    <n v="14947545.43"/>
    <m/>
    <n v="14947545.43"/>
    <n v="24655381"/>
    <n v="23609065.43"/>
    <m/>
    <m/>
    <m/>
    <m/>
    <n v="0"/>
    <m/>
    <m/>
    <n v="0"/>
    <m/>
    <m/>
    <m/>
    <m/>
    <m/>
    <m/>
    <n v="24655381"/>
    <n v="23609065.43"/>
  </r>
  <r>
    <x v="6"/>
    <x v="0"/>
    <s v="Louisiana State University at Alexandria"/>
    <m/>
    <n v="159382"/>
    <x v="5"/>
    <n v="5367560"/>
    <n v="2693020"/>
    <m/>
    <m/>
    <m/>
    <m/>
    <n v="18374127"/>
    <m/>
    <n v="18374127"/>
    <n v="17224127"/>
    <m/>
    <n v="17224127"/>
    <n v="23741687"/>
    <n v="19917147"/>
    <m/>
    <m/>
    <m/>
    <m/>
    <n v="0"/>
    <m/>
    <m/>
    <n v="0"/>
    <m/>
    <m/>
    <m/>
    <m/>
    <m/>
    <m/>
    <n v="23741687"/>
    <n v="19917147"/>
  </r>
  <r>
    <x v="6"/>
    <x v="0"/>
    <s v="Baton Rouge Community College"/>
    <m/>
    <n v="437103"/>
    <x v="6"/>
    <n v="15301614"/>
    <n v="13191699"/>
    <m/>
    <m/>
    <m/>
    <m/>
    <n v="22281875"/>
    <m/>
    <n v="22281875"/>
    <n v="22281875"/>
    <m/>
    <n v="22281875"/>
    <n v="37583489"/>
    <n v="35473574"/>
    <m/>
    <m/>
    <m/>
    <m/>
    <n v="0"/>
    <m/>
    <m/>
    <n v="0"/>
    <m/>
    <m/>
    <m/>
    <m/>
    <m/>
    <m/>
    <n v="37583489"/>
    <n v="35473574"/>
  </r>
  <r>
    <x v="6"/>
    <x v="0"/>
    <s v="Delgado Community College "/>
    <m/>
    <n v="158662"/>
    <x v="6"/>
    <n v="27227169"/>
    <n v="22146903"/>
    <m/>
    <m/>
    <m/>
    <m/>
    <n v="48964679.710000001"/>
    <m/>
    <n v="48964679.710000001"/>
    <n v="48975033"/>
    <m/>
    <n v="48975033"/>
    <n v="76191848.710000008"/>
    <n v="71121936"/>
    <m/>
    <m/>
    <m/>
    <m/>
    <n v="0"/>
    <m/>
    <m/>
    <n v="0"/>
    <m/>
    <m/>
    <m/>
    <m/>
    <m/>
    <m/>
    <n v="76191848.710000008"/>
    <n v="71121936"/>
  </r>
  <r>
    <x v="6"/>
    <x v="0"/>
    <s v="Bossier Parish Community College"/>
    <s v="Reclassified: Met the criteria for Two-Year 2 in 2017-18, 2018-19, and 2019-20."/>
    <n v="158431"/>
    <x v="7"/>
    <n v="11503866"/>
    <n v="8946865"/>
    <m/>
    <m/>
    <m/>
    <m/>
    <n v="21500000"/>
    <m/>
    <n v="21500000"/>
    <n v="21500000"/>
    <m/>
    <n v="21500000"/>
    <n v="33003866"/>
    <n v="30446865"/>
    <m/>
    <m/>
    <m/>
    <m/>
    <n v="0"/>
    <m/>
    <m/>
    <n v="0"/>
    <m/>
    <m/>
    <m/>
    <m/>
    <m/>
    <m/>
    <n v="33003866"/>
    <n v="30446865"/>
  </r>
  <r>
    <x v="6"/>
    <x v="0"/>
    <s v="Louisiana Delta Community College"/>
    <m/>
    <n v="483212"/>
    <x v="7"/>
    <n v="8517834"/>
    <n v="6931931"/>
    <m/>
    <m/>
    <m/>
    <m/>
    <n v="10348082"/>
    <m/>
    <n v="10348082"/>
    <n v="10555999.800000001"/>
    <m/>
    <n v="10555999.800000001"/>
    <n v="18865916"/>
    <n v="17487930.800000001"/>
    <m/>
    <m/>
    <m/>
    <m/>
    <n v="0"/>
    <m/>
    <m/>
    <n v="0"/>
    <m/>
    <m/>
    <m/>
    <m/>
    <m/>
    <m/>
    <n v="18865916"/>
    <n v="17487930.800000001"/>
  </r>
  <r>
    <x v="6"/>
    <x v="0"/>
    <s v="South Louisiana Community College"/>
    <m/>
    <n v="434061"/>
    <x v="7"/>
    <n v="14704142"/>
    <n v="12198491"/>
    <m/>
    <m/>
    <m/>
    <m/>
    <n v="18250000"/>
    <m/>
    <n v="18250000"/>
    <n v="18250000"/>
    <m/>
    <n v="18250000"/>
    <n v="32954142"/>
    <n v="30448491"/>
    <m/>
    <m/>
    <m/>
    <m/>
    <n v="0"/>
    <m/>
    <m/>
    <n v="0"/>
    <m/>
    <m/>
    <m/>
    <m/>
    <m/>
    <m/>
    <n v="32954142"/>
    <n v="30448491"/>
  </r>
  <r>
    <x v="6"/>
    <x v="0"/>
    <s v="Southern University in Shreveport"/>
    <m/>
    <n v="160649"/>
    <x v="7"/>
    <n v="5881656"/>
    <n v="5120557"/>
    <m/>
    <m/>
    <m/>
    <m/>
    <n v="9202076"/>
    <m/>
    <n v="9202076"/>
    <n v="9202076"/>
    <m/>
    <n v="9202076"/>
    <n v="15083732"/>
    <n v="14322633"/>
    <m/>
    <m/>
    <m/>
    <m/>
    <n v="0"/>
    <m/>
    <m/>
    <n v="0"/>
    <m/>
    <m/>
    <m/>
    <m/>
    <m/>
    <m/>
    <n v="15083732"/>
    <n v="14322633"/>
  </r>
  <r>
    <x v="6"/>
    <x v="0"/>
    <s v="Louisiana State University at Eunice"/>
    <s v="Reclassified: Met the criteria for Two-Year 2 in 2018-19, 2019-20, and 2020-21."/>
    <n v="159407"/>
    <x v="7"/>
    <n v="5063368"/>
    <n v="1915114"/>
    <m/>
    <m/>
    <m/>
    <m/>
    <n v="10567383"/>
    <m/>
    <n v="10567383"/>
    <n v="10567383"/>
    <m/>
    <n v="10567383"/>
    <n v="15630751"/>
    <n v="12482497"/>
    <m/>
    <m/>
    <m/>
    <m/>
    <n v="0"/>
    <m/>
    <m/>
    <n v="0"/>
    <m/>
    <m/>
    <m/>
    <m/>
    <m/>
    <m/>
    <n v="15630751"/>
    <n v="12482497"/>
  </r>
  <r>
    <x v="6"/>
    <x v="0"/>
    <s v="Nunez Community College"/>
    <m/>
    <n v="158884"/>
    <x v="8"/>
    <n v="4237970"/>
    <n v="3478591"/>
    <m/>
    <m/>
    <m/>
    <m/>
    <n v="6095000"/>
    <m/>
    <n v="6095000"/>
    <n v="6135050"/>
    <m/>
    <n v="6135050"/>
    <n v="10332970"/>
    <n v="9613641"/>
    <m/>
    <m/>
    <m/>
    <m/>
    <n v="0"/>
    <m/>
    <m/>
    <n v="0"/>
    <m/>
    <m/>
    <m/>
    <m/>
    <m/>
    <m/>
    <n v="10332970"/>
    <n v="9613641"/>
  </r>
  <r>
    <x v="6"/>
    <x v="0"/>
    <s v="River Parishes Community College"/>
    <s v="Met the criteria for Two-Year 2 in 2018-19 and 2019-20."/>
    <n v="436304"/>
    <x v="8"/>
    <n v="6140111"/>
    <n v="5069902"/>
    <m/>
    <m/>
    <m/>
    <m/>
    <n v="8455000"/>
    <m/>
    <n v="8455000"/>
    <n v="9363000"/>
    <m/>
    <n v="9363000"/>
    <n v="14595111"/>
    <n v="14432902"/>
    <m/>
    <m/>
    <m/>
    <m/>
    <n v="0"/>
    <m/>
    <m/>
    <n v="0"/>
    <m/>
    <m/>
    <m/>
    <m/>
    <m/>
    <m/>
    <n v="14595111"/>
    <n v="14432902"/>
  </r>
  <r>
    <x v="6"/>
    <x v="0"/>
    <s v="Central LA Technical Community College"/>
    <m/>
    <n v="158088"/>
    <x v="9"/>
    <n v="5740437"/>
    <n v="5101469"/>
    <m/>
    <m/>
    <m/>
    <m/>
    <n v="5344000"/>
    <m/>
    <n v="5344000"/>
    <n v="5344000"/>
    <m/>
    <n v="5344000"/>
    <n v="11084437"/>
    <n v="10445469"/>
    <m/>
    <m/>
    <m/>
    <m/>
    <n v="0"/>
    <m/>
    <m/>
    <n v="0"/>
    <m/>
    <m/>
    <m/>
    <m/>
    <m/>
    <m/>
    <n v="11084437"/>
    <n v="10445469"/>
  </r>
  <r>
    <x v="6"/>
    <x v="0"/>
    <s v="L.E. Fletcher Technical Community College"/>
    <m/>
    <n v="160481"/>
    <x v="9"/>
    <n v="4875963"/>
    <n v="4076775"/>
    <m/>
    <m/>
    <m/>
    <m/>
    <n v="6732000"/>
    <m/>
    <n v="6732000"/>
    <n v="7415000"/>
    <m/>
    <n v="7415000"/>
    <n v="11607963"/>
    <n v="11491775"/>
    <m/>
    <m/>
    <m/>
    <m/>
    <n v="0"/>
    <m/>
    <m/>
    <n v="0"/>
    <m/>
    <m/>
    <m/>
    <m/>
    <m/>
    <m/>
    <n v="11607963"/>
    <n v="11491775"/>
  </r>
  <r>
    <x v="6"/>
    <x v="0"/>
    <s v="Northshore Technical College"/>
    <m/>
    <n v="160667"/>
    <x v="9"/>
    <n v="6539299"/>
    <n v="5478256"/>
    <m/>
    <m/>
    <m/>
    <m/>
    <n v="9789984"/>
    <m/>
    <n v="9789984"/>
    <n v="9790000"/>
    <m/>
    <n v="9790000"/>
    <n v="16329283"/>
    <n v="15268256"/>
    <m/>
    <m/>
    <m/>
    <m/>
    <n v="0"/>
    <m/>
    <m/>
    <n v="0"/>
    <m/>
    <m/>
    <m/>
    <m/>
    <m/>
    <m/>
    <n v="16329283"/>
    <n v="15268256"/>
  </r>
  <r>
    <x v="6"/>
    <x v="0"/>
    <s v="Sowela Technical Community College"/>
    <m/>
    <n v="160579"/>
    <x v="9"/>
    <n v="10120975"/>
    <n v="8884204"/>
    <m/>
    <m/>
    <m/>
    <m/>
    <n v="10246000"/>
    <m/>
    <n v="10246000"/>
    <n v="10324000"/>
    <m/>
    <n v="10324000"/>
    <n v="20366975"/>
    <n v="19208204"/>
    <m/>
    <m/>
    <m/>
    <m/>
    <n v="0"/>
    <m/>
    <m/>
    <n v="0"/>
    <m/>
    <m/>
    <m/>
    <m/>
    <m/>
    <m/>
    <n v="20366975"/>
    <n v="19208204"/>
  </r>
  <r>
    <x v="6"/>
    <x v="0"/>
    <s v="Northwest LA Technical College"/>
    <s v="Reclassified: Met the criteria for Technical Institute or College 2 in 2017-18, 2018-19, and 2019-20."/>
    <n v="160010"/>
    <x v="10"/>
    <n v="4488076"/>
    <n v="3512971"/>
    <m/>
    <m/>
    <m/>
    <m/>
    <n v="2680000"/>
    <m/>
    <n v="2680000"/>
    <n v="2793000"/>
    <m/>
    <n v="2793000"/>
    <n v="7168076"/>
    <n v="6305971"/>
    <m/>
    <m/>
    <m/>
    <m/>
    <n v="0"/>
    <m/>
    <m/>
    <n v="0"/>
    <m/>
    <m/>
    <m/>
    <m/>
    <m/>
    <m/>
    <n v="7168076"/>
    <n v="6305971"/>
  </r>
  <r>
    <x v="6"/>
    <x v="38"/>
    <s v="Louisiana State University Health Sciences Center—New Orleans"/>
    <m/>
    <n v="159373"/>
    <x v="11"/>
    <m/>
    <m/>
    <m/>
    <m/>
    <m/>
    <m/>
    <m/>
    <m/>
    <n v="0"/>
    <m/>
    <m/>
    <n v="0"/>
    <n v="0"/>
    <n v="0"/>
    <m/>
    <m/>
    <m/>
    <m/>
    <n v="0"/>
    <m/>
    <m/>
    <n v="0"/>
    <n v="83130919"/>
    <n v="74839417"/>
    <n v="63096782"/>
    <m/>
    <n v="65582993"/>
    <m/>
    <n v="146227701"/>
    <n v="140422410"/>
  </r>
  <r>
    <x v="6"/>
    <x v="38"/>
    <s v="Louisiana State University Health Sciences Center — Shreveport"/>
    <m/>
    <n v="435000"/>
    <x v="11"/>
    <m/>
    <m/>
    <m/>
    <m/>
    <m/>
    <m/>
    <m/>
    <m/>
    <n v="0"/>
    <m/>
    <m/>
    <n v="0"/>
    <n v="0"/>
    <n v="0"/>
    <m/>
    <m/>
    <m/>
    <m/>
    <n v="0"/>
    <m/>
    <m/>
    <n v="0"/>
    <n v="65674647"/>
    <n v="58159811"/>
    <n v="22659079"/>
    <m/>
    <n v="23636590"/>
    <m/>
    <n v="88333726"/>
    <n v="81796401"/>
  </r>
  <r>
    <x v="6"/>
    <x v="0"/>
    <s v="Southern University Law Center"/>
    <m/>
    <n v="440916"/>
    <x v="11"/>
    <n v="4477653"/>
    <n v="3908258"/>
    <m/>
    <m/>
    <m/>
    <m/>
    <n v="13529672"/>
    <m/>
    <n v="13529672"/>
    <n v="13967744"/>
    <m/>
    <n v="13967744"/>
    <n v="18007325"/>
    <n v="17876002"/>
    <m/>
    <m/>
    <m/>
    <m/>
    <n v="0"/>
    <m/>
    <m/>
    <n v="0"/>
    <m/>
    <m/>
    <m/>
    <m/>
    <m/>
    <m/>
    <n v="18007325"/>
    <n v="17876002"/>
  </r>
  <r>
    <x v="6"/>
    <x v="10"/>
    <s v="Statewide Special-Purpos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44"/>
    <s v="Community or public servic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44"/>
    <s v="Center for Innovative Teaching and Learning (CITAL)"/>
    <m/>
    <m/>
    <x v="12"/>
    <m/>
    <m/>
    <n v="532721"/>
    <n v="216362"/>
    <m/>
    <m/>
    <m/>
    <m/>
    <n v="0"/>
    <m/>
    <m/>
    <n v="0"/>
    <n v="532721"/>
    <n v="216362"/>
    <m/>
    <m/>
    <m/>
    <m/>
    <n v="0"/>
    <m/>
    <m/>
    <n v="0"/>
    <m/>
    <m/>
    <m/>
    <m/>
    <m/>
    <m/>
    <n v="532721"/>
    <n v="216362"/>
  </r>
  <r>
    <x v="6"/>
    <x v="11"/>
    <s v="LA Universities' Marine Consortium"/>
    <m/>
    <m/>
    <x v="12"/>
    <m/>
    <m/>
    <n v="2316528"/>
    <n v="3963279"/>
    <m/>
    <m/>
    <m/>
    <m/>
    <n v="0"/>
    <m/>
    <m/>
    <n v="0"/>
    <n v="2316528"/>
    <n v="3963279"/>
    <m/>
    <m/>
    <m/>
    <m/>
    <n v="0"/>
    <m/>
    <m/>
    <n v="0"/>
    <m/>
    <m/>
    <m/>
    <m/>
    <m/>
    <m/>
    <n v="2316528"/>
    <n v="3963279"/>
  </r>
  <r>
    <x v="6"/>
    <x v="11"/>
    <s v="Pennington Biomedical Research Center"/>
    <m/>
    <m/>
    <x v="12"/>
    <m/>
    <m/>
    <n v="17409495"/>
    <n v="17891205"/>
    <m/>
    <m/>
    <m/>
    <m/>
    <n v="0"/>
    <m/>
    <m/>
    <n v="0"/>
    <n v="17409495"/>
    <n v="17891205"/>
    <m/>
    <m/>
    <m/>
    <m/>
    <n v="0"/>
    <m/>
    <m/>
    <n v="0"/>
    <m/>
    <m/>
    <m/>
    <m/>
    <m/>
    <m/>
    <n v="17409495"/>
    <n v="17891205"/>
  </r>
  <r>
    <x v="6"/>
    <x v="13"/>
    <s v="Education special purpose funds —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3"/>
    <s v="Health Care WorkForce"/>
    <m/>
    <m/>
    <x v="12"/>
    <m/>
    <m/>
    <n v="2600000"/>
    <n v="100000"/>
    <m/>
    <m/>
    <m/>
    <m/>
    <n v="0"/>
    <m/>
    <m/>
    <n v="0"/>
    <n v="2600000"/>
    <n v="100000"/>
    <m/>
    <m/>
    <m/>
    <m/>
    <n v="0"/>
    <m/>
    <m/>
    <n v="0"/>
    <m/>
    <m/>
    <m/>
    <m/>
    <m/>
    <m/>
    <n v="2600000"/>
    <n v="100000"/>
  </r>
  <r>
    <x v="6"/>
    <x v="13"/>
    <s v="Distance learning"/>
    <m/>
    <m/>
    <x v="12"/>
    <m/>
    <m/>
    <n v="93470"/>
    <n v="0"/>
    <m/>
    <m/>
    <m/>
    <m/>
    <n v="0"/>
    <m/>
    <m/>
    <n v="0"/>
    <n v="93470"/>
    <n v="0"/>
    <m/>
    <m/>
    <m/>
    <m/>
    <n v="0"/>
    <m/>
    <m/>
    <n v="0"/>
    <m/>
    <m/>
    <m/>
    <m/>
    <m/>
    <m/>
    <n v="93470"/>
    <n v="0"/>
  </r>
  <r>
    <x v="6"/>
    <x v="13"/>
    <s v="LA Online Library Network (LOUIS)"/>
    <m/>
    <m/>
    <x v="12"/>
    <m/>
    <m/>
    <n v="750000"/>
    <n v="0"/>
    <m/>
    <m/>
    <m/>
    <m/>
    <n v="0"/>
    <m/>
    <m/>
    <n v="0"/>
    <n v="750000"/>
    <n v="0"/>
    <m/>
    <m/>
    <m/>
    <m/>
    <n v="0"/>
    <m/>
    <m/>
    <n v="0"/>
    <m/>
    <m/>
    <m/>
    <m/>
    <m/>
    <m/>
    <n v="750000"/>
    <n v="0"/>
  </r>
  <r>
    <x v="6"/>
    <x v="13"/>
    <s v="LA Endowment for the Human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3"/>
    <s v="Endowed Chairs/Professorships"/>
    <m/>
    <m/>
    <x v="12"/>
    <m/>
    <m/>
    <n v="3200000"/>
    <n v="4000000"/>
    <m/>
    <m/>
    <m/>
    <m/>
    <n v="0"/>
    <m/>
    <m/>
    <n v="0"/>
    <n v="3200000"/>
    <n v="4000000"/>
    <m/>
    <m/>
    <m/>
    <m/>
    <n v="0"/>
    <m/>
    <m/>
    <n v="0"/>
    <m/>
    <m/>
    <m/>
    <m/>
    <m/>
    <m/>
    <n v="3200000"/>
    <n v="4000000"/>
  </r>
  <r>
    <x v="6"/>
    <x v="13"/>
    <s v="Endowed Scholarships"/>
    <m/>
    <m/>
    <x v="12"/>
    <m/>
    <m/>
    <n v="1920000"/>
    <n v="1780000"/>
    <m/>
    <m/>
    <m/>
    <m/>
    <n v="0"/>
    <m/>
    <m/>
    <n v="0"/>
    <n v="1920000"/>
    <n v="1780000"/>
    <m/>
    <m/>
    <m/>
    <m/>
    <n v="0"/>
    <m/>
    <m/>
    <n v="0"/>
    <m/>
    <m/>
    <m/>
    <m/>
    <m/>
    <m/>
    <n v="1920000"/>
    <n v="1780000"/>
  </r>
  <r>
    <x v="6"/>
    <x v="13"/>
    <s v="LONI"/>
    <m/>
    <m/>
    <x v="12"/>
    <m/>
    <m/>
    <n v="3151171"/>
    <n v="3201673"/>
    <m/>
    <m/>
    <m/>
    <m/>
    <n v="0"/>
    <m/>
    <m/>
    <n v="0"/>
    <n v="3151171"/>
    <n v="3201673"/>
    <m/>
    <m/>
    <m/>
    <m/>
    <n v="0"/>
    <m/>
    <m/>
    <n v="0"/>
    <m/>
    <m/>
    <m/>
    <m/>
    <m/>
    <m/>
    <n v="3151171"/>
    <n v="3201673"/>
  </r>
  <r>
    <x v="6"/>
    <x v="13"/>
    <s v="Other Initiatives"/>
    <m/>
    <m/>
    <x v="12"/>
    <m/>
    <m/>
    <m/>
    <n v="1000000"/>
    <m/>
    <m/>
    <m/>
    <m/>
    <n v="0"/>
    <m/>
    <m/>
    <n v="0"/>
    <n v="0"/>
    <n v="1000000"/>
    <m/>
    <m/>
    <m/>
    <m/>
    <n v="0"/>
    <m/>
    <m/>
    <n v="0"/>
    <m/>
    <m/>
    <m/>
    <m/>
    <m/>
    <m/>
    <n v="0"/>
    <n v="1000000"/>
  </r>
  <r>
    <x v="6"/>
    <x v="13"/>
    <s v="Adult Education"/>
    <m/>
    <m/>
    <x v="12"/>
    <m/>
    <m/>
    <n v="150000"/>
    <n v="150000"/>
    <m/>
    <m/>
    <m/>
    <m/>
    <n v="0"/>
    <m/>
    <m/>
    <n v="0"/>
    <n v="150000"/>
    <n v="150000"/>
    <m/>
    <m/>
    <m/>
    <m/>
    <n v="0"/>
    <m/>
    <m/>
    <n v="0"/>
    <m/>
    <m/>
    <m/>
    <m/>
    <m/>
    <m/>
    <n v="150000"/>
    <n v="150000"/>
  </r>
  <r>
    <x v="6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5"/>
    <s v="Board of Regents"/>
    <m/>
    <m/>
    <x v="12"/>
    <m/>
    <m/>
    <m/>
    <m/>
    <m/>
    <m/>
    <m/>
    <m/>
    <n v="0"/>
    <m/>
    <m/>
    <n v="0"/>
    <n v="0"/>
    <n v="0"/>
    <n v="7318136"/>
    <n v="7284145"/>
    <m/>
    <m/>
    <n v="0"/>
    <m/>
    <m/>
    <n v="0"/>
    <m/>
    <m/>
    <m/>
    <m/>
    <m/>
    <m/>
    <n v="7318136"/>
    <n v="7284145"/>
  </r>
  <r>
    <x v="6"/>
    <x v="15"/>
    <s v="Southern University System Office"/>
    <m/>
    <m/>
    <x v="12"/>
    <m/>
    <m/>
    <m/>
    <m/>
    <m/>
    <m/>
    <m/>
    <m/>
    <n v="0"/>
    <m/>
    <m/>
    <n v="0"/>
    <n v="0"/>
    <n v="0"/>
    <n v="3305062"/>
    <n v="4399565"/>
    <m/>
    <m/>
    <n v="0"/>
    <m/>
    <m/>
    <n v="0"/>
    <m/>
    <m/>
    <m/>
    <m/>
    <m/>
    <m/>
    <n v="3305062"/>
    <n v="4399565"/>
  </r>
  <r>
    <x v="6"/>
    <x v="15"/>
    <s v="LA State University System Offic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5"/>
    <s v="Univ. of LA System Office"/>
    <m/>
    <m/>
    <x v="12"/>
    <m/>
    <m/>
    <m/>
    <m/>
    <m/>
    <m/>
    <m/>
    <m/>
    <n v="0"/>
    <m/>
    <m/>
    <n v="0"/>
    <n v="0"/>
    <n v="0"/>
    <n v="1035004"/>
    <n v="1001967"/>
    <m/>
    <m/>
    <n v="0"/>
    <m/>
    <m/>
    <n v="0"/>
    <m/>
    <m/>
    <m/>
    <m/>
    <m/>
    <m/>
    <n v="1035004"/>
    <n v="1001967"/>
  </r>
  <r>
    <x v="6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6"/>
    <s v="LA Community and Technical College System Office"/>
    <m/>
    <m/>
    <x v="12"/>
    <m/>
    <m/>
    <m/>
    <m/>
    <m/>
    <m/>
    <m/>
    <m/>
    <n v="0"/>
    <m/>
    <m/>
    <n v="0"/>
    <n v="0"/>
    <n v="0"/>
    <n v="20435894"/>
    <n v="18416620"/>
    <m/>
    <m/>
    <n v="0"/>
    <m/>
    <m/>
    <n v="0"/>
    <m/>
    <m/>
    <m/>
    <m/>
    <m/>
    <m/>
    <n v="20435894"/>
    <n v="18416620"/>
  </r>
  <r>
    <x v="6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7"/>
    <s v="SREB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8"/>
    <s v="Adm. of Statewide Student Aid Progs. (incld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18"/>
    <s v="Louisiana Office of Student Financial Aid (LOSFA)"/>
    <m/>
    <m/>
    <x v="12"/>
    <m/>
    <m/>
    <m/>
    <m/>
    <m/>
    <m/>
    <m/>
    <m/>
    <n v="0"/>
    <m/>
    <m/>
    <n v="0"/>
    <n v="0"/>
    <n v="0"/>
    <n v="10806891"/>
    <n v="10324187"/>
    <m/>
    <m/>
    <n v="0"/>
    <m/>
    <m/>
    <n v="0"/>
    <m/>
    <m/>
    <m/>
    <m/>
    <m/>
    <m/>
    <n v="10806891"/>
    <n v="10324187"/>
  </r>
  <r>
    <x v="6"/>
    <x v="19"/>
    <s v="State Support to Private Colleges Other Than Student Aid (ATI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41"/>
    <s v="SREB contract program with public colleges"/>
    <m/>
    <m/>
    <x v="12"/>
    <m/>
    <m/>
    <m/>
    <m/>
    <m/>
    <m/>
    <m/>
    <m/>
    <n v="0"/>
    <m/>
    <m/>
    <n v="0"/>
    <n v="0"/>
    <n v="0"/>
    <n v="976508"/>
    <n v="976508"/>
    <m/>
    <m/>
    <n v="0"/>
    <m/>
    <m/>
    <n v="0"/>
    <m/>
    <m/>
    <m/>
    <m/>
    <m/>
    <m/>
    <n v="976508"/>
    <n v="976508"/>
  </r>
  <r>
    <x v="6"/>
    <x v="20"/>
    <s v="Other 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22"/>
    <s v="TOPS,GO GRANT, LEA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26"/>
    <s v="Need-based"/>
    <m/>
    <m/>
    <x v="12"/>
    <m/>
    <m/>
    <m/>
    <m/>
    <m/>
    <m/>
    <m/>
    <m/>
    <n v="0"/>
    <m/>
    <m/>
    <n v="0"/>
    <n v="0"/>
    <n v="0"/>
    <n v="26021850"/>
    <n v="26837122.829999998"/>
    <m/>
    <m/>
    <n v="0"/>
    <m/>
    <m/>
    <n v="0"/>
    <m/>
    <m/>
    <m/>
    <m/>
    <m/>
    <m/>
    <n v="26021850"/>
    <n v="26837122.829999998"/>
  </r>
  <r>
    <x v="6"/>
    <x v="27"/>
    <s v="Non need-based"/>
    <m/>
    <m/>
    <x v="12"/>
    <m/>
    <m/>
    <m/>
    <m/>
    <m/>
    <m/>
    <m/>
    <m/>
    <n v="0"/>
    <m/>
    <m/>
    <n v="0"/>
    <n v="0"/>
    <n v="0"/>
    <n v="283097916"/>
    <n v="299623942.72000003"/>
    <m/>
    <m/>
    <n v="0"/>
    <m/>
    <m/>
    <n v="0"/>
    <m/>
    <m/>
    <m/>
    <m/>
    <m/>
    <m/>
    <n v="283097916"/>
    <n v="299623942.72000003"/>
  </r>
  <r>
    <x v="6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0"/>
    <s v="Need-based"/>
    <m/>
    <m/>
    <x v="12"/>
    <m/>
    <m/>
    <m/>
    <m/>
    <m/>
    <m/>
    <m/>
    <m/>
    <n v="0"/>
    <m/>
    <m/>
    <n v="0"/>
    <n v="0"/>
    <n v="0"/>
    <n v="2407258"/>
    <n v="2505835"/>
    <m/>
    <m/>
    <n v="0"/>
    <m/>
    <m/>
    <n v="0"/>
    <m/>
    <m/>
    <m/>
    <m/>
    <m/>
    <m/>
    <n v="2407258"/>
    <n v="2505835"/>
  </r>
  <r>
    <x v="6"/>
    <x v="29"/>
    <s v="Non need-based"/>
    <m/>
    <m/>
    <x v="12"/>
    <m/>
    <m/>
    <m/>
    <m/>
    <m/>
    <m/>
    <m/>
    <m/>
    <n v="0"/>
    <m/>
    <m/>
    <n v="0"/>
    <n v="0"/>
    <n v="0"/>
    <n v="22213311"/>
    <n v="22143223.91"/>
    <m/>
    <m/>
    <n v="0"/>
    <m/>
    <m/>
    <n v="0"/>
    <m/>
    <m/>
    <m/>
    <m/>
    <m/>
    <m/>
    <n v="22213311"/>
    <n v="22143223.91"/>
  </r>
  <r>
    <x v="6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1"/>
    <s v="ROCKEFELLER/DUAL ENROLLME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3"/>
    <s v="Non need-based"/>
    <m/>
    <m/>
    <x v="12"/>
    <m/>
    <m/>
    <m/>
    <m/>
    <m/>
    <m/>
    <m/>
    <m/>
    <n v="0"/>
    <m/>
    <m/>
    <n v="0"/>
    <n v="0"/>
    <n v="0"/>
    <n v="160000"/>
    <n v="160000"/>
    <m/>
    <m/>
    <n v="0"/>
    <m/>
    <m/>
    <n v="0"/>
    <m/>
    <m/>
    <m/>
    <m/>
    <m/>
    <m/>
    <n v="160000"/>
    <n v="160000"/>
  </r>
  <r>
    <x v="6"/>
    <x v="34"/>
    <s v="Limited to private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6"/>
    <x v="36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0"/>
    <s v="Allegany College of Maryland"/>
    <m/>
    <n v="161688"/>
    <x v="8"/>
    <n v="6423523"/>
    <n v="6506730"/>
    <m/>
    <m/>
    <n v="7706856"/>
    <n v="7706856"/>
    <n v="13004446"/>
    <m/>
    <n v="13004446"/>
    <n v="12833601"/>
    <m/>
    <n v="12833601"/>
    <n v="27134825"/>
    <n v="27047187"/>
    <m/>
    <m/>
    <m/>
    <m/>
    <n v="0"/>
    <m/>
    <m/>
    <n v="0"/>
    <m/>
    <m/>
    <m/>
    <m/>
    <m/>
    <m/>
    <n v="27134825"/>
    <n v="27047187"/>
  </r>
  <r>
    <x v="7"/>
    <x v="0"/>
    <s v="Anne Arundel Community College "/>
    <m/>
    <n v="161767"/>
    <x v="6"/>
    <n v="29842430"/>
    <n v="29832446"/>
    <m/>
    <m/>
    <n v="47842392"/>
    <n v="50524392"/>
    <n v="36936551"/>
    <m/>
    <n v="36936551"/>
    <n v="36312783"/>
    <m/>
    <n v="36312783"/>
    <n v="114621373"/>
    <n v="116669621"/>
    <m/>
    <m/>
    <m/>
    <m/>
    <n v="0"/>
    <m/>
    <m/>
    <n v="0"/>
    <m/>
    <m/>
    <m/>
    <m/>
    <m/>
    <m/>
    <n v="114621373"/>
    <n v="116669621"/>
  </r>
  <r>
    <x v="7"/>
    <x v="0"/>
    <s v="Baltimore City Community College"/>
    <m/>
    <n v="161864"/>
    <x v="7"/>
    <n v="41004259"/>
    <n v="38168137"/>
    <m/>
    <m/>
    <n v="599999"/>
    <n v="600000"/>
    <n v="13262452"/>
    <m/>
    <n v="13262452"/>
    <n v="12464161"/>
    <m/>
    <n v="12464161"/>
    <n v="54866710"/>
    <n v="51232298"/>
    <m/>
    <m/>
    <m/>
    <m/>
    <n v="0"/>
    <m/>
    <m/>
    <n v="0"/>
    <m/>
    <m/>
    <m/>
    <m/>
    <m/>
    <m/>
    <n v="54866710"/>
    <n v="51232298"/>
  </r>
  <r>
    <x v="7"/>
    <x v="0"/>
    <s v="Carroll Community College"/>
    <s v="Met the criteria for Two-Year 3 in 2018-19 and 2019-20."/>
    <n v="405872"/>
    <x v="7"/>
    <n v="8559167"/>
    <n v="8642734"/>
    <m/>
    <m/>
    <n v="12118962"/>
    <n v="11994568"/>
    <n v="11152665"/>
    <m/>
    <n v="11152665"/>
    <n v="11079164"/>
    <m/>
    <n v="11079164"/>
    <n v="31830794"/>
    <n v="31716466"/>
    <m/>
    <m/>
    <m/>
    <m/>
    <n v="0"/>
    <m/>
    <m/>
    <n v="0"/>
    <m/>
    <m/>
    <m/>
    <m/>
    <m/>
    <m/>
    <n v="31830794"/>
    <n v="31716466"/>
  </r>
  <r>
    <x v="7"/>
    <x v="0"/>
    <s v="Cecil Community College "/>
    <m/>
    <n v="162104"/>
    <x v="8"/>
    <n v="6274983"/>
    <n v="6358190"/>
    <m/>
    <m/>
    <n v="11635702"/>
    <n v="12015727"/>
    <n v="8440751"/>
    <m/>
    <n v="8440751"/>
    <n v="6868659"/>
    <m/>
    <n v="6868659"/>
    <n v="26351436"/>
    <n v="25242576"/>
    <m/>
    <m/>
    <m/>
    <m/>
    <n v="0"/>
    <m/>
    <m/>
    <n v="0"/>
    <m/>
    <m/>
    <m/>
    <m/>
    <m/>
    <m/>
    <n v="26351436"/>
    <n v="25242576"/>
  </r>
  <r>
    <x v="7"/>
    <x v="0"/>
    <s v="Chesapeake College "/>
    <m/>
    <n v="162168"/>
    <x v="8"/>
    <n v="7016493"/>
    <n v="7099700"/>
    <m/>
    <m/>
    <n v="6930336"/>
    <n v="6532535"/>
    <n v="6925450"/>
    <m/>
    <n v="6925450"/>
    <n v="8427280"/>
    <m/>
    <n v="8427280"/>
    <n v="20872279"/>
    <n v="22059515"/>
    <m/>
    <m/>
    <m/>
    <m/>
    <n v="0"/>
    <m/>
    <m/>
    <n v="0"/>
    <m/>
    <m/>
    <m/>
    <m/>
    <m/>
    <m/>
    <n v="20872279"/>
    <n v="22059515"/>
  </r>
  <r>
    <x v="7"/>
    <x v="0"/>
    <s v="College of Southern Maryland"/>
    <s v="Reclassified: Met the criteria for Two-Year 2 in 2017-18, 2018-19, and 2019-20."/>
    <n v="162122"/>
    <x v="7"/>
    <n v="14386506"/>
    <n v="14386506"/>
    <m/>
    <m/>
    <n v="19794343"/>
    <n v="19086829"/>
    <n v="24780467"/>
    <m/>
    <n v="24780467"/>
    <n v="22077614"/>
    <m/>
    <n v="22077614"/>
    <n v="58961316"/>
    <n v="55550949"/>
    <m/>
    <m/>
    <m/>
    <m/>
    <n v="0"/>
    <m/>
    <m/>
    <n v="0"/>
    <m/>
    <m/>
    <m/>
    <m/>
    <m/>
    <m/>
    <n v="58961316"/>
    <n v="55550949"/>
  </r>
  <r>
    <x v="7"/>
    <x v="0"/>
    <s v="Community College of Baltimore County"/>
    <m/>
    <n v="434672"/>
    <x v="6"/>
    <n v="42451319"/>
    <n v="42451319"/>
    <m/>
    <m/>
    <n v="54733759"/>
    <n v="54733759"/>
    <n v="69100475"/>
    <m/>
    <n v="69100475"/>
    <n v="69455197"/>
    <m/>
    <n v="69455197"/>
    <n v="166285553"/>
    <n v="166640275"/>
    <m/>
    <m/>
    <m/>
    <m/>
    <n v="0"/>
    <m/>
    <m/>
    <n v="0"/>
    <m/>
    <m/>
    <m/>
    <m/>
    <m/>
    <m/>
    <n v="166285553"/>
    <n v="166640275"/>
  </r>
  <r>
    <x v="7"/>
    <x v="0"/>
    <s v="Frederick Community College "/>
    <m/>
    <n v="162557"/>
    <x v="7"/>
    <n v="11154005"/>
    <n v="11154005"/>
    <m/>
    <m/>
    <n v="18857979"/>
    <n v="20252684"/>
    <n v="17427176"/>
    <m/>
    <n v="17427176"/>
    <n v="16130115"/>
    <m/>
    <n v="16130115"/>
    <n v="47439160"/>
    <n v="47536804"/>
    <m/>
    <m/>
    <m/>
    <m/>
    <n v="0"/>
    <m/>
    <m/>
    <n v="0"/>
    <m/>
    <m/>
    <m/>
    <m/>
    <m/>
    <m/>
    <n v="47439160"/>
    <n v="47536804"/>
  </r>
  <r>
    <x v="7"/>
    <x v="0"/>
    <s v="Garrett College "/>
    <m/>
    <n v="162609"/>
    <x v="8"/>
    <n v="4083287"/>
    <n v="4064848"/>
    <m/>
    <m/>
    <n v="4834000"/>
    <n v="4857312"/>
    <n v="3571212"/>
    <m/>
    <n v="3571212"/>
    <n v="3865168"/>
    <m/>
    <n v="3865168"/>
    <n v="12488499"/>
    <n v="12787328"/>
    <m/>
    <m/>
    <m/>
    <m/>
    <n v="0"/>
    <m/>
    <m/>
    <n v="0"/>
    <m/>
    <m/>
    <m/>
    <m/>
    <m/>
    <m/>
    <n v="12488499"/>
    <n v="12787328"/>
  </r>
  <r>
    <x v="7"/>
    <x v="0"/>
    <s v="Hagerstown Community College "/>
    <m/>
    <n v="162690"/>
    <x v="7"/>
    <n v="9455511"/>
    <n v="9489550"/>
    <m/>
    <m/>
    <n v="10035290"/>
    <n v="10035290"/>
    <n v="14625297"/>
    <m/>
    <n v="14625297"/>
    <n v="13922729"/>
    <m/>
    <n v="13922729"/>
    <n v="34116098"/>
    <n v="33447569"/>
    <m/>
    <m/>
    <m/>
    <m/>
    <n v="0"/>
    <m/>
    <m/>
    <n v="0"/>
    <m/>
    <m/>
    <m/>
    <m/>
    <m/>
    <m/>
    <n v="34116098"/>
    <n v="33447569"/>
  </r>
  <r>
    <x v="7"/>
    <x v="0"/>
    <s v="Harford Community College "/>
    <m/>
    <n v="162706"/>
    <x v="7"/>
    <n v="12092899"/>
    <n v="12092899"/>
    <m/>
    <m/>
    <n v="17147844"/>
    <n v="17547931"/>
    <n v="20919205"/>
    <m/>
    <n v="20919205"/>
    <n v="18693631"/>
    <m/>
    <n v="18693631"/>
    <n v="50159948"/>
    <n v="48334461"/>
    <m/>
    <m/>
    <m/>
    <m/>
    <n v="0"/>
    <m/>
    <m/>
    <n v="0"/>
    <m/>
    <m/>
    <m/>
    <m/>
    <m/>
    <m/>
    <n v="50159948"/>
    <n v="48334461"/>
  </r>
  <r>
    <x v="7"/>
    <x v="0"/>
    <s v="Howard Community College "/>
    <m/>
    <n v="162779"/>
    <x v="6"/>
    <n v="20009452"/>
    <n v="19992011"/>
    <m/>
    <m/>
    <n v="38121755"/>
    <n v="38724598"/>
    <n v="40220902"/>
    <m/>
    <n v="40220902"/>
    <n v="38057344"/>
    <m/>
    <n v="38057344"/>
    <n v="98352109"/>
    <n v="96773953"/>
    <m/>
    <m/>
    <m/>
    <m/>
    <n v="0"/>
    <m/>
    <m/>
    <n v="0"/>
    <m/>
    <m/>
    <m/>
    <m/>
    <m/>
    <m/>
    <n v="98352109"/>
    <n v="96773953"/>
  </r>
  <r>
    <x v="7"/>
    <x v="0"/>
    <s v="Montgomery College"/>
    <m/>
    <n v="163426"/>
    <x v="6"/>
    <n v="45255119"/>
    <n v="45255119"/>
    <m/>
    <m/>
    <n v="147164017"/>
    <n v="147196496"/>
    <n v="85572983"/>
    <m/>
    <n v="85572983"/>
    <n v="77949079"/>
    <m/>
    <n v="77949079"/>
    <n v="277992119"/>
    <n v="270400694"/>
    <m/>
    <m/>
    <m/>
    <m/>
    <n v="0"/>
    <m/>
    <m/>
    <n v="0"/>
    <m/>
    <m/>
    <m/>
    <m/>
    <m/>
    <m/>
    <n v="277992119"/>
    <n v="270400694"/>
  </r>
  <r>
    <x v="7"/>
    <x v="0"/>
    <s v="Prince George's Community College "/>
    <m/>
    <n v="163657"/>
    <x v="6"/>
    <n v="31245262"/>
    <n v="35928300"/>
    <m/>
    <m/>
    <n v="43922330"/>
    <n v="43922330"/>
    <n v="40313598"/>
    <m/>
    <n v="40313598"/>
    <n v="42407500"/>
    <m/>
    <n v="42407500"/>
    <n v="115481190"/>
    <n v="122258130"/>
    <m/>
    <m/>
    <m/>
    <m/>
    <n v="0"/>
    <m/>
    <m/>
    <n v="0"/>
    <m/>
    <m/>
    <m/>
    <m/>
    <m/>
    <m/>
    <n v="115481190"/>
    <n v="122258130"/>
  </r>
  <r>
    <x v="7"/>
    <x v="0"/>
    <s v="Wor-Wic Community College "/>
    <m/>
    <n v="164313"/>
    <x v="8"/>
    <n v="8837428"/>
    <n v="8920635"/>
    <m/>
    <m/>
    <n v="7978754"/>
    <n v="8490874"/>
    <n v="9333021"/>
    <m/>
    <n v="9333021"/>
    <n v="9823005"/>
    <m/>
    <n v="9823005"/>
    <n v="26149203"/>
    <n v="27234514"/>
    <m/>
    <m/>
    <m/>
    <m/>
    <n v="0"/>
    <m/>
    <m/>
    <n v="0"/>
    <m/>
    <m/>
    <m/>
    <m/>
    <m/>
    <m/>
    <n v="26149203"/>
    <n v="27234514"/>
  </r>
  <r>
    <x v="7"/>
    <x v="0"/>
    <s v="Bowie State University "/>
    <s v="Met the criteria for Four-Year 3 in 2018-19 and 2019-20."/>
    <n v="162007"/>
    <x v="3"/>
    <n v="48077890"/>
    <n v="46728531"/>
    <m/>
    <m/>
    <m/>
    <m/>
    <n v="46290733"/>
    <m/>
    <n v="46290733"/>
    <n v="46697572"/>
    <m/>
    <n v="46697572"/>
    <n v="94368623"/>
    <n v="93426103"/>
    <m/>
    <m/>
    <m/>
    <m/>
    <n v="0"/>
    <m/>
    <m/>
    <n v="0"/>
    <m/>
    <m/>
    <m/>
    <m/>
    <m/>
    <m/>
    <n v="94368623"/>
    <n v="93426103"/>
  </r>
  <r>
    <x v="7"/>
    <x v="0"/>
    <s v="Coppin State University"/>
    <s v="Met the criteria for Four-Year 4 in 2019-20."/>
    <n v="162283"/>
    <x v="4"/>
    <n v="48812311"/>
    <n v="49787119"/>
    <m/>
    <m/>
    <m/>
    <m/>
    <n v="15206986"/>
    <m/>
    <n v="15206986"/>
    <n v="13001126"/>
    <m/>
    <n v="13001126"/>
    <n v="64019297"/>
    <n v="62788245"/>
    <m/>
    <m/>
    <m/>
    <m/>
    <n v="0"/>
    <m/>
    <m/>
    <n v="0"/>
    <m/>
    <m/>
    <m/>
    <m/>
    <m/>
    <m/>
    <n v="64019297"/>
    <n v="62788245"/>
  </r>
  <r>
    <x v="7"/>
    <x v="0"/>
    <s v="Frostburg State University "/>
    <m/>
    <n v="162584"/>
    <x v="3"/>
    <n v="44610144"/>
    <n v="43451867"/>
    <m/>
    <m/>
    <m/>
    <m/>
    <n v="37091411"/>
    <m/>
    <n v="37091411"/>
    <n v="34721647"/>
    <m/>
    <n v="34721647"/>
    <n v="81701555"/>
    <n v="78173514"/>
    <m/>
    <m/>
    <m/>
    <m/>
    <n v="0"/>
    <m/>
    <m/>
    <n v="0"/>
    <m/>
    <m/>
    <m/>
    <m/>
    <m/>
    <m/>
    <n v="81701555"/>
    <n v="78173514"/>
  </r>
  <r>
    <x v="7"/>
    <x v="0"/>
    <s v="Salisbury University "/>
    <m/>
    <n v="163851"/>
    <x v="3"/>
    <n v="58280356"/>
    <n v="60827717"/>
    <m/>
    <m/>
    <m/>
    <m/>
    <n v="79334342"/>
    <m/>
    <n v="79334342"/>
    <n v="73237419"/>
    <m/>
    <n v="73237419"/>
    <n v="137614698"/>
    <n v="134065136"/>
    <m/>
    <m/>
    <m/>
    <m/>
    <n v="0"/>
    <m/>
    <m/>
    <n v="0"/>
    <m/>
    <m/>
    <m/>
    <m/>
    <m/>
    <m/>
    <n v="137614698"/>
    <n v="134065136"/>
  </r>
  <r>
    <x v="7"/>
    <x v="0"/>
    <s v="Towson University "/>
    <m/>
    <n v="164076"/>
    <x v="2"/>
    <n v="131859194"/>
    <n v="135941182"/>
    <m/>
    <m/>
    <m/>
    <m/>
    <n v="196516164"/>
    <m/>
    <n v="196516164"/>
    <n v="187485777"/>
    <m/>
    <n v="187485777"/>
    <n v="328375358"/>
    <n v="323426959"/>
    <m/>
    <m/>
    <m/>
    <m/>
    <n v="0"/>
    <m/>
    <m/>
    <n v="0"/>
    <m/>
    <m/>
    <m/>
    <m/>
    <m/>
    <m/>
    <n v="328375358"/>
    <n v="323426959"/>
  </r>
  <r>
    <x v="7"/>
    <x v="0"/>
    <s v="University of Baltimore"/>
    <m/>
    <n v="161873"/>
    <x v="2"/>
    <n v="40742183"/>
    <n v="43059381"/>
    <m/>
    <m/>
    <m/>
    <m/>
    <n v="55009041"/>
    <m/>
    <n v="55009041"/>
    <n v="52981489"/>
    <m/>
    <n v="52981489"/>
    <n v="95751224"/>
    <n v="96040870"/>
    <m/>
    <m/>
    <m/>
    <m/>
    <n v="0"/>
    <m/>
    <m/>
    <n v="0"/>
    <m/>
    <m/>
    <m/>
    <m/>
    <m/>
    <m/>
    <n v="95751224"/>
    <n v="96040870"/>
  </r>
  <r>
    <x v="7"/>
    <x v="38"/>
    <s v="University of Maryland at Baltimore"/>
    <m/>
    <n v="163259"/>
    <x v="11"/>
    <m/>
    <m/>
    <m/>
    <m/>
    <m/>
    <m/>
    <m/>
    <m/>
    <n v="0"/>
    <m/>
    <m/>
    <n v="0"/>
    <n v="0"/>
    <n v="0"/>
    <m/>
    <m/>
    <m/>
    <m/>
    <n v="0"/>
    <m/>
    <m/>
    <n v="0"/>
    <n v="252312068"/>
    <n v="244296504"/>
    <n v="162219794"/>
    <m/>
    <n v="165462822"/>
    <m/>
    <n v="414531862"/>
    <n v="409759326"/>
  </r>
  <r>
    <x v="7"/>
    <x v="0"/>
    <s v="University of Maryland, Baltimore County"/>
    <m/>
    <n v="163268"/>
    <x v="1"/>
    <n v="146608173"/>
    <n v="150547827"/>
    <m/>
    <m/>
    <m/>
    <m/>
    <n v="138851463"/>
    <m/>
    <n v="138851463"/>
    <n v="135883447"/>
    <m/>
    <n v="135883447"/>
    <n v="285459636"/>
    <n v="286431274"/>
    <m/>
    <m/>
    <m/>
    <m/>
    <n v="0"/>
    <m/>
    <m/>
    <n v="0"/>
    <m/>
    <m/>
    <m/>
    <m/>
    <m/>
    <m/>
    <n v="285459636"/>
    <n v="286431274"/>
  </r>
  <r>
    <x v="7"/>
    <x v="0"/>
    <s v="University of Maryland College Park"/>
    <m/>
    <n v="163286"/>
    <x v="0"/>
    <n v="569162254"/>
    <n v="574531421"/>
    <m/>
    <m/>
    <m/>
    <m/>
    <n v="661680357"/>
    <m/>
    <n v="661680357"/>
    <n v="641276745"/>
    <m/>
    <n v="641276745"/>
    <n v="1230842611"/>
    <n v="1215808166"/>
    <m/>
    <m/>
    <m/>
    <m/>
    <n v="0"/>
    <m/>
    <m/>
    <n v="0"/>
    <m/>
    <m/>
    <m/>
    <m/>
    <m/>
    <m/>
    <n v="1230842611"/>
    <n v="1215808166"/>
  </r>
  <r>
    <x v="7"/>
    <x v="4"/>
    <s v="Non-Credit Continuing Education"/>
    <m/>
    <n v="163286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5"/>
    <s v="Agricultural cooperative extension"/>
    <m/>
    <n v="163286"/>
    <x v="0"/>
    <m/>
    <m/>
    <n v="21977795"/>
    <n v="20985732"/>
    <m/>
    <m/>
    <m/>
    <m/>
    <n v="0"/>
    <m/>
    <m/>
    <n v="0"/>
    <n v="21977795"/>
    <n v="20985732"/>
    <m/>
    <m/>
    <m/>
    <m/>
    <n v="0"/>
    <m/>
    <m/>
    <n v="0"/>
    <m/>
    <m/>
    <m/>
    <m/>
    <m/>
    <m/>
    <n v="21977795"/>
    <n v="20985732"/>
  </r>
  <r>
    <x v="7"/>
    <x v="6"/>
    <s v="Agricultural experiment stations"/>
    <m/>
    <n v="163286"/>
    <x v="0"/>
    <m/>
    <m/>
    <n v="20866153"/>
    <n v="20495273"/>
    <m/>
    <m/>
    <m/>
    <m/>
    <n v="0"/>
    <m/>
    <m/>
    <n v="0"/>
    <n v="20866153"/>
    <n v="20495273"/>
    <m/>
    <m/>
    <m/>
    <m/>
    <n v="0"/>
    <m/>
    <m/>
    <n v="0"/>
    <m/>
    <m/>
    <m/>
    <m/>
    <m/>
    <m/>
    <n v="20866153"/>
    <n v="20495273"/>
  </r>
  <r>
    <x v="7"/>
    <x v="7"/>
    <s v="Research centers/institutes"/>
    <m/>
    <n v="163286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7"/>
    <s v="Center for Environmental Science"/>
    <m/>
    <n v="163286"/>
    <x v="0"/>
    <m/>
    <m/>
    <n v="23615565"/>
    <n v="22066489"/>
    <m/>
    <m/>
    <m/>
    <m/>
    <n v="0"/>
    <m/>
    <m/>
    <n v="0"/>
    <n v="23615565"/>
    <n v="22066489"/>
    <m/>
    <m/>
    <m/>
    <m/>
    <n v="0"/>
    <m/>
    <m/>
    <n v="0"/>
    <m/>
    <m/>
    <m/>
    <m/>
    <m/>
    <m/>
    <n v="23615565"/>
    <n v="22066489"/>
  </r>
  <r>
    <x v="7"/>
    <x v="0"/>
    <s v="University of Maryland Eastern Shore "/>
    <m/>
    <n v="163338"/>
    <x v="3"/>
    <n v="45885966"/>
    <n v="47398557"/>
    <m/>
    <m/>
    <m/>
    <m/>
    <n v="24212820"/>
    <m/>
    <n v="24212820"/>
    <n v="22654394"/>
    <m/>
    <n v="22654394"/>
    <n v="70098786"/>
    <n v="70052951"/>
    <m/>
    <m/>
    <m/>
    <m/>
    <n v="0"/>
    <m/>
    <m/>
    <n v="0"/>
    <m/>
    <m/>
    <m/>
    <m/>
    <m/>
    <m/>
    <n v="70098786"/>
    <n v="70052951"/>
  </r>
  <r>
    <x v="7"/>
    <x v="9"/>
    <s v="University of Maryland Global Campus"/>
    <m/>
    <n v="163204"/>
    <x v="11"/>
    <m/>
    <m/>
    <m/>
    <m/>
    <m/>
    <m/>
    <m/>
    <m/>
    <n v="0"/>
    <m/>
    <m/>
    <n v="0"/>
    <n v="0"/>
    <n v="0"/>
    <n v="44322848"/>
    <n v="44297206"/>
    <n v="356205595"/>
    <m/>
    <n v="356205595"/>
    <n v="369044818"/>
    <m/>
    <n v="369044818"/>
    <m/>
    <m/>
    <m/>
    <m/>
    <m/>
    <m/>
    <n v="400528443"/>
    <n v="413342024"/>
  </r>
  <r>
    <x v="7"/>
    <x v="0"/>
    <s v="Morgan State University"/>
    <m/>
    <n v="163453"/>
    <x v="1"/>
    <n v="102341753"/>
    <n v="109864102"/>
    <m/>
    <m/>
    <m/>
    <m/>
    <n v="66369473"/>
    <m/>
    <n v="66369473"/>
    <n v="65987073"/>
    <m/>
    <n v="65987073"/>
    <n v="168711226"/>
    <n v="175851175"/>
    <m/>
    <m/>
    <m/>
    <m/>
    <n v="0"/>
    <m/>
    <m/>
    <n v="0"/>
    <m/>
    <m/>
    <m/>
    <m/>
    <m/>
    <m/>
    <n v="168711226"/>
    <n v="175851175"/>
  </r>
  <r>
    <x v="7"/>
    <x v="0"/>
    <s v="Saint Mary's College of Maryland"/>
    <m/>
    <n v="163912"/>
    <x v="5"/>
    <n v="27157749"/>
    <n v="27281844"/>
    <m/>
    <m/>
    <m/>
    <m/>
    <n v="22568407"/>
    <m/>
    <n v="22568407"/>
    <n v="22396717"/>
    <m/>
    <n v="22396717"/>
    <n v="49726156"/>
    <n v="49678561"/>
    <m/>
    <m/>
    <m/>
    <m/>
    <n v="0"/>
    <m/>
    <m/>
    <n v="0"/>
    <m/>
    <m/>
    <m/>
    <m/>
    <m/>
    <m/>
    <n v="49726156"/>
    <n v="49678561"/>
  </r>
  <r>
    <x v="7"/>
    <x v="13"/>
    <s v="Education special purpose funds —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3"/>
    <s v="Community College Statewide Programs"/>
    <m/>
    <m/>
    <x v="12"/>
    <m/>
    <m/>
    <n v="6000000"/>
    <n v="6000000"/>
    <m/>
    <m/>
    <m/>
    <m/>
    <n v="0"/>
    <m/>
    <m/>
    <n v="0"/>
    <n v="6000000"/>
    <n v="6000000"/>
    <m/>
    <m/>
    <m/>
    <m/>
    <n v="0"/>
    <m/>
    <m/>
    <n v="0"/>
    <m/>
    <m/>
    <m/>
    <m/>
    <m/>
    <m/>
    <n v="6000000"/>
    <n v="6000000"/>
  </r>
  <r>
    <x v="7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5"/>
    <s v="Univ MD System Adm"/>
    <m/>
    <m/>
    <x v="12"/>
    <m/>
    <m/>
    <m/>
    <m/>
    <m/>
    <m/>
    <m/>
    <m/>
    <n v="0"/>
    <m/>
    <m/>
    <n v="0"/>
    <n v="0"/>
    <n v="0"/>
    <n v="13539741"/>
    <n v="13429244"/>
    <m/>
    <m/>
    <n v="0"/>
    <m/>
    <m/>
    <n v="0"/>
    <m/>
    <m/>
    <m/>
    <m/>
    <m/>
    <m/>
    <n v="13539741"/>
    <n v="13429244"/>
  </r>
  <r>
    <x v="7"/>
    <x v="15"/>
    <s v="Md Commission on Higher Education"/>
    <m/>
    <m/>
    <x v="12"/>
    <m/>
    <m/>
    <m/>
    <m/>
    <m/>
    <m/>
    <m/>
    <m/>
    <n v="0"/>
    <m/>
    <m/>
    <n v="0"/>
    <n v="0"/>
    <n v="0"/>
    <n v="6011808"/>
    <n v="6621511"/>
    <m/>
    <m/>
    <n v="0"/>
    <m/>
    <m/>
    <n v="0"/>
    <m/>
    <m/>
    <m/>
    <m/>
    <m/>
    <m/>
    <n v="6011808"/>
    <n v="6621511"/>
  </r>
  <r>
    <x v="7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7"/>
    <s v="SREB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8"/>
    <s v="Adm. of Statewide Student Aid Progs. (incld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8"/>
    <s v="Promise Scholarship – Credi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8"/>
    <s v="Promise Scholarship – Non-Credi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19"/>
    <s v="State Support to Private Colleges Other Than Student Aid"/>
    <m/>
    <m/>
    <x v="12"/>
    <m/>
    <m/>
    <m/>
    <m/>
    <m/>
    <m/>
    <m/>
    <m/>
    <n v="0"/>
    <m/>
    <m/>
    <n v="0"/>
    <n v="0"/>
    <n v="0"/>
    <n v="59024905"/>
    <n v="59024905"/>
    <m/>
    <m/>
    <n v="0"/>
    <m/>
    <m/>
    <n v="0"/>
    <m/>
    <m/>
    <m/>
    <m/>
    <m/>
    <m/>
    <n v="59024905"/>
    <n v="59024905"/>
  </r>
  <r>
    <x v="7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0"/>
    <s v="Other 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Campus-Based Educational Assistance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n v="1549205"/>
    <n v="1677555"/>
    <m/>
    <m/>
    <n v="0"/>
    <m/>
    <m/>
    <n v="0"/>
    <m/>
    <m/>
    <m/>
    <m/>
    <m/>
    <m/>
    <n v="1549205"/>
    <n v="1677555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n v="104126"/>
    <n v="143000"/>
    <m/>
    <m/>
    <n v="0"/>
    <m/>
    <m/>
    <n v="0"/>
    <m/>
    <m/>
    <m/>
    <m/>
    <m/>
    <m/>
    <n v="104126"/>
    <n v="143000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Educational Excellence Award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n v="70294100"/>
    <n v="61228592"/>
    <m/>
    <m/>
    <n v="0"/>
    <m/>
    <m/>
    <n v="0"/>
    <m/>
    <m/>
    <m/>
    <m/>
    <m/>
    <m/>
    <n v="70294100"/>
    <n v="61228592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n v="16530800"/>
    <n v="17053550"/>
    <m/>
    <m/>
    <n v="0"/>
    <m/>
    <m/>
    <n v="0"/>
    <m/>
    <m/>
    <m/>
    <m/>
    <m/>
    <m/>
    <n v="16530800"/>
    <n v="17053550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Senatorial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n v="4095600"/>
    <n v="4058435"/>
    <m/>
    <m/>
    <n v="0"/>
    <m/>
    <m/>
    <n v="0"/>
    <m/>
    <m/>
    <m/>
    <m/>
    <m/>
    <m/>
    <n v="4095600"/>
    <n v="4058435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n v="786338"/>
    <n v="743725"/>
    <m/>
    <m/>
    <n v="0"/>
    <m/>
    <m/>
    <n v="0"/>
    <m/>
    <m/>
    <m/>
    <m/>
    <m/>
    <m/>
    <n v="786338"/>
    <n v="743725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Edward Conroy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n v="2030828.62"/>
    <n v="2829902"/>
    <m/>
    <m/>
    <n v="0"/>
    <m/>
    <m/>
    <n v="0"/>
    <m/>
    <m/>
    <m/>
    <m/>
    <m/>
    <m/>
    <n v="2030828.62"/>
    <n v="2829902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n v="504630"/>
    <n v="530869"/>
    <m/>
    <m/>
    <n v="0"/>
    <m/>
    <m/>
    <n v="0"/>
    <m/>
    <m/>
    <m/>
    <m/>
    <m/>
    <m/>
    <n v="504630"/>
    <n v="530869"/>
  </r>
  <r>
    <x v="7"/>
    <x v="22"/>
    <s v="Delegate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n v="5497043"/>
    <n v="5575890"/>
    <m/>
    <m/>
    <n v="0"/>
    <m/>
    <m/>
    <n v="0"/>
    <m/>
    <m/>
    <m/>
    <m/>
    <m/>
    <m/>
    <n v="5497043"/>
    <n v="557589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n v="1054263"/>
    <n v="944927"/>
    <m/>
    <m/>
    <n v="0"/>
    <m/>
    <m/>
    <n v="0"/>
    <m/>
    <m/>
    <m/>
    <m/>
    <m/>
    <m/>
    <n v="1054263"/>
    <n v="944927"/>
  </r>
  <r>
    <x v="7"/>
    <x v="22"/>
    <s v="Charles W. Riley Firefighter and Ambulance and Rescue Squad Member Scholarship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n v="105506"/>
    <n v="157770"/>
    <m/>
    <m/>
    <n v="0"/>
    <m/>
    <m/>
    <n v="0"/>
    <m/>
    <m/>
    <m/>
    <m/>
    <m/>
    <m/>
    <n v="105506"/>
    <n v="15777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Distinguished Scholar Awar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Jack F. Tolbert Memorial Student Grant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n v="94500"/>
    <n v="169500"/>
    <m/>
    <m/>
    <n v="0"/>
    <m/>
    <m/>
    <n v="0"/>
    <m/>
    <m/>
    <m/>
    <m/>
    <m/>
    <m/>
    <n v="94500"/>
    <n v="16950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Child Care Providers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Developmental Disabilities, Mental Health, Child Welfare, and Juvenile Justice Workforce Tuition Assistance Program 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Distinguished Scholar Community College Transfer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Gear Up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Cybersecurity Public Service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 need-based"/>
    <m/>
    <m/>
    <x v="12"/>
    <m/>
    <m/>
    <m/>
    <m/>
    <m/>
    <m/>
    <m/>
    <m/>
    <n v="0"/>
    <m/>
    <m/>
    <n v="0"/>
    <n v="0"/>
    <n v="0"/>
    <n v="44280"/>
    <n v="87000"/>
    <m/>
    <m/>
    <n v="0"/>
    <m/>
    <m/>
    <n v="0"/>
    <m/>
    <m/>
    <m/>
    <m/>
    <m/>
    <m/>
    <n v="44280"/>
    <n v="8700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 need-based"/>
    <m/>
    <m/>
    <x v="12"/>
    <m/>
    <m/>
    <m/>
    <m/>
    <m/>
    <m/>
    <m/>
    <m/>
    <n v="0"/>
    <m/>
    <m/>
    <n v="0"/>
    <n v="0"/>
    <n v="0"/>
    <n v="21816"/>
    <n v="21000"/>
    <m/>
    <m/>
    <n v="0"/>
    <m/>
    <m/>
    <n v="0"/>
    <m/>
    <m/>
    <m/>
    <m/>
    <m/>
    <m/>
    <n v="21816"/>
    <n v="21000"/>
  </r>
  <r>
    <x v="7"/>
    <x v="33"/>
    <s v="Richard W. Collins III Leadership with Honors Scholarship 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3"/>
    <s v="Non need-based"/>
    <m/>
    <m/>
    <x v="12"/>
    <m/>
    <m/>
    <m/>
    <m/>
    <m/>
    <m/>
    <m/>
    <m/>
    <n v="0"/>
    <m/>
    <m/>
    <n v="0"/>
    <n v="0"/>
    <n v="0"/>
    <n v="450000"/>
    <n v="584762"/>
    <m/>
    <m/>
    <n v="0"/>
    <m/>
    <m/>
    <n v="0"/>
    <m/>
    <m/>
    <m/>
    <m/>
    <m/>
    <m/>
    <n v="450000"/>
    <n v="584762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Teaching Fellows for Maryland Scholarship 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2"/>
    <m/>
    <m/>
    <m/>
    <m/>
    <m/>
    <m/>
    <m/>
    <m/>
    <n v="0"/>
    <m/>
    <m/>
    <n v="0"/>
    <n v="0"/>
    <n v="0"/>
    <n v="820798"/>
    <n v="1751705"/>
    <m/>
    <m/>
    <n v="0"/>
    <m/>
    <m/>
    <n v="0"/>
    <m/>
    <m/>
    <m/>
    <m/>
    <m/>
    <m/>
    <n v="820798"/>
    <n v="1751705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2"/>
    <m/>
    <m/>
    <m/>
    <m/>
    <m/>
    <m/>
    <m/>
    <m/>
    <n v="0"/>
    <m/>
    <m/>
    <n v="0"/>
    <n v="0"/>
    <n v="0"/>
    <n v="60309"/>
    <n v="39708"/>
    <m/>
    <m/>
    <n v="0"/>
    <m/>
    <m/>
    <n v="0"/>
    <m/>
    <m/>
    <m/>
    <m/>
    <m/>
    <m/>
    <n v="60309"/>
    <n v="39708"/>
  </r>
  <r>
    <x v="7"/>
    <x v="33"/>
    <s v="Workforce Development Sequence Scholarship 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3"/>
    <s v="Non need-based"/>
    <m/>
    <m/>
    <x v="12"/>
    <m/>
    <m/>
    <m/>
    <m/>
    <m/>
    <m/>
    <m/>
    <m/>
    <n v="0"/>
    <m/>
    <m/>
    <n v="0"/>
    <n v="0"/>
    <n v="0"/>
    <n v="1000000"/>
    <n v="918599"/>
    <m/>
    <m/>
    <n v="0"/>
    <m/>
    <m/>
    <n v="0"/>
    <m/>
    <m/>
    <m/>
    <m/>
    <m/>
    <m/>
    <n v="1000000"/>
    <n v="918599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Graduate Nursing Faculy Scholarship 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n v="1561957"/>
    <n v="944927"/>
    <m/>
    <m/>
    <n v="0"/>
    <m/>
    <m/>
    <n v="0"/>
    <m/>
    <m/>
    <m/>
    <m/>
    <m/>
    <m/>
    <n v="1561957"/>
    <n v="944927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n v="1486100"/>
    <n v="0"/>
    <m/>
    <m/>
    <n v="0"/>
    <m/>
    <m/>
    <n v="0"/>
    <m/>
    <m/>
    <m/>
    <m/>
    <m/>
    <m/>
    <n v="1486100"/>
    <n v="0"/>
  </r>
  <r>
    <x v="7"/>
    <x v="22"/>
    <s v="Graduate Nursing Faculy Living Expenses Grant 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2"/>
    <s v="Veterans of Afghanistan and Iraq Conflicts Scholarship 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7"/>
    <s v="Non-need based"/>
    <m/>
    <m/>
    <x v="12"/>
    <m/>
    <m/>
    <m/>
    <m/>
    <m/>
    <m/>
    <m/>
    <m/>
    <n v="0"/>
    <m/>
    <m/>
    <n v="0"/>
    <n v="0"/>
    <n v="0"/>
    <n v="563338"/>
    <n v="616726"/>
    <m/>
    <m/>
    <n v="0"/>
    <m/>
    <m/>
    <n v="0"/>
    <m/>
    <m/>
    <m/>
    <m/>
    <m/>
    <m/>
    <n v="563338"/>
    <n v="616726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9"/>
    <s v="Non-need based"/>
    <m/>
    <m/>
    <x v="12"/>
    <m/>
    <m/>
    <m/>
    <m/>
    <m/>
    <m/>
    <m/>
    <m/>
    <n v="0"/>
    <m/>
    <m/>
    <n v="0"/>
    <n v="0"/>
    <n v="0"/>
    <n v="73948"/>
    <n v="90993"/>
    <m/>
    <m/>
    <n v="0"/>
    <m/>
    <m/>
    <n v="0"/>
    <m/>
    <m/>
    <m/>
    <m/>
    <m/>
    <m/>
    <n v="73948"/>
    <n v="90993"/>
  </r>
  <r>
    <x v="7"/>
    <x v="22"/>
    <s v="Workforce Shortage Student Assistance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6"/>
    <s v="Need-based"/>
    <m/>
    <m/>
    <x v="12"/>
    <m/>
    <m/>
    <m/>
    <m/>
    <m/>
    <m/>
    <m/>
    <m/>
    <n v="0"/>
    <m/>
    <m/>
    <n v="0"/>
    <n v="0"/>
    <n v="0"/>
    <n v="821500"/>
    <n v="819000"/>
    <m/>
    <m/>
    <n v="0"/>
    <m/>
    <m/>
    <n v="0"/>
    <m/>
    <m/>
    <m/>
    <m/>
    <m/>
    <m/>
    <n v="821500"/>
    <n v="819000"/>
  </r>
  <r>
    <x v="7"/>
    <x v="27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0"/>
    <s v="Need-based"/>
    <m/>
    <m/>
    <x v="12"/>
    <m/>
    <m/>
    <m/>
    <m/>
    <m/>
    <m/>
    <m/>
    <m/>
    <n v="0"/>
    <m/>
    <m/>
    <n v="0"/>
    <n v="0"/>
    <n v="0"/>
    <n v="227500"/>
    <n v="251000"/>
    <m/>
    <m/>
    <n v="0"/>
    <m/>
    <m/>
    <n v="0"/>
    <m/>
    <m/>
    <m/>
    <m/>
    <m/>
    <m/>
    <n v="227500"/>
    <n v="251000"/>
  </r>
  <r>
    <x v="7"/>
    <x v="29"/>
    <s v="Non-need 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Maryland Community College Promise Scholarship 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Amount to public sector students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Need-based"/>
    <m/>
    <m/>
    <x v="13"/>
    <m/>
    <m/>
    <m/>
    <m/>
    <m/>
    <m/>
    <m/>
    <m/>
    <n v="0"/>
    <m/>
    <m/>
    <n v="0"/>
    <n v="0"/>
    <n v="0"/>
    <m/>
    <n v="6222164"/>
    <m/>
    <m/>
    <n v="0"/>
    <m/>
    <m/>
    <n v="0"/>
    <m/>
    <m/>
    <m/>
    <m/>
    <m/>
    <m/>
    <n v="0"/>
    <n v="6222164"/>
  </r>
  <r>
    <x v="7"/>
    <x v="42"/>
    <s v="Non-need based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Amount to private sector students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Need-based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Non-need based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Graduate and Professional Grant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Amount to public sector students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Need-based"/>
    <m/>
    <m/>
    <x v="13"/>
    <m/>
    <m/>
    <m/>
    <m/>
    <m/>
    <m/>
    <m/>
    <m/>
    <n v="0"/>
    <m/>
    <m/>
    <n v="0"/>
    <n v="0"/>
    <n v="0"/>
    <m/>
    <n v="843820"/>
    <m/>
    <m/>
    <n v="0"/>
    <m/>
    <m/>
    <n v="0"/>
    <m/>
    <m/>
    <m/>
    <m/>
    <m/>
    <m/>
    <n v="0"/>
    <n v="843820"/>
  </r>
  <r>
    <x v="7"/>
    <x v="42"/>
    <s v="Non-need based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Amount to private sector students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Need-based"/>
    <m/>
    <m/>
    <x v="13"/>
    <m/>
    <m/>
    <m/>
    <m/>
    <m/>
    <m/>
    <m/>
    <m/>
    <n v="0"/>
    <m/>
    <m/>
    <n v="0"/>
    <n v="0"/>
    <n v="0"/>
    <m/>
    <n v="181245"/>
    <m/>
    <m/>
    <n v="0"/>
    <m/>
    <m/>
    <n v="0"/>
    <m/>
    <m/>
    <m/>
    <m/>
    <m/>
    <m/>
    <n v="0"/>
    <n v="181245"/>
  </r>
  <r>
    <x v="7"/>
    <x v="42"/>
    <s v="Non-need based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Part-Time Grant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Amount to public sector students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Need-based"/>
    <m/>
    <m/>
    <x v="13"/>
    <m/>
    <m/>
    <m/>
    <m/>
    <m/>
    <m/>
    <m/>
    <m/>
    <n v="0"/>
    <m/>
    <m/>
    <n v="0"/>
    <n v="0"/>
    <n v="0"/>
    <m/>
    <n v="5008150"/>
    <m/>
    <m/>
    <n v="0"/>
    <m/>
    <m/>
    <n v="0"/>
    <m/>
    <m/>
    <m/>
    <m/>
    <m/>
    <m/>
    <n v="0"/>
    <n v="5008150"/>
  </r>
  <r>
    <x v="7"/>
    <x v="42"/>
    <s v="Non-need based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Amount to private sector students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Need-based"/>
    <m/>
    <m/>
    <x v="13"/>
    <m/>
    <m/>
    <m/>
    <m/>
    <m/>
    <m/>
    <m/>
    <m/>
    <n v="0"/>
    <m/>
    <m/>
    <n v="0"/>
    <n v="0"/>
    <n v="0"/>
    <m/>
    <n v="60355"/>
    <m/>
    <m/>
    <n v="0"/>
    <m/>
    <m/>
    <n v="0"/>
    <m/>
    <m/>
    <m/>
    <m/>
    <m/>
    <m/>
    <n v="0"/>
    <n v="60355"/>
  </r>
  <r>
    <x v="7"/>
    <x v="42"/>
    <s v="Non-need based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2+2 Transfer Scholarship Program 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Amount to public sector students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Need-based"/>
    <m/>
    <m/>
    <x v="13"/>
    <m/>
    <m/>
    <m/>
    <m/>
    <m/>
    <m/>
    <m/>
    <m/>
    <n v="0"/>
    <m/>
    <m/>
    <n v="0"/>
    <n v="0"/>
    <n v="0"/>
    <m/>
    <n v="253000"/>
    <m/>
    <m/>
    <n v="0"/>
    <m/>
    <m/>
    <n v="0"/>
    <m/>
    <m/>
    <m/>
    <m/>
    <m/>
    <m/>
    <n v="0"/>
    <n v="253000"/>
  </r>
  <r>
    <x v="7"/>
    <x v="42"/>
    <s v="Non-need based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Amount to private sector students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Need-based"/>
    <m/>
    <m/>
    <x v="13"/>
    <m/>
    <m/>
    <m/>
    <m/>
    <m/>
    <m/>
    <m/>
    <m/>
    <n v="0"/>
    <m/>
    <m/>
    <n v="0"/>
    <n v="0"/>
    <n v="0"/>
    <m/>
    <n v="24500"/>
    <m/>
    <m/>
    <n v="0"/>
    <m/>
    <m/>
    <n v="0"/>
    <m/>
    <m/>
    <m/>
    <m/>
    <m/>
    <m/>
    <n v="0"/>
    <n v="24500"/>
  </r>
  <r>
    <x v="7"/>
    <x v="42"/>
    <s v="Non-need based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Near Completer Grant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Amount to public sector students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Need-based"/>
    <m/>
    <m/>
    <x v="13"/>
    <m/>
    <m/>
    <m/>
    <m/>
    <m/>
    <m/>
    <m/>
    <m/>
    <n v="0"/>
    <m/>
    <m/>
    <n v="0"/>
    <n v="0"/>
    <n v="0"/>
    <m/>
    <n v="5682"/>
    <m/>
    <m/>
    <n v="0"/>
    <m/>
    <m/>
    <n v="0"/>
    <m/>
    <m/>
    <m/>
    <m/>
    <m/>
    <m/>
    <n v="0"/>
    <n v="5682"/>
  </r>
  <r>
    <x v="7"/>
    <x v="42"/>
    <s v="Non-need based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Amount to private sector students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Need-based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s v="Non-need based"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42"/>
    <m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7"/>
    <x v="32"/>
    <s v="Need-based"/>
    <m/>
    <m/>
    <x v="12"/>
    <m/>
    <m/>
    <m/>
    <m/>
    <m/>
    <m/>
    <m/>
    <m/>
    <n v="0"/>
    <m/>
    <m/>
    <n v="0"/>
    <n v="0"/>
    <n v="0"/>
    <n v="76865911"/>
    <n v="67941352"/>
    <m/>
    <m/>
    <n v="0"/>
    <m/>
    <m/>
    <n v="0"/>
    <m/>
    <m/>
    <m/>
    <m/>
    <m/>
    <m/>
    <n v="76865911"/>
    <n v="67941352"/>
  </r>
  <r>
    <x v="7"/>
    <x v="33"/>
    <s v="Non need-based"/>
    <m/>
    <m/>
    <x v="12"/>
    <m/>
    <m/>
    <m/>
    <m/>
    <m/>
    <m/>
    <m/>
    <m/>
    <n v="0"/>
    <m/>
    <m/>
    <n v="0"/>
    <n v="0"/>
    <n v="0"/>
    <n v="11968244.620000001"/>
    <n v="13309511"/>
    <m/>
    <m/>
    <n v="0"/>
    <m/>
    <m/>
    <n v="0"/>
    <m/>
    <m/>
    <m/>
    <m/>
    <m/>
    <m/>
    <n v="11968244.620000001"/>
    <n v="13309511"/>
  </r>
  <r>
    <x v="7"/>
    <x v="34"/>
    <s v="Limited to private college students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7"/>
    <x v="35"/>
    <s v="Need-based"/>
    <m/>
    <m/>
    <x v="12"/>
    <m/>
    <m/>
    <m/>
    <m/>
    <m/>
    <m/>
    <m/>
    <m/>
    <n v="0"/>
    <m/>
    <m/>
    <n v="0"/>
    <n v="0"/>
    <n v="0"/>
    <n v="17743264"/>
    <n v="18360775"/>
    <m/>
    <m/>
    <n v="0"/>
    <m/>
    <m/>
    <n v="0"/>
    <m/>
    <m/>
    <m/>
    <m/>
    <m/>
    <m/>
    <n v="17743264"/>
    <n v="18360775"/>
  </r>
  <r>
    <x v="7"/>
    <x v="36"/>
    <s v="Non need-based"/>
    <m/>
    <m/>
    <x v="12"/>
    <m/>
    <m/>
    <m/>
    <m/>
    <m/>
    <m/>
    <m/>
    <m/>
    <n v="0"/>
    <m/>
    <m/>
    <n v="0"/>
    <n v="0"/>
    <n v="0"/>
    <n v="3118941"/>
    <n v="1566789"/>
    <m/>
    <m/>
    <n v="0"/>
    <m/>
    <m/>
    <n v="0"/>
    <m/>
    <m/>
    <m/>
    <m/>
    <m/>
    <m/>
    <n v="3118941"/>
    <n v="1566789"/>
  </r>
  <r>
    <x v="8"/>
    <x v="0"/>
    <s v="Mississippi State University"/>
    <m/>
    <n v="176080"/>
    <x v="0"/>
    <n v="94181267"/>
    <n v="99722176"/>
    <m/>
    <m/>
    <m/>
    <m/>
    <n v="266305240"/>
    <n v="0"/>
    <n v="266305240"/>
    <n v="263948242"/>
    <n v="0"/>
    <n v="263948242"/>
    <n v="360486507"/>
    <n v="363670418"/>
    <m/>
    <m/>
    <m/>
    <m/>
    <n v="0"/>
    <m/>
    <m/>
    <n v="0"/>
    <m/>
    <m/>
    <m/>
    <m/>
    <m/>
    <m/>
    <n v="360486507"/>
    <n v="363670418"/>
  </r>
  <r>
    <x v="8"/>
    <x v="1"/>
    <s v="Vet Med School"/>
    <m/>
    <n v="176080"/>
    <x v="0"/>
    <m/>
    <m/>
    <m/>
    <m/>
    <m/>
    <m/>
    <m/>
    <m/>
    <n v="0"/>
    <m/>
    <m/>
    <n v="0"/>
    <n v="0"/>
    <n v="0"/>
    <m/>
    <m/>
    <m/>
    <m/>
    <n v="0"/>
    <m/>
    <m/>
    <n v="0"/>
    <n v="18108170"/>
    <n v="17494212"/>
    <n v="14525489"/>
    <n v="0"/>
    <n v="14525489"/>
    <n v="0"/>
    <n v="32633659"/>
    <n v="32019701"/>
  </r>
  <r>
    <x v="8"/>
    <x v="5"/>
    <s v="Agricultural Cooperative Extension"/>
    <m/>
    <n v="176080"/>
    <x v="0"/>
    <m/>
    <m/>
    <n v="30339497"/>
    <n v="30189497"/>
    <m/>
    <m/>
    <m/>
    <m/>
    <n v="0"/>
    <m/>
    <m/>
    <n v="0"/>
    <n v="30339497"/>
    <n v="30189497"/>
    <m/>
    <m/>
    <m/>
    <m/>
    <n v="0"/>
    <m/>
    <m/>
    <n v="0"/>
    <m/>
    <m/>
    <m/>
    <m/>
    <m/>
    <m/>
    <n v="30339497"/>
    <n v="30189497"/>
  </r>
  <r>
    <x v="8"/>
    <x v="6"/>
    <s v="Agricultural Experiment Stations"/>
    <m/>
    <n v="176080"/>
    <x v="0"/>
    <m/>
    <m/>
    <n v="23338327"/>
    <n v="22566445"/>
    <m/>
    <m/>
    <m/>
    <m/>
    <n v="0"/>
    <m/>
    <m/>
    <n v="0"/>
    <n v="23338327"/>
    <n v="22566445"/>
    <m/>
    <m/>
    <m/>
    <m/>
    <n v="0"/>
    <m/>
    <m/>
    <n v="0"/>
    <m/>
    <m/>
    <m/>
    <m/>
    <m/>
    <m/>
    <n v="23338327"/>
    <n v="22566445"/>
  </r>
  <r>
    <x v="8"/>
    <x v="7"/>
    <s v="Research Units"/>
    <m/>
    <n v="176080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7"/>
    <s v="State Chemical Lab"/>
    <m/>
    <n v="176080"/>
    <x v="0"/>
    <m/>
    <m/>
    <n v="1628395"/>
    <n v="1573224"/>
    <m/>
    <m/>
    <m/>
    <m/>
    <n v="0"/>
    <m/>
    <m/>
    <n v="0"/>
    <n v="1628395"/>
    <n v="1573224"/>
    <m/>
    <m/>
    <m/>
    <m/>
    <n v="0"/>
    <m/>
    <m/>
    <n v="0"/>
    <m/>
    <m/>
    <m/>
    <m/>
    <m/>
    <m/>
    <n v="1628395"/>
    <n v="1573224"/>
  </r>
  <r>
    <x v="8"/>
    <x v="7"/>
    <s v="Forest/wildlife Research Center"/>
    <m/>
    <n v="176080"/>
    <x v="0"/>
    <m/>
    <m/>
    <n v="5798433"/>
    <n v="5632070"/>
    <m/>
    <m/>
    <m/>
    <m/>
    <n v="0"/>
    <m/>
    <m/>
    <n v="0"/>
    <n v="5798433"/>
    <n v="5632070"/>
    <m/>
    <m/>
    <m/>
    <m/>
    <n v="0"/>
    <m/>
    <m/>
    <n v="0"/>
    <m/>
    <m/>
    <m/>
    <m/>
    <m/>
    <m/>
    <n v="5798433"/>
    <n v="5632070"/>
  </r>
  <r>
    <x v="8"/>
    <x v="7"/>
    <s v="Water resources institute"/>
    <m/>
    <n v="176080"/>
    <x v="0"/>
    <m/>
    <m/>
    <n v="357031"/>
    <n v="351676"/>
    <m/>
    <m/>
    <m/>
    <m/>
    <n v="0"/>
    <m/>
    <m/>
    <n v="0"/>
    <n v="357031"/>
    <n v="351676"/>
    <m/>
    <m/>
    <m/>
    <m/>
    <n v="0"/>
    <m/>
    <m/>
    <n v="0"/>
    <m/>
    <m/>
    <m/>
    <m/>
    <m/>
    <m/>
    <n v="357031"/>
    <n v="351676"/>
  </r>
  <r>
    <x v="8"/>
    <x v="7"/>
    <s v="Stennis Institute"/>
    <m/>
    <n v="176080"/>
    <x v="0"/>
    <m/>
    <m/>
    <n v="759856"/>
    <n v="734225"/>
    <m/>
    <m/>
    <m/>
    <m/>
    <n v="0"/>
    <m/>
    <m/>
    <n v="0"/>
    <n v="759856"/>
    <n v="734225"/>
    <m/>
    <m/>
    <m/>
    <m/>
    <n v="0"/>
    <m/>
    <m/>
    <n v="0"/>
    <m/>
    <m/>
    <m/>
    <m/>
    <m/>
    <m/>
    <n v="759856"/>
    <n v="734225"/>
  </r>
  <r>
    <x v="8"/>
    <x v="7"/>
    <s v="Advanced Vehicular Systems"/>
    <m/>
    <n v="176080"/>
    <x v="0"/>
    <m/>
    <m/>
    <n v="4476980"/>
    <n v="4382262"/>
    <m/>
    <m/>
    <m/>
    <m/>
    <n v="0"/>
    <m/>
    <m/>
    <n v="0"/>
    <n v="4476980"/>
    <n v="4382262"/>
    <m/>
    <m/>
    <m/>
    <m/>
    <n v="0"/>
    <m/>
    <m/>
    <n v="0"/>
    <m/>
    <m/>
    <m/>
    <m/>
    <m/>
    <m/>
    <n v="4476980"/>
    <n v="4382262"/>
  </r>
  <r>
    <x v="8"/>
    <x v="0"/>
    <s v="University of Mississippi"/>
    <m/>
    <n v="176017"/>
    <x v="0"/>
    <n v="83687512"/>
    <n v="90287712"/>
    <m/>
    <m/>
    <m/>
    <m/>
    <n v="304574375"/>
    <n v="0"/>
    <n v="304574375"/>
    <n v="296608727"/>
    <n v="0"/>
    <n v="296608727"/>
    <n v="388261887"/>
    <n v="386896439"/>
    <m/>
    <m/>
    <m/>
    <m/>
    <n v="0"/>
    <m/>
    <m/>
    <n v="0"/>
    <n v="172873959"/>
    <n v="167469574"/>
    <n v="43262136"/>
    <n v="0"/>
    <n v="41473185"/>
    <n v="0"/>
    <n v="604397982"/>
    <n v="595839198"/>
  </r>
  <r>
    <x v="8"/>
    <x v="3"/>
    <s v="Community/Public Service  Units"/>
    <m/>
    <n v="176017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"/>
    <s v="Small Business Development Ctr."/>
    <m/>
    <n v="176017"/>
    <x v="0"/>
    <m/>
    <m/>
    <n v="257571"/>
    <n v="253707"/>
    <m/>
    <m/>
    <m/>
    <m/>
    <n v="0"/>
    <m/>
    <m/>
    <n v="0"/>
    <n v="257571"/>
    <n v="253707"/>
    <m/>
    <m/>
    <m/>
    <m/>
    <n v="0"/>
    <m/>
    <m/>
    <n v="0"/>
    <m/>
    <m/>
    <m/>
    <m/>
    <m/>
    <m/>
    <n v="257571"/>
    <n v="253707"/>
  </r>
  <r>
    <x v="8"/>
    <x v="7"/>
    <s v="Research Units"/>
    <m/>
    <n v="176017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7"/>
    <s v="Pharmaceutical research"/>
    <m/>
    <n v="176017"/>
    <x v="0"/>
    <m/>
    <m/>
    <n v="3333813"/>
    <n v="3259181"/>
    <m/>
    <m/>
    <m/>
    <m/>
    <n v="0"/>
    <m/>
    <m/>
    <n v="0"/>
    <n v="3333813"/>
    <n v="3259181"/>
    <m/>
    <m/>
    <m/>
    <m/>
    <n v="0"/>
    <m/>
    <m/>
    <n v="0"/>
    <m/>
    <m/>
    <m/>
    <m/>
    <m/>
    <m/>
    <n v="3333813"/>
    <n v="3259181"/>
  </r>
  <r>
    <x v="8"/>
    <x v="7"/>
    <s v="Law Research Institute"/>
    <m/>
    <n v="176017"/>
    <x v="0"/>
    <m/>
    <m/>
    <n v="814188"/>
    <n v="801975"/>
    <m/>
    <m/>
    <m/>
    <m/>
    <n v="0"/>
    <m/>
    <m/>
    <n v="0"/>
    <n v="814188"/>
    <n v="801975"/>
    <m/>
    <m/>
    <m/>
    <m/>
    <n v="0"/>
    <m/>
    <m/>
    <n v="0"/>
    <m/>
    <m/>
    <m/>
    <m/>
    <m/>
    <m/>
    <n v="814188"/>
    <n v="801975"/>
  </r>
  <r>
    <x v="8"/>
    <x v="7"/>
    <s v="Mineral Resources Institute"/>
    <m/>
    <n v="176017"/>
    <x v="0"/>
    <m/>
    <m/>
    <n v="342520"/>
    <n v="335281"/>
    <m/>
    <m/>
    <m/>
    <m/>
    <n v="0"/>
    <m/>
    <m/>
    <n v="0"/>
    <n v="342520"/>
    <n v="335281"/>
    <m/>
    <m/>
    <m/>
    <m/>
    <n v="0"/>
    <m/>
    <m/>
    <n v="0"/>
    <m/>
    <m/>
    <m/>
    <m/>
    <m/>
    <m/>
    <n v="342520"/>
    <n v="335281"/>
  </r>
  <r>
    <x v="8"/>
    <x v="7"/>
    <s v="Supercomputer"/>
    <m/>
    <n v="176017"/>
    <x v="0"/>
    <m/>
    <m/>
    <n v="636986"/>
    <n v="627431"/>
    <m/>
    <m/>
    <m/>
    <m/>
    <n v="0"/>
    <m/>
    <m/>
    <n v="0"/>
    <n v="636986"/>
    <n v="627431"/>
    <m/>
    <m/>
    <m/>
    <m/>
    <n v="0"/>
    <m/>
    <m/>
    <n v="0"/>
    <m/>
    <m/>
    <m/>
    <m/>
    <m/>
    <m/>
    <n v="636986"/>
    <n v="627431"/>
  </r>
  <r>
    <x v="8"/>
    <x v="7"/>
    <s v="Center for Manufacturing Excellence "/>
    <m/>
    <n v="176017"/>
    <x v="0"/>
    <m/>
    <m/>
    <n v="2736784"/>
    <n v="2661973"/>
    <m/>
    <m/>
    <m/>
    <m/>
    <n v="0"/>
    <m/>
    <m/>
    <n v="0"/>
    <n v="2736784"/>
    <n v="2661973"/>
    <m/>
    <m/>
    <m/>
    <m/>
    <n v="0"/>
    <m/>
    <m/>
    <n v="0"/>
    <m/>
    <m/>
    <m/>
    <m/>
    <m/>
    <m/>
    <n v="2736784"/>
    <n v="2661973"/>
  </r>
  <r>
    <x v="8"/>
    <x v="7"/>
    <s v="State Court Education Program"/>
    <m/>
    <n v="176017"/>
    <x v="0"/>
    <m/>
    <m/>
    <n v="1725680"/>
    <n v="1699795"/>
    <m/>
    <m/>
    <m/>
    <m/>
    <n v="0"/>
    <m/>
    <m/>
    <n v="0"/>
    <n v="1725680"/>
    <n v="1699795"/>
    <m/>
    <m/>
    <m/>
    <m/>
    <n v="0"/>
    <m/>
    <m/>
    <n v="0"/>
    <m/>
    <m/>
    <m/>
    <m/>
    <m/>
    <m/>
    <n v="1725680"/>
    <n v="1699795"/>
  </r>
  <r>
    <x v="8"/>
    <x v="0"/>
    <s v="University of Southern Mississippi"/>
    <m/>
    <n v="176372"/>
    <x v="0"/>
    <n v="79296115"/>
    <n v="82472193"/>
    <m/>
    <m/>
    <m/>
    <m/>
    <n v="120969043"/>
    <n v="0"/>
    <n v="120969043"/>
    <n v="116029490"/>
    <n v="0"/>
    <n v="116029490"/>
    <n v="200265158"/>
    <n v="198501683"/>
    <m/>
    <m/>
    <m/>
    <m/>
    <n v="0"/>
    <m/>
    <m/>
    <n v="0"/>
    <m/>
    <m/>
    <m/>
    <m/>
    <m/>
    <m/>
    <n v="200265158"/>
    <n v="198501683"/>
  </r>
  <r>
    <x v="8"/>
    <x v="7"/>
    <s v="Research Units"/>
    <m/>
    <n v="17637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7"/>
    <s v="Gulf-Coast Research Lab"/>
    <m/>
    <n v="176372"/>
    <x v="0"/>
    <m/>
    <m/>
    <n v="8094965"/>
    <n v="7954571"/>
    <m/>
    <m/>
    <n v="399548"/>
    <n v="0"/>
    <n v="399548"/>
    <n v="233874"/>
    <n v="0"/>
    <n v="233874"/>
    <n v="8494513"/>
    <n v="8188445"/>
    <m/>
    <m/>
    <m/>
    <m/>
    <n v="0"/>
    <m/>
    <m/>
    <n v="0"/>
    <m/>
    <m/>
    <m/>
    <m/>
    <m/>
    <m/>
    <n v="8494513"/>
    <n v="8188445"/>
  </r>
  <r>
    <x v="8"/>
    <x v="7"/>
    <s v="Polymer Institute"/>
    <m/>
    <n v="176372"/>
    <x v="0"/>
    <m/>
    <m/>
    <n v="608227"/>
    <n v="599104"/>
    <m/>
    <m/>
    <m/>
    <m/>
    <n v="0"/>
    <m/>
    <m/>
    <n v="0"/>
    <n v="608227"/>
    <n v="599104"/>
    <m/>
    <m/>
    <m/>
    <m/>
    <n v="0"/>
    <m/>
    <m/>
    <n v="0"/>
    <m/>
    <m/>
    <m/>
    <m/>
    <m/>
    <m/>
    <n v="608227"/>
    <n v="599104"/>
  </r>
  <r>
    <x v="8"/>
    <x v="7"/>
    <s v="Stennis Center"/>
    <m/>
    <n v="176372"/>
    <x v="0"/>
    <m/>
    <m/>
    <n v="347779"/>
    <n v="342550"/>
    <m/>
    <m/>
    <m/>
    <m/>
    <n v="0"/>
    <m/>
    <m/>
    <n v="0"/>
    <n v="347779"/>
    <n v="342550"/>
    <m/>
    <m/>
    <m/>
    <m/>
    <n v="0"/>
    <m/>
    <m/>
    <n v="0"/>
    <m/>
    <m/>
    <m/>
    <m/>
    <m/>
    <m/>
    <n v="347779"/>
    <n v="342550"/>
  </r>
  <r>
    <x v="8"/>
    <x v="0"/>
    <s v="Jackson State University "/>
    <m/>
    <n v="175856"/>
    <x v="1"/>
    <n v="43421765"/>
    <n v="44313539"/>
    <m/>
    <m/>
    <m/>
    <m/>
    <n v="53554355"/>
    <n v="0"/>
    <n v="53554355"/>
    <n v="53554355"/>
    <n v="0"/>
    <n v="53554355"/>
    <n v="96976120"/>
    <n v="97867894"/>
    <m/>
    <m/>
    <m/>
    <m/>
    <n v="0"/>
    <m/>
    <m/>
    <n v="0"/>
    <m/>
    <m/>
    <m/>
    <m/>
    <m/>
    <m/>
    <n v="96976120"/>
    <n v="97867894"/>
  </r>
  <r>
    <x v="8"/>
    <x v="7"/>
    <s v="Urban Research Center"/>
    <m/>
    <n v="175856"/>
    <x v="1"/>
    <m/>
    <m/>
    <n v="457826"/>
    <n v="450959"/>
    <m/>
    <m/>
    <m/>
    <m/>
    <n v="0"/>
    <m/>
    <m/>
    <n v="0"/>
    <n v="457826"/>
    <n v="450959"/>
    <m/>
    <m/>
    <m/>
    <m/>
    <n v="0"/>
    <m/>
    <m/>
    <n v="0"/>
    <m/>
    <m/>
    <m/>
    <m/>
    <m/>
    <m/>
    <n v="457826"/>
    <n v="450959"/>
  </r>
  <r>
    <x v="8"/>
    <x v="0"/>
    <s v="Alcorn State University"/>
    <m/>
    <n v="175342"/>
    <x v="3"/>
    <n v="21906147"/>
    <n v="22292356"/>
    <m/>
    <m/>
    <m/>
    <m/>
    <n v="24071119"/>
    <n v="0"/>
    <n v="24071119"/>
    <n v="20057165"/>
    <n v="0"/>
    <n v="20057165"/>
    <n v="45977266"/>
    <n v="42349521"/>
    <m/>
    <m/>
    <m/>
    <m/>
    <n v="0"/>
    <m/>
    <m/>
    <n v="0"/>
    <m/>
    <m/>
    <m/>
    <m/>
    <m/>
    <m/>
    <n v="45977266"/>
    <n v="42349521"/>
  </r>
  <r>
    <x v="8"/>
    <x v="5"/>
    <s v="Agricultural Units"/>
    <m/>
    <n v="175342"/>
    <x v="3"/>
    <m/>
    <m/>
    <n v="6431464"/>
    <n v="6273001"/>
    <m/>
    <m/>
    <m/>
    <m/>
    <n v="0"/>
    <m/>
    <m/>
    <n v="0"/>
    <n v="6431464"/>
    <n v="6273001"/>
    <m/>
    <m/>
    <m/>
    <m/>
    <n v="0"/>
    <m/>
    <m/>
    <n v="0"/>
    <m/>
    <m/>
    <m/>
    <m/>
    <m/>
    <m/>
    <n v="6431464"/>
    <n v="6273001"/>
  </r>
  <r>
    <x v="8"/>
    <x v="0"/>
    <s v="Delta State University"/>
    <m/>
    <n v="175616"/>
    <x v="3"/>
    <n v="21090062"/>
    <n v="21890542"/>
    <m/>
    <m/>
    <m/>
    <m/>
    <n v="22750686"/>
    <n v="0"/>
    <n v="22750686"/>
    <n v="24019748"/>
    <n v="0"/>
    <n v="24019748"/>
    <n v="43840748"/>
    <n v="45910290"/>
    <m/>
    <m/>
    <m/>
    <m/>
    <n v="0"/>
    <m/>
    <m/>
    <n v="0"/>
    <m/>
    <m/>
    <m/>
    <m/>
    <m/>
    <m/>
    <n v="43840748"/>
    <n v="45910290"/>
  </r>
  <r>
    <x v="8"/>
    <x v="0"/>
    <s v="Mississippi University for Women"/>
    <m/>
    <n v="176035"/>
    <x v="3"/>
    <n v="15969991"/>
    <n v="16570877"/>
    <m/>
    <m/>
    <m/>
    <m/>
    <n v="22041936"/>
    <n v="0"/>
    <n v="22041936"/>
    <n v="20994241"/>
    <n v="0"/>
    <n v="20994241"/>
    <n v="38011927"/>
    <n v="37565118"/>
    <m/>
    <m/>
    <m/>
    <m/>
    <n v="0"/>
    <m/>
    <m/>
    <n v="0"/>
    <m/>
    <m/>
    <m/>
    <m/>
    <m/>
    <m/>
    <n v="38011927"/>
    <n v="37565118"/>
  </r>
  <r>
    <x v="8"/>
    <x v="0"/>
    <s v="Mississippi Valley State University"/>
    <m/>
    <n v="176044"/>
    <x v="3"/>
    <n v="16060233"/>
    <n v="15700450"/>
    <m/>
    <m/>
    <m/>
    <m/>
    <n v="14792950"/>
    <n v="0"/>
    <n v="14792950"/>
    <n v="13610400"/>
    <n v="0"/>
    <n v="13610400"/>
    <n v="30853183"/>
    <n v="29310850"/>
    <m/>
    <m/>
    <m/>
    <m/>
    <n v="0"/>
    <m/>
    <m/>
    <n v="0"/>
    <m/>
    <m/>
    <m/>
    <m/>
    <m/>
    <m/>
    <n v="30853183"/>
    <n v="29310850"/>
  </r>
  <r>
    <x v="8"/>
    <x v="10"/>
    <s v="Statewide Special-Purpos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44"/>
    <s v="Community or public servic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44"/>
    <s v="Volunteer Commission"/>
    <m/>
    <m/>
    <x v="12"/>
    <m/>
    <m/>
    <m/>
    <m/>
    <m/>
    <m/>
    <m/>
    <m/>
    <n v="0"/>
    <m/>
    <m/>
    <n v="0"/>
    <n v="0"/>
    <n v="0"/>
    <n v="693876"/>
    <n v="683468"/>
    <m/>
    <m/>
    <n v="0"/>
    <m/>
    <m/>
    <n v="0"/>
    <m/>
    <m/>
    <m/>
    <m/>
    <m/>
    <m/>
    <n v="693876"/>
    <n v="683468"/>
  </r>
  <r>
    <x v="8"/>
    <x v="13"/>
    <s v="Education special purpose funds —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5"/>
    <s v="Ms Board of Trustees I.H.L"/>
    <s v="Col V - For FY2021,  $6,218,000 of appropriated CARES funds were subtracted from the original number ($13459934)"/>
    <m/>
    <x v="12"/>
    <m/>
    <m/>
    <m/>
    <m/>
    <m/>
    <m/>
    <m/>
    <m/>
    <n v="0"/>
    <m/>
    <m/>
    <n v="0"/>
    <n v="0"/>
    <n v="0"/>
    <n v="7371089"/>
    <n v="7241934"/>
    <m/>
    <m/>
    <n v="0"/>
    <m/>
    <m/>
    <n v="0"/>
    <m/>
    <m/>
    <m/>
    <m/>
    <m/>
    <m/>
    <n v="7371089"/>
    <n v="7241934"/>
  </r>
  <r>
    <x v="8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7"/>
    <s v="SREB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18"/>
    <s v="Student Financial Aid Administration"/>
    <m/>
    <m/>
    <x v="12"/>
    <m/>
    <m/>
    <m/>
    <m/>
    <m/>
    <m/>
    <m/>
    <m/>
    <n v="0"/>
    <m/>
    <m/>
    <n v="0"/>
    <n v="0"/>
    <n v="0"/>
    <n v="1144696.6299999999"/>
    <n v="1114427"/>
    <m/>
    <m/>
    <n v="0"/>
    <m/>
    <m/>
    <n v="0"/>
    <m/>
    <m/>
    <m/>
    <m/>
    <m/>
    <m/>
    <n v="1144696.6299999999"/>
    <n v="1114427"/>
  </r>
  <r>
    <x v="8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40"/>
    <s v="Southern College of Optometry"/>
    <m/>
    <m/>
    <x v="12"/>
    <m/>
    <m/>
    <m/>
    <m/>
    <m/>
    <m/>
    <m/>
    <m/>
    <n v="0"/>
    <m/>
    <m/>
    <n v="0"/>
    <n v="0"/>
    <n v="0"/>
    <n v="460800"/>
    <n v="441600"/>
    <m/>
    <m/>
    <n v="0"/>
    <m/>
    <m/>
    <n v="0"/>
    <m/>
    <m/>
    <m/>
    <m/>
    <m/>
    <m/>
    <n v="460800"/>
    <n v="441600"/>
  </r>
  <r>
    <x v="8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41"/>
    <s v="University of Alabama at Birmingham (Optometry)"/>
    <m/>
    <m/>
    <x v="12"/>
    <m/>
    <m/>
    <m/>
    <m/>
    <m/>
    <m/>
    <m/>
    <m/>
    <n v="0"/>
    <m/>
    <m/>
    <n v="0"/>
    <n v="0"/>
    <n v="0"/>
    <n v="124800"/>
    <n v="115200"/>
    <m/>
    <m/>
    <n v="0"/>
    <m/>
    <m/>
    <n v="0"/>
    <m/>
    <m/>
    <m/>
    <m/>
    <m/>
    <m/>
    <n v="124800"/>
    <n v="115200"/>
  </r>
  <r>
    <x v="8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2"/>
    <s v="Higher Education Legislative Plan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6"/>
    <s v="Need-based"/>
    <m/>
    <m/>
    <x v="12"/>
    <m/>
    <m/>
    <m/>
    <m/>
    <m/>
    <m/>
    <m/>
    <m/>
    <n v="0"/>
    <m/>
    <m/>
    <n v="0"/>
    <n v="0"/>
    <n v="0"/>
    <n v="24615002.5"/>
    <n v="24731264"/>
    <m/>
    <m/>
    <n v="0"/>
    <m/>
    <m/>
    <n v="0"/>
    <m/>
    <m/>
    <m/>
    <m/>
    <m/>
    <m/>
    <n v="24615002.5"/>
    <n v="24731264"/>
  </r>
  <r>
    <x v="8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0"/>
    <s v="Need-based"/>
    <m/>
    <m/>
    <x v="12"/>
    <m/>
    <m/>
    <m/>
    <m/>
    <m/>
    <m/>
    <m/>
    <m/>
    <n v="0"/>
    <m/>
    <m/>
    <n v="0"/>
    <n v="0"/>
    <n v="0"/>
    <n v="2293616"/>
    <n v="2320771"/>
    <m/>
    <m/>
    <n v="0"/>
    <m/>
    <m/>
    <n v="0"/>
    <m/>
    <m/>
    <m/>
    <m/>
    <m/>
    <m/>
    <n v="2293616"/>
    <n v="2320771"/>
  </r>
  <r>
    <x v="8"/>
    <x v="22"/>
    <s v="MS Resident Tuition Assistance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7"/>
    <s v="Non need-based"/>
    <m/>
    <m/>
    <x v="12"/>
    <m/>
    <m/>
    <m/>
    <m/>
    <m/>
    <m/>
    <m/>
    <m/>
    <n v="0"/>
    <m/>
    <m/>
    <n v="0"/>
    <n v="0"/>
    <n v="0"/>
    <n v="9500995.6999999993"/>
    <n v="8824582"/>
    <m/>
    <m/>
    <n v="0"/>
    <m/>
    <m/>
    <n v="0"/>
    <m/>
    <m/>
    <m/>
    <m/>
    <m/>
    <m/>
    <n v="9500995.6999999993"/>
    <n v="8824582"/>
  </r>
  <r>
    <x v="8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9"/>
    <s v="Non need-based"/>
    <m/>
    <m/>
    <x v="12"/>
    <m/>
    <m/>
    <m/>
    <m/>
    <m/>
    <m/>
    <m/>
    <m/>
    <n v="0"/>
    <m/>
    <m/>
    <n v="0"/>
    <n v="0"/>
    <n v="0"/>
    <n v="989448"/>
    <n v="866577"/>
    <m/>
    <m/>
    <n v="0"/>
    <m/>
    <m/>
    <n v="0"/>
    <m/>
    <m/>
    <m/>
    <m/>
    <m/>
    <m/>
    <n v="989448"/>
    <n v="866577"/>
  </r>
  <r>
    <x v="8"/>
    <x v="27"/>
    <s v="MS Eminent Scholars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3"/>
    <s v="Non need-based"/>
    <m/>
    <m/>
    <x v="12"/>
    <m/>
    <m/>
    <m/>
    <m/>
    <m/>
    <m/>
    <m/>
    <m/>
    <n v="0"/>
    <m/>
    <m/>
    <n v="0"/>
    <n v="0"/>
    <n v="0"/>
    <n v="6428919"/>
    <n v="6811466"/>
    <m/>
    <m/>
    <n v="0"/>
    <m/>
    <m/>
    <n v="0"/>
    <m/>
    <m/>
    <m/>
    <m/>
    <m/>
    <m/>
    <n v="6428919"/>
    <n v="6811466"/>
  </r>
  <r>
    <x v="8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9"/>
    <s v="Non need-based"/>
    <m/>
    <m/>
    <x v="12"/>
    <m/>
    <m/>
    <m/>
    <m/>
    <m/>
    <m/>
    <m/>
    <m/>
    <n v="0"/>
    <m/>
    <m/>
    <n v="0"/>
    <n v="0"/>
    <n v="0"/>
    <n v="975835"/>
    <n v="973749"/>
    <m/>
    <m/>
    <n v="0"/>
    <m/>
    <m/>
    <n v="0"/>
    <m/>
    <m/>
    <m/>
    <m/>
    <m/>
    <m/>
    <n v="975835"/>
    <n v="973749"/>
  </r>
  <r>
    <x v="8"/>
    <x v="25"/>
    <s v="MS Teacher Loan Repayment (MTLR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2"/>
    <s v="Forgivable Loan Programs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8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7"/>
    <s v="Non need-based"/>
    <m/>
    <m/>
    <x v="12"/>
    <m/>
    <m/>
    <m/>
    <m/>
    <m/>
    <m/>
    <m/>
    <m/>
    <n v="0"/>
    <m/>
    <m/>
    <n v="0"/>
    <n v="0"/>
    <n v="0"/>
    <n v="7500"/>
    <n v="0"/>
    <m/>
    <m/>
    <n v="0"/>
    <m/>
    <m/>
    <n v="0"/>
    <m/>
    <m/>
    <m/>
    <m/>
    <m/>
    <m/>
    <n v="7500"/>
    <n v="0"/>
  </r>
  <r>
    <x v="8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29"/>
    <s v="Non 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8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1"/>
    <s v="Scholarship/Grant Programs"/>
    <s v="(New section for LAW, PMGT, NISS)"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3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1"/>
    <s v="Forgivable Loa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8"/>
    <x v="33"/>
    <s v="Non-Need Based Grants - LAW, NISS, PMGT"/>
    <m/>
    <m/>
    <x v="12"/>
    <m/>
    <m/>
    <m/>
    <m/>
    <m/>
    <m/>
    <m/>
    <m/>
    <n v="0"/>
    <m/>
    <m/>
    <n v="0"/>
    <n v="0"/>
    <n v="0"/>
    <n v="98767"/>
    <n v="138973"/>
    <m/>
    <m/>
    <n v="0"/>
    <m/>
    <m/>
    <n v="0"/>
    <m/>
    <m/>
    <m/>
    <m/>
    <m/>
    <m/>
    <n v="98767"/>
    <n v="138973"/>
  </r>
  <r>
    <x v="8"/>
    <x v="34"/>
    <s v="Limited to private college students only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8"/>
    <x v="34"/>
    <s v="Forgivable Loan Programs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8"/>
    <x v="36"/>
    <s v="Non need-based (STSC)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8"/>
    <x v="42"/>
    <m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0"/>
    <s v="North Carolina State University "/>
    <m/>
    <n v="199193"/>
    <x v="0"/>
    <n v="372680767.14999998"/>
    <n v="376390677"/>
    <m/>
    <m/>
    <m/>
    <m/>
    <n v="427926820"/>
    <m/>
    <n v="427926820"/>
    <n v="426860683"/>
    <m/>
    <n v="426860683"/>
    <n v="800607587.14999998"/>
    <n v="803251360"/>
    <m/>
    <m/>
    <m/>
    <m/>
    <n v="0"/>
    <m/>
    <m/>
    <n v="0"/>
    <m/>
    <m/>
    <m/>
    <m/>
    <m/>
    <m/>
    <n v="800607587.14999998"/>
    <n v="803251360"/>
  </r>
  <r>
    <x v="9"/>
    <x v="1"/>
    <s v="Vet Med School"/>
    <m/>
    <n v="199193"/>
    <x v="0"/>
    <m/>
    <m/>
    <m/>
    <m/>
    <m/>
    <m/>
    <m/>
    <m/>
    <n v="0"/>
    <m/>
    <m/>
    <n v="0"/>
    <n v="0"/>
    <n v="0"/>
    <m/>
    <m/>
    <m/>
    <m/>
    <n v="0"/>
    <m/>
    <m/>
    <n v="0"/>
    <n v="47061774.579999998"/>
    <n v="46126008"/>
    <n v="7482547"/>
    <m/>
    <n v="8536658"/>
    <m/>
    <n v="54544321.579999998"/>
    <n v="54662666"/>
  </r>
  <r>
    <x v="9"/>
    <x v="5"/>
    <s v="Agricultural cooperative extension"/>
    <m/>
    <n v="199193"/>
    <x v="0"/>
    <m/>
    <m/>
    <n v="41032897"/>
    <n v="41475407"/>
    <m/>
    <m/>
    <m/>
    <m/>
    <n v="0"/>
    <m/>
    <m/>
    <n v="0"/>
    <n v="41032897"/>
    <n v="41475407"/>
    <m/>
    <m/>
    <m/>
    <m/>
    <n v="0"/>
    <m/>
    <m/>
    <n v="0"/>
    <m/>
    <m/>
    <m/>
    <m/>
    <m/>
    <m/>
    <n v="41032897"/>
    <n v="41475407"/>
  </r>
  <r>
    <x v="9"/>
    <x v="6"/>
    <s v="Agricultural experiment stations"/>
    <m/>
    <n v="19919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6"/>
    <s v="Agricultural Research Service"/>
    <m/>
    <n v="199193"/>
    <x v="0"/>
    <m/>
    <m/>
    <n v="55148401"/>
    <n v="55527028"/>
    <m/>
    <m/>
    <m/>
    <m/>
    <n v="0"/>
    <m/>
    <m/>
    <n v="0"/>
    <n v="55148401"/>
    <n v="55527028"/>
    <m/>
    <m/>
    <m/>
    <m/>
    <n v="0"/>
    <m/>
    <m/>
    <n v="0"/>
    <m/>
    <m/>
    <m/>
    <m/>
    <m/>
    <m/>
    <n v="55148401"/>
    <n v="55527028"/>
  </r>
  <r>
    <x v="9"/>
    <x v="0"/>
    <s v="University of North Carolina at Chapel Hill "/>
    <m/>
    <n v="199120"/>
    <x v="0"/>
    <n v="284534825.02999997"/>
    <n v="279801292"/>
    <m/>
    <m/>
    <m/>
    <m/>
    <n v="348151139.88999999"/>
    <m/>
    <n v="348151139.88999999"/>
    <n v="365364738"/>
    <m/>
    <n v="365364738"/>
    <n v="632685964.91999996"/>
    <n v="645166030"/>
    <m/>
    <m/>
    <m/>
    <m/>
    <n v="0"/>
    <m/>
    <m/>
    <n v="0"/>
    <m/>
    <m/>
    <m/>
    <m/>
    <m/>
    <m/>
    <n v="632685964.91999996"/>
    <n v="645166030"/>
  </r>
  <r>
    <x v="9"/>
    <x v="1"/>
    <s v="Health professions education"/>
    <m/>
    <n v="199120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"/>
    <s v="Medical School"/>
    <m/>
    <n v="199120"/>
    <x v="0"/>
    <m/>
    <m/>
    <m/>
    <m/>
    <m/>
    <m/>
    <m/>
    <m/>
    <n v="0"/>
    <m/>
    <m/>
    <n v="0"/>
    <n v="0"/>
    <n v="0"/>
    <m/>
    <m/>
    <m/>
    <m/>
    <n v="0"/>
    <m/>
    <m/>
    <n v="0"/>
    <n v="202440946.56"/>
    <n v="204585060"/>
    <n v="118127618"/>
    <m/>
    <n v="131752601"/>
    <m/>
    <n v="320568564.56"/>
    <n v="336337661"/>
  </r>
  <r>
    <x v="9"/>
    <x v="0"/>
    <s v="University of North Carolina at Charlotte"/>
    <m/>
    <n v="199139"/>
    <x v="0"/>
    <n v="259488126"/>
    <n v="259541402"/>
    <m/>
    <m/>
    <m/>
    <m/>
    <n v="160529006.87"/>
    <m/>
    <n v="160529006.87"/>
    <n v="166161841"/>
    <m/>
    <n v="166161841"/>
    <n v="420017132.87"/>
    <n v="425703243"/>
    <m/>
    <m/>
    <m/>
    <m/>
    <n v="0"/>
    <m/>
    <m/>
    <n v="0"/>
    <m/>
    <m/>
    <m/>
    <m/>
    <m/>
    <m/>
    <n v="420017132.87"/>
    <n v="425703243"/>
  </r>
  <r>
    <x v="9"/>
    <x v="0"/>
    <s v="University of North Carolina at Greensboro"/>
    <m/>
    <n v="199148"/>
    <x v="0"/>
    <n v="181445203"/>
    <n v="179497497"/>
    <m/>
    <m/>
    <m/>
    <m/>
    <n v="104207516"/>
    <m/>
    <n v="104207516"/>
    <n v="104328537"/>
    <m/>
    <n v="104328537"/>
    <n v="285652719"/>
    <n v="283826034"/>
    <m/>
    <m/>
    <m/>
    <m/>
    <n v="0"/>
    <m/>
    <m/>
    <n v="0"/>
    <m/>
    <m/>
    <m/>
    <m/>
    <m/>
    <m/>
    <n v="285652719"/>
    <n v="283826034"/>
  </r>
  <r>
    <x v="9"/>
    <x v="0"/>
    <s v="East Carolina University "/>
    <m/>
    <n v="198464"/>
    <x v="1"/>
    <n v="232631314"/>
    <n v="230274139"/>
    <m/>
    <m/>
    <m/>
    <m/>
    <n v="163815173.53999999"/>
    <m/>
    <n v="163815173.53999999"/>
    <n v="168632012"/>
    <m/>
    <n v="168632012"/>
    <n v="396446487.53999996"/>
    <n v="398906151"/>
    <m/>
    <m/>
    <m/>
    <m/>
    <n v="0"/>
    <m/>
    <m/>
    <n v="0"/>
    <m/>
    <m/>
    <m/>
    <m/>
    <m/>
    <m/>
    <n v="396446487.53999996"/>
    <n v="398906151"/>
  </r>
  <r>
    <x v="9"/>
    <x v="1"/>
    <s v="Medical School"/>
    <m/>
    <n v="198464"/>
    <x v="1"/>
    <m/>
    <m/>
    <m/>
    <m/>
    <m/>
    <m/>
    <m/>
    <m/>
    <n v="0"/>
    <m/>
    <m/>
    <n v="0"/>
    <n v="0"/>
    <n v="0"/>
    <m/>
    <m/>
    <m/>
    <m/>
    <n v="0"/>
    <m/>
    <m/>
    <n v="0"/>
    <n v="78360396"/>
    <n v="79044434"/>
    <n v="12138492"/>
    <m/>
    <n v="12656810"/>
    <m/>
    <n v="90498888"/>
    <n v="91701244"/>
  </r>
  <r>
    <x v="9"/>
    <x v="0"/>
    <s v="Appalachian State University "/>
    <m/>
    <n v="197869"/>
    <x v="2"/>
    <n v="149316804"/>
    <n v="151240415"/>
    <m/>
    <m/>
    <m/>
    <m/>
    <n v="107695048"/>
    <m/>
    <n v="107695048"/>
    <n v="113580499"/>
    <m/>
    <n v="113580499"/>
    <n v="257011852"/>
    <n v="264820914"/>
    <m/>
    <m/>
    <m/>
    <m/>
    <n v="0"/>
    <m/>
    <m/>
    <n v="0"/>
    <m/>
    <m/>
    <m/>
    <m/>
    <m/>
    <m/>
    <n v="257011852"/>
    <n v="264820914"/>
  </r>
  <r>
    <x v="9"/>
    <x v="0"/>
    <s v="North Carolina Agricultural &amp; Technical State University"/>
    <s v="Met the criteria for Four-Year 2 in 2019-20 and 2020-21."/>
    <n v="199102"/>
    <x v="2"/>
    <n v="97367228.930000007"/>
    <n v="92906441"/>
    <m/>
    <m/>
    <m/>
    <m/>
    <n v="85469957"/>
    <m/>
    <n v="85469957"/>
    <n v="85335416"/>
    <m/>
    <n v="85335416"/>
    <n v="182837185.93000001"/>
    <n v="178241857"/>
    <m/>
    <m/>
    <m/>
    <m/>
    <n v="0"/>
    <m/>
    <m/>
    <n v="0"/>
    <m/>
    <m/>
    <m/>
    <m/>
    <m/>
    <m/>
    <n v="182837185.93000001"/>
    <n v="178241857"/>
  </r>
  <r>
    <x v="9"/>
    <x v="0"/>
    <s v="North Carolina Central University "/>
    <m/>
    <n v="199157"/>
    <x v="2"/>
    <n v="85983464.810000002"/>
    <n v="84377403"/>
    <m/>
    <m/>
    <m/>
    <m/>
    <n v="47002704"/>
    <m/>
    <n v="47002704"/>
    <n v="51751294"/>
    <m/>
    <n v="51751294"/>
    <n v="132986168.81"/>
    <n v="136128697"/>
    <m/>
    <m/>
    <m/>
    <m/>
    <n v="0"/>
    <m/>
    <m/>
    <n v="0"/>
    <m/>
    <m/>
    <m/>
    <m/>
    <m/>
    <m/>
    <n v="132986168.81"/>
    <n v="136128697"/>
  </r>
  <r>
    <x v="9"/>
    <x v="0"/>
    <s v="University of North Carolina at Wilmington"/>
    <m/>
    <n v="199218"/>
    <x v="2"/>
    <n v="146505589.84999999"/>
    <n v="154920195"/>
    <m/>
    <m/>
    <m/>
    <m/>
    <n v="98862489.780000001"/>
    <m/>
    <n v="98862489.780000001"/>
    <n v="101724126"/>
    <m/>
    <n v="101724126"/>
    <n v="245368079.63"/>
    <n v="256644321"/>
    <m/>
    <m/>
    <m/>
    <m/>
    <n v="0"/>
    <m/>
    <m/>
    <n v="0"/>
    <m/>
    <m/>
    <m/>
    <m/>
    <m/>
    <m/>
    <n v="245368079.63"/>
    <n v="256644321"/>
  </r>
  <r>
    <x v="9"/>
    <x v="0"/>
    <s v="Western Carolina University "/>
    <m/>
    <n v="200004"/>
    <x v="2"/>
    <n v="134255729.97"/>
    <n v="134127414"/>
    <m/>
    <m/>
    <m/>
    <m/>
    <n v="27312510"/>
    <m/>
    <n v="27312510"/>
    <n v="30411116"/>
    <m/>
    <n v="30411116"/>
    <n v="161568239.97"/>
    <n v="164538530"/>
    <m/>
    <m/>
    <m/>
    <m/>
    <n v="0"/>
    <m/>
    <m/>
    <n v="0"/>
    <m/>
    <m/>
    <m/>
    <m/>
    <m/>
    <m/>
    <n v="161568239.97"/>
    <n v="164538530"/>
  </r>
  <r>
    <x v="9"/>
    <x v="0"/>
    <s v="Fayetteville State University "/>
    <m/>
    <n v="198543"/>
    <x v="3"/>
    <n v="55453505"/>
    <n v="56566239"/>
    <m/>
    <m/>
    <m/>
    <m/>
    <n v="20088089"/>
    <m/>
    <n v="20088089"/>
    <n v="22253729"/>
    <m/>
    <n v="22253729"/>
    <n v="75541594"/>
    <n v="78819968"/>
    <m/>
    <m/>
    <m/>
    <m/>
    <n v="0"/>
    <m/>
    <m/>
    <n v="0"/>
    <m/>
    <m/>
    <m/>
    <m/>
    <m/>
    <m/>
    <n v="75541594"/>
    <n v="78819968"/>
  </r>
  <r>
    <x v="9"/>
    <x v="0"/>
    <s v="University of North Carolina at Pembroke"/>
    <m/>
    <n v="199281"/>
    <x v="4"/>
    <n v="78023330"/>
    <n v="80941191"/>
    <m/>
    <m/>
    <m/>
    <m/>
    <n v="15454905"/>
    <m/>
    <n v="15454905"/>
    <n v="16530694"/>
    <m/>
    <n v="16530694"/>
    <n v="93478235"/>
    <n v="97471885"/>
    <m/>
    <m/>
    <m/>
    <m/>
    <n v="0"/>
    <m/>
    <m/>
    <n v="0"/>
    <m/>
    <m/>
    <m/>
    <m/>
    <m/>
    <m/>
    <n v="93478235"/>
    <n v="97471885"/>
  </r>
  <r>
    <x v="9"/>
    <x v="0"/>
    <s v="Winston-Salem State University "/>
    <m/>
    <n v="199999"/>
    <x v="4"/>
    <n v="64526655"/>
    <n v="64250124"/>
    <m/>
    <m/>
    <m/>
    <m/>
    <n v="20018021"/>
    <m/>
    <n v="20018021"/>
    <n v="22347290"/>
    <m/>
    <n v="22347290"/>
    <n v="84544676"/>
    <n v="86597414"/>
    <m/>
    <m/>
    <m/>
    <m/>
    <n v="0"/>
    <m/>
    <m/>
    <n v="0"/>
    <m/>
    <m/>
    <m/>
    <m/>
    <m/>
    <m/>
    <n v="84544676"/>
    <n v="86597414"/>
  </r>
  <r>
    <x v="9"/>
    <x v="0"/>
    <s v="Elizabeth City State University "/>
    <m/>
    <n v="198507"/>
    <x v="5"/>
    <n v="40434902"/>
    <n v="35830966"/>
    <m/>
    <m/>
    <m/>
    <m/>
    <n v="2332113"/>
    <m/>
    <n v="2332113"/>
    <n v="3609083"/>
    <m/>
    <n v="3609083"/>
    <n v="42767015"/>
    <n v="39440049"/>
    <m/>
    <m/>
    <m/>
    <m/>
    <n v="0"/>
    <m/>
    <m/>
    <n v="0"/>
    <m/>
    <m/>
    <m/>
    <m/>
    <m/>
    <m/>
    <n v="42767015"/>
    <n v="39440049"/>
  </r>
  <r>
    <x v="9"/>
    <x v="0"/>
    <s v="University of North Carolina at Asheville"/>
    <m/>
    <n v="199111"/>
    <x v="5"/>
    <n v="40377217"/>
    <n v="39736847"/>
    <m/>
    <m/>
    <m/>
    <m/>
    <n v="19527199"/>
    <m/>
    <n v="19527199"/>
    <n v="19594295"/>
    <m/>
    <n v="19594295"/>
    <n v="59904416"/>
    <n v="59331142"/>
    <m/>
    <m/>
    <m/>
    <m/>
    <n v="0"/>
    <m/>
    <m/>
    <n v="0"/>
    <m/>
    <m/>
    <m/>
    <m/>
    <m/>
    <m/>
    <n v="59904416"/>
    <n v="59331142"/>
  </r>
  <r>
    <x v="9"/>
    <x v="9"/>
    <s v="University of North Carolina School of the Arts"/>
    <m/>
    <n v="199184"/>
    <x v="11"/>
    <m/>
    <m/>
    <m/>
    <m/>
    <m/>
    <m/>
    <m/>
    <m/>
    <n v="0"/>
    <m/>
    <m/>
    <n v="0"/>
    <n v="0"/>
    <n v="0"/>
    <n v="33813217"/>
    <n v="33759891"/>
    <n v="16057404"/>
    <m/>
    <n v="16057404"/>
    <n v="16850252"/>
    <m/>
    <n v="16850252"/>
    <m/>
    <m/>
    <m/>
    <m/>
    <m/>
    <m/>
    <n v="49870621"/>
    <n v="50610143"/>
  </r>
  <r>
    <x v="9"/>
    <x v="10"/>
    <s v="Education special purpose funds- statewid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4"/>
    <s v="Community or public servic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4"/>
    <s v="Statewide Educational TV"/>
    <m/>
    <m/>
    <x v="12"/>
    <m/>
    <m/>
    <n v="9446320"/>
    <n v="9899873"/>
    <m/>
    <m/>
    <m/>
    <m/>
    <n v="0"/>
    <m/>
    <m/>
    <n v="0"/>
    <n v="9446320"/>
    <n v="9899873"/>
    <m/>
    <m/>
    <m/>
    <m/>
    <n v="0"/>
    <m/>
    <m/>
    <n v="0"/>
    <m/>
    <m/>
    <m/>
    <m/>
    <m/>
    <m/>
    <n v="9446320"/>
    <n v="9899873"/>
  </r>
  <r>
    <x v="9"/>
    <x v="44"/>
    <s v="Univ Syst Community Service Programs"/>
    <m/>
    <m/>
    <x v="12"/>
    <m/>
    <m/>
    <n v="180557.6"/>
    <n v="277800"/>
    <m/>
    <m/>
    <m/>
    <m/>
    <n v="0"/>
    <m/>
    <m/>
    <n v="0"/>
    <n v="180557.6"/>
    <n v="277800"/>
    <m/>
    <m/>
    <m/>
    <m/>
    <n v="0"/>
    <m/>
    <m/>
    <n v="0"/>
    <m/>
    <m/>
    <m/>
    <m/>
    <m/>
    <m/>
    <n v="180557.6"/>
    <n v="277800"/>
  </r>
  <r>
    <x v="9"/>
    <x v="44"/>
    <s v="Univ Syst Educational Computing Servic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4"/>
    <s v="UNC Hospital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4"/>
    <s v="UNC Area Health Education Centers Program"/>
    <m/>
    <m/>
    <x v="12"/>
    <m/>
    <m/>
    <m/>
    <m/>
    <m/>
    <m/>
    <m/>
    <m/>
    <n v="0"/>
    <m/>
    <m/>
    <n v="0"/>
    <n v="0"/>
    <n v="0"/>
    <n v="49906354"/>
    <n v="49948874"/>
    <m/>
    <m/>
    <n v="0"/>
    <m/>
    <m/>
    <n v="0"/>
    <m/>
    <m/>
    <m/>
    <m/>
    <m/>
    <m/>
    <n v="49906354"/>
    <n v="49948874"/>
  </r>
  <r>
    <x v="9"/>
    <x v="11"/>
    <s v="Research centers/institut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1"/>
    <s v="Microelectronic Computing Center of North Carolina"/>
    <m/>
    <m/>
    <x v="12"/>
    <m/>
    <m/>
    <n v="4800000"/>
    <n v="4900000"/>
    <m/>
    <m/>
    <m/>
    <m/>
    <n v="0"/>
    <m/>
    <m/>
    <n v="0"/>
    <n v="4800000"/>
    <n v="4900000"/>
    <m/>
    <m/>
    <m/>
    <m/>
    <n v="0"/>
    <m/>
    <m/>
    <n v="0"/>
    <m/>
    <m/>
    <m/>
    <m/>
    <m/>
    <m/>
    <n v="4800000"/>
    <n v="4900000"/>
  </r>
  <r>
    <x v="9"/>
    <x v="13"/>
    <s v="Education special purpose funds-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3"/>
    <s v="UNC Reserve for Future Allocation"/>
    <m/>
    <m/>
    <x v="12"/>
    <m/>
    <m/>
    <n v="16981145"/>
    <n v="30485758"/>
    <m/>
    <m/>
    <m/>
    <m/>
    <n v="0"/>
    <m/>
    <m/>
    <n v="0"/>
    <n v="16981145"/>
    <n v="30485758"/>
    <m/>
    <m/>
    <m/>
    <m/>
    <n v="0"/>
    <m/>
    <m/>
    <n v="0"/>
    <m/>
    <m/>
    <m/>
    <m/>
    <m/>
    <m/>
    <n v="16981145"/>
    <n v="30485758"/>
  </r>
  <r>
    <x v="9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5"/>
    <s v="UNC General Administration"/>
    <m/>
    <m/>
    <x v="12"/>
    <m/>
    <m/>
    <m/>
    <m/>
    <m/>
    <m/>
    <m/>
    <m/>
    <n v="0"/>
    <m/>
    <m/>
    <n v="0"/>
    <n v="0"/>
    <n v="0"/>
    <n v="33802925"/>
    <n v="30363320"/>
    <m/>
    <m/>
    <n v="0"/>
    <m/>
    <m/>
    <n v="0"/>
    <m/>
    <m/>
    <m/>
    <m/>
    <m/>
    <m/>
    <n v="33802925"/>
    <n v="30363320"/>
  </r>
  <r>
    <x v="9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7"/>
    <s v="SREB Membership"/>
    <m/>
    <m/>
    <x v="12"/>
    <m/>
    <m/>
    <m/>
    <m/>
    <m/>
    <m/>
    <m/>
    <m/>
    <n v="0"/>
    <m/>
    <m/>
    <n v="0"/>
    <n v="0"/>
    <n v="0"/>
    <n v="204997"/>
    <n v="204997"/>
    <m/>
    <m/>
    <n v="0"/>
    <m/>
    <m/>
    <n v="0"/>
    <m/>
    <m/>
    <m/>
    <m/>
    <m/>
    <m/>
    <n v="204997"/>
    <n v="204997"/>
  </r>
  <r>
    <x v="9"/>
    <x v="18"/>
    <s v="Adm. of Statewide Student Aid Progs. (incld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9"/>
    <s v="Capitation pymnts &amp; fnncl ad for rsdnt stdnts nrlld at prvt md schl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0"/>
    <s v="Meharry Medical College (Dentistry, Medicine, Special Aid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0"/>
    <s v="Southern College of Optometr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1"/>
    <s v="University of Houston (Optometry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41"/>
    <s v="University of Alabama at Birmingham (Optometry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0"/>
    <s v="Other 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Board of Governors Medical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NC Student Incentive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NC Student Loan Program for Health, Science and Mathematic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Nurse Education Scholarship/Loa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Graduate Nurse Scholars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Prospective Teacher Scholarship Loan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Future Teachers of North Carolina Scholarship Loan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Nurse Scholars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NC Veterans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n v="8920964"/>
    <n v="8920964"/>
    <m/>
    <m/>
    <n v="0"/>
    <m/>
    <m/>
    <n v="0"/>
    <m/>
    <m/>
    <m/>
    <m/>
    <m/>
    <m/>
    <n v="8920964"/>
    <n v="8920964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2"/>
    <s v="Forgivable Education Loans for Servic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3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n v="16594166"/>
    <n v="16594166"/>
    <m/>
    <m/>
    <n v="0"/>
    <m/>
    <m/>
    <n v="0"/>
    <m/>
    <m/>
    <m/>
    <m/>
    <m/>
    <m/>
    <n v="16594166"/>
    <n v="16594166"/>
  </r>
  <r>
    <x v="9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24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UNC Need-Based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2"/>
    <s v="Need-based"/>
    <m/>
    <m/>
    <x v="12"/>
    <m/>
    <m/>
    <m/>
    <m/>
    <m/>
    <m/>
    <m/>
    <m/>
    <n v="0"/>
    <m/>
    <m/>
    <n v="0"/>
    <n v="0"/>
    <n v="0"/>
    <n v="125930498"/>
    <n v="125930498"/>
    <m/>
    <m/>
    <n v="0"/>
    <m/>
    <m/>
    <n v="0"/>
    <m/>
    <m/>
    <m/>
    <m/>
    <m/>
    <m/>
    <n v="125930498"/>
    <n v="125930498"/>
  </r>
  <r>
    <x v="9"/>
    <x v="33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NCSSM Tuition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3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Teacher Assistant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3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Board of Governor's Dental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3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1"/>
    <s v="Principal Fellows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2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3"/>
    <s v="Non need-based"/>
    <m/>
    <m/>
    <x v="12"/>
    <m/>
    <m/>
    <m/>
    <m/>
    <m/>
    <m/>
    <m/>
    <m/>
    <n v="0"/>
    <m/>
    <m/>
    <n v="0"/>
    <n v="0"/>
    <n v="0"/>
    <n v="3258000"/>
    <n v="3258000"/>
    <m/>
    <m/>
    <n v="0"/>
    <m/>
    <m/>
    <n v="0"/>
    <m/>
    <m/>
    <m/>
    <m/>
    <m/>
    <m/>
    <n v="3258000"/>
    <n v="3258000"/>
  </r>
  <r>
    <x v="9"/>
    <x v="34"/>
    <s v="Limited to private college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4"/>
    <s v="State Contractual Scholarship Fun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6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4"/>
    <s v="Private College Need Based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5"/>
    <s v="Need-based"/>
    <m/>
    <m/>
    <x v="12"/>
    <m/>
    <m/>
    <m/>
    <m/>
    <m/>
    <m/>
    <m/>
    <m/>
    <n v="0"/>
    <m/>
    <m/>
    <n v="0"/>
    <n v="0"/>
    <n v="0"/>
    <n v="88886590"/>
    <n v="88886590"/>
    <m/>
    <m/>
    <n v="0"/>
    <m/>
    <m/>
    <n v="0"/>
    <m/>
    <m/>
    <m/>
    <m/>
    <m/>
    <m/>
    <n v="88886590"/>
    <n v="88886590"/>
  </r>
  <r>
    <x v="9"/>
    <x v="36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4"/>
    <s v="Legislative Tuition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6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0"/>
    <s v="Asheville-Buncombe Technical Community College"/>
    <m/>
    <n v="197887"/>
    <x v="6"/>
    <n v="25777150"/>
    <n v="25871703"/>
    <m/>
    <m/>
    <n v="7282616"/>
    <n v="7674627"/>
    <n v="9335465"/>
    <m/>
    <n v="9335465"/>
    <n v="8703035"/>
    <m/>
    <n v="8703035"/>
    <n v="42395231"/>
    <n v="42249365"/>
    <m/>
    <m/>
    <m/>
    <m/>
    <n v="0"/>
    <m/>
    <m/>
    <n v="0"/>
    <m/>
    <m/>
    <m/>
    <m/>
    <m/>
    <m/>
    <n v="42395231"/>
    <n v="42249365"/>
  </r>
  <r>
    <x v="9"/>
    <x v="0"/>
    <s v="Nursing / allied health supplement"/>
    <m/>
    <n v="197887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7887"/>
    <x v="6"/>
    <m/>
    <m/>
    <n v="179549"/>
    <n v="180669"/>
    <m/>
    <m/>
    <m/>
    <m/>
    <n v="0"/>
    <m/>
    <m/>
    <n v="0"/>
    <n v="179549"/>
    <n v="180669"/>
    <m/>
    <m/>
    <m/>
    <m/>
    <n v="0"/>
    <m/>
    <m/>
    <n v="0"/>
    <m/>
    <m/>
    <m/>
    <m/>
    <m/>
    <m/>
    <n v="179549"/>
    <n v="180669"/>
  </r>
  <r>
    <x v="9"/>
    <x v="45"/>
    <s v="Non-credit continuing education"/>
    <m/>
    <n v="197887"/>
    <x v="6"/>
    <m/>
    <m/>
    <n v="2798299"/>
    <n v="2976422"/>
    <m/>
    <m/>
    <n v="306496"/>
    <m/>
    <n v="306496"/>
    <n v="309538"/>
    <m/>
    <n v="309538"/>
    <n v="3104795"/>
    <n v="3285960"/>
    <m/>
    <m/>
    <m/>
    <m/>
    <n v="0"/>
    <m/>
    <m/>
    <n v="0"/>
    <m/>
    <m/>
    <m/>
    <m/>
    <m/>
    <m/>
    <n v="3104795"/>
    <n v="3285960"/>
  </r>
  <r>
    <x v="9"/>
    <x v="0"/>
    <s v="Cape Fear Community College"/>
    <m/>
    <n v="198154"/>
    <x v="6"/>
    <n v="32964653"/>
    <n v="34796061"/>
    <m/>
    <m/>
    <n v="11605804"/>
    <n v="11433771"/>
    <n v="11777458"/>
    <m/>
    <n v="11777458"/>
    <n v="11955018"/>
    <m/>
    <n v="11955018"/>
    <n v="56347915"/>
    <n v="58184850"/>
    <m/>
    <m/>
    <m/>
    <m/>
    <n v="0"/>
    <m/>
    <m/>
    <n v="0"/>
    <m/>
    <m/>
    <m/>
    <m/>
    <m/>
    <m/>
    <n v="56347915"/>
    <n v="58184850"/>
  </r>
  <r>
    <x v="9"/>
    <x v="0"/>
    <s v="Nursing / allied health supplement"/>
    <m/>
    <n v="19815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154"/>
    <x v="6"/>
    <m/>
    <m/>
    <n v="180824"/>
    <n v="182458"/>
    <m/>
    <m/>
    <m/>
    <m/>
    <n v="0"/>
    <m/>
    <m/>
    <n v="0"/>
    <n v="180824"/>
    <n v="182458"/>
    <m/>
    <m/>
    <m/>
    <m/>
    <n v="0"/>
    <m/>
    <m/>
    <n v="0"/>
    <m/>
    <m/>
    <m/>
    <m/>
    <m/>
    <m/>
    <n v="180824"/>
    <n v="182458"/>
  </r>
  <r>
    <x v="9"/>
    <x v="45"/>
    <s v="Non-credit continuing education"/>
    <m/>
    <n v="198154"/>
    <x v="6"/>
    <m/>
    <m/>
    <n v="2837591"/>
    <n v="3279539"/>
    <m/>
    <m/>
    <n v="290554"/>
    <m/>
    <n v="290554"/>
    <n v="324013"/>
    <m/>
    <n v="324013"/>
    <n v="3128145"/>
    <n v="3603552"/>
    <m/>
    <m/>
    <m/>
    <m/>
    <n v="0"/>
    <m/>
    <m/>
    <n v="0"/>
    <m/>
    <m/>
    <m/>
    <m/>
    <m/>
    <m/>
    <n v="3128145"/>
    <n v="3603552"/>
  </r>
  <r>
    <x v="9"/>
    <x v="0"/>
    <s v="Central Piedmont Community College "/>
    <m/>
    <n v="198260"/>
    <x v="6"/>
    <n v="65875594"/>
    <n v="67231288"/>
    <m/>
    <m/>
    <n v="37884035"/>
    <n v="39091669"/>
    <n v="25496200"/>
    <m/>
    <n v="25496200"/>
    <n v="24430869"/>
    <m/>
    <n v="24430869"/>
    <n v="129255829"/>
    <n v="130753826"/>
    <m/>
    <m/>
    <m/>
    <m/>
    <n v="0"/>
    <m/>
    <m/>
    <n v="0"/>
    <m/>
    <m/>
    <m/>
    <m/>
    <m/>
    <m/>
    <n v="129255829"/>
    <n v="130753826"/>
  </r>
  <r>
    <x v="9"/>
    <x v="0"/>
    <s v="Nursing / allied health supplement"/>
    <m/>
    <n v="19826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260"/>
    <x v="6"/>
    <m/>
    <m/>
    <n v="181845"/>
    <n v="183123"/>
    <m/>
    <m/>
    <m/>
    <m/>
    <n v="0"/>
    <m/>
    <m/>
    <n v="0"/>
    <n v="181845"/>
    <n v="183123"/>
    <m/>
    <m/>
    <m/>
    <m/>
    <n v="0"/>
    <m/>
    <m/>
    <n v="0"/>
    <m/>
    <m/>
    <m/>
    <m/>
    <m/>
    <m/>
    <n v="181845"/>
    <n v="183123"/>
  </r>
  <r>
    <x v="9"/>
    <x v="45"/>
    <s v="Non-credit continuing education"/>
    <m/>
    <n v="198260"/>
    <x v="6"/>
    <m/>
    <m/>
    <n v="4673197"/>
    <n v="4527561"/>
    <m/>
    <m/>
    <n v="339976"/>
    <m/>
    <n v="339976"/>
    <n v="308053"/>
    <m/>
    <n v="308053"/>
    <n v="5013173"/>
    <n v="4835614"/>
    <m/>
    <m/>
    <m/>
    <m/>
    <n v="0"/>
    <m/>
    <m/>
    <n v="0"/>
    <m/>
    <m/>
    <m/>
    <m/>
    <m/>
    <m/>
    <n v="5013173"/>
    <n v="4835614"/>
  </r>
  <r>
    <x v="9"/>
    <x v="0"/>
    <s v="Fayetteville Technical Community College"/>
    <m/>
    <n v="198534"/>
    <x v="6"/>
    <n v="47722228"/>
    <n v="51178663"/>
    <m/>
    <m/>
    <n v="13577062"/>
    <n v="13268575"/>
    <n v="16054272"/>
    <m/>
    <n v="16054272"/>
    <n v="16285638"/>
    <m/>
    <n v="16285638"/>
    <n v="77353562"/>
    <n v="80732876"/>
    <m/>
    <m/>
    <m/>
    <m/>
    <n v="0"/>
    <m/>
    <m/>
    <n v="0"/>
    <m/>
    <m/>
    <m/>
    <m/>
    <m/>
    <m/>
    <n v="77353562"/>
    <n v="80732876"/>
  </r>
  <r>
    <x v="9"/>
    <x v="0"/>
    <s v="Nursing / allied health supplement"/>
    <m/>
    <n v="19853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534"/>
    <x v="6"/>
    <m/>
    <m/>
    <n v="176487"/>
    <n v="179645"/>
    <m/>
    <m/>
    <m/>
    <m/>
    <n v="0"/>
    <m/>
    <m/>
    <n v="0"/>
    <n v="176487"/>
    <n v="179645"/>
    <m/>
    <m/>
    <m/>
    <m/>
    <n v="0"/>
    <m/>
    <m/>
    <n v="0"/>
    <m/>
    <m/>
    <m/>
    <m/>
    <m/>
    <m/>
    <n v="176487"/>
    <n v="179645"/>
  </r>
  <r>
    <x v="9"/>
    <x v="45"/>
    <s v="Non-credit continuing education"/>
    <m/>
    <n v="198534"/>
    <x v="6"/>
    <m/>
    <m/>
    <n v="12132576"/>
    <n v="13471297"/>
    <m/>
    <m/>
    <n v="1393782"/>
    <m/>
    <n v="1393782"/>
    <n v="1415932"/>
    <m/>
    <n v="1415932"/>
    <n v="13526358"/>
    <n v="14887229"/>
    <m/>
    <m/>
    <m/>
    <m/>
    <n v="0"/>
    <m/>
    <m/>
    <n v="0"/>
    <m/>
    <m/>
    <m/>
    <m/>
    <m/>
    <m/>
    <n v="13526358"/>
    <n v="14887229"/>
  </r>
  <r>
    <x v="9"/>
    <x v="0"/>
    <s v="Forsyth Technical Community College"/>
    <m/>
    <n v="198552"/>
    <x v="6"/>
    <n v="30523909"/>
    <n v="31655730"/>
    <m/>
    <m/>
    <n v="10377344"/>
    <n v="10314164"/>
    <n v="11117055"/>
    <m/>
    <n v="11117055"/>
    <n v="10988908"/>
    <m/>
    <n v="10988908"/>
    <n v="52018308"/>
    <n v="52958802"/>
    <m/>
    <m/>
    <m/>
    <m/>
    <n v="0"/>
    <m/>
    <m/>
    <n v="0"/>
    <m/>
    <m/>
    <m/>
    <m/>
    <m/>
    <m/>
    <n v="52018308"/>
    <n v="52958802"/>
  </r>
  <r>
    <x v="9"/>
    <x v="0"/>
    <s v="Nursing / allied health supplement"/>
    <m/>
    <n v="198552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552"/>
    <x v="6"/>
    <m/>
    <m/>
    <n v="181998"/>
    <n v="183891"/>
    <m/>
    <m/>
    <m/>
    <m/>
    <n v="0"/>
    <m/>
    <m/>
    <n v="0"/>
    <n v="181998"/>
    <n v="183891"/>
    <m/>
    <m/>
    <m/>
    <m/>
    <n v="0"/>
    <m/>
    <m/>
    <n v="0"/>
    <m/>
    <m/>
    <m/>
    <m/>
    <m/>
    <m/>
    <n v="181998"/>
    <n v="183891"/>
  </r>
  <r>
    <x v="9"/>
    <x v="45"/>
    <s v="Non-credit continuing education"/>
    <m/>
    <n v="198552"/>
    <x v="6"/>
    <m/>
    <m/>
    <n v="3240336"/>
    <n v="3087410"/>
    <m/>
    <m/>
    <n v="337585"/>
    <m/>
    <n v="337585"/>
    <n v="309538"/>
    <m/>
    <n v="309538"/>
    <n v="3577921"/>
    <n v="3396948"/>
    <m/>
    <m/>
    <m/>
    <m/>
    <n v="0"/>
    <m/>
    <m/>
    <n v="0"/>
    <m/>
    <m/>
    <m/>
    <m/>
    <m/>
    <m/>
    <n v="3577921"/>
    <n v="3396948"/>
  </r>
  <r>
    <x v="9"/>
    <x v="0"/>
    <s v="Guilford Technical Community College"/>
    <m/>
    <n v="198622"/>
    <x v="6"/>
    <n v="39433434"/>
    <n v="43033203"/>
    <m/>
    <m/>
    <n v="16532000"/>
    <n v="17015000"/>
    <n v="14254384"/>
    <m/>
    <n v="14254384"/>
    <n v="14904791"/>
    <m/>
    <n v="14904791"/>
    <n v="70219818"/>
    <n v="74952994"/>
    <m/>
    <m/>
    <m/>
    <m/>
    <n v="0"/>
    <m/>
    <m/>
    <n v="0"/>
    <m/>
    <m/>
    <m/>
    <m/>
    <m/>
    <m/>
    <n v="70219818"/>
    <n v="74952994"/>
  </r>
  <r>
    <x v="9"/>
    <x v="0"/>
    <s v="Nursing / allied health supplement"/>
    <m/>
    <n v="198622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622"/>
    <x v="6"/>
    <m/>
    <m/>
    <n v="180671"/>
    <n v="182100"/>
    <m/>
    <m/>
    <m/>
    <m/>
    <n v="0"/>
    <m/>
    <m/>
    <n v="0"/>
    <n v="180671"/>
    <n v="182100"/>
    <m/>
    <m/>
    <m/>
    <m/>
    <n v="0"/>
    <m/>
    <m/>
    <n v="0"/>
    <m/>
    <m/>
    <m/>
    <m/>
    <m/>
    <m/>
    <n v="180671"/>
    <n v="182100"/>
  </r>
  <r>
    <x v="9"/>
    <x v="45"/>
    <s v="Non-credit continuing education"/>
    <m/>
    <n v="198622"/>
    <x v="6"/>
    <m/>
    <m/>
    <n v="4999636"/>
    <n v="5011260"/>
    <m/>
    <m/>
    <n v="442407"/>
    <m/>
    <n v="442407"/>
    <n v="419769"/>
    <m/>
    <n v="419769"/>
    <n v="5442043"/>
    <n v="5431029"/>
    <m/>
    <m/>
    <m/>
    <m/>
    <n v="0"/>
    <m/>
    <m/>
    <n v="0"/>
    <m/>
    <m/>
    <m/>
    <m/>
    <m/>
    <m/>
    <n v="5442043"/>
    <n v="5431029"/>
  </r>
  <r>
    <x v="9"/>
    <x v="0"/>
    <s v="Pitt Community College"/>
    <m/>
    <n v="199333"/>
    <x v="6"/>
    <n v="29631767"/>
    <n v="31682416"/>
    <m/>
    <m/>
    <n v="5994738"/>
    <n v="6168911"/>
    <n v="11499656"/>
    <m/>
    <n v="11499656"/>
    <n v="11559572"/>
    <m/>
    <n v="11559572"/>
    <n v="47126161"/>
    <n v="49410899"/>
    <m/>
    <m/>
    <m/>
    <m/>
    <n v="0"/>
    <m/>
    <m/>
    <n v="0"/>
    <m/>
    <m/>
    <m/>
    <m/>
    <m/>
    <m/>
    <n v="47126161"/>
    <n v="49410899"/>
  </r>
  <r>
    <x v="9"/>
    <x v="0"/>
    <s v="Nursing / allied health supplement"/>
    <m/>
    <n v="19933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333"/>
    <x v="6"/>
    <m/>
    <m/>
    <n v="180416"/>
    <n v="171230"/>
    <m/>
    <m/>
    <m/>
    <m/>
    <n v="0"/>
    <m/>
    <m/>
    <n v="0"/>
    <n v="180416"/>
    <n v="171230"/>
    <m/>
    <m/>
    <m/>
    <m/>
    <n v="0"/>
    <m/>
    <m/>
    <n v="0"/>
    <m/>
    <m/>
    <m/>
    <m/>
    <m/>
    <m/>
    <n v="180416"/>
    <n v="171230"/>
  </r>
  <r>
    <x v="9"/>
    <x v="45"/>
    <s v="Non-credit continuing education"/>
    <m/>
    <n v="199333"/>
    <x v="6"/>
    <m/>
    <m/>
    <n v="2545078"/>
    <n v="2776332"/>
    <m/>
    <m/>
    <n v="288162"/>
    <m/>
    <n v="288162"/>
    <n v="283186"/>
    <m/>
    <n v="283186"/>
    <n v="2833240"/>
    <n v="3059518"/>
    <m/>
    <m/>
    <m/>
    <m/>
    <n v="0"/>
    <m/>
    <m/>
    <n v="0"/>
    <m/>
    <m/>
    <m/>
    <m/>
    <m/>
    <m/>
    <n v="2833240"/>
    <n v="3059518"/>
  </r>
  <r>
    <x v="9"/>
    <x v="0"/>
    <s v="Rowan-Cabarrus Community College"/>
    <m/>
    <n v="199494"/>
    <x v="6"/>
    <n v="29488265"/>
    <n v="31637670"/>
    <m/>
    <m/>
    <m/>
    <n v="6866073"/>
    <n v="8458810"/>
    <m/>
    <n v="8458810"/>
    <n v="8693390"/>
    <m/>
    <n v="8693390"/>
    <n v="37947075"/>
    <n v="47197133"/>
    <m/>
    <m/>
    <m/>
    <m/>
    <n v="0"/>
    <m/>
    <m/>
    <n v="0"/>
    <m/>
    <m/>
    <m/>
    <m/>
    <m/>
    <m/>
    <n v="37947075"/>
    <n v="47197133"/>
  </r>
  <r>
    <x v="9"/>
    <x v="0"/>
    <s v="Nursing / allied health supplement"/>
    <m/>
    <n v="19949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94"/>
    <x v="6"/>
    <m/>
    <m/>
    <n v="174599"/>
    <n v="174735"/>
    <m/>
    <m/>
    <m/>
    <m/>
    <n v="0"/>
    <m/>
    <m/>
    <n v="0"/>
    <n v="174599"/>
    <n v="174735"/>
    <m/>
    <m/>
    <m/>
    <m/>
    <n v="0"/>
    <m/>
    <m/>
    <n v="0"/>
    <m/>
    <m/>
    <m/>
    <m/>
    <m/>
    <m/>
    <n v="174599"/>
    <n v="174735"/>
  </r>
  <r>
    <x v="9"/>
    <x v="45"/>
    <s v="Non-credit continuing education"/>
    <m/>
    <n v="199494"/>
    <x v="6"/>
    <m/>
    <m/>
    <n v="4438033"/>
    <n v="4737796"/>
    <m/>
    <m/>
    <n v="493423"/>
    <m/>
    <n v="493423"/>
    <n v="527031"/>
    <m/>
    <n v="527031"/>
    <n v="4931456"/>
    <n v="5264827"/>
    <m/>
    <m/>
    <m/>
    <m/>
    <n v="0"/>
    <m/>
    <m/>
    <n v="0"/>
    <m/>
    <m/>
    <m/>
    <m/>
    <m/>
    <m/>
    <n v="4931456"/>
    <n v="5264827"/>
  </r>
  <r>
    <x v="9"/>
    <x v="0"/>
    <s v="Wake Technical Community College"/>
    <m/>
    <n v="199856"/>
    <x v="6"/>
    <n v="78295665"/>
    <n v="82347291"/>
    <m/>
    <m/>
    <n v="24580436"/>
    <n v="24748030"/>
    <n v="29205766"/>
    <m/>
    <n v="29205766"/>
    <n v="28964034"/>
    <m/>
    <n v="28964034"/>
    <n v="132081867"/>
    <n v="136059355"/>
    <m/>
    <m/>
    <m/>
    <m/>
    <n v="0"/>
    <m/>
    <m/>
    <n v="0"/>
    <m/>
    <m/>
    <m/>
    <m/>
    <m/>
    <m/>
    <n v="132081867"/>
    <n v="136059355"/>
  </r>
  <r>
    <x v="9"/>
    <x v="0"/>
    <s v="Nursing / allied health supplement"/>
    <m/>
    <n v="199856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856"/>
    <x v="6"/>
    <m/>
    <m/>
    <n v="183325"/>
    <n v="184503"/>
    <m/>
    <m/>
    <m/>
    <m/>
    <n v="0"/>
    <m/>
    <m/>
    <n v="0"/>
    <n v="183325"/>
    <n v="184503"/>
    <m/>
    <m/>
    <m/>
    <m/>
    <n v="0"/>
    <m/>
    <m/>
    <n v="0"/>
    <m/>
    <m/>
    <m/>
    <m/>
    <m/>
    <m/>
    <n v="183325"/>
    <n v="184503"/>
  </r>
  <r>
    <x v="9"/>
    <x v="45"/>
    <s v="Non-credit continuing education"/>
    <m/>
    <n v="199856"/>
    <x v="6"/>
    <m/>
    <m/>
    <n v="10357786"/>
    <n v="10851365"/>
    <m/>
    <m/>
    <n v="1060980"/>
    <m/>
    <n v="1060980"/>
    <n v="1021772"/>
    <m/>
    <n v="1021772"/>
    <n v="11418766"/>
    <n v="11873137"/>
    <m/>
    <m/>
    <m/>
    <m/>
    <n v="0"/>
    <m/>
    <m/>
    <n v="0"/>
    <m/>
    <m/>
    <m/>
    <m/>
    <m/>
    <m/>
    <n v="11418766"/>
    <n v="11873137"/>
  </r>
  <r>
    <x v="9"/>
    <x v="0"/>
    <s v="Alamance Community College"/>
    <m/>
    <n v="199786"/>
    <x v="7"/>
    <n v="16066541"/>
    <n v="17558885"/>
    <m/>
    <m/>
    <n v="3464312"/>
    <n v="3424312"/>
    <n v="5584312"/>
    <m/>
    <n v="5584312"/>
    <n v="5746832"/>
    <m/>
    <n v="5746832"/>
    <n v="25115165"/>
    <n v="26730029"/>
    <m/>
    <m/>
    <m/>
    <m/>
    <n v="0"/>
    <m/>
    <m/>
    <n v="0"/>
    <m/>
    <m/>
    <m/>
    <m/>
    <m/>
    <m/>
    <n v="25115165"/>
    <n v="26730029"/>
  </r>
  <r>
    <x v="9"/>
    <x v="0"/>
    <s v="Nursing / allied health supplement"/>
    <m/>
    <n v="19978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86"/>
    <x v="7"/>
    <m/>
    <m/>
    <n v="173068"/>
    <n v="174479"/>
    <m/>
    <m/>
    <m/>
    <m/>
    <n v="0"/>
    <m/>
    <m/>
    <n v="0"/>
    <n v="173068"/>
    <n v="174479"/>
    <m/>
    <m/>
    <m/>
    <m/>
    <n v="0"/>
    <m/>
    <m/>
    <n v="0"/>
    <m/>
    <m/>
    <m/>
    <m/>
    <m/>
    <m/>
    <n v="173068"/>
    <n v="174479"/>
  </r>
  <r>
    <x v="9"/>
    <x v="45"/>
    <s v="Non-credit continuing education"/>
    <m/>
    <n v="199786"/>
    <x v="7"/>
    <m/>
    <m/>
    <n v="2402150"/>
    <n v="2790688"/>
    <m/>
    <m/>
    <n v="241530"/>
    <m/>
    <n v="241530"/>
    <n v="263516"/>
    <m/>
    <n v="263516"/>
    <n v="2643680"/>
    <n v="3054204"/>
    <m/>
    <m/>
    <m/>
    <m/>
    <n v="0"/>
    <m/>
    <m/>
    <n v="0"/>
    <m/>
    <m/>
    <m/>
    <m/>
    <m/>
    <m/>
    <n v="2643680"/>
    <n v="3054204"/>
  </r>
  <r>
    <x v="9"/>
    <x v="0"/>
    <s v="Caldwell Community College &amp; Technical Institute"/>
    <m/>
    <n v="198118"/>
    <x v="7"/>
    <n v="15249246"/>
    <n v="16436907"/>
    <m/>
    <m/>
    <n v="4200193"/>
    <n v="4288898"/>
    <n v="4852379"/>
    <m/>
    <n v="4852379"/>
    <n v="5000950"/>
    <m/>
    <n v="5000950"/>
    <n v="24301818"/>
    <n v="25726755"/>
    <m/>
    <m/>
    <m/>
    <m/>
    <n v="0"/>
    <m/>
    <m/>
    <n v="0"/>
    <m/>
    <m/>
    <m/>
    <m/>
    <m/>
    <m/>
    <n v="24301818"/>
    <n v="25726755"/>
  </r>
  <r>
    <x v="9"/>
    <x v="0"/>
    <s v="Nursing / allied health supplement"/>
    <m/>
    <n v="19811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118"/>
    <x v="7"/>
    <m/>
    <m/>
    <n v="162302"/>
    <n v="165144"/>
    <m/>
    <m/>
    <m/>
    <m/>
    <n v="0"/>
    <m/>
    <m/>
    <n v="0"/>
    <n v="162302"/>
    <n v="165144"/>
    <m/>
    <m/>
    <m/>
    <m/>
    <n v="0"/>
    <m/>
    <m/>
    <n v="0"/>
    <m/>
    <m/>
    <m/>
    <m/>
    <m/>
    <m/>
    <n v="162302"/>
    <n v="165144"/>
  </r>
  <r>
    <x v="9"/>
    <x v="45"/>
    <s v="Non-credit continuing education"/>
    <m/>
    <n v="198118"/>
    <x v="7"/>
    <m/>
    <m/>
    <n v="2663973"/>
    <n v="3004026"/>
    <m/>
    <m/>
    <n v="277800"/>
    <m/>
    <n v="277800"/>
    <n v="288011"/>
    <m/>
    <n v="288011"/>
    <n v="2941773"/>
    <n v="3292037"/>
    <m/>
    <m/>
    <m/>
    <m/>
    <n v="0"/>
    <m/>
    <m/>
    <n v="0"/>
    <m/>
    <m/>
    <m/>
    <m/>
    <m/>
    <m/>
    <n v="2941773"/>
    <n v="3292037"/>
  </r>
  <r>
    <x v="9"/>
    <x v="0"/>
    <s v="Catawba Valley Community College"/>
    <m/>
    <n v="198233"/>
    <x v="7"/>
    <n v="18669501"/>
    <n v="20023359"/>
    <m/>
    <m/>
    <n v="4682000"/>
    <n v="4775000"/>
    <n v="6329552"/>
    <m/>
    <n v="6329552"/>
    <n v="6423592"/>
    <m/>
    <n v="6423592"/>
    <n v="29681053"/>
    <n v="31221951"/>
    <m/>
    <m/>
    <m/>
    <m/>
    <n v="0"/>
    <m/>
    <m/>
    <n v="0"/>
    <m/>
    <m/>
    <m/>
    <m/>
    <m/>
    <m/>
    <n v="29681053"/>
    <n v="31221951"/>
  </r>
  <r>
    <x v="9"/>
    <x v="0"/>
    <s v="Nursing / allied health supplement"/>
    <m/>
    <n v="198233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233"/>
    <x v="7"/>
    <m/>
    <m/>
    <n v="177814"/>
    <n v="179645"/>
    <m/>
    <m/>
    <m/>
    <m/>
    <n v="0"/>
    <m/>
    <m/>
    <n v="0"/>
    <n v="177814"/>
    <n v="179645"/>
    <m/>
    <m/>
    <m/>
    <m/>
    <n v="0"/>
    <m/>
    <m/>
    <n v="0"/>
    <m/>
    <m/>
    <m/>
    <m/>
    <m/>
    <m/>
    <n v="177814"/>
    <n v="179645"/>
  </r>
  <r>
    <x v="9"/>
    <x v="45"/>
    <s v="Non-credit continuing education"/>
    <m/>
    <n v="198233"/>
    <x v="7"/>
    <m/>
    <m/>
    <n v="2399130"/>
    <n v="2492807"/>
    <m/>
    <m/>
    <n v="263850"/>
    <m/>
    <n v="263850"/>
    <n v="255350"/>
    <m/>
    <n v="255350"/>
    <n v="2662980"/>
    <n v="2748157"/>
    <m/>
    <m/>
    <m/>
    <m/>
    <n v="0"/>
    <m/>
    <m/>
    <n v="0"/>
    <m/>
    <m/>
    <m/>
    <m/>
    <m/>
    <m/>
    <n v="2662980"/>
    <n v="2748157"/>
  </r>
  <r>
    <x v="9"/>
    <x v="0"/>
    <s v="Central Carolina Commuity College"/>
    <m/>
    <n v="198251"/>
    <x v="7"/>
    <n v="20728052"/>
    <n v="23345754"/>
    <m/>
    <m/>
    <n v="5983140"/>
    <n v="6350354"/>
    <n v="6843568"/>
    <m/>
    <n v="6843568"/>
    <n v="7462041"/>
    <m/>
    <n v="7462041"/>
    <n v="33554760"/>
    <n v="37158149"/>
    <m/>
    <m/>
    <m/>
    <m/>
    <n v="0"/>
    <m/>
    <m/>
    <n v="0"/>
    <m/>
    <m/>
    <m/>
    <m/>
    <m/>
    <m/>
    <n v="33554760"/>
    <n v="37158149"/>
  </r>
  <r>
    <x v="9"/>
    <x v="0"/>
    <s v="Nursing / allied health supplement"/>
    <m/>
    <n v="19825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251"/>
    <x v="7"/>
    <m/>
    <m/>
    <n v="178885"/>
    <n v="179390"/>
    <m/>
    <m/>
    <m/>
    <m/>
    <n v="0"/>
    <m/>
    <m/>
    <n v="0"/>
    <n v="178885"/>
    <n v="179390"/>
    <m/>
    <m/>
    <m/>
    <m/>
    <n v="0"/>
    <m/>
    <m/>
    <n v="0"/>
    <m/>
    <m/>
    <m/>
    <m/>
    <m/>
    <m/>
    <n v="178885"/>
    <n v="179390"/>
  </r>
  <r>
    <x v="9"/>
    <x v="45"/>
    <s v="Non-credit continuing education"/>
    <m/>
    <n v="198251"/>
    <x v="7"/>
    <m/>
    <m/>
    <n v="3319197"/>
    <n v="3525865"/>
    <m/>
    <m/>
    <n v="284974"/>
    <m/>
    <n v="284974"/>
    <n v="278733"/>
    <m/>
    <n v="278733"/>
    <n v="3604171"/>
    <n v="3804598"/>
    <m/>
    <m/>
    <m/>
    <m/>
    <n v="0"/>
    <m/>
    <m/>
    <n v="0"/>
    <m/>
    <m/>
    <m/>
    <m/>
    <m/>
    <m/>
    <n v="3604171"/>
    <n v="3804598"/>
  </r>
  <r>
    <x v="9"/>
    <x v="0"/>
    <s v="Cleveland Community College"/>
    <m/>
    <n v="198321"/>
    <x v="7"/>
    <n v="11712023"/>
    <n v="12426821"/>
    <m/>
    <m/>
    <n v="2179872"/>
    <n v="2176872"/>
    <n v="3691268"/>
    <m/>
    <n v="3691268"/>
    <n v="3629747"/>
    <m/>
    <n v="3629747"/>
    <n v="17583163"/>
    <n v="18233440"/>
    <m/>
    <m/>
    <m/>
    <m/>
    <n v="0"/>
    <m/>
    <m/>
    <n v="0"/>
    <m/>
    <m/>
    <m/>
    <m/>
    <m/>
    <m/>
    <n v="17583163"/>
    <n v="18233440"/>
  </r>
  <r>
    <x v="9"/>
    <x v="0"/>
    <s v="Nursing / allied health supplement"/>
    <m/>
    <n v="19832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321"/>
    <x v="7"/>
    <m/>
    <m/>
    <n v="159751"/>
    <n v="170490"/>
    <m/>
    <m/>
    <m/>
    <m/>
    <n v="0"/>
    <m/>
    <m/>
    <n v="0"/>
    <n v="159751"/>
    <n v="170490"/>
    <m/>
    <m/>
    <m/>
    <m/>
    <n v="0"/>
    <m/>
    <m/>
    <n v="0"/>
    <m/>
    <m/>
    <m/>
    <m/>
    <m/>
    <m/>
    <n v="159751"/>
    <n v="170490"/>
  </r>
  <r>
    <x v="9"/>
    <x v="45"/>
    <s v="Non-credit continuing education"/>
    <m/>
    <n v="198321"/>
    <x v="7"/>
    <m/>
    <m/>
    <n v="2324572"/>
    <n v="2887975"/>
    <m/>
    <m/>
    <n v="316062"/>
    <m/>
    <n v="316062"/>
    <n v="352591"/>
    <m/>
    <n v="352591"/>
    <n v="2640634"/>
    <n v="3240566"/>
    <m/>
    <m/>
    <m/>
    <m/>
    <n v="0"/>
    <m/>
    <m/>
    <n v="0"/>
    <m/>
    <m/>
    <m/>
    <m/>
    <m/>
    <m/>
    <n v="2640634"/>
    <n v="3240566"/>
  </r>
  <r>
    <x v="9"/>
    <x v="0"/>
    <s v="Coastal Carolina Community College "/>
    <m/>
    <n v="198330"/>
    <x v="7"/>
    <n v="19551992"/>
    <n v="18061811"/>
    <m/>
    <m/>
    <n v="4694259"/>
    <n v="4987741"/>
    <n v="6259686"/>
    <m/>
    <n v="6259686"/>
    <n v="6137456"/>
    <m/>
    <n v="6137456"/>
    <n v="30505937"/>
    <n v="29187008"/>
    <m/>
    <m/>
    <m/>
    <m/>
    <n v="0"/>
    <m/>
    <m/>
    <n v="0"/>
    <m/>
    <m/>
    <m/>
    <m/>
    <m/>
    <m/>
    <n v="30505937"/>
    <n v="29187008"/>
  </r>
  <r>
    <x v="9"/>
    <x v="0"/>
    <s v="Nursing / allied health supplement"/>
    <m/>
    <n v="19833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330"/>
    <x v="7"/>
    <m/>
    <m/>
    <n v="168120"/>
    <n v="169549"/>
    <m/>
    <m/>
    <m/>
    <m/>
    <n v="0"/>
    <m/>
    <m/>
    <n v="0"/>
    <n v="168120"/>
    <n v="169549"/>
    <m/>
    <m/>
    <m/>
    <m/>
    <n v="0"/>
    <m/>
    <m/>
    <n v="0"/>
    <m/>
    <m/>
    <m/>
    <m/>
    <m/>
    <m/>
    <n v="168120"/>
    <n v="169549"/>
  </r>
  <r>
    <x v="9"/>
    <x v="45"/>
    <s v="Non-credit continuing education"/>
    <m/>
    <n v="198330"/>
    <x v="7"/>
    <m/>
    <m/>
    <n v="2202341"/>
    <n v="2460898"/>
    <m/>
    <m/>
    <n v="242327"/>
    <m/>
    <n v="242327"/>
    <n v="239020"/>
    <m/>
    <n v="239020"/>
    <n v="2444668"/>
    <n v="2699918"/>
    <m/>
    <m/>
    <m/>
    <m/>
    <n v="0"/>
    <m/>
    <m/>
    <n v="0"/>
    <m/>
    <m/>
    <m/>
    <m/>
    <m/>
    <m/>
    <n v="2444668"/>
    <n v="2699918"/>
  </r>
  <r>
    <x v="9"/>
    <x v="0"/>
    <s v="Craven Community College "/>
    <m/>
    <n v="198367"/>
    <x v="7"/>
    <n v="13321006"/>
    <n v="13406319"/>
    <m/>
    <m/>
    <n v="3794545"/>
    <n v="3926193"/>
    <n v="4125437"/>
    <m/>
    <n v="4125437"/>
    <n v="4015549"/>
    <m/>
    <n v="4015549"/>
    <n v="21240988"/>
    <n v="21348061"/>
    <m/>
    <m/>
    <m/>
    <m/>
    <n v="0"/>
    <m/>
    <m/>
    <n v="0"/>
    <m/>
    <m/>
    <m/>
    <m/>
    <m/>
    <m/>
    <n v="21240988"/>
    <n v="21348061"/>
  </r>
  <r>
    <x v="9"/>
    <x v="0"/>
    <s v="Nursing / allied health supplement"/>
    <m/>
    <n v="19836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367"/>
    <x v="7"/>
    <m/>
    <m/>
    <n v="164956"/>
    <n v="166065"/>
    <m/>
    <m/>
    <m/>
    <m/>
    <n v="0"/>
    <m/>
    <m/>
    <n v="0"/>
    <n v="164956"/>
    <n v="166065"/>
    <m/>
    <m/>
    <m/>
    <m/>
    <n v="0"/>
    <m/>
    <m/>
    <n v="0"/>
    <m/>
    <m/>
    <m/>
    <m/>
    <m/>
    <m/>
    <n v="164956"/>
    <n v="166065"/>
  </r>
  <r>
    <x v="9"/>
    <x v="45"/>
    <s v="Non-credit continuing education"/>
    <m/>
    <n v="198367"/>
    <x v="7"/>
    <m/>
    <m/>
    <n v="1828265"/>
    <n v="1862168"/>
    <m/>
    <m/>
    <n v="231168"/>
    <m/>
    <n v="231168"/>
    <n v="213782"/>
    <m/>
    <n v="213782"/>
    <n v="2059433"/>
    <n v="2075950"/>
    <m/>
    <m/>
    <m/>
    <m/>
    <n v="0"/>
    <m/>
    <m/>
    <n v="0"/>
    <m/>
    <m/>
    <m/>
    <m/>
    <m/>
    <m/>
    <n v="2059433"/>
    <n v="2075950"/>
  </r>
  <r>
    <x v="9"/>
    <x v="0"/>
    <s v="Davidson-Davie Community College"/>
    <m/>
    <n v="198376"/>
    <x v="7"/>
    <n v="15105609"/>
    <n v="15941331"/>
    <m/>
    <m/>
    <n v="4031861"/>
    <n v="4045288"/>
    <n v="4963832"/>
    <m/>
    <n v="4963832"/>
    <n v="4992912"/>
    <m/>
    <n v="4992912"/>
    <n v="24101302"/>
    <n v="24979531"/>
    <m/>
    <m/>
    <m/>
    <m/>
    <n v="0"/>
    <m/>
    <m/>
    <n v="0"/>
    <m/>
    <m/>
    <m/>
    <m/>
    <m/>
    <m/>
    <n v="24101302"/>
    <n v="24979531"/>
  </r>
  <r>
    <x v="9"/>
    <x v="0"/>
    <s v="Nursing / allied health supplement"/>
    <m/>
    <n v="19837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376"/>
    <x v="7"/>
    <m/>
    <m/>
    <n v="178120"/>
    <n v="178520"/>
    <m/>
    <m/>
    <m/>
    <m/>
    <n v="0"/>
    <m/>
    <m/>
    <n v="0"/>
    <n v="178120"/>
    <n v="178520"/>
    <m/>
    <m/>
    <m/>
    <m/>
    <n v="0"/>
    <m/>
    <m/>
    <n v="0"/>
    <m/>
    <m/>
    <m/>
    <m/>
    <m/>
    <m/>
    <n v="178120"/>
    <n v="178520"/>
  </r>
  <r>
    <x v="9"/>
    <x v="45"/>
    <s v="Non-credit continuing education"/>
    <m/>
    <n v="198376"/>
    <x v="7"/>
    <m/>
    <m/>
    <n v="1959505"/>
    <n v="1851625"/>
    <m/>
    <m/>
    <n v="188920"/>
    <m/>
    <n v="188920"/>
    <n v="172584"/>
    <m/>
    <n v="172584"/>
    <n v="2148425"/>
    <n v="2024209"/>
    <m/>
    <m/>
    <m/>
    <m/>
    <n v="0"/>
    <m/>
    <m/>
    <n v="0"/>
    <m/>
    <m/>
    <m/>
    <m/>
    <m/>
    <m/>
    <n v="2148425"/>
    <n v="2024209"/>
  </r>
  <r>
    <x v="9"/>
    <x v="0"/>
    <s v="Durham Technical Community College"/>
    <m/>
    <n v="198455"/>
    <x v="7"/>
    <n v="19607689"/>
    <n v="20942313"/>
    <m/>
    <m/>
    <n v="8827828"/>
    <n v="8418555"/>
    <n v="6906780"/>
    <m/>
    <n v="6906780"/>
    <n v="6952461"/>
    <m/>
    <n v="6952461"/>
    <n v="35342297"/>
    <n v="36313329"/>
    <m/>
    <m/>
    <m/>
    <m/>
    <n v="0"/>
    <m/>
    <m/>
    <n v="0"/>
    <m/>
    <m/>
    <m/>
    <m/>
    <m/>
    <m/>
    <n v="35342297"/>
    <n v="36313329"/>
  </r>
  <r>
    <x v="9"/>
    <x v="0"/>
    <s v="Nursing / allied health supplement"/>
    <m/>
    <n v="19845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455"/>
    <x v="7"/>
    <m/>
    <m/>
    <n v="179089"/>
    <n v="179185"/>
    <m/>
    <m/>
    <m/>
    <m/>
    <n v="0"/>
    <m/>
    <m/>
    <n v="0"/>
    <n v="179089"/>
    <n v="179185"/>
    <m/>
    <m/>
    <m/>
    <m/>
    <n v="0"/>
    <m/>
    <m/>
    <n v="0"/>
    <m/>
    <m/>
    <m/>
    <m/>
    <m/>
    <m/>
    <n v="179089"/>
    <n v="179185"/>
  </r>
  <r>
    <x v="9"/>
    <x v="45"/>
    <s v="Non-credit continuing education"/>
    <m/>
    <n v="198455"/>
    <x v="7"/>
    <m/>
    <m/>
    <n v="2263856"/>
    <n v="2603013"/>
    <m/>
    <m/>
    <n v="218015"/>
    <m/>
    <n v="218015"/>
    <n v="243102"/>
    <m/>
    <n v="243102"/>
    <n v="2481871"/>
    <n v="2846115"/>
    <m/>
    <m/>
    <m/>
    <m/>
    <n v="0"/>
    <m/>
    <m/>
    <n v="0"/>
    <m/>
    <m/>
    <m/>
    <m/>
    <m/>
    <m/>
    <n v="2481871"/>
    <n v="2846115"/>
  </r>
  <r>
    <x v="9"/>
    <x v="0"/>
    <s v="Gaston College "/>
    <m/>
    <n v="198570"/>
    <x v="7"/>
    <n v="21442118"/>
    <n v="21861535"/>
    <m/>
    <m/>
    <n v="5812097"/>
    <n v="5836317"/>
    <n v="7121370"/>
    <m/>
    <n v="7121370"/>
    <n v="7002294"/>
    <m/>
    <n v="7002294"/>
    <n v="34375585"/>
    <n v="34700146"/>
    <m/>
    <m/>
    <m/>
    <m/>
    <n v="0"/>
    <m/>
    <m/>
    <n v="0"/>
    <m/>
    <m/>
    <m/>
    <m/>
    <m/>
    <m/>
    <n v="34375585"/>
    <n v="34700146"/>
  </r>
  <r>
    <x v="9"/>
    <x v="0"/>
    <s v="Nursing / allied health supplement"/>
    <m/>
    <n v="19857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570"/>
    <x v="7"/>
    <m/>
    <m/>
    <n v="175721"/>
    <n v="177446"/>
    <m/>
    <m/>
    <m/>
    <m/>
    <n v="0"/>
    <m/>
    <m/>
    <n v="0"/>
    <n v="175721"/>
    <n v="177446"/>
    <m/>
    <m/>
    <m/>
    <m/>
    <n v="0"/>
    <m/>
    <m/>
    <n v="0"/>
    <m/>
    <m/>
    <m/>
    <m/>
    <m/>
    <m/>
    <n v="175721"/>
    <n v="177446"/>
  </r>
  <r>
    <x v="9"/>
    <x v="45"/>
    <s v="Non-credit continuing education"/>
    <m/>
    <n v="198570"/>
    <x v="7"/>
    <m/>
    <m/>
    <n v="1451910"/>
    <n v="1844086"/>
    <m/>
    <m/>
    <n v="180948"/>
    <m/>
    <n v="180948"/>
    <n v="195595"/>
    <m/>
    <n v="195595"/>
    <n v="1632858"/>
    <n v="2039681"/>
    <m/>
    <m/>
    <m/>
    <m/>
    <n v="0"/>
    <m/>
    <m/>
    <n v="0"/>
    <m/>
    <m/>
    <m/>
    <m/>
    <m/>
    <m/>
    <n v="1632858"/>
    <n v="2039681"/>
  </r>
  <r>
    <x v="9"/>
    <x v="0"/>
    <s v="Johnston Community College"/>
    <m/>
    <n v="198774"/>
    <x v="7"/>
    <n v="16238588"/>
    <n v="17281175"/>
    <m/>
    <m/>
    <n v="4728931"/>
    <n v="4500000"/>
    <n v="5491157"/>
    <m/>
    <n v="5491157"/>
    <n v="5602157"/>
    <m/>
    <n v="5602157"/>
    <n v="26458676"/>
    <n v="27383332"/>
    <m/>
    <m/>
    <m/>
    <m/>
    <n v="0"/>
    <m/>
    <m/>
    <n v="0"/>
    <m/>
    <m/>
    <m/>
    <m/>
    <m/>
    <m/>
    <n v="26458676"/>
    <n v="27383332"/>
  </r>
  <r>
    <x v="9"/>
    <x v="0"/>
    <s v="Nursing / allied health supplement"/>
    <m/>
    <n v="198774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774"/>
    <x v="7"/>
    <m/>
    <m/>
    <n v="168069"/>
    <n v="167701"/>
    <m/>
    <m/>
    <m/>
    <m/>
    <n v="0"/>
    <m/>
    <m/>
    <n v="0"/>
    <n v="168069"/>
    <n v="167701"/>
    <m/>
    <m/>
    <m/>
    <m/>
    <n v="0"/>
    <m/>
    <m/>
    <n v="0"/>
    <m/>
    <m/>
    <m/>
    <m/>
    <m/>
    <m/>
    <n v="168069"/>
    <n v="167701"/>
  </r>
  <r>
    <x v="9"/>
    <x v="45"/>
    <s v="Non-credit continuing education"/>
    <m/>
    <n v="198774"/>
    <x v="7"/>
    <m/>
    <m/>
    <n v="2425003"/>
    <n v="2569041"/>
    <m/>
    <m/>
    <n v="278597"/>
    <m/>
    <n v="278597"/>
    <n v="271681"/>
    <m/>
    <n v="271681"/>
    <n v="2703600"/>
    <n v="2840722"/>
    <m/>
    <m/>
    <m/>
    <m/>
    <n v="0"/>
    <m/>
    <m/>
    <n v="0"/>
    <m/>
    <m/>
    <m/>
    <m/>
    <m/>
    <m/>
    <n v="2703600"/>
    <n v="2840722"/>
  </r>
  <r>
    <x v="9"/>
    <x v="0"/>
    <s v="Lenoir Community College "/>
    <m/>
    <n v="198817"/>
    <x v="7"/>
    <n v="15377076"/>
    <n v="15040902"/>
    <m/>
    <m/>
    <n v="2928933"/>
    <n v="2821148"/>
    <n v="377865"/>
    <m/>
    <n v="377865"/>
    <n v="3610457"/>
    <m/>
    <n v="3610457"/>
    <n v="18683874"/>
    <n v="21472507"/>
    <m/>
    <m/>
    <m/>
    <m/>
    <n v="0"/>
    <m/>
    <m/>
    <n v="0"/>
    <m/>
    <m/>
    <m/>
    <m/>
    <m/>
    <m/>
    <n v="18683874"/>
    <n v="21472507"/>
  </r>
  <r>
    <x v="9"/>
    <x v="0"/>
    <s v="Nursing / allied health supplement"/>
    <m/>
    <n v="19881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817"/>
    <x v="7"/>
    <m/>
    <m/>
    <n v="160006"/>
    <n v="160695"/>
    <m/>
    <m/>
    <m/>
    <m/>
    <n v="0"/>
    <m/>
    <m/>
    <n v="0"/>
    <n v="160006"/>
    <n v="160695"/>
    <m/>
    <m/>
    <m/>
    <m/>
    <n v="0"/>
    <m/>
    <m/>
    <n v="0"/>
    <m/>
    <m/>
    <m/>
    <m/>
    <m/>
    <m/>
    <n v="160006"/>
    <n v="160695"/>
  </r>
  <r>
    <x v="9"/>
    <x v="45"/>
    <s v="Non-credit continuing education"/>
    <m/>
    <n v="198817"/>
    <x v="7"/>
    <m/>
    <m/>
    <n v="7348795"/>
    <n v="7038782"/>
    <m/>
    <m/>
    <n v="938620"/>
    <m/>
    <n v="938620"/>
    <n v="812816"/>
    <m/>
    <n v="812816"/>
    <n v="8287415"/>
    <n v="7851598"/>
    <m/>
    <m/>
    <m/>
    <m/>
    <n v="0"/>
    <m/>
    <m/>
    <n v="0"/>
    <m/>
    <m/>
    <m/>
    <m/>
    <m/>
    <m/>
    <n v="8287415"/>
    <n v="7851598"/>
  </r>
  <r>
    <x v="9"/>
    <x v="0"/>
    <s v="Mitchell Community College "/>
    <m/>
    <n v="198987"/>
    <x v="7"/>
    <n v="11775398"/>
    <n v="12282560"/>
    <m/>
    <m/>
    <n v="3600364"/>
    <n v="4240158"/>
    <n v="3776106"/>
    <m/>
    <n v="3776106"/>
    <n v="3711730"/>
    <m/>
    <n v="3711730"/>
    <n v="19151868"/>
    <n v="20234448"/>
    <m/>
    <m/>
    <m/>
    <m/>
    <n v="0"/>
    <m/>
    <m/>
    <n v="0"/>
    <m/>
    <m/>
    <m/>
    <m/>
    <m/>
    <m/>
    <n v="19151868"/>
    <n v="20234448"/>
  </r>
  <r>
    <x v="9"/>
    <x v="0"/>
    <s v="Nursing / allied health supplement"/>
    <m/>
    <n v="19898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987"/>
    <x v="7"/>
    <m/>
    <m/>
    <n v="173578"/>
    <n v="163456"/>
    <m/>
    <m/>
    <m/>
    <m/>
    <n v="0"/>
    <m/>
    <m/>
    <n v="0"/>
    <n v="173578"/>
    <n v="163456"/>
    <m/>
    <m/>
    <m/>
    <m/>
    <n v="0"/>
    <m/>
    <m/>
    <n v="0"/>
    <m/>
    <m/>
    <m/>
    <m/>
    <m/>
    <m/>
    <n v="173578"/>
    <n v="163456"/>
  </r>
  <r>
    <x v="9"/>
    <x v="45"/>
    <s v="Non-credit continuing education"/>
    <m/>
    <n v="198987"/>
    <x v="7"/>
    <m/>
    <m/>
    <n v="1255430"/>
    <n v="1368279"/>
    <m/>
    <m/>
    <n v="129932"/>
    <m/>
    <n v="129932"/>
    <n v="141408"/>
    <m/>
    <n v="141408"/>
    <n v="1385362"/>
    <n v="1509687"/>
    <m/>
    <m/>
    <m/>
    <m/>
    <n v="0"/>
    <m/>
    <m/>
    <n v="0"/>
    <m/>
    <m/>
    <m/>
    <m/>
    <m/>
    <m/>
    <n v="1385362"/>
    <n v="1509687"/>
  </r>
  <r>
    <x v="9"/>
    <x v="0"/>
    <s v="Nash Community College"/>
    <m/>
    <n v="199087"/>
    <x v="7"/>
    <n v="12474094"/>
    <n v="12927454"/>
    <m/>
    <m/>
    <n v="2340226"/>
    <n v="2395226"/>
    <n v="4170351"/>
    <m/>
    <n v="4170351"/>
    <n v="4052521"/>
    <m/>
    <n v="4052521"/>
    <n v="18984671"/>
    <n v="19375201"/>
    <m/>
    <m/>
    <m/>
    <m/>
    <n v="0"/>
    <m/>
    <m/>
    <n v="0"/>
    <m/>
    <m/>
    <m/>
    <m/>
    <m/>
    <m/>
    <n v="18984671"/>
    <n v="19375201"/>
  </r>
  <r>
    <x v="9"/>
    <x v="0"/>
    <s v="Nursing / allied health supplement"/>
    <m/>
    <n v="19908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087"/>
    <x v="7"/>
    <m/>
    <m/>
    <n v="160312"/>
    <n v="163917"/>
    <m/>
    <m/>
    <m/>
    <m/>
    <n v="0"/>
    <m/>
    <m/>
    <n v="0"/>
    <n v="160312"/>
    <n v="163917"/>
    <m/>
    <m/>
    <m/>
    <m/>
    <n v="0"/>
    <m/>
    <m/>
    <n v="0"/>
    <m/>
    <m/>
    <m/>
    <m/>
    <m/>
    <m/>
    <n v="160312"/>
    <n v="163917"/>
  </r>
  <r>
    <x v="9"/>
    <x v="45"/>
    <s v="Non-credit continuing education"/>
    <m/>
    <n v="199087"/>
    <x v="7"/>
    <m/>
    <m/>
    <n v="1729288"/>
    <n v="1827403"/>
    <m/>
    <m/>
    <n v="224791"/>
    <m/>
    <n v="224791"/>
    <n v="224174"/>
    <m/>
    <n v="224174"/>
    <n v="1954079"/>
    <n v="2051577"/>
    <m/>
    <m/>
    <m/>
    <m/>
    <n v="0"/>
    <m/>
    <m/>
    <n v="0"/>
    <m/>
    <m/>
    <m/>
    <m/>
    <m/>
    <m/>
    <n v="1954079"/>
    <n v="2051577"/>
  </r>
  <r>
    <x v="9"/>
    <x v="0"/>
    <s v="Randolph Community College"/>
    <m/>
    <n v="199421"/>
    <x v="7"/>
    <n v="11616410"/>
    <n v="11850493"/>
    <m/>
    <m/>
    <n v="2618000"/>
    <n v="2618000"/>
    <n v="3639700"/>
    <m/>
    <n v="3639700"/>
    <n v="3605635"/>
    <m/>
    <n v="3605635"/>
    <n v="17874110"/>
    <n v="18074128"/>
    <m/>
    <m/>
    <m/>
    <m/>
    <n v="0"/>
    <m/>
    <m/>
    <n v="0"/>
    <m/>
    <m/>
    <m/>
    <m/>
    <m/>
    <m/>
    <n v="17874110"/>
    <n v="18074128"/>
  </r>
  <r>
    <x v="9"/>
    <x v="0"/>
    <s v="Nursing / allied health supplement"/>
    <m/>
    <n v="19942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21"/>
    <x v="7"/>
    <m/>
    <m/>
    <n v="170720"/>
    <n v="171053"/>
    <m/>
    <m/>
    <m/>
    <m/>
    <n v="0"/>
    <m/>
    <m/>
    <n v="0"/>
    <n v="170720"/>
    <n v="171053"/>
    <m/>
    <m/>
    <m/>
    <m/>
    <n v="0"/>
    <m/>
    <m/>
    <n v="0"/>
    <m/>
    <m/>
    <m/>
    <m/>
    <m/>
    <m/>
    <n v="170720"/>
    <n v="171053"/>
  </r>
  <r>
    <x v="9"/>
    <x v="45"/>
    <s v="Non-credit continuing education"/>
    <m/>
    <n v="199421"/>
    <x v="7"/>
    <m/>
    <m/>
    <n v="1848217"/>
    <n v="1989631"/>
    <m/>
    <m/>
    <n v="201674"/>
    <m/>
    <n v="201674"/>
    <n v="196338"/>
    <m/>
    <n v="196338"/>
    <n v="2049891"/>
    <n v="2185969"/>
    <m/>
    <m/>
    <m/>
    <m/>
    <n v="0"/>
    <m/>
    <m/>
    <n v="0"/>
    <m/>
    <m/>
    <m/>
    <m/>
    <m/>
    <m/>
    <n v="2049891"/>
    <n v="2185969"/>
  </r>
  <r>
    <x v="9"/>
    <x v="0"/>
    <s v="Richmond Community College"/>
    <m/>
    <n v="199449"/>
    <x v="7"/>
    <n v="12773945"/>
    <n v="12596689"/>
    <m/>
    <m/>
    <n v="2483586"/>
    <n v="2480819"/>
    <n v="3480006"/>
    <m/>
    <n v="3480006"/>
    <n v="3369332"/>
    <m/>
    <n v="3369332"/>
    <n v="18737537"/>
    <n v="18446840"/>
    <m/>
    <m/>
    <m/>
    <m/>
    <n v="0"/>
    <m/>
    <m/>
    <n v="0"/>
    <m/>
    <m/>
    <m/>
    <m/>
    <m/>
    <m/>
    <n v="18737537"/>
    <n v="18446840"/>
  </r>
  <r>
    <x v="9"/>
    <x v="0"/>
    <s v="Nursing / allied health supplement"/>
    <m/>
    <n v="19944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49"/>
    <x v="7"/>
    <m/>
    <m/>
    <n v="158883"/>
    <n v="160234"/>
    <m/>
    <m/>
    <m/>
    <m/>
    <n v="0"/>
    <m/>
    <m/>
    <n v="0"/>
    <n v="158883"/>
    <n v="160234"/>
    <m/>
    <m/>
    <m/>
    <m/>
    <n v="0"/>
    <m/>
    <m/>
    <n v="0"/>
    <m/>
    <m/>
    <m/>
    <m/>
    <m/>
    <m/>
    <n v="158883"/>
    <n v="160234"/>
  </r>
  <r>
    <x v="9"/>
    <x v="45"/>
    <s v="Non-credit continuing education"/>
    <m/>
    <n v="199449"/>
    <x v="7"/>
    <m/>
    <m/>
    <n v="2661365"/>
    <n v="2702775"/>
    <m/>
    <m/>
    <n v="259864"/>
    <m/>
    <n v="259864"/>
    <n v="253866"/>
    <m/>
    <n v="253866"/>
    <n v="2921229"/>
    <n v="2956641"/>
    <m/>
    <m/>
    <m/>
    <m/>
    <n v="0"/>
    <m/>
    <m/>
    <n v="0"/>
    <m/>
    <m/>
    <m/>
    <m/>
    <m/>
    <m/>
    <n v="2921229"/>
    <n v="2956641"/>
  </r>
  <r>
    <x v="9"/>
    <x v="0"/>
    <s v="Sandhills Community College "/>
    <m/>
    <n v="199634"/>
    <x v="7"/>
    <n v="15793176"/>
    <n v="16571593"/>
    <m/>
    <m/>
    <n v="4670410"/>
    <n v="4673353"/>
    <n v="5632553"/>
    <m/>
    <n v="5632553"/>
    <n v="5555539"/>
    <m/>
    <n v="5555539"/>
    <n v="26096139"/>
    <n v="26800485"/>
    <m/>
    <m/>
    <m/>
    <m/>
    <n v="0"/>
    <m/>
    <m/>
    <n v="0"/>
    <m/>
    <m/>
    <m/>
    <m/>
    <m/>
    <m/>
    <n v="26096139"/>
    <n v="26800485"/>
  </r>
  <r>
    <x v="9"/>
    <x v="0"/>
    <s v="Nursing / allied health supplement"/>
    <m/>
    <n v="199634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634"/>
    <x v="7"/>
    <m/>
    <m/>
    <n v="165517"/>
    <n v="167446"/>
    <m/>
    <m/>
    <m/>
    <m/>
    <n v="0"/>
    <m/>
    <m/>
    <n v="0"/>
    <n v="165517"/>
    <n v="167446"/>
    <m/>
    <m/>
    <m/>
    <m/>
    <n v="0"/>
    <m/>
    <m/>
    <n v="0"/>
    <m/>
    <m/>
    <m/>
    <m/>
    <m/>
    <m/>
    <n v="165517"/>
    <n v="167446"/>
  </r>
  <r>
    <x v="9"/>
    <x v="45"/>
    <s v="Non-credit continuing education"/>
    <m/>
    <n v="199634"/>
    <x v="7"/>
    <m/>
    <m/>
    <n v="1814547"/>
    <n v="2012901"/>
    <m/>
    <m/>
    <n v="218812"/>
    <m/>
    <n v="218812"/>
    <n v="212297"/>
    <m/>
    <n v="212297"/>
    <n v="2033359"/>
    <n v="2225198"/>
    <m/>
    <m/>
    <m/>
    <m/>
    <n v="0"/>
    <m/>
    <m/>
    <n v="0"/>
    <m/>
    <m/>
    <m/>
    <m/>
    <m/>
    <m/>
    <n v="2033359"/>
    <n v="2225198"/>
  </r>
  <r>
    <x v="9"/>
    <x v="0"/>
    <s v="South Piedmont Community College"/>
    <m/>
    <n v="197850"/>
    <x v="7"/>
    <n v="11022332"/>
    <n v="12110440"/>
    <m/>
    <m/>
    <n v="3599588"/>
    <n v="3367338"/>
    <n v="3120694"/>
    <m/>
    <n v="3120694"/>
    <n v="3287349"/>
    <m/>
    <n v="3287349"/>
    <n v="17742614"/>
    <n v="18765127"/>
    <m/>
    <m/>
    <m/>
    <m/>
    <n v="0"/>
    <m/>
    <m/>
    <n v="0"/>
    <m/>
    <m/>
    <m/>
    <m/>
    <m/>
    <m/>
    <n v="17742614"/>
    <n v="18765127"/>
  </r>
  <r>
    <x v="9"/>
    <x v="0"/>
    <s v="Nursing / allied health supplement"/>
    <m/>
    <n v="19785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7850"/>
    <x v="7"/>
    <m/>
    <m/>
    <n v="170669"/>
    <n v="172434"/>
    <m/>
    <m/>
    <m/>
    <m/>
    <n v="0"/>
    <m/>
    <m/>
    <n v="0"/>
    <n v="170669"/>
    <n v="172434"/>
    <m/>
    <m/>
    <m/>
    <m/>
    <n v="0"/>
    <m/>
    <m/>
    <n v="0"/>
    <m/>
    <m/>
    <m/>
    <m/>
    <m/>
    <m/>
    <n v="170669"/>
    <n v="172434"/>
  </r>
  <r>
    <x v="9"/>
    <x v="45"/>
    <s v="Non-credit continuing education"/>
    <m/>
    <n v="197850"/>
    <x v="7"/>
    <m/>
    <m/>
    <n v="2416832"/>
    <n v="2894182"/>
    <m/>
    <m/>
    <n v="256676"/>
    <m/>
    <n v="256676"/>
    <n v="296548"/>
    <m/>
    <n v="296548"/>
    <n v="2673508"/>
    <n v="3190730"/>
    <m/>
    <m/>
    <m/>
    <m/>
    <n v="0"/>
    <m/>
    <m/>
    <n v="0"/>
    <m/>
    <m/>
    <m/>
    <m/>
    <m/>
    <m/>
    <n v="2673508"/>
    <n v="3190730"/>
  </r>
  <r>
    <x v="9"/>
    <x v="0"/>
    <s v="Stanly Community College"/>
    <m/>
    <n v="199740"/>
    <x v="7"/>
    <n v="11931657"/>
    <n v="12199034"/>
    <m/>
    <m/>
    <n v="1915236"/>
    <n v="1827716"/>
    <n v="3443409"/>
    <m/>
    <n v="3443409"/>
    <n v="3361294"/>
    <m/>
    <n v="3361294"/>
    <n v="17290302"/>
    <n v="17388044"/>
    <m/>
    <m/>
    <m/>
    <m/>
    <n v="0"/>
    <m/>
    <m/>
    <n v="0"/>
    <m/>
    <m/>
    <m/>
    <m/>
    <m/>
    <m/>
    <n v="17290302"/>
    <n v="17388044"/>
  </r>
  <r>
    <x v="9"/>
    <x v="0"/>
    <s v="Nursing / allied health supplement"/>
    <m/>
    <n v="19974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40"/>
    <x v="7"/>
    <m/>
    <m/>
    <n v="163834"/>
    <n v="165201"/>
    <m/>
    <m/>
    <m/>
    <m/>
    <n v="0"/>
    <m/>
    <m/>
    <n v="0"/>
    <n v="163834"/>
    <n v="165201"/>
    <m/>
    <m/>
    <m/>
    <m/>
    <n v="0"/>
    <m/>
    <m/>
    <n v="0"/>
    <m/>
    <m/>
    <m/>
    <m/>
    <m/>
    <m/>
    <n v="163834"/>
    <n v="165201"/>
  </r>
  <r>
    <x v="9"/>
    <x v="45"/>
    <s v="Non-credit continuing education"/>
    <m/>
    <n v="199740"/>
    <x v="7"/>
    <m/>
    <m/>
    <n v="2113736"/>
    <n v="2473932"/>
    <m/>
    <m/>
    <n v="309286"/>
    <m/>
    <n v="309286"/>
    <n v="282444"/>
    <m/>
    <n v="282444"/>
    <n v="2423022"/>
    <n v="2756376"/>
    <m/>
    <m/>
    <m/>
    <m/>
    <n v="0"/>
    <m/>
    <m/>
    <n v="0"/>
    <m/>
    <m/>
    <m/>
    <m/>
    <m/>
    <m/>
    <n v="2423022"/>
    <n v="2756376"/>
  </r>
  <r>
    <x v="9"/>
    <x v="0"/>
    <s v="Surry Community College "/>
    <m/>
    <n v="199768"/>
    <x v="7"/>
    <n v="12580792"/>
    <n v="13600949"/>
    <m/>
    <m/>
    <n v="2872000"/>
    <n v="2872000"/>
    <n v="4112129"/>
    <m/>
    <n v="4112129"/>
    <n v="4279180"/>
    <m/>
    <n v="4279180"/>
    <n v="19564921"/>
    <n v="20752129"/>
    <m/>
    <m/>
    <m/>
    <m/>
    <n v="0"/>
    <m/>
    <m/>
    <n v="0"/>
    <m/>
    <m/>
    <m/>
    <m/>
    <m/>
    <m/>
    <n v="19564921"/>
    <n v="20752129"/>
  </r>
  <r>
    <x v="9"/>
    <x v="0"/>
    <s v="Nursing / allied health supplement"/>
    <m/>
    <n v="19976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68"/>
    <x v="7"/>
    <m/>
    <m/>
    <n v="159700"/>
    <n v="161922"/>
    <m/>
    <m/>
    <m/>
    <m/>
    <n v="0"/>
    <m/>
    <m/>
    <n v="0"/>
    <n v="159700"/>
    <n v="161922"/>
    <m/>
    <m/>
    <m/>
    <m/>
    <n v="0"/>
    <m/>
    <m/>
    <n v="0"/>
    <m/>
    <m/>
    <m/>
    <m/>
    <m/>
    <m/>
    <n v="159700"/>
    <n v="161922"/>
  </r>
  <r>
    <x v="9"/>
    <x v="45"/>
    <s v="Non-credit continuing education"/>
    <m/>
    <n v="199768"/>
    <x v="7"/>
    <m/>
    <m/>
    <n v="2033425"/>
    <n v="2091432"/>
    <m/>
    <m/>
    <n v="246712"/>
    <m/>
    <n v="246712"/>
    <n v="224916"/>
    <m/>
    <n v="224916"/>
    <n v="2280137"/>
    <n v="2316348"/>
    <m/>
    <m/>
    <m/>
    <m/>
    <n v="0"/>
    <m/>
    <m/>
    <n v="0"/>
    <m/>
    <m/>
    <m/>
    <m/>
    <m/>
    <m/>
    <n v="2280137"/>
    <n v="2316348"/>
  </r>
  <r>
    <x v="9"/>
    <x v="0"/>
    <s v="Vance-Granville Community College "/>
    <m/>
    <n v="199838"/>
    <x v="7"/>
    <n v="12771710"/>
    <n v="13433646"/>
    <m/>
    <m/>
    <n v="2594000"/>
    <n v="2564233"/>
    <n v="3776106"/>
    <m/>
    <n v="3776106"/>
    <n v="3808181"/>
    <m/>
    <n v="3808181"/>
    <n v="19141816"/>
    <n v="19806060"/>
    <m/>
    <m/>
    <m/>
    <m/>
    <n v="0"/>
    <m/>
    <m/>
    <n v="0"/>
    <m/>
    <m/>
    <m/>
    <m/>
    <m/>
    <m/>
    <n v="19141816"/>
    <n v="19806060"/>
  </r>
  <r>
    <x v="9"/>
    <x v="0"/>
    <s v="Nursing / allied health supplement"/>
    <m/>
    <n v="19983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838"/>
    <x v="7"/>
    <m/>
    <m/>
    <n v="172149"/>
    <n v="174070"/>
    <m/>
    <m/>
    <m/>
    <m/>
    <n v="0"/>
    <m/>
    <m/>
    <n v="0"/>
    <n v="172149"/>
    <n v="174070"/>
    <m/>
    <m/>
    <m/>
    <m/>
    <n v="0"/>
    <m/>
    <m/>
    <n v="0"/>
    <m/>
    <m/>
    <m/>
    <m/>
    <m/>
    <m/>
    <n v="172149"/>
    <n v="174070"/>
  </r>
  <r>
    <x v="9"/>
    <x v="45"/>
    <s v="Non-credit continuing education"/>
    <m/>
    <n v="199838"/>
    <x v="7"/>
    <m/>
    <m/>
    <n v="1924759"/>
    <n v="1947418"/>
    <m/>
    <m/>
    <n v="203667"/>
    <m/>
    <n v="203667"/>
    <n v="194111"/>
    <m/>
    <n v="194111"/>
    <n v="2128426"/>
    <n v="2141529"/>
    <m/>
    <m/>
    <m/>
    <m/>
    <n v="0"/>
    <m/>
    <m/>
    <n v="0"/>
    <m/>
    <m/>
    <m/>
    <m/>
    <m/>
    <m/>
    <n v="2128426"/>
    <n v="2141529"/>
  </r>
  <r>
    <x v="9"/>
    <x v="0"/>
    <s v="Wayne Community College"/>
    <m/>
    <n v="199892"/>
    <x v="7"/>
    <n v="14564795"/>
    <n v="14754890"/>
    <m/>
    <m/>
    <n v="6031398"/>
    <n v="4985186"/>
    <n v="4845725"/>
    <m/>
    <n v="4845725"/>
    <n v="4637653"/>
    <m/>
    <n v="4637653"/>
    <n v="25441918"/>
    <n v="24377729"/>
    <m/>
    <m/>
    <m/>
    <m/>
    <n v="0"/>
    <m/>
    <m/>
    <n v="0"/>
    <m/>
    <m/>
    <m/>
    <m/>
    <m/>
    <m/>
    <n v="25441918"/>
    <n v="24377729"/>
  </r>
  <r>
    <x v="9"/>
    <x v="0"/>
    <s v="Nursing / allied health supplement"/>
    <m/>
    <n v="199892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892"/>
    <x v="7"/>
    <m/>
    <m/>
    <n v="161537"/>
    <n v="163814"/>
    <m/>
    <m/>
    <m/>
    <m/>
    <n v="0"/>
    <m/>
    <m/>
    <n v="0"/>
    <n v="161537"/>
    <n v="163814"/>
    <m/>
    <m/>
    <m/>
    <m/>
    <n v="0"/>
    <m/>
    <m/>
    <n v="0"/>
    <m/>
    <m/>
    <m/>
    <m/>
    <m/>
    <m/>
    <n v="161537"/>
    <n v="163814"/>
  </r>
  <r>
    <x v="9"/>
    <x v="45"/>
    <s v="Non-credit continuing education"/>
    <m/>
    <n v="199892"/>
    <x v="7"/>
    <m/>
    <m/>
    <n v="2066273"/>
    <n v="2214378"/>
    <m/>
    <m/>
    <n v="225189"/>
    <m/>
    <n v="225189"/>
    <n v="224916"/>
    <m/>
    <n v="224916"/>
    <n v="2291462"/>
    <n v="2439294"/>
    <m/>
    <m/>
    <m/>
    <m/>
    <n v="0"/>
    <m/>
    <m/>
    <n v="0"/>
    <m/>
    <m/>
    <m/>
    <m/>
    <m/>
    <m/>
    <n v="2291462"/>
    <n v="2439294"/>
  </r>
  <r>
    <x v="9"/>
    <x v="0"/>
    <s v="Wilkes Community College "/>
    <m/>
    <n v="199926"/>
    <x v="7"/>
    <n v="12359723"/>
    <n v="12925049"/>
    <m/>
    <m/>
    <n v="4562587"/>
    <n v="4236395"/>
    <n v="351154"/>
    <m/>
    <n v="351154"/>
    <n v="3687618"/>
    <m/>
    <n v="3687618"/>
    <n v="17273464"/>
    <n v="20849062"/>
    <m/>
    <m/>
    <m/>
    <m/>
    <n v="0"/>
    <m/>
    <m/>
    <n v="0"/>
    <m/>
    <m/>
    <m/>
    <m/>
    <m/>
    <m/>
    <n v="17273464"/>
    <n v="20849062"/>
  </r>
  <r>
    <x v="9"/>
    <x v="0"/>
    <s v="Nursing / allied health supplement"/>
    <m/>
    <n v="19992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926"/>
    <x v="7"/>
    <m/>
    <m/>
    <n v="157659"/>
    <n v="159672"/>
    <m/>
    <m/>
    <m/>
    <m/>
    <n v="0"/>
    <m/>
    <m/>
    <n v="0"/>
    <n v="157659"/>
    <n v="159672"/>
    <m/>
    <m/>
    <m/>
    <m/>
    <n v="0"/>
    <m/>
    <m/>
    <n v="0"/>
    <m/>
    <m/>
    <m/>
    <m/>
    <m/>
    <m/>
    <n v="157659"/>
    <n v="159672"/>
  </r>
  <r>
    <x v="9"/>
    <x v="45"/>
    <s v="Non-credit continuing education"/>
    <m/>
    <n v="199926"/>
    <x v="7"/>
    <m/>
    <m/>
    <n v="1955644"/>
    <n v="2101362"/>
    <m/>
    <m/>
    <n v="203667"/>
    <m/>
    <n v="203667"/>
    <n v="196338"/>
    <m/>
    <n v="196338"/>
    <n v="2159311"/>
    <n v="2297700"/>
    <m/>
    <m/>
    <m/>
    <m/>
    <n v="0"/>
    <m/>
    <m/>
    <n v="0"/>
    <m/>
    <m/>
    <m/>
    <m/>
    <m/>
    <m/>
    <n v="2159311"/>
    <n v="2297700"/>
  </r>
  <r>
    <x v="9"/>
    <x v="0"/>
    <s v="Beaufort County Community College "/>
    <m/>
    <n v="197966"/>
    <x v="8"/>
    <n v="7364874"/>
    <n v="7646182"/>
    <m/>
    <m/>
    <n v="2697118"/>
    <n v="2779372"/>
    <n v="2056065"/>
    <m/>
    <n v="2056065"/>
    <n v="2047962"/>
    <m/>
    <n v="2047962"/>
    <n v="12118057"/>
    <n v="12473516"/>
    <m/>
    <m/>
    <m/>
    <m/>
    <n v="0"/>
    <m/>
    <m/>
    <n v="0"/>
    <m/>
    <m/>
    <m/>
    <m/>
    <m/>
    <m/>
    <n v="12118057"/>
    <n v="12473516"/>
  </r>
  <r>
    <x v="9"/>
    <x v="0"/>
    <s v="Nursing / allied health supplement"/>
    <m/>
    <n v="197966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7966"/>
    <x v="8"/>
    <m/>
    <m/>
    <n v="157863"/>
    <n v="158399"/>
    <m/>
    <m/>
    <m/>
    <m/>
    <n v="0"/>
    <m/>
    <m/>
    <n v="0"/>
    <n v="157863"/>
    <n v="158399"/>
    <m/>
    <m/>
    <m/>
    <m/>
    <n v="0"/>
    <m/>
    <m/>
    <n v="0"/>
    <m/>
    <m/>
    <m/>
    <m/>
    <m/>
    <m/>
    <n v="157863"/>
    <n v="158399"/>
  </r>
  <r>
    <x v="9"/>
    <x v="45"/>
    <s v="Non-credit continuing education"/>
    <m/>
    <n v="197966"/>
    <x v="8"/>
    <m/>
    <m/>
    <n v="1244567"/>
    <n v="1353717"/>
    <m/>
    <m/>
    <n v="143085"/>
    <m/>
    <n v="143085"/>
    <n v="141779"/>
    <m/>
    <n v="141779"/>
    <n v="1387652"/>
    <n v="1495496"/>
    <m/>
    <m/>
    <m/>
    <m/>
    <n v="0"/>
    <m/>
    <m/>
    <n v="0"/>
    <m/>
    <m/>
    <m/>
    <m/>
    <m/>
    <m/>
    <n v="1387652"/>
    <n v="1495496"/>
  </r>
  <r>
    <x v="9"/>
    <x v="0"/>
    <s v="Bladen Community College"/>
    <m/>
    <n v="198011"/>
    <x v="8"/>
    <n v="6886661"/>
    <n v="7038580"/>
    <m/>
    <m/>
    <n v="1069551"/>
    <n v="1069551"/>
    <n v="1927976"/>
    <m/>
    <n v="1927976"/>
    <n v="1922577"/>
    <m/>
    <n v="1922577"/>
    <n v="9884188"/>
    <n v="10030708"/>
    <m/>
    <m/>
    <m/>
    <m/>
    <n v="0"/>
    <m/>
    <m/>
    <n v="0"/>
    <m/>
    <m/>
    <m/>
    <m/>
    <m/>
    <m/>
    <n v="9884188"/>
    <n v="10030708"/>
  </r>
  <r>
    <x v="9"/>
    <x v="0"/>
    <s v="Nursing / allied health supplement"/>
    <m/>
    <n v="198011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011"/>
    <x v="8"/>
    <m/>
    <m/>
    <n v="155924"/>
    <n v="157677"/>
    <m/>
    <m/>
    <m/>
    <m/>
    <n v="0"/>
    <m/>
    <m/>
    <n v="0"/>
    <n v="155924"/>
    <n v="157677"/>
    <m/>
    <m/>
    <m/>
    <m/>
    <n v="0"/>
    <m/>
    <m/>
    <n v="0"/>
    <m/>
    <m/>
    <m/>
    <m/>
    <m/>
    <m/>
    <n v="155924"/>
    <n v="157677"/>
  </r>
  <r>
    <x v="9"/>
    <x v="45"/>
    <s v="Non-credit continuing education"/>
    <m/>
    <n v="198011"/>
    <x v="8"/>
    <m/>
    <m/>
    <n v="847686"/>
    <n v="891994"/>
    <m/>
    <m/>
    <n v="91670"/>
    <m/>
    <n v="91670"/>
    <n v="85364"/>
    <m/>
    <n v="85364"/>
    <n v="939356"/>
    <n v="977358"/>
    <m/>
    <m/>
    <m/>
    <m/>
    <n v="0"/>
    <m/>
    <m/>
    <n v="0"/>
    <m/>
    <m/>
    <m/>
    <m/>
    <m/>
    <m/>
    <n v="939356"/>
    <n v="977358"/>
  </r>
  <r>
    <x v="9"/>
    <x v="0"/>
    <s v="Blue Ridge Community College"/>
    <m/>
    <n v="198039"/>
    <x v="8"/>
    <n v="9981873"/>
    <n v="11068549"/>
    <m/>
    <m/>
    <n v="4848460"/>
    <n v="5076916"/>
    <n v="2862854"/>
    <m/>
    <n v="2862854"/>
    <n v="3041400"/>
    <m/>
    <n v="3041400"/>
    <n v="17693187"/>
    <n v="19186865"/>
    <m/>
    <m/>
    <m/>
    <m/>
    <n v="0"/>
    <m/>
    <m/>
    <n v="0"/>
    <m/>
    <m/>
    <m/>
    <m/>
    <m/>
    <m/>
    <n v="17693187"/>
    <n v="19186865"/>
  </r>
  <r>
    <x v="9"/>
    <x v="0"/>
    <s v="Nursing / allied health supplement"/>
    <m/>
    <n v="198039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039"/>
    <x v="8"/>
    <m/>
    <m/>
    <n v="169804"/>
    <n v="171333"/>
    <m/>
    <m/>
    <m/>
    <m/>
    <n v="0"/>
    <m/>
    <m/>
    <n v="0"/>
    <n v="169804"/>
    <n v="171333"/>
    <m/>
    <m/>
    <m/>
    <m/>
    <n v="0"/>
    <m/>
    <m/>
    <n v="0"/>
    <m/>
    <m/>
    <m/>
    <m/>
    <m/>
    <m/>
    <n v="169804"/>
    <n v="171333"/>
  </r>
  <r>
    <x v="9"/>
    <x v="45"/>
    <s v="Non-credit continuing education"/>
    <m/>
    <n v="198039"/>
    <x v="8"/>
    <m/>
    <m/>
    <n v="1651509"/>
    <n v="1873278"/>
    <m/>
    <m/>
    <n v="216022"/>
    <m/>
    <n v="216022"/>
    <n v="224174"/>
    <m/>
    <n v="224174"/>
    <n v="1867531"/>
    <n v="2097452"/>
    <m/>
    <m/>
    <m/>
    <m/>
    <n v="0"/>
    <m/>
    <m/>
    <n v="0"/>
    <m/>
    <m/>
    <m/>
    <m/>
    <m/>
    <m/>
    <n v="1867531"/>
    <n v="2097452"/>
  </r>
  <r>
    <x v="9"/>
    <x v="0"/>
    <s v="Brunswick Community College"/>
    <m/>
    <n v="198084"/>
    <x v="8"/>
    <n v="7940114"/>
    <n v="8112732"/>
    <m/>
    <m/>
    <n v="3873426"/>
    <n v="3988757"/>
    <n v="2132585"/>
    <m/>
    <n v="2132585"/>
    <n v="2123515"/>
    <m/>
    <n v="2123515"/>
    <n v="13946125"/>
    <n v="14225004"/>
    <m/>
    <m/>
    <m/>
    <m/>
    <n v="0"/>
    <m/>
    <m/>
    <n v="0"/>
    <m/>
    <m/>
    <m/>
    <m/>
    <m/>
    <m/>
    <n v="13946125"/>
    <n v="14225004"/>
  </r>
  <r>
    <x v="9"/>
    <x v="0"/>
    <s v="Nursing / allied health supplement"/>
    <m/>
    <n v="198084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084"/>
    <x v="8"/>
    <m/>
    <m/>
    <n v="159088"/>
    <n v="161365"/>
    <m/>
    <m/>
    <m/>
    <m/>
    <n v="0"/>
    <m/>
    <m/>
    <n v="0"/>
    <n v="159088"/>
    <n v="161365"/>
    <m/>
    <m/>
    <m/>
    <m/>
    <n v="0"/>
    <m/>
    <m/>
    <n v="0"/>
    <m/>
    <m/>
    <m/>
    <m/>
    <m/>
    <m/>
    <n v="159088"/>
    <n v="161365"/>
  </r>
  <r>
    <x v="9"/>
    <x v="45"/>
    <s v="Non-credit continuing education"/>
    <m/>
    <n v="198084"/>
    <x v="8"/>
    <m/>
    <m/>
    <n v="1646242"/>
    <n v="1728772"/>
    <m/>
    <m/>
    <n v="162614"/>
    <m/>
    <n v="162614"/>
    <n v="157738"/>
    <m/>
    <n v="157738"/>
    <n v="1808856"/>
    <n v="1886510"/>
    <m/>
    <m/>
    <m/>
    <m/>
    <n v="0"/>
    <m/>
    <m/>
    <n v="0"/>
    <m/>
    <m/>
    <m/>
    <m/>
    <m/>
    <m/>
    <n v="1808856"/>
    <n v="1886510"/>
  </r>
  <r>
    <x v="9"/>
    <x v="0"/>
    <s v="Carteret Community College"/>
    <m/>
    <n v="198206"/>
    <x v="8"/>
    <n v="8150179"/>
    <n v="8057346"/>
    <m/>
    <m/>
    <n v="2615000"/>
    <n v="2665000"/>
    <n v="2252356"/>
    <m/>
    <n v="2252356"/>
    <n v="2192637"/>
    <m/>
    <n v="2192637"/>
    <n v="13017535"/>
    <n v="12914983"/>
    <m/>
    <m/>
    <m/>
    <m/>
    <n v="0"/>
    <m/>
    <m/>
    <n v="0"/>
    <m/>
    <m/>
    <m/>
    <m/>
    <m/>
    <m/>
    <n v="13017535"/>
    <n v="12914983"/>
  </r>
  <r>
    <x v="9"/>
    <x v="0"/>
    <s v="Nursing / allied health supplement"/>
    <m/>
    <n v="198206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206"/>
    <x v="8"/>
    <m/>
    <m/>
    <n v="163476"/>
    <n v="165662"/>
    <m/>
    <m/>
    <m/>
    <m/>
    <n v="0"/>
    <m/>
    <m/>
    <n v="0"/>
    <n v="163476"/>
    <n v="165662"/>
    <m/>
    <m/>
    <m/>
    <m/>
    <n v="0"/>
    <m/>
    <m/>
    <n v="0"/>
    <m/>
    <m/>
    <m/>
    <m/>
    <m/>
    <m/>
    <n v="163476"/>
    <n v="165662"/>
  </r>
  <r>
    <x v="9"/>
    <x v="45"/>
    <s v="Non-credit continuing education"/>
    <m/>
    <n v="198206"/>
    <x v="8"/>
    <m/>
    <m/>
    <n v="1194537"/>
    <n v="1345436"/>
    <m/>
    <m/>
    <n v="134316"/>
    <m/>
    <n v="134316"/>
    <n v="134727"/>
    <m/>
    <n v="134727"/>
    <n v="1328853"/>
    <n v="1480163"/>
    <m/>
    <m/>
    <m/>
    <m/>
    <n v="0"/>
    <m/>
    <m/>
    <n v="0"/>
    <m/>
    <m/>
    <m/>
    <m/>
    <m/>
    <m/>
    <n v="1328853"/>
    <n v="1480163"/>
  </r>
  <r>
    <x v="9"/>
    <x v="0"/>
    <s v="College of The Albemarle"/>
    <s v="Met the criteria for Two-Year 2 in 2019-20."/>
    <n v="197814"/>
    <x v="8"/>
    <n v="10968636"/>
    <n v="11844246"/>
    <m/>
    <m/>
    <n v="2752284"/>
    <n v="2756205"/>
    <n v="3398495"/>
    <m/>
    <n v="3398495"/>
    <n v="3428809"/>
    <m/>
    <n v="3428809"/>
    <n v="17119415"/>
    <n v="18029260"/>
    <m/>
    <m/>
    <m/>
    <m/>
    <n v="0"/>
    <m/>
    <m/>
    <n v="0"/>
    <m/>
    <m/>
    <m/>
    <m/>
    <m/>
    <m/>
    <n v="17119415"/>
    <n v="18029260"/>
  </r>
  <r>
    <x v="9"/>
    <x v="0"/>
    <s v="Nursing / allied health supplement"/>
    <m/>
    <n v="197814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7814"/>
    <x v="8"/>
    <m/>
    <m/>
    <n v="163425"/>
    <n v="164587"/>
    <m/>
    <m/>
    <m/>
    <m/>
    <n v="0"/>
    <m/>
    <m/>
    <n v="0"/>
    <n v="163425"/>
    <n v="164587"/>
    <m/>
    <m/>
    <m/>
    <m/>
    <n v="0"/>
    <m/>
    <m/>
    <n v="0"/>
    <m/>
    <m/>
    <m/>
    <m/>
    <m/>
    <m/>
    <n v="163425"/>
    <n v="164587"/>
  </r>
  <r>
    <x v="9"/>
    <x v="45"/>
    <s v="Non-credit continuing education"/>
    <m/>
    <n v="197814"/>
    <x v="8"/>
    <m/>
    <m/>
    <n v="1265202"/>
    <n v="1600886"/>
    <m/>
    <m/>
    <n v="149860"/>
    <m/>
    <n v="149860"/>
    <n v="173698"/>
    <m/>
    <n v="173698"/>
    <n v="1415062"/>
    <n v="1774584"/>
    <m/>
    <m/>
    <m/>
    <m/>
    <n v="0"/>
    <m/>
    <m/>
    <n v="0"/>
    <m/>
    <m/>
    <m/>
    <m/>
    <m/>
    <m/>
    <n v="1415062"/>
    <n v="1774584"/>
  </r>
  <r>
    <x v="9"/>
    <x v="0"/>
    <s v="Edgecombe Community College"/>
    <m/>
    <n v="198491"/>
    <x v="8"/>
    <n v="9831436"/>
    <n v="9781572"/>
    <m/>
    <m/>
    <n v="1840078"/>
    <n v="1824796"/>
    <n v="2962663"/>
    <m/>
    <n v="2962663"/>
    <n v="2713469"/>
    <m/>
    <n v="2713469"/>
    <n v="14634177"/>
    <n v="14319837"/>
    <m/>
    <m/>
    <m/>
    <m/>
    <n v="0"/>
    <m/>
    <m/>
    <n v="0"/>
    <m/>
    <m/>
    <m/>
    <m/>
    <m/>
    <m/>
    <n v="14634177"/>
    <n v="14319837"/>
  </r>
  <r>
    <x v="9"/>
    <x v="0"/>
    <s v="Nursing / allied health supplement"/>
    <m/>
    <n v="198491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491"/>
    <x v="8"/>
    <m/>
    <m/>
    <n v="154750"/>
    <n v="155382"/>
    <m/>
    <m/>
    <m/>
    <m/>
    <n v="0"/>
    <m/>
    <m/>
    <n v="0"/>
    <n v="154750"/>
    <n v="155382"/>
    <m/>
    <m/>
    <m/>
    <m/>
    <n v="0"/>
    <m/>
    <m/>
    <n v="0"/>
    <m/>
    <m/>
    <m/>
    <m/>
    <m/>
    <m/>
    <n v="154750"/>
    <n v="155382"/>
  </r>
  <r>
    <x v="9"/>
    <x v="45"/>
    <s v="Non-credit continuing education"/>
    <m/>
    <n v="198491"/>
    <x v="8"/>
    <m/>
    <m/>
    <n v="1160158"/>
    <n v="1283733"/>
    <m/>
    <m/>
    <n v="132324"/>
    <m/>
    <n v="132324"/>
    <n v="138438"/>
    <m/>
    <n v="138438"/>
    <n v="1292482"/>
    <n v="1422171"/>
    <m/>
    <m/>
    <m/>
    <m/>
    <n v="0"/>
    <m/>
    <m/>
    <n v="0"/>
    <m/>
    <m/>
    <m/>
    <m/>
    <m/>
    <m/>
    <n v="1292482"/>
    <n v="1422171"/>
  </r>
  <r>
    <x v="9"/>
    <x v="0"/>
    <s v="Halifax Community College "/>
    <m/>
    <n v="198640"/>
    <x v="8"/>
    <n v="5731483"/>
    <n v="5983463"/>
    <m/>
    <m/>
    <n v="1431892"/>
    <n v="1366118"/>
    <n v="1422278"/>
    <m/>
    <n v="1422278"/>
    <n v="1411390"/>
    <m/>
    <n v="1411390"/>
    <n v="8585653"/>
    <n v="8760971"/>
    <m/>
    <m/>
    <m/>
    <m/>
    <n v="0"/>
    <m/>
    <m/>
    <n v="0"/>
    <m/>
    <m/>
    <m/>
    <m/>
    <m/>
    <m/>
    <n v="8585653"/>
    <n v="8760971"/>
  </r>
  <r>
    <x v="9"/>
    <x v="0"/>
    <s v="Nursing / allied health supplement"/>
    <m/>
    <n v="198640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640"/>
    <x v="8"/>
    <m/>
    <m/>
    <n v="156485"/>
    <n v="160190"/>
    <m/>
    <m/>
    <m/>
    <m/>
    <n v="0"/>
    <m/>
    <m/>
    <n v="0"/>
    <n v="156485"/>
    <n v="160190"/>
    <m/>
    <m/>
    <m/>
    <m/>
    <n v="0"/>
    <m/>
    <m/>
    <n v="0"/>
    <m/>
    <m/>
    <m/>
    <m/>
    <m/>
    <m/>
    <n v="156485"/>
    <n v="160190"/>
  </r>
  <r>
    <x v="9"/>
    <x v="45"/>
    <s v="Non-credit continuing education"/>
    <m/>
    <n v="198640"/>
    <x v="8"/>
    <m/>
    <m/>
    <n v="871879"/>
    <n v="875709"/>
    <m/>
    <m/>
    <n v="122758"/>
    <m/>
    <n v="122758"/>
    <n v="111716"/>
    <m/>
    <n v="111716"/>
    <n v="994637"/>
    <n v="987425"/>
    <m/>
    <m/>
    <m/>
    <m/>
    <n v="0"/>
    <m/>
    <m/>
    <n v="0"/>
    <m/>
    <m/>
    <m/>
    <m/>
    <m/>
    <m/>
    <n v="994637"/>
    <n v="987425"/>
  </r>
  <r>
    <x v="9"/>
    <x v="0"/>
    <s v="Haywood Community College"/>
    <m/>
    <n v="198668"/>
    <x v="8"/>
    <n v="7629160"/>
    <n v="7638335"/>
    <m/>
    <m/>
    <n v="2928840"/>
    <n v="3016705"/>
    <n v="2293943"/>
    <m/>
    <n v="2293943"/>
    <n v="2165310"/>
    <m/>
    <n v="2165310"/>
    <n v="12851943"/>
    <n v="12820350"/>
    <m/>
    <m/>
    <m/>
    <m/>
    <n v="0"/>
    <m/>
    <m/>
    <n v="0"/>
    <m/>
    <m/>
    <m/>
    <m/>
    <m/>
    <m/>
    <n v="12851943"/>
    <n v="12820350"/>
  </r>
  <r>
    <x v="9"/>
    <x v="0"/>
    <s v="Nursing / allied health supplement"/>
    <m/>
    <n v="198668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668"/>
    <x v="8"/>
    <m/>
    <m/>
    <n v="166538"/>
    <n v="167197"/>
    <m/>
    <m/>
    <m/>
    <m/>
    <n v="0"/>
    <m/>
    <m/>
    <n v="0"/>
    <n v="166538"/>
    <n v="167197"/>
    <m/>
    <m/>
    <m/>
    <m/>
    <n v="0"/>
    <m/>
    <m/>
    <n v="0"/>
    <m/>
    <m/>
    <m/>
    <m/>
    <m/>
    <m/>
    <n v="166538"/>
    <n v="167197"/>
  </r>
  <r>
    <x v="9"/>
    <x v="45"/>
    <s v="Non-credit continuing education"/>
    <m/>
    <n v="198668"/>
    <x v="8"/>
    <m/>
    <m/>
    <n v="954993"/>
    <n v="904729"/>
    <m/>
    <m/>
    <n v="119171"/>
    <m/>
    <n v="119171"/>
    <n v="103179"/>
    <m/>
    <n v="103179"/>
    <n v="1074164"/>
    <n v="1007908"/>
    <m/>
    <m/>
    <m/>
    <m/>
    <n v="0"/>
    <m/>
    <m/>
    <n v="0"/>
    <m/>
    <m/>
    <m/>
    <m/>
    <m/>
    <m/>
    <n v="1074164"/>
    <n v="1007908"/>
  </r>
  <r>
    <x v="9"/>
    <x v="0"/>
    <s v="Isothermal Community College "/>
    <m/>
    <n v="198710"/>
    <x v="8"/>
    <n v="8828216"/>
    <n v="9569894"/>
    <m/>
    <m/>
    <n v="2684078"/>
    <n v="2715583"/>
    <n v="2871171"/>
    <m/>
    <n v="2871171"/>
    <n v="2978708"/>
    <m/>
    <n v="2978708"/>
    <n v="14383465"/>
    <n v="15264185"/>
    <m/>
    <m/>
    <m/>
    <m/>
    <n v="0"/>
    <m/>
    <m/>
    <n v="0"/>
    <m/>
    <m/>
    <m/>
    <m/>
    <m/>
    <m/>
    <n v="14383465"/>
    <n v="15264185"/>
  </r>
  <r>
    <x v="9"/>
    <x v="0"/>
    <s v="Nursing / allied health supplement"/>
    <m/>
    <n v="198710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710"/>
    <x v="8"/>
    <m/>
    <m/>
    <n v="155312"/>
    <n v="155842"/>
    <m/>
    <m/>
    <m/>
    <m/>
    <n v="0"/>
    <m/>
    <m/>
    <n v="0"/>
    <n v="155312"/>
    <n v="155842"/>
    <m/>
    <m/>
    <m/>
    <m/>
    <n v="0"/>
    <m/>
    <m/>
    <n v="0"/>
    <m/>
    <m/>
    <m/>
    <m/>
    <m/>
    <m/>
    <n v="155312"/>
    <n v="155842"/>
  </r>
  <r>
    <x v="9"/>
    <x v="45"/>
    <s v="Non-credit continuing education"/>
    <m/>
    <n v="198710"/>
    <x v="8"/>
    <m/>
    <m/>
    <n v="830483"/>
    <n v="876487"/>
    <m/>
    <m/>
    <n v="95656"/>
    <m/>
    <n v="95656"/>
    <n v="90189"/>
    <m/>
    <n v="90189"/>
    <n v="926139"/>
    <n v="966676"/>
    <m/>
    <m/>
    <m/>
    <m/>
    <n v="0"/>
    <m/>
    <m/>
    <n v="0"/>
    <m/>
    <m/>
    <m/>
    <m/>
    <m/>
    <m/>
    <n v="926139"/>
    <n v="966676"/>
  </r>
  <r>
    <x v="9"/>
    <x v="0"/>
    <s v="James Sprunt Community College"/>
    <m/>
    <n v="198729"/>
    <x v="8"/>
    <n v="6162505"/>
    <n v="6460416"/>
    <m/>
    <m/>
    <n v="1977200"/>
    <n v="2092246"/>
    <n v="1641857"/>
    <m/>
    <n v="1641857"/>
    <n v="1679843"/>
    <m/>
    <n v="1679843"/>
    <n v="9781562"/>
    <n v="10232505"/>
    <m/>
    <m/>
    <m/>
    <m/>
    <n v="0"/>
    <m/>
    <m/>
    <n v="0"/>
    <m/>
    <m/>
    <m/>
    <m/>
    <m/>
    <m/>
    <n v="9781562"/>
    <n v="10232505"/>
  </r>
  <r>
    <x v="9"/>
    <x v="0"/>
    <s v="Nursing / allied health supplement"/>
    <m/>
    <n v="198729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729"/>
    <x v="8"/>
    <m/>
    <m/>
    <n v="159853"/>
    <n v="159978"/>
    <m/>
    <m/>
    <m/>
    <m/>
    <n v="0"/>
    <m/>
    <m/>
    <n v="0"/>
    <n v="159853"/>
    <n v="159978"/>
    <m/>
    <m/>
    <m/>
    <m/>
    <n v="0"/>
    <m/>
    <m/>
    <n v="0"/>
    <m/>
    <m/>
    <m/>
    <m/>
    <m/>
    <m/>
    <n v="159853"/>
    <n v="159978"/>
  </r>
  <r>
    <x v="9"/>
    <x v="45"/>
    <s v="Non-credit continuing education"/>
    <m/>
    <n v="198729"/>
    <x v="8"/>
    <m/>
    <m/>
    <n v="755518"/>
    <n v="976239"/>
    <m/>
    <m/>
    <n v="84097"/>
    <m/>
    <n v="84097"/>
    <n v="100581"/>
    <m/>
    <n v="100581"/>
    <n v="839615"/>
    <n v="1076820"/>
    <m/>
    <m/>
    <m/>
    <m/>
    <n v="0"/>
    <m/>
    <m/>
    <n v="0"/>
    <m/>
    <m/>
    <m/>
    <m/>
    <m/>
    <m/>
    <n v="839615"/>
    <n v="1076820"/>
  </r>
  <r>
    <x v="9"/>
    <x v="0"/>
    <s v="Martin Community College "/>
    <m/>
    <n v="198905"/>
    <x v="8"/>
    <n v="4630991"/>
    <n v="5080089"/>
    <m/>
    <m/>
    <n v="1119829"/>
    <n v="1029054"/>
    <n v="1031359"/>
    <m/>
    <n v="1031359"/>
    <n v="1165441"/>
    <m/>
    <n v="1165441"/>
    <n v="6782179"/>
    <n v="7274584"/>
    <m/>
    <m/>
    <m/>
    <m/>
    <n v="0"/>
    <m/>
    <m/>
    <n v="0"/>
    <m/>
    <m/>
    <m/>
    <m/>
    <m/>
    <m/>
    <n v="6782179"/>
    <n v="7274584"/>
  </r>
  <r>
    <x v="9"/>
    <x v="0"/>
    <s v="Nursing / allied health supplement"/>
    <m/>
    <n v="19890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905"/>
    <x v="8"/>
    <m/>
    <m/>
    <n v="156077"/>
    <n v="156047"/>
    <m/>
    <m/>
    <m/>
    <m/>
    <n v="0"/>
    <m/>
    <m/>
    <n v="0"/>
    <n v="156077"/>
    <n v="156047"/>
    <m/>
    <m/>
    <m/>
    <m/>
    <n v="0"/>
    <m/>
    <m/>
    <n v="0"/>
    <m/>
    <m/>
    <m/>
    <m/>
    <m/>
    <m/>
    <n v="156077"/>
    <n v="156047"/>
  </r>
  <r>
    <x v="9"/>
    <x v="45"/>
    <s v="Non-credit continuing education"/>
    <m/>
    <n v="198905"/>
    <x v="8"/>
    <m/>
    <m/>
    <n v="744622"/>
    <n v="668202"/>
    <m/>
    <m/>
    <n v="73336"/>
    <m/>
    <n v="73336"/>
    <n v="59755"/>
    <m/>
    <n v="59755"/>
    <n v="817958"/>
    <n v="727957"/>
    <m/>
    <m/>
    <m/>
    <m/>
    <n v="0"/>
    <m/>
    <m/>
    <n v="0"/>
    <m/>
    <m/>
    <m/>
    <m/>
    <m/>
    <m/>
    <n v="817958"/>
    <n v="727957"/>
  </r>
  <r>
    <x v="9"/>
    <x v="0"/>
    <s v="Mayland Community College"/>
    <m/>
    <n v="198914"/>
    <x v="8"/>
    <n v="6717369"/>
    <n v="6231045"/>
    <m/>
    <m/>
    <n v="1088832"/>
    <n v="1103349"/>
    <n v="1317748"/>
    <m/>
    <n v="1317748"/>
    <n v="1229742"/>
    <m/>
    <n v="1229742"/>
    <n v="9123949"/>
    <n v="8564136"/>
    <m/>
    <m/>
    <m/>
    <m/>
    <n v="0"/>
    <m/>
    <m/>
    <n v="0"/>
    <m/>
    <m/>
    <m/>
    <m/>
    <m/>
    <m/>
    <n v="9123949"/>
    <n v="8564136"/>
  </r>
  <r>
    <x v="9"/>
    <x v="0"/>
    <s v="Nursing / allied health supplement"/>
    <m/>
    <n v="198914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914"/>
    <x v="8"/>
    <m/>
    <m/>
    <n v="162660"/>
    <n v="164690"/>
    <m/>
    <m/>
    <m/>
    <m/>
    <n v="0"/>
    <m/>
    <m/>
    <n v="0"/>
    <n v="162660"/>
    <n v="164690"/>
    <m/>
    <m/>
    <m/>
    <m/>
    <n v="0"/>
    <m/>
    <m/>
    <n v="0"/>
    <m/>
    <m/>
    <m/>
    <m/>
    <m/>
    <m/>
    <n v="162660"/>
    <n v="164690"/>
  </r>
  <r>
    <x v="9"/>
    <x v="45"/>
    <s v="Non-credit continuing education"/>
    <m/>
    <n v="198914"/>
    <x v="8"/>
    <m/>
    <m/>
    <n v="1914879"/>
    <n v="1962689"/>
    <m/>
    <m/>
    <n v="174173"/>
    <m/>
    <n v="174173"/>
    <n v="182234"/>
    <m/>
    <n v="182234"/>
    <n v="2089052"/>
    <n v="2144923"/>
    <m/>
    <m/>
    <m/>
    <m/>
    <n v="0"/>
    <m/>
    <m/>
    <n v="0"/>
    <m/>
    <m/>
    <m/>
    <m/>
    <m/>
    <m/>
    <n v="2089052"/>
    <n v="2144923"/>
  </r>
  <r>
    <x v="9"/>
    <x v="0"/>
    <s v="McDowell Technical Community College"/>
    <m/>
    <n v="198923"/>
    <x v="8"/>
    <n v="5934877"/>
    <n v="6166918"/>
    <m/>
    <m/>
    <n v="1096292"/>
    <n v="1136292"/>
    <n v="1508779"/>
    <m/>
    <n v="1508779"/>
    <n v="1491765"/>
    <m/>
    <n v="1491765"/>
    <n v="8539948"/>
    <n v="8794975"/>
    <m/>
    <m/>
    <m/>
    <m/>
    <n v="0"/>
    <m/>
    <m/>
    <n v="0"/>
    <m/>
    <m/>
    <m/>
    <m/>
    <m/>
    <m/>
    <n v="8539948"/>
    <n v="8794975"/>
  </r>
  <r>
    <x v="9"/>
    <x v="0"/>
    <s v="Nursing / allied health supplement"/>
    <m/>
    <n v="198923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8923"/>
    <x v="8"/>
    <m/>
    <m/>
    <n v="155464"/>
    <n v="166910"/>
    <m/>
    <m/>
    <m/>
    <m/>
    <n v="0"/>
    <m/>
    <m/>
    <n v="0"/>
    <n v="155464"/>
    <n v="166910"/>
    <m/>
    <m/>
    <m/>
    <m/>
    <n v="0"/>
    <m/>
    <m/>
    <n v="0"/>
    <m/>
    <m/>
    <m/>
    <m/>
    <m/>
    <m/>
    <n v="155464"/>
    <n v="166910"/>
  </r>
  <r>
    <x v="9"/>
    <x v="45"/>
    <s v="Non-credit continuing education"/>
    <m/>
    <n v="198923"/>
    <x v="8"/>
    <m/>
    <m/>
    <n v="753068"/>
    <n v="865239"/>
    <m/>
    <m/>
    <n v="86489"/>
    <m/>
    <n v="86489"/>
    <n v="98354"/>
    <m/>
    <n v="98354"/>
    <n v="839557"/>
    <n v="963593"/>
    <m/>
    <m/>
    <m/>
    <m/>
    <n v="0"/>
    <m/>
    <m/>
    <n v="0"/>
    <m/>
    <m/>
    <m/>
    <m/>
    <m/>
    <m/>
    <n v="839557"/>
    <n v="963593"/>
  </r>
  <r>
    <x v="9"/>
    <x v="0"/>
    <s v="Montgomery Community College"/>
    <m/>
    <n v="199023"/>
    <x v="8"/>
    <n v="5165097"/>
    <n v="5662878"/>
    <m/>
    <m/>
    <n v="784000"/>
    <n v="794400"/>
    <n v="1267574"/>
    <m/>
    <n v="1267574"/>
    <n v="1382455"/>
    <m/>
    <n v="1382455"/>
    <n v="7216671"/>
    <n v="7839733"/>
    <m/>
    <m/>
    <m/>
    <m/>
    <n v="0"/>
    <m/>
    <m/>
    <n v="0"/>
    <m/>
    <m/>
    <m/>
    <m/>
    <m/>
    <m/>
    <n v="7216671"/>
    <n v="7839733"/>
  </r>
  <r>
    <x v="9"/>
    <x v="0"/>
    <s v="Nursing / allied health supplement"/>
    <m/>
    <n v="199023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023"/>
    <x v="8"/>
    <m/>
    <m/>
    <n v="155669"/>
    <n v="156968"/>
    <m/>
    <m/>
    <m/>
    <m/>
    <n v="0"/>
    <m/>
    <m/>
    <n v="0"/>
    <n v="155669"/>
    <n v="156968"/>
    <m/>
    <m/>
    <m/>
    <m/>
    <n v="0"/>
    <m/>
    <m/>
    <n v="0"/>
    <m/>
    <m/>
    <m/>
    <m/>
    <m/>
    <m/>
    <n v="155669"/>
    <n v="156968"/>
  </r>
  <r>
    <x v="9"/>
    <x v="45"/>
    <s v="Non-credit continuing education"/>
    <m/>
    <n v="199023"/>
    <x v="8"/>
    <m/>
    <m/>
    <n v="664697"/>
    <n v="648394"/>
    <m/>
    <m/>
    <n v="90076"/>
    <m/>
    <n v="90076"/>
    <n v="79797"/>
    <m/>
    <n v="79797"/>
    <n v="754773"/>
    <n v="728191"/>
    <m/>
    <m/>
    <m/>
    <m/>
    <n v="0"/>
    <m/>
    <m/>
    <n v="0"/>
    <m/>
    <m/>
    <m/>
    <m/>
    <m/>
    <m/>
    <n v="754773"/>
    <n v="728191"/>
  </r>
  <r>
    <x v="9"/>
    <x v="0"/>
    <s v="Pamlico Community College"/>
    <m/>
    <n v="199263"/>
    <x v="8"/>
    <n v="4365185"/>
    <n v="4296736"/>
    <m/>
    <m/>
    <n v="629448"/>
    <n v="640594"/>
    <n v="738586"/>
    <m/>
    <n v="738586"/>
    <n v="855193"/>
    <m/>
    <n v="855193"/>
    <n v="5733219"/>
    <n v="5792523"/>
    <m/>
    <m/>
    <m/>
    <m/>
    <n v="0"/>
    <m/>
    <m/>
    <n v="0"/>
    <m/>
    <m/>
    <m/>
    <m/>
    <m/>
    <m/>
    <n v="5733219"/>
    <n v="5792523"/>
  </r>
  <r>
    <x v="9"/>
    <x v="0"/>
    <s v="Nursing / allied health supplement"/>
    <m/>
    <n v="199263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263"/>
    <x v="8"/>
    <m/>
    <m/>
    <n v="106383"/>
    <n v="105581"/>
    <m/>
    <m/>
    <m/>
    <m/>
    <n v="0"/>
    <m/>
    <m/>
    <n v="0"/>
    <n v="106383"/>
    <n v="105581"/>
    <m/>
    <m/>
    <m/>
    <m/>
    <n v="0"/>
    <m/>
    <m/>
    <n v="0"/>
    <m/>
    <m/>
    <m/>
    <m/>
    <m/>
    <m/>
    <n v="106383"/>
    <n v="105581"/>
  </r>
  <r>
    <x v="9"/>
    <x v="45"/>
    <s v="Non-credit continuing education"/>
    <m/>
    <n v="199263"/>
    <x v="8"/>
    <m/>
    <m/>
    <n v="450301"/>
    <n v="500681"/>
    <m/>
    <m/>
    <n v="48625"/>
    <m/>
    <n v="48625"/>
    <n v="41940"/>
    <m/>
    <n v="41940"/>
    <n v="498926"/>
    <n v="542621"/>
    <m/>
    <m/>
    <m/>
    <m/>
    <n v="0"/>
    <m/>
    <m/>
    <n v="0"/>
    <m/>
    <m/>
    <m/>
    <m/>
    <m/>
    <m/>
    <n v="498926"/>
    <n v="542621"/>
  </r>
  <r>
    <x v="9"/>
    <x v="0"/>
    <s v="Piedmont Community College"/>
    <m/>
    <n v="199324"/>
    <x v="8"/>
    <n v="7264305"/>
    <n v="7824574"/>
    <m/>
    <m/>
    <n v="1623376"/>
    <n v="1630195"/>
    <n v="1600270"/>
    <m/>
    <n v="1600270"/>
    <n v="1753788"/>
    <m/>
    <n v="1753788"/>
    <n v="10487951"/>
    <n v="11208557"/>
    <m/>
    <m/>
    <m/>
    <m/>
    <n v="0"/>
    <m/>
    <m/>
    <n v="0"/>
    <m/>
    <m/>
    <m/>
    <m/>
    <m/>
    <m/>
    <n v="10487951"/>
    <n v="11208557"/>
  </r>
  <r>
    <x v="9"/>
    <x v="0"/>
    <s v="Nursing / allied health supplement"/>
    <m/>
    <n v="199324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324"/>
    <x v="8"/>
    <m/>
    <m/>
    <n v="153679"/>
    <n v="155638"/>
    <m/>
    <m/>
    <m/>
    <m/>
    <n v="0"/>
    <m/>
    <m/>
    <n v="0"/>
    <n v="153679"/>
    <n v="155638"/>
    <m/>
    <m/>
    <m/>
    <m/>
    <n v="0"/>
    <m/>
    <m/>
    <n v="0"/>
    <m/>
    <m/>
    <m/>
    <m/>
    <m/>
    <m/>
    <n v="153679"/>
    <n v="155638"/>
  </r>
  <r>
    <x v="9"/>
    <x v="45"/>
    <s v="Non-credit continuing education"/>
    <m/>
    <n v="199324"/>
    <x v="8"/>
    <m/>
    <m/>
    <n v="1831653"/>
    <n v="1810201"/>
    <m/>
    <m/>
    <n v="231168"/>
    <m/>
    <n v="231168"/>
    <n v="210441"/>
    <m/>
    <n v="210441"/>
    <n v="2062821"/>
    <n v="2020642"/>
    <m/>
    <m/>
    <m/>
    <m/>
    <n v="0"/>
    <m/>
    <m/>
    <n v="0"/>
    <m/>
    <m/>
    <m/>
    <m/>
    <m/>
    <m/>
    <n v="2062821"/>
    <n v="2020642"/>
  </r>
  <r>
    <x v="9"/>
    <x v="0"/>
    <s v="Roanoke-Chowan Community College"/>
    <m/>
    <n v="199467"/>
    <x v="8"/>
    <n v="4451583"/>
    <n v="4238098"/>
    <m/>
    <m/>
    <n v="1034474"/>
    <n v="1034747"/>
    <n v="936541"/>
    <m/>
    <n v="936541"/>
    <n v="805360"/>
    <m/>
    <n v="805360"/>
    <n v="6422598"/>
    <n v="6078205"/>
    <m/>
    <m/>
    <m/>
    <m/>
    <n v="0"/>
    <m/>
    <m/>
    <n v="0"/>
    <m/>
    <m/>
    <m/>
    <m/>
    <m/>
    <m/>
    <n v="6422598"/>
    <n v="6078205"/>
  </r>
  <r>
    <x v="9"/>
    <x v="0"/>
    <s v="Nursing / allied health supplement"/>
    <m/>
    <n v="19946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67"/>
    <x v="8"/>
    <m/>
    <m/>
    <n v="153219"/>
    <n v="153183"/>
    <m/>
    <m/>
    <m/>
    <m/>
    <n v="0"/>
    <m/>
    <m/>
    <n v="0"/>
    <n v="153219"/>
    <n v="153183"/>
    <m/>
    <m/>
    <m/>
    <m/>
    <n v="0"/>
    <m/>
    <m/>
    <n v="0"/>
    <m/>
    <m/>
    <m/>
    <m/>
    <m/>
    <m/>
    <n v="153219"/>
    <n v="153183"/>
  </r>
  <r>
    <x v="9"/>
    <x v="45"/>
    <s v="Non-credit continuing education"/>
    <m/>
    <n v="199467"/>
    <x v="8"/>
    <m/>
    <m/>
    <n v="906002"/>
    <n v="783145"/>
    <m/>
    <m/>
    <n v="103627"/>
    <m/>
    <n v="103627"/>
    <n v="78684"/>
    <m/>
    <n v="78684"/>
    <n v="1009629"/>
    <n v="861829"/>
    <m/>
    <m/>
    <m/>
    <m/>
    <n v="0"/>
    <m/>
    <m/>
    <n v="0"/>
    <m/>
    <m/>
    <m/>
    <m/>
    <m/>
    <m/>
    <n v="1009629"/>
    <n v="861829"/>
  </r>
  <r>
    <x v="9"/>
    <x v="0"/>
    <s v="Robeson Community College"/>
    <s v="Met the criteria for Two-Year 2 in 2020-21."/>
    <n v="199476"/>
    <x v="8"/>
    <n v="10119144"/>
    <n v="11316700"/>
    <m/>
    <m/>
    <n v="2852779"/>
    <n v="3079733"/>
    <n v="2686525"/>
    <m/>
    <n v="2686525"/>
    <n v="2803490"/>
    <m/>
    <n v="2803490"/>
    <n v="15658448"/>
    <n v="17199923"/>
    <m/>
    <m/>
    <m/>
    <m/>
    <n v="0"/>
    <m/>
    <m/>
    <n v="0"/>
    <m/>
    <m/>
    <m/>
    <m/>
    <m/>
    <m/>
    <n v="15658448"/>
    <n v="17199923"/>
  </r>
  <r>
    <x v="9"/>
    <x v="0"/>
    <s v="Nursing / allied health supplement"/>
    <m/>
    <n v="199476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76"/>
    <x v="8"/>
    <m/>
    <m/>
    <n v="164037"/>
    <n v="164275"/>
    <m/>
    <m/>
    <m/>
    <m/>
    <n v="0"/>
    <m/>
    <m/>
    <n v="0"/>
    <n v="164037"/>
    <n v="164275"/>
    <m/>
    <m/>
    <m/>
    <m/>
    <n v="0"/>
    <m/>
    <m/>
    <n v="0"/>
    <m/>
    <m/>
    <m/>
    <m/>
    <m/>
    <m/>
    <n v="164037"/>
    <n v="164275"/>
  </r>
  <r>
    <x v="9"/>
    <x v="45"/>
    <s v="Non-credit continuing education"/>
    <m/>
    <n v="199476"/>
    <x v="8"/>
    <m/>
    <m/>
    <n v="2658635"/>
    <n v="3851228"/>
    <m/>
    <m/>
    <n v="261857"/>
    <m/>
    <n v="261857"/>
    <n v="416058"/>
    <m/>
    <n v="416058"/>
    <n v="2920492"/>
    <n v="4267286"/>
    <m/>
    <m/>
    <m/>
    <m/>
    <n v="0"/>
    <m/>
    <m/>
    <n v="0"/>
    <m/>
    <m/>
    <m/>
    <m/>
    <m/>
    <m/>
    <n v="2920492"/>
    <n v="4267286"/>
  </r>
  <r>
    <x v="9"/>
    <x v="0"/>
    <s v="Rockingham Community College "/>
    <m/>
    <n v="199485"/>
    <x v="8"/>
    <n v="7898787"/>
    <n v="8533184"/>
    <m/>
    <m/>
    <n v="2353399"/>
    <n v="2485410"/>
    <n v="2360482"/>
    <m/>
    <n v="2360482"/>
    <n v="2453053"/>
    <m/>
    <n v="2453053"/>
    <n v="12612668"/>
    <n v="13471647"/>
    <m/>
    <m/>
    <m/>
    <m/>
    <n v="0"/>
    <m/>
    <m/>
    <n v="0"/>
    <m/>
    <m/>
    <m/>
    <m/>
    <m/>
    <m/>
    <n v="12612668"/>
    <n v="13471647"/>
  </r>
  <r>
    <x v="9"/>
    <x v="0"/>
    <s v="Nursing / allied health supplement"/>
    <m/>
    <n v="19948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485"/>
    <x v="8"/>
    <m/>
    <m/>
    <n v="154750"/>
    <n v="154353"/>
    <m/>
    <m/>
    <m/>
    <m/>
    <n v="0"/>
    <m/>
    <m/>
    <n v="0"/>
    <n v="154750"/>
    <n v="154353"/>
    <m/>
    <m/>
    <m/>
    <m/>
    <n v="0"/>
    <m/>
    <m/>
    <n v="0"/>
    <m/>
    <m/>
    <m/>
    <m/>
    <m/>
    <m/>
    <n v="154750"/>
    <n v="154353"/>
  </r>
  <r>
    <x v="9"/>
    <x v="45"/>
    <s v="Non-credit continuing education"/>
    <m/>
    <n v="199485"/>
    <x v="8"/>
    <m/>
    <m/>
    <n v="1029722"/>
    <n v="1080339"/>
    <m/>
    <m/>
    <n v="115982"/>
    <m/>
    <n v="115982"/>
    <n v="113943"/>
    <m/>
    <n v="113943"/>
    <n v="1145704"/>
    <n v="1194282"/>
    <m/>
    <m/>
    <m/>
    <m/>
    <n v="0"/>
    <m/>
    <m/>
    <n v="0"/>
    <m/>
    <m/>
    <m/>
    <m/>
    <m/>
    <m/>
    <n v="1145704"/>
    <n v="1194282"/>
  </r>
  <r>
    <x v="9"/>
    <x v="0"/>
    <s v="Sampson Community College"/>
    <m/>
    <n v="199625"/>
    <x v="8"/>
    <n v="8452433"/>
    <n v="8870254"/>
    <m/>
    <m/>
    <n v="1529383"/>
    <n v="1513261"/>
    <n v="2353828"/>
    <m/>
    <n v="2353828"/>
    <n v="2382323"/>
    <m/>
    <n v="2382323"/>
    <n v="12335644"/>
    <n v="12765838"/>
    <m/>
    <m/>
    <m/>
    <m/>
    <n v="0"/>
    <m/>
    <m/>
    <n v="0"/>
    <m/>
    <m/>
    <m/>
    <m/>
    <m/>
    <m/>
    <n v="12335644"/>
    <n v="12765838"/>
  </r>
  <r>
    <x v="9"/>
    <x v="0"/>
    <s v="Nursing / allied health supplement"/>
    <m/>
    <n v="19962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625"/>
    <x v="8"/>
    <m/>
    <m/>
    <n v="153577"/>
    <n v="154870"/>
    <m/>
    <m/>
    <m/>
    <m/>
    <n v="0"/>
    <m/>
    <m/>
    <n v="0"/>
    <n v="153577"/>
    <n v="154870"/>
    <m/>
    <m/>
    <m/>
    <m/>
    <n v="0"/>
    <m/>
    <m/>
    <n v="0"/>
    <m/>
    <m/>
    <m/>
    <m/>
    <m/>
    <m/>
    <n v="153577"/>
    <n v="154870"/>
  </r>
  <r>
    <x v="9"/>
    <x v="45"/>
    <s v="Non-credit continuing education"/>
    <m/>
    <n v="199625"/>
    <x v="8"/>
    <m/>
    <m/>
    <n v="2092128"/>
    <n v="2119458"/>
    <m/>
    <m/>
    <n v="175767"/>
    <m/>
    <n v="175767"/>
    <n v="167017"/>
    <m/>
    <n v="167017"/>
    <n v="2267895"/>
    <n v="2286475"/>
    <m/>
    <m/>
    <m/>
    <m/>
    <n v="0"/>
    <m/>
    <m/>
    <n v="0"/>
    <m/>
    <m/>
    <m/>
    <m/>
    <m/>
    <m/>
    <n v="2267895"/>
    <n v="2286475"/>
  </r>
  <r>
    <x v="9"/>
    <x v="0"/>
    <s v="Southeastern Community College "/>
    <m/>
    <n v="199722"/>
    <x v="8"/>
    <n v="8822289"/>
    <n v="8706825"/>
    <m/>
    <m/>
    <n v="1426859"/>
    <n v="1469665"/>
    <n v="2179162"/>
    <m/>
    <n v="2179162"/>
    <n v="2115477"/>
    <m/>
    <n v="2115477"/>
    <n v="12428310"/>
    <n v="12291967"/>
    <m/>
    <m/>
    <m/>
    <m/>
    <n v="0"/>
    <m/>
    <m/>
    <n v="0"/>
    <m/>
    <m/>
    <m/>
    <m/>
    <m/>
    <m/>
    <n v="12428310"/>
    <n v="12291967"/>
  </r>
  <r>
    <x v="9"/>
    <x v="0"/>
    <s v="Nursing / allied health supplement"/>
    <m/>
    <n v="19972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22"/>
    <x v="8"/>
    <m/>
    <m/>
    <n v="162609"/>
    <n v="163207"/>
    <m/>
    <m/>
    <m/>
    <m/>
    <n v="0"/>
    <m/>
    <m/>
    <n v="0"/>
    <n v="162609"/>
    <n v="163207"/>
    <m/>
    <m/>
    <m/>
    <m/>
    <n v="0"/>
    <m/>
    <m/>
    <n v="0"/>
    <m/>
    <m/>
    <m/>
    <m/>
    <m/>
    <m/>
    <n v="162609"/>
    <n v="163207"/>
  </r>
  <r>
    <x v="9"/>
    <x v="45"/>
    <s v="Non-credit continuing education"/>
    <m/>
    <n v="199722"/>
    <x v="8"/>
    <m/>
    <m/>
    <n v="2213725"/>
    <n v="2289385"/>
    <m/>
    <m/>
    <n v="271423"/>
    <m/>
    <n v="271423"/>
    <n v="249783"/>
    <m/>
    <n v="249783"/>
    <n v="2485148"/>
    <n v="2539168"/>
    <m/>
    <m/>
    <m/>
    <m/>
    <n v="0"/>
    <m/>
    <m/>
    <n v="0"/>
    <m/>
    <m/>
    <m/>
    <m/>
    <m/>
    <m/>
    <n v="2485148"/>
    <n v="2539168"/>
  </r>
  <r>
    <x v="9"/>
    <x v="0"/>
    <s v="Southwestern Community College "/>
    <m/>
    <n v="199731"/>
    <x v="8"/>
    <n v="11394548"/>
    <n v="11570172"/>
    <m/>
    <m/>
    <n v="2473920"/>
    <n v="2623730"/>
    <n v="3365226"/>
    <m/>
    <n v="3365226"/>
    <n v="3215011"/>
    <m/>
    <n v="3215011"/>
    <n v="17233694"/>
    <n v="17408913"/>
    <m/>
    <m/>
    <m/>
    <m/>
    <n v="0"/>
    <m/>
    <m/>
    <n v="0"/>
    <m/>
    <m/>
    <m/>
    <m/>
    <m/>
    <m/>
    <n v="17233694"/>
    <n v="17408913"/>
  </r>
  <r>
    <x v="9"/>
    <x v="0"/>
    <s v="Nursing / allied health supplement"/>
    <m/>
    <n v="199731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31"/>
    <x v="8"/>
    <m/>
    <m/>
    <n v="168324"/>
    <n v="169242"/>
    <m/>
    <m/>
    <m/>
    <m/>
    <n v="0"/>
    <m/>
    <m/>
    <n v="0"/>
    <n v="168324"/>
    <n v="169242"/>
    <m/>
    <m/>
    <m/>
    <m/>
    <n v="0"/>
    <m/>
    <m/>
    <n v="0"/>
    <m/>
    <m/>
    <m/>
    <m/>
    <m/>
    <m/>
    <n v="168324"/>
    <n v="169242"/>
  </r>
  <r>
    <x v="9"/>
    <x v="45"/>
    <s v="Non-credit continuing education"/>
    <m/>
    <n v="199731"/>
    <x v="8"/>
    <m/>
    <m/>
    <n v="1690556"/>
    <n v="1694670"/>
    <m/>
    <m/>
    <n v="243125"/>
    <m/>
    <n v="243125"/>
    <n v="224545"/>
    <m/>
    <n v="224545"/>
    <n v="1933681"/>
    <n v="1919215"/>
    <m/>
    <m/>
    <m/>
    <m/>
    <n v="0"/>
    <m/>
    <m/>
    <n v="0"/>
    <m/>
    <m/>
    <m/>
    <m/>
    <m/>
    <m/>
    <n v="1933681"/>
    <n v="1919215"/>
  </r>
  <r>
    <x v="9"/>
    <x v="0"/>
    <s v="Tri-County Community College "/>
    <m/>
    <n v="199795"/>
    <x v="8"/>
    <n v="5586886"/>
    <n v="6109007"/>
    <m/>
    <m/>
    <n v="1180000"/>
    <n v="1240524"/>
    <n v="1440576"/>
    <m/>
    <n v="1440576"/>
    <n v="1538383"/>
    <m/>
    <n v="1538383"/>
    <n v="8207462"/>
    <n v="8887914"/>
    <m/>
    <m/>
    <m/>
    <m/>
    <n v="0"/>
    <m/>
    <m/>
    <n v="0"/>
    <m/>
    <m/>
    <m/>
    <m/>
    <m/>
    <m/>
    <n v="8207462"/>
    <n v="8887914"/>
  </r>
  <r>
    <x v="9"/>
    <x v="0"/>
    <s v="Nursing / allied health supplement"/>
    <m/>
    <n v="19979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795"/>
    <x v="8"/>
    <m/>
    <m/>
    <n v="161078"/>
    <n v="161979"/>
    <m/>
    <m/>
    <m/>
    <m/>
    <n v="0"/>
    <m/>
    <m/>
    <n v="0"/>
    <n v="161078"/>
    <n v="161979"/>
    <m/>
    <m/>
    <m/>
    <m/>
    <n v="0"/>
    <m/>
    <m/>
    <n v="0"/>
    <m/>
    <m/>
    <m/>
    <m/>
    <m/>
    <m/>
    <n v="161078"/>
    <n v="161979"/>
  </r>
  <r>
    <x v="9"/>
    <x v="45"/>
    <s v="Non-credit continuing education"/>
    <m/>
    <n v="199795"/>
    <x v="8"/>
    <m/>
    <m/>
    <n v="757007"/>
    <n v="794305"/>
    <m/>
    <m/>
    <n v="84894"/>
    <m/>
    <n v="84894"/>
    <n v="81653"/>
    <m/>
    <n v="81653"/>
    <n v="841901"/>
    <n v="875958"/>
    <m/>
    <m/>
    <m/>
    <m/>
    <n v="0"/>
    <m/>
    <m/>
    <n v="0"/>
    <m/>
    <m/>
    <m/>
    <m/>
    <m/>
    <m/>
    <n v="841901"/>
    <n v="875958"/>
  </r>
  <r>
    <x v="9"/>
    <x v="0"/>
    <s v="Western Piedmont Community College "/>
    <m/>
    <n v="199908"/>
    <x v="8"/>
    <n v="8946279"/>
    <n v="9568082"/>
    <m/>
    <m/>
    <n v="2613155"/>
    <n v="2667110"/>
    <n v="2744747"/>
    <m/>
    <n v="2744747"/>
    <n v="2859752"/>
    <m/>
    <n v="2859752"/>
    <n v="14304181"/>
    <n v="15094944"/>
    <m/>
    <m/>
    <m/>
    <m/>
    <n v="0"/>
    <m/>
    <m/>
    <n v="0"/>
    <m/>
    <m/>
    <m/>
    <m/>
    <m/>
    <m/>
    <n v="14304181"/>
    <n v="15094944"/>
  </r>
  <r>
    <x v="9"/>
    <x v="0"/>
    <s v="Nursing / allied health supplement"/>
    <m/>
    <n v="199908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908"/>
    <x v="8"/>
    <m/>
    <m/>
    <n v="166640"/>
    <n v="166065"/>
    <m/>
    <m/>
    <m/>
    <m/>
    <n v="0"/>
    <m/>
    <m/>
    <n v="0"/>
    <n v="166640"/>
    <n v="166065"/>
    <m/>
    <m/>
    <m/>
    <m/>
    <n v="0"/>
    <m/>
    <m/>
    <n v="0"/>
    <m/>
    <m/>
    <m/>
    <m/>
    <m/>
    <m/>
    <n v="166640"/>
    <n v="166065"/>
  </r>
  <r>
    <x v="9"/>
    <x v="45"/>
    <s v="Non-credit continuing education"/>
    <m/>
    <n v="199908"/>
    <x v="8"/>
    <m/>
    <m/>
    <n v="1242778"/>
    <n v="1167660"/>
    <m/>
    <m/>
    <n v="137505"/>
    <m/>
    <n v="137505"/>
    <n v="126933"/>
    <m/>
    <n v="126933"/>
    <n v="1380283"/>
    <n v="1294593"/>
    <m/>
    <m/>
    <m/>
    <m/>
    <n v="0"/>
    <m/>
    <m/>
    <n v="0"/>
    <m/>
    <m/>
    <m/>
    <m/>
    <m/>
    <m/>
    <n v="1380283"/>
    <n v="1294593"/>
  </r>
  <r>
    <x v="9"/>
    <x v="0"/>
    <s v="Wilson Technical Community College"/>
    <m/>
    <n v="199953"/>
    <x v="8"/>
    <n v="7630036"/>
    <n v="8048567"/>
    <m/>
    <m/>
    <n v="2725335"/>
    <n v="2898225"/>
    <n v="2230729"/>
    <m/>
    <n v="2230729"/>
    <n v="2253722"/>
    <m/>
    <n v="2253722"/>
    <n v="12586100"/>
    <n v="13200514"/>
    <m/>
    <m/>
    <m/>
    <m/>
    <n v="0"/>
    <m/>
    <m/>
    <n v="0"/>
    <m/>
    <m/>
    <m/>
    <m/>
    <m/>
    <m/>
    <n v="12586100"/>
    <n v="13200514"/>
  </r>
  <r>
    <x v="9"/>
    <x v="0"/>
    <s v="Nursing / allied health supplement"/>
    <m/>
    <n v="199953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3"/>
    <s v="Community or public service units"/>
    <m/>
    <n v="199953"/>
    <x v="8"/>
    <m/>
    <m/>
    <n v="168070"/>
    <n v="169193"/>
    <m/>
    <m/>
    <m/>
    <m/>
    <n v="0"/>
    <m/>
    <m/>
    <n v="0"/>
    <n v="168070"/>
    <n v="169193"/>
    <m/>
    <m/>
    <m/>
    <m/>
    <n v="0"/>
    <m/>
    <m/>
    <n v="0"/>
    <m/>
    <m/>
    <m/>
    <m/>
    <m/>
    <m/>
    <n v="168070"/>
    <n v="169193"/>
  </r>
  <r>
    <x v="9"/>
    <x v="45"/>
    <s v="Non-credit continuing education"/>
    <m/>
    <n v="199953"/>
    <x v="8"/>
    <m/>
    <m/>
    <n v="1153631"/>
    <n v="1196287"/>
    <m/>
    <m/>
    <n v="139896"/>
    <m/>
    <n v="139896"/>
    <n v="130273"/>
    <m/>
    <n v="130273"/>
    <n v="1293527"/>
    <n v="1326560"/>
    <m/>
    <m/>
    <m/>
    <m/>
    <n v="0"/>
    <m/>
    <m/>
    <n v="0"/>
    <m/>
    <m/>
    <m/>
    <m/>
    <m/>
    <m/>
    <n v="1293527"/>
    <n v="1326560"/>
  </r>
  <r>
    <x v="9"/>
    <x v="12"/>
    <s v="Educational special-purpose funds to statewid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2"/>
    <s v="Prison Education"/>
    <m/>
    <m/>
    <x v="12"/>
    <m/>
    <m/>
    <n v="621883"/>
    <n v="573211"/>
    <m/>
    <m/>
    <m/>
    <m/>
    <n v="0"/>
    <m/>
    <m/>
    <n v="0"/>
    <n v="621883"/>
    <n v="573211"/>
    <m/>
    <m/>
    <m/>
    <m/>
    <n v="0"/>
    <m/>
    <m/>
    <n v="0"/>
    <m/>
    <m/>
    <m/>
    <m/>
    <m/>
    <m/>
    <n v="621883"/>
    <n v="573211"/>
  </r>
  <r>
    <x v="9"/>
    <x v="12"/>
    <s v="New &amp; Expanding Industry"/>
    <m/>
    <m/>
    <x v="12"/>
    <m/>
    <m/>
    <n v="20015743"/>
    <n v="21174078"/>
    <m/>
    <m/>
    <m/>
    <m/>
    <n v="0"/>
    <m/>
    <m/>
    <n v="0"/>
    <n v="20015743"/>
    <n v="21174078"/>
    <m/>
    <m/>
    <m/>
    <m/>
    <n v="0"/>
    <m/>
    <m/>
    <n v="0"/>
    <m/>
    <m/>
    <m/>
    <m/>
    <m/>
    <m/>
    <n v="20015743"/>
    <n v="21174078"/>
  </r>
  <r>
    <x v="9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9"/>
    <x v="16"/>
    <s v="NC State Board for Community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Canadian Valley Technology Center                 "/>
    <m/>
    <n v="365374"/>
    <x v="9"/>
    <n v="4037417"/>
    <n v="3537389"/>
    <m/>
    <m/>
    <m/>
    <m/>
    <n v="825577"/>
    <m/>
    <n v="825577"/>
    <n v="836440"/>
    <m/>
    <n v="836440"/>
    <n v="4862994"/>
    <n v="4373829"/>
    <m/>
    <m/>
    <m/>
    <m/>
    <n v="0"/>
    <m/>
    <m/>
    <n v="0"/>
    <m/>
    <m/>
    <m/>
    <m/>
    <m/>
    <m/>
    <n v="4862994"/>
    <n v="4373829"/>
  </r>
  <r>
    <x v="10"/>
    <x v="0"/>
    <s v="Francis Tuttle Technology Center                  "/>
    <m/>
    <n v="245999"/>
    <x v="9"/>
    <n v="4337140"/>
    <n v="4347334"/>
    <m/>
    <m/>
    <m/>
    <m/>
    <n v="1848776"/>
    <m/>
    <n v="1848776"/>
    <n v="1272654"/>
    <m/>
    <n v="1272654"/>
    <n v="6185916"/>
    <n v="5619988"/>
    <m/>
    <m/>
    <m/>
    <m/>
    <n v="0"/>
    <m/>
    <m/>
    <n v="0"/>
    <m/>
    <m/>
    <m/>
    <m/>
    <m/>
    <m/>
    <n v="6185916"/>
    <n v="5619988"/>
  </r>
  <r>
    <x v="10"/>
    <x v="0"/>
    <s v="Tulsa Technology Center-Lemley Campus             "/>
    <s v="Met the criteria for Technical Institute or College 2 in 2019-20."/>
    <n v="261375"/>
    <x v="9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Autry Technology Center                           "/>
    <m/>
    <n v="365213"/>
    <x v="10"/>
    <n v="3776196"/>
    <n v="3580092"/>
    <m/>
    <m/>
    <m/>
    <m/>
    <n v="542433"/>
    <m/>
    <n v="542433"/>
    <n v="600911"/>
    <m/>
    <n v="600911"/>
    <n v="4318629"/>
    <n v="4181003"/>
    <m/>
    <m/>
    <m/>
    <m/>
    <n v="0"/>
    <m/>
    <m/>
    <n v="0"/>
    <m/>
    <m/>
    <m/>
    <m/>
    <m/>
    <m/>
    <n v="4318629"/>
    <n v="4181003"/>
  </r>
  <r>
    <x v="10"/>
    <x v="0"/>
    <s v="Caddo Kiowa Technology Center                     "/>
    <m/>
    <n v="364946"/>
    <x v="10"/>
    <n v="5403512"/>
    <n v="5201067"/>
    <m/>
    <m/>
    <m/>
    <m/>
    <n v="766459"/>
    <m/>
    <n v="766459"/>
    <n v="806687"/>
    <m/>
    <n v="806687"/>
    <n v="6169971"/>
    <n v="6007754"/>
    <m/>
    <m/>
    <m/>
    <m/>
    <n v="0"/>
    <m/>
    <m/>
    <n v="0"/>
    <m/>
    <m/>
    <m/>
    <m/>
    <m/>
    <m/>
    <n v="6169971"/>
    <n v="6007754"/>
  </r>
  <r>
    <x v="10"/>
    <x v="0"/>
    <s v="Central Technology Center                         "/>
    <m/>
    <n v="246017"/>
    <x v="10"/>
    <n v="5765996"/>
    <n v="5961854"/>
    <m/>
    <m/>
    <m/>
    <m/>
    <n v="1986396"/>
    <m/>
    <n v="1986396"/>
    <n v="1907044"/>
    <m/>
    <n v="1907044"/>
    <n v="7752392"/>
    <n v="7868898"/>
    <m/>
    <m/>
    <m/>
    <m/>
    <n v="0"/>
    <m/>
    <m/>
    <n v="0"/>
    <m/>
    <m/>
    <m/>
    <m/>
    <m/>
    <m/>
    <n v="7752392"/>
    <n v="7868898"/>
  </r>
  <r>
    <x v="10"/>
    <x v="0"/>
    <s v="Chisholm Trail Technology Center                  "/>
    <m/>
    <n v="375656"/>
    <x v="10"/>
    <n v="1586350"/>
    <n v="1421053"/>
    <m/>
    <m/>
    <m/>
    <m/>
    <n v="164940"/>
    <m/>
    <n v="164940"/>
    <n v="171560"/>
    <m/>
    <n v="171560"/>
    <n v="1751290"/>
    <n v="1592613"/>
    <m/>
    <m/>
    <m/>
    <m/>
    <n v="0"/>
    <m/>
    <m/>
    <n v="0"/>
    <m/>
    <m/>
    <m/>
    <m/>
    <m/>
    <m/>
    <n v="1751290"/>
    <n v="1592613"/>
  </r>
  <r>
    <x v="10"/>
    <x v="0"/>
    <s v="Eastern Oklahoma County Technology Center         "/>
    <m/>
    <n v="418348"/>
    <x v="10"/>
    <n v="2222698"/>
    <n v="2218550"/>
    <m/>
    <m/>
    <m/>
    <m/>
    <n v="190379"/>
    <m/>
    <n v="190379"/>
    <n v="308880"/>
    <m/>
    <n v="308880"/>
    <n v="2413077"/>
    <n v="2527430"/>
    <m/>
    <m/>
    <m/>
    <m/>
    <n v="0"/>
    <m/>
    <m/>
    <n v="0"/>
    <m/>
    <m/>
    <m/>
    <m/>
    <m/>
    <m/>
    <n v="2413077"/>
    <n v="2527430"/>
  </r>
  <r>
    <x v="10"/>
    <x v="0"/>
    <s v="Gordon Cooper Technology Center                   "/>
    <s v=" Met the criteria for Technical Institute or College 1 in 2020-21"/>
    <n v="375683"/>
    <x v="10"/>
    <n v="3759747"/>
    <n v="3518929"/>
    <m/>
    <m/>
    <m/>
    <m/>
    <n v="698710"/>
    <m/>
    <n v="698710"/>
    <n v="828246"/>
    <m/>
    <n v="828246"/>
    <n v="4458457"/>
    <n v="4347175"/>
    <m/>
    <m/>
    <m/>
    <m/>
    <n v="0"/>
    <m/>
    <m/>
    <n v="0"/>
    <m/>
    <m/>
    <m/>
    <m/>
    <m/>
    <m/>
    <n v="4458457"/>
    <n v="4347175"/>
  </r>
  <r>
    <x v="10"/>
    <x v="0"/>
    <s v="Great Plains Technology Center                    "/>
    <m/>
    <n v="364548"/>
    <x v="10"/>
    <n v="6494190"/>
    <n v="6428348"/>
    <m/>
    <m/>
    <m/>
    <m/>
    <n v="2189626"/>
    <m/>
    <n v="2189626"/>
    <n v="1818265"/>
    <m/>
    <n v="1818265"/>
    <n v="8683816"/>
    <n v="8246613"/>
    <m/>
    <m/>
    <m/>
    <m/>
    <n v="0"/>
    <m/>
    <m/>
    <n v="0"/>
    <m/>
    <m/>
    <m/>
    <m/>
    <m/>
    <m/>
    <n v="8683816"/>
    <n v="8246613"/>
  </r>
  <r>
    <x v="10"/>
    <x v="0"/>
    <s v="Green Country Technology Center                   "/>
    <m/>
    <n v="428019"/>
    <x v="10"/>
    <n v="1653379"/>
    <n v="1561157"/>
    <m/>
    <m/>
    <m/>
    <m/>
    <n v="211407"/>
    <m/>
    <n v="211407"/>
    <n v="277736"/>
    <m/>
    <n v="277736"/>
    <n v="1864786"/>
    <n v="1838893"/>
    <m/>
    <m/>
    <m/>
    <m/>
    <n v="0"/>
    <m/>
    <m/>
    <n v="0"/>
    <m/>
    <m/>
    <m/>
    <m/>
    <m/>
    <m/>
    <n v="1864786"/>
    <n v="1838893"/>
  </r>
  <r>
    <x v="10"/>
    <x v="0"/>
    <s v="High Plains Technology Center                     "/>
    <m/>
    <n v="208053"/>
    <x v="10"/>
    <n v="1947793"/>
    <n v="1732152"/>
    <m/>
    <m/>
    <m/>
    <m/>
    <n v="1285922"/>
    <m/>
    <n v="1285922"/>
    <n v="1321536"/>
    <m/>
    <n v="1321536"/>
    <n v="3233715"/>
    <n v="3053688"/>
    <m/>
    <m/>
    <m/>
    <m/>
    <n v="0"/>
    <m/>
    <m/>
    <n v="0"/>
    <m/>
    <m/>
    <m/>
    <m/>
    <m/>
    <m/>
    <n v="3233715"/>
    <n v="3053688"/>
  </r>
  <r>
    <x v="10"/>
    <x v="0"/>
    <s v="Indian Capital Technology Center-Muskogee         "/>
    <m/>
    <n v="418296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Indian Capital Technology Center-Sallisaw         "/>
    <m/>
    <n v="421540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Indian Capital Technology Center-Stilwell         "/>
    <m/>
    <n v="421559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Indian Capital Technology Center-Tahlequah        "/>
    <m/>
    <n v="208026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Atoka                  "/>
    <m/>
    <n v="375692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Durant                 "/>
    <m/>
    <n v="375708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Hugo                   "/>
    <m/>
    <n v="375717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Idabel                 "/>
    <m/>
    <n v="375735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McAlester              "/>
    <m/>
    <n v="375726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Poteau                 "/>
    <m/>
    <n v="375744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Spiro                  "/>
    <m/>
    <n v="375753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Stigler                "/>
    <m/>
    <n v="405748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Kiamichi Technology Center-Talihina               "/>
    <m/>
    <n v="375762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Meridian Technology Center                        "/>
    <m/>
    <n v="365480"/>
    <x v="10"/>
    <n v="3635604"/>
    <n v="3449596"/>
    <m/>
    <m/>
    <m/>
    <m/>
    <n v="849462"/>
    <m/>
    <n v="849462"/>
    <n v="687837"/>
    <m/>
    <n v="687837"/>
    <n v="4485066"/>
    <n v="4137433"/>
    <m/>
    <m/>
    <m/>
    <m/>
    <n v="0"/>
    <m/>
    <m/>
    <n v="0"/>
    <m/>
    <m/>
    <m/>
    <m/>
    <m/>
    <m/>
    <n v="4485066"/>
    <n v="4137433"/>
  </r>
  <r>
    <x v="10"/>
    <x v="0"/>
    <s v="Metro Technology Centers                          "/>
    <m/>
    <n v="363165"/>
    <x v="10"/>
    <n v="4202605"/>
    <n v="3584901"/>
    <m/>
    <m/>
    <m/>
    <m/>
    <n v="1803569"/>
    <m/>
    <n v="1803569"/>
    <n v="1564837"/>
    <m/>
    <n v="1564837"/>
    <n v="6006174"/>
    <n v="5149738"/>
    <m/>
    <m/>
    <m/>
    <m/>
    <n v="0"/>
    <m/>
    <m/>
    <n v="0"/>
    <m/>
    <m/>
    <m/>
    <m/>
    <m/>
    <m/>
    <n v="6006174"/>
    <n v="5149738"/>
  </r>
  <r>
    <x v="10"/>
    <x v="0"/>
    <s v="Mid-America Technology Center                     "/>
    <s v=" Met the criteria for Technical Institute or College 1 in 2020-21"/>
    <n v="418320"/>
    <x v="10"/>
    <n v="3004824"/>
    <n v="3030239"/>
    <m/>
    <m/>
    <m/>
    <m/>
    <n v="459305"/>
    <m/>
    <n v="459305"/>
    <n v="314946"/>
    <m/>
    <n v="314946"/>
    <n v="3464129"/>
    <n v="3345185"/>
    <m/>
    <m/>
    <m/>
    <m/>
    <n v="0"/>
    <m/>
    <m/>
    <n v="0"/>
    <m/>
    <m/>
    <m/>
    <m/>
    <m/>
    <m/>
    <n v="3464129"/>
    <n v="3345185"/>
  </r>
  <r>
    <x v="10"/>
    <x v="0"/>
    <s v="Mid-Del Technology Center                         "/>
    <m/>
    <n v="431017"/>
    <x v="10"/>
    <n v="1921789"/>
    <n v="1734442"/>
    <m/>
    <m/>
    <m/>
    <m/>
    <n v="198075"/>
    <m/>
    <n v="198075"/>
    <n v="159194"/>
    <m/>
    <n v="159194"/>
    <n v="2119864"/>
    <n v="1893636"/>
    <m/>
    <m/>
    <m/>
    <m/>
    <n v="0"/>
    <m/>
    <m/>
    <n v="0"/>
    <m/>
    <m/>
    <m/>
    <m/>
    <m/>
    <m/>
    <n v="2119864"/>
    <n v="1893636"/>
  </r>
  <r>
    <x v="10"/>
    <x v="0"/>
    <s v="Moore Norman Technology Center                    "/>
    <s v="Met the criteria for Technical Institute or College 1 in 2019-20, and 2020-21"/>
    <n v="248606"/>
    <x v="10"/>
    <n v="2730704"/>
    <n v="2646846"/>
    <m/>
    <m/>
    <m/>
    <m/>
    <n v="1364732"/>
    <m/>
    <n v="1364732"/>
    <n v="968282"/>
    <m/>
    <n v="968282"/>
    <n v="4095436"/>
    <n v="3615128"/>
    <m/>
    <m/>
    <m/>
    <m/>
    <n v="0"/>
    <m/>
    <m/>
    <n v="0"/>
    <m/>
    <m/>
    <m/>
    <m/>
    <m/>
    <m/>
    <n v="4095436"/>
    <n v="3615128"/>
  </r>
  <r>
    <x v="10"/>
    <x v="0"/>
    <s v="Northeast Technology Center-Afton                 "/>
    <m/>
    <n v="420459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Northeast Technology Center-Claremore"/>
    <m/>
    <n v="456560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Northeast Technology Center-Kansas                "/>
    <m/>
    <n v="432074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Northeast Technology Center-Pryor                 "/>
    <m/>
    <n v="418339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Northwest Technology Center-Alva                  "/>
    <m/>
    <n v="366623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Northwest Technology Center-Fairview              "/>
    <m/>
    <n v="407601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Pioneer Technology Center                         "/>
    <m/>
    <n v="364627"/>
    <x v="10"/>
    <n v="2571972"/>
    <n v="2372421"/>
    <m/>
    <m/>
    <m/>
    <m/>
    <n v="567574"/>
    <m/>
    <n v="567574"/>
    <n v="606861"/>
    <m/>
    <n v="606861"/>
    <n v="3139546"/>
    <n v="2979282"/>
    <m/>
    <m/>
    <m/>
    <m/>
    <n v="0"/>
    <m/>
    <m/>
    <n v="0"/>
    <m/>
    <m/>
    <m/>
    <m/>
    <m/>
    <m/>
    <n v="3139546"/>
    <n v="2979282"/>
  </r>
  <r>
    <x v="10"/>
    <x v="0"/>
    <s v="Pontotoc Technology Center                        "/>
    <m/>
    <n v="206905"/>
    <x v="10"/>
    <n v="1564670"/>
    <n v="1658968"/>
    <m/>
    <m/>
    <m/>
    <m/>
    <n v="417577"/>
    <m/>
    <n v="417577"/>
    <n v="345060"/>
    <m/>
    <n v="345060"/>
    <n v="1982247"/>
    <n v="2004028"/>
    <m/>
    <m/>
    <m/>
    <m/>
    <n v="0"/>
    <m/>
    <m/>
    <n v="0"/>
    <m/>
    <m/>
    <m/>
    <m/>
    <m/>
    <m/>
    <n v="1982247"/>
    <n v="2004028"/>
  </r>
  <r>
    <x v="10"/>
    <x v="0"/>
    <s v="Red River Technology Center                       "/>
    <m/>
    <n v="250993"/>
    <x v="10"/>
    <n v="2340127"/>
    <n v="2241959"/>
    <m/>
    <m/>
    <m/>
    <m/>
    <n v="339140"/>
    <m/>
    <n v="339140"/>
    <n v="329962"/>
    <m/>
    <n v="329962"/>
    <n v="2679267"/>
    <n v="2571921"/>
    <m/>
    <m/>
    <m/>
    <m/>
    <n v="0"/>
    <m/>
    <m/>
    <n v="0"/>
    <m/>
    <m/>
    <m/>
    <m/>
    <m/>
    <m/>
    <n v="2679267"/>
    <n v="2571921"/>
  </r>
  <r>
    <x v="10"/>
    <x v="0"/>
    <s v="Southern Oklahoma Technology Center               "/>
    <m/>
    <n v="365198"/>
    <x v="10"/>
    <n v="2417683"/>
    <n v="2170209"/>
    <m/>
    <m/>
    <m/>
    <m/>
    <n v="417631"/>
    <m/>
    <n v="417631"/>
    <n v="410339"/>
    <m/>
    <n v="410339"/>
    <n v="2835314"/>
    <n v="2580548"/>
    <m/>
    <m/>
    <m/>
    <m/>
    <n v="0"/>
    <m/>
    <m/>
    <n v="0"/>
    <m/>
    <m/>
    <m/>
    <m/>
    <m/>
    <m/>
    <n v="2835314"/>
    <n v="2580548"/>
  </r>
  <r>
    <x v="10"/>
    <x v="0"/>
    <s v="Southwest Technology Center                       "/>
    <m/>
    <n v="368364"/>
    <x v="10"/>
    <n v="2504602"/>
    <n v="2436258"/>
    <m/>
    <m/>
    <m/>
    <m/>
    <n v="300640"/>
    <m/>
    <n v="300640"/>
    <n v="393607"/>
    <m/>
    <n v="393607"/>
    <n v="2805242"/>
    <n v="2829865"/>
    <m/>
    <m/>
    <m/>
    <m/>
    <n v="0"/>
    <m/>
    <m/>
    <n v="0"/>
    <m/>
    <m/>
    <m/>
    <m/>
    <m/>
    <m/>
    <n v="2805242"/>
    <n v="2829865"/>
  </r>
  <r>
    <x v="10"/>
    <x v="0"/>
    <s v="Tri County Technology Center                      "/>
    <m/>
    <n v="418287"/>
    <x v="10"/>
    <n v="2898553"/>
    <n v="2690725"/>
    <m/>
    <m/>
    <m/>
    <m/>
    <n v="560976"/>
    <m/>
    <n v="560976"/>
    <n v="388356"/>
    <m/>
    <n v="388356"/>
    <n v="3459529"/>
    <n v="3079081"/>
    <m/>
    <m/>
    <m/>
    <m/>
    <n v="0"/>
    <m/>
    <m/>
    <n v="0"/>
    <m/>
    <m/>
    <m/>
    <m/>
    <m/>
    <m/>
    <n v="3459529"/>
    <n v="3079081"/>
  </r>
  <r>
    <x v="10"/>
    <x v="0"/>
    <s v="Tulsa County Area Voc Tech School Dist 18-Peoria  "/>
    <m/>
    <n v="207607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Tulsa Technology Center-Broken Arrow Campus       "/>
    <m/>
    <n v="261393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Tulsa Technology Center-Owasso - NEW"/>
    <m/>
    <n v="482264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Tulsa Technology Center-Riverside Campus          "/>
    <m/>
    <n v="261384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Tulsa Technology Center-Sand Springs - NEW"/>
    <m/>
    <n v="482273"/>
    <x v="1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0"/>
    <s v="Wes Watkins Technology Center                     "/>
    <m/>
    <n v="418357"/>
    <x v="10"/>
    <n v="2872656"/>
    <n v="2642153"/>
    <m/>
    <m/>
    <m/>
    <m/>
    <n v="91144"/>
    <m/>
    <n v="91144"/>
    <n v="87942"/>
    <m/>
    <n v="87942"/>
    <n v="2963800"/>
    <n v="2730095"/>
    <m/>
    <m/>
    <m/>
    <m/>
    <n v="0"/>
    <m/>
    <m/>
    <n v="0"/>
    <m/>
    <m/>
    <m/>
    <m/>
    <m/>
    <m/>
    <n v="2963800"/>
    <n v="2730095"/>
  </r>
  <r>
    <x v="10"/>
    <x v="0"/>
    <s v="Western Technology Center                         "/>
    <m/>
    <n v="418302"/>
    <x v="10"/>
    <n v="1809470"/>
    <n v="1747358"/>
    <m/>
    <m/>
    <m/>
    <m/>
    <n v="385992"/>
    <m/>
    <n v="385992"/>
    <n v="276512"/>
    <m/>
    <n v="276512"/>
    <n v="2195462"/>
    <n v="2023870"/>
    <m/>
    <m/>
    <m/>
    <m/>
    <n v="0"/>
    <m/>
    <m/>
    <n v="0"/>
    <m/>
    <m/>
    <m/>
    <m/>
    <m/>
    <m/>
    <n v="2195462"/>
    <n v="2023870"/>
  </r>
  <r>
    <x v="10"/>
    <x v="0"/>
    <s v="Indian Capital……..All Campuses"/>
    <m/>
    <m/>
    <x v="10"/>
    <n v="5173332"/>
    <n v="4951661"/>
    <m/>
    <m/>
    <m/>
    <m/>
    <n v="1168203"/>
    <m/>
    <n v="1168203"/>
    <n v="1322740"/>
    <m/>
    <n v="1322740"/>
    <n v="6341535"/>
    <n v="6274401"/>
    <m/>
    <m/>
    <m/>
    <m/>
    <n v="0"/>
    <m/>
    <m/>
    <n v="0"/>
    <m/>
    <m/>
    <m/>
    <m/>
    <m/>
    <m/>
    <n v="6341535"/>
    <n v="6274401"/>
  </r>
  <r>
    <x v="10"/>
    <x v="0"/>
    <s v="Kiamichi………All Campuses"/>
    <m/>
    <m/>
    <x v="10"/>
    <n v="8881122"/>
    <n v="0"/>
    <m/>
    <m/>
    <m/>
    <m/>
    <n v="1180497"/>
    <m/>
    <n v="1180497"/>
    <n v="1631015"/>
    <m/>
    <n v="1631015"/>
    <n v="10061619"/>
    <n v="1631015"/>
    <m/>
    <m/>
    <m/>
    <m/>
    <n v="0"/>
    <m/>
    <m/>
    <n v="0"/>
    <m/>
    <m/>
    <m/>
    <m/>
    <m/>
    <m/>
    <n v="10061619"/>
    <n v="1631015"/>
  </r>
  <r>
    <x v="10"/>
    <x v="0"/>
    <s v="Northeast………..All Campuses"/>
    <m/>
    <m/>
    <x v="10"/>
    <n v="2697267"/>
    <n v="2466601"/>
    <m/>
    <m/>
    <m/>
    <m/>
    <n v="857477"/>
    <m/>
    <n v="857477"/>
    <n v="571278"/>
    <m/>
    <n v="571278"/>
    <n v="3554744"/>
    <n v="3037879"/>
    <m/>
    <m/>
    <m/>
    <m/>
    <n v="0"/>
    <m/>
    <m/>
    <n v="0"/>
    <m/>
    <m/>
    <m/>
    <m/>
    <m/>
    <m/>
    <n v="3554744"/>
    <n v="3037879"/>
  </r>
  <r>
    <x v="10"/>
    <x v="0"/>
    <s v="Northwest………..All Campuses"/>
    <m/>
    <m/>
    <x v="10"/>
    <n v="1922306"/>
    <n v="2003035"/>
    <m/>
    <m/>
    <m/>
    <m/>
    <n v="204969"/>
    <m/>
    <n v="204969"/>
    <n v="216049"/>
    <m/>
    <n v="216049"/>
    <n v="2127275"/>
    <n v="2219084"/>
    <m/>
    <m/>
    <m/>
    <m/>
    <n v="0"/>
    <m/>
    <m/>
    <n v="0"/>
    <m/>
    <m/>
    <m/>
    <m/>
    <m/>
    <m/>
    <n v="2127275"/>
    <n v="2219084"/>
  </r>
  <r>
    <x v="10"/>
    <x v="0"/>
    <s v="Tulsa County Dist 18………..All Campuses"/>
    <m/>
    <m/>
    <x v="10"/>
    <n v="7260604"/>
    <n v="7108187"/>
    <m/>
    <m/>
    <m/>
    <m/>
    <n v="3662270"/>
    <m/>
    <n v="3662270"/>
    <n v="3004203"/>
    <m/>
    <n v="3004203"/>
    <n v="10922874"/>
    <n v="10112390"/>
    <m/>
    <m/>
    <m/>
    <m/>
    <n v="0"/>
    <m/>
    <m/>
    <n v="0"/>
    <m/>
    <m/>
    <m/>
    <m/>
    <m/>
    <m/>
    <n v="10922874"/>
    <n v="10112390"/>
  </r>
  <r>
    <x v="10"/>
    <x v="14"/>
    <s v="Statewide System Operations"/>
    <m/>
    <m/>
    <x v="12"/>
    <n v="101394308"/>
    <n v="88382665"/>
    <m/>
    <m/>
    <m/>
    <m/>
    <n v="25539855"/>
    <m/>
    <n v="25539855"/>
    <n v="23428978"/>
    <m/>
    <n v="23428978"/>
    <n v="126934163"/>
    <n v="111811643"/>
    <m/>
    <m/>
    <m/>
    <m/>
    <n v="0"/>
    <m/>
    <m/>
    <n v="0"/>
    <m/>
    <m/>
    <m/>
    <m/>
    <m/>
    <m/>
    <n v="126934163"/>
    <n v="111811643"/>
  </r>
  <r>
    <x v="10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16"/>
    <s v="State Board 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0"/>
    <x v="42"/>
    <m/>
    <m/>
    <m/>
    <x v="1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lemson University"/>
    <m/>
    <n v="217882"/>
    <x v="0"/>
    <n v="66021011"/>
    <n v="66021011"/>
    <m/>
    <m/>
    <m/>
    <m/>
    <n v="556429816"/>
    <n v="16989733"/>
    <n v="573419549"/>
    <n v="581972202"/>
    <n v="18340159"/>
    <n v="600312361"/>
    <n v="622450827"/>
    <n v="647993213"/>
    <m/>
    <m/>
    <m/>
    <m/>
    <n v="0"/>
    <m/>
    <m/>
    <n v="0"/>
    <m/>
    <m/>
    <m/>
    <m/>
    <m/>
    <m/>
    <n v="622450827"/>
    <n v="647993213"/>
  </r>
  <r>
    <x v="11"/>
    <x v="0"/>
    <s v="Fringe Benefits"/>
    <m/>
    <n v="217882"/>
    <x v="0"/>
    <n v="25030445"/>
    <n v="24626818"/>
    <m/>
    <m/>
    <m/>
    <m/>
    <m/>
    <m/>
    <n v="0"/>
    <m/>
    <m/>
    <n v="0"/>
    <n v="25030445"/>
    <n v="24626818"/>
    <m/>
    <m/>
    <m/>
    <m/>
    <n v="0"/>
    <m/>
    <m/>
    <n v="0"/>
    <m/>
    <m/>
    <m/>
    <m/>
    <m/>
    <m/>
    <n v="25030445"/>
    <n v="24626818"/>
  </r>
  <r>
    <x v="11"/>
    <x v="0"/>
    <s v="Other Operating Expenses"/>
    <m/>
    <n v="217882"/>
    <x v="0"/>
    <n v="4634343"/>
    <n v="4634343"/>
    <m/>
    <m/>
    <m/>
    <m/>
    <m/>
    <m/>
    <n v="0"/>
    <m/>
    <m/>
    <n v="0"/>
    <n v="4634343"/>
    <n v="4634343"/>
    <m/>
    <m/>
    <m/>
    <m/>
    <n v="0"/>
    <m/>
    <m/>
    <n v="0"/>
    <m/>
    <m/>
    <m/>
    <m/>
    <m/>
    <m/>
    <n v="4634343"/>
    <n v="4634343"/>
  </r>
  <r>
    <x v="11"/>
    <x v="3"/>
    <s v="Community or public service units"/>
    <m/>
    <n v="21788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5"/>
    <s v="Ag Cooperative Extension Service"/>
    <m/>
    <n v="21788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5"/>
    <s v="Ag Research, Extension Service, and Inspection"/>
    <m/>
    <n v="217882"/>
    <x v="0"/>
    <m/>
    <m/>
    <n v="46887095"/>
    <n v="46722293"/>
    <m/>
    <m/>
    <m/>
    <m/>
    <n v="0"/>
    <m/>
    <m/>
    <n v="0"/>
    <n v="46887095"/>
    <n v="46722293"/>
    <m/>
    <m/>
    <m/>
    <m/>
    <n v="0"/>
    <m/>
    <m/>
    <n v="0"/>
    <m/>
    <m/>
    <m/>
    <m/>
    <m/>
    <m/>
    <n v="46887095"/>
    <n v="46722293"/>
  </r>
  <r>
    <x v="11"/>
    <x v="7"/>
    <s v="Research Centers/institutes"/>
    <m/>
    <n v="21788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Stem Centers"/>
    <m/>
    <n v="217882"/>
    <x v="0"/>
    <m/>
    <m/>
    <n v="1750000"/>
    <n v="1750000"/>
    <m/>
    <m/>
    <m/>
    <m/>
    <n v="0"/>
    <m/>
    <m/>
    <n v="0"/>
    <n v="1750000"/>
    <n v="1750000"/>
    <m/>
    <m/>
    <m/>
    <m/>
    <n v="0"/>
    <m/>
    <m/>
    <n v="0"/>
    <m/>
    <m/>
    <m/>
    <m/>
    <m/>
    <m/>
    <n v="1750000"/>
    <n v="1750000"/>
  </r>
  <r>
    <x v="11"/>
    <x v="8"/>
    <s v="Special Line items for education operations"/>
    <m/>
    <n v="21788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7882"/>
    <x v="0"/>
    <m/>
    <m/>
    <n v="31372"/>
    <n v="31372"/>
    <m/>
    <m/>
    <m/>
    <m/>
    <n v="0"/>
    <m/>
    <m/>
    <n v="0"/>
    <n v="31372"/>
    <n v="31372"/>
    <m/>
    <m/>
    <m/>
    <m/>
    <n v="0"/>
    <m/>
    <m/>
    <n v="0"/>
    <m/>
    <m/>
    <m/>
    <m/>
    <m/>
    <m/>
    <n v="31372"/>
    <n v="31372"/>
  </r>
  <r>
    <x v="11"/>
    <x v="8"/>
    <s v="Call Me Mister"/>
    <m/>
    <n v="217882"/>
    <x v="0"/>
    <m/>
    <m/>
    <n v="500000"/>
    <n v="500000"/>
    <m/>
    <m/>
    <m/>
    <m/>
    <n v="0"/>
    <m/>
    <m/>
    <n v="0"/>
    <n v="500000"/>
    <n v="500000"/>
    <m/>
    <m/>
    <m/>
    <m/>
    <n v="0"/>
    <m/>
    <m/>
    <n v="0"/>
    <m/>
    <m/>
    <m/>
    <m/>
    <m/>
    <m/>
    <n v="500000"/>
    <n v="500000"/>
  </r>
  <r>
    <x v="11"/>
    <x v="0"/>
    <s v="University of South Carolina-Columbia"/>
    <m/>
    <n v="218663"/>
    <x v="0"/>
    <n v="100498361"/>
    <n v="100498361"/>
    <m/>
    <m/>
    <m/>
    <m/>
    <n v="701029855"/>
    <n v="32437626"/>
    <n v="733467481"/>
    <n v="690686912"/>
    <n v="32382810"/>
    <n v="723069722"/>
    <n v="801528216"/>
    <n v="791185273"/>
    <m/>
    <m/>
    <m/>
    <m/>
    <n v="0"/>
    <m/>
    <m/>
    <n v="0"/>
    <m/>
    <m/>
    <n v="43184645"/>
    <n v="44261680"/>
    <m/>
    <m/>
    <n v="844712861"/>
    <n v="791185273"/>
  </r>
  <r>
    <x v="11"/>
    <x v="0"/>
    <s v="Fringe Benefits"/>
    <m/>
    <n v="218663"/>
    <x v="0"/>
    <n v="35523684"/>
    <n v="34792021"/>
    <m/>
    <m/>
    <m/>
    <m/>
    <m/>
    <m/>
    <n v="0"/>
    <m/>
    <m/>
    <n v="0"/>
    <n v="35523684"/>
    <n v="34792021"/>
    <m/>
    <m/>
    <m/>
    <m/>
    <n v="0"/>
    <m/>
    <m/>
    <n v="0"/>
    <m/>
    <m/>
    <m/>
    <m/>
    <m/>
    <m/>
    <n v="35523684"/>
    <n v="34792021"/>
  </r>
  <r>
    <x v="11"/>
    <x v="0"/>
    <s v="Other Operating Expense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"/>
    <s v="Community or public service units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"/>
    <s v="Palmetto Poison Center"/>
    <m/>
    <n v="218663"/>
    <x v="0"/>
    <m/>
    <m/>
    <n v="351763"/>
    <n v="351763"/>
    <m/>
    <m/>
    <m/>
    <m/>
    <n v="0"/>
    <m/>
    <m/>
    <n v="0"/>
    <n v="351763"/>
    <n v="351763"/>
    <m/>
    <m/>
    <m/>
    <m/>
    <n v="0"/>
    <m/>
    <m/>
    <n v="0"/>
    <m/>
    <m/>
    <m/>
    <m/>
    <m/>
    <m/>
    <n v="351763"/>
    <n v="351763"/>
  </r>
  <r>
    <x v="11"/>
    <x v="3"/>
    <s v="School Improvement Council"/>
    <m/>
    <n v="218663"/>
    <x v="0"/>
    <m/>
    <m/>
    <n v="100000"/>
    <n v="100000"/>
    <m/>
    <m/>
    <m/>
    <m/>
    <n v="0"/>
    <m/>
    <m/>
    <n v="0"/>
    <n v="100000"/>
    <n v="100000"/>
    <m/>
    <m/>
    <m/>
    <m/>
    <n v="0"/>
    <m/>
    <m/>
    <n v="0"/>
    <m/>
    <m/>
    <m/>
    <m/>
    <m/>
    <m/>
    <n v="100000"/>
    <n v="100000"/>
  </r>
  <r>
    <x v="11"/>
    <x v="3"/>
    <s v="Small Business Development Center"/>
    <m/>
    <n v="218663"/>
    <x v="0"/>
    <m/>
    <m/>
    <n v="791734"/>
    <n v="791734"/>
    <m/>
    <m/>
    <m/>
    <m/>
    <n v="0"/>
    <m/>
    <m/>
    <n v="0"/>
    <n v="791734"/>
    <n v="791734"/>
    <m/>
    <m/>
    <m/>
    <m/>
    <n v="0"/>
    <m/>
    <m/>
    <n v="0"/>
    <m/>
    <m/>
    <m/>
    <m/>
    <m/>
    <m/>
    <n v="791734"/>
    <n v="791734"/>
  </r>
  <r>
    <x v="11"/>
    <x v="7"/>
    <s v="Research centers/institutes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Center for Educational Partnerships"/>
    <m/>
    <n v="218663"/>
    <x v="0"/>
    <m/>
    <m/>
    <n v="715933"/>
    <n v="715933"/>
    <m/>
    <m/>
    <m/>
    <m/>
    <n v="0"/>
    <m/>
    <m/>
    <n v="0"/>
    <n v="715933"/>
    <n v="715933"/>
    <m/>
    <m/>
    <m/>
    <m/>
    <n v="0"/>
    <m/>
    <m/>
    <n v="0"/>
    <m/>
    <m/>
    <m/>
    <m/>
    <m/>
    <m/>
    <n v="715933"/>
    <n v="715933"/>
  </r>
  <r>
    <x v="11"/>
    <x v="8"/>
    <s v="Special Line items for education operations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63"/>
    <x v="0"/>
    <m/>
    <m/>
    <n v="27589"/>
    <n v="27589"/>
    <m/>
    <m/>
    <m/>
    <m/>
    <n v="0"/>
    <m/>
    <m/>
    <n v="0"/>
    <n v="27589"/>
    <n v="27589"/>
    <m/>
    <m/>
    <m/>
    <m/>
    <n v="0"/>
    <m/>
    <m/>
    <n v="0"/>
    <m/>
    <m/>
    <m/>
    <m/>
    <m/>
    <m/>
    <n v="27589"/>
    <n v="27589"/>
  </r>
  <r>
    <x v="11"/>
    <x v="8"/>
    <s v="Law Library"/>
    <m/>
    <n v="218663"/>
    <x v="0"/>
    <m/>
    <m/>
    <n v="344076"/>
    <n v="344076"/>
    <m/>
    <m/>
    <m/>
    <m/>
    <n v="0"/>
    <m/>
    <m/>
    <n v="0"/>
    <n v="344076"/>
    <n v="344076"/>
    <m/>
    <m/>
    <m/>
    <m/>
    <n v="0"/>
    <m/>
    <m/>
    <n v="0"/>
    <m/>
    <m/>
    <m/>
    <m/>
    <m/>
    <m/>
    <n v="344076"/>
    <n v="344076"/>
  </r>
  <r>
    <x v="11"/>
    <x v="8"/>
    <s v="SC Council on Economic Education"/>
    <m/>
    <n v="218663"/>
    <x v="0"/>
    <m/>
    <m/>
    <n v="300000"/>
    <n v="300000"/>
    <m/>
    <m/>
    <m/>
    <m/>
    <n v="0"/>
    <m/>
    <m/>
    <n v="0"/>
    <n v="300000"/>
    <n v="300000"/>
    <m/>
    <m/>
    <m/>
    <m/>
    <n v="0"/>
    <m/>
    <m/>
    <n v="0"/>
    <m/>
    <m/>
    <m/>
    <m/>
    <m/>
    <m/>
    <n v="300000"/>
    <n v="300000"/>
  </r>
  <r>
    <x v="11"/>
    <x v="8"/>
    <s v="EIA Teacher Recruitment Program"/>
    <m/>
    <n v="218663"/>
    <x v="0"/>
    <m/>
    <m/>
    <n v="750000"/>
    <n v="750000"/>
    <m/>
    <m/>
    <m/>
    <m/>
    <n v="0"/>
    <m/>
    <m/>
    <n v="0"/>
    <n v="750000"/>
    <n v="750000"/>
    <m/>
    <m/>
    <m/>
    <m/>
    <n v="0"/>
    <m/>
    <m/>
    <n v="0"/>
    <m/>
    <m/>
    <m/>
    <m/>
    <m/>
    <m/>
    <n v="750000"/>
    <n v="750000"/>
  </r>
  <r>
    <x v="11"/>
    <x v="1"/>
    <s v="Health professions education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"/>
    <s v="Medical School-E&amp;G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n v="10789674"/>
    <n v="10789674"/>
    <m/>
    <m/>
    <m/>
    <m/>
    <n v="10789674"/>
    <n v="10789674"/>
  </r>
  <r>
    <x v="11"/>
    <x v="1"/>
    <s v="Medical School-Fringe Benefits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n v="3102159"/>
    <n v="3102159"/>
    <m/>
    <m/>
    <m/>
    <m/>
    <n v="3102159"/>
    <n v="3102159"/>
  </r>
  <r>
    <x v="11"/>
    <x v="1"/>
    <s v="Medical School-Other Operating Expenses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n v="2000000"/>
    <n v="2000000"/>
    <m/>
    <m/>
    <m/>
    <m/>
    <n v="2000000"/>
    <n v="2000000"/>
  </r>
  <r>
    <x v="11"/>
    <x v="1"/>
    <s v="Medical School-Child Abuse"/>
    <m/>
    <n v="218663"/>
    <x v="0"/>
    <m/>
    <m/>
    <m/>
    <m/>
    <m/>
    <m/>
    <m/>
    <m/>
    <n v="0"/>
    <m/>
    <m/>
    <n v="0"/>
    <n v="0"/>
    <n v="0"/>
    <m/>
    <m/>
    <m/>
    <m/>
    <n v="0"/>
    <m/>
    <m/>
    <n v="0"/>
    <n v="3200000"/>
    <n v="3200000"/>
    <m/>
    <m/>
    <m/>
    <m/>
    <n v="3200000"/>
    <n v="3200000"/>
  </r>
  <r>
    <x v="11"/>
    <x v="0"/>
    <s v="College of Charleston"/>
    <m/>
    <n v="217819"/>
    <x v="2"/>
    <n v="22062025"/>
    <n v="22062025"/>
    <m/>
    <m/>
    <m/>
    <m/>
    <n v="180011335"/>
    <n v="9370544"/>
    <n v="189381879"/>
    <n v="167999444"/>
    <n v="17214707"/>
    <n v="185214151"/>
    <n v="202073360"/>
    <n v="190061469"/>
    <m/>
    <m/>
    <m/>
    <m/>
    <n v="0"/>
    <m/>
    <m/>
    <n v="0"/>
    <m/>
    <m/>
    <m/>
    <m/>
    <m/>
    <m/>
    <n v="202073360"/>
    <n v="190061469"/>
  </r>
  <r>
    <x v="11"/>
    <x v="0"/>
    <s v="Fringe Benefits"/>
    <m/>
    <n v="217819"/>
    <x v="2"/>
    <n v="7132001"/>
    <n v="6988208"/>
    <m/>
    <m/>
    <m/>
    <m/>
    <m/>
    <m/>
    <n v="0"/>
    <m/>
    <m/>
    <n v="0"/>
    <n v="7132001"/>
    <n v="6988208"/>
    <m/>
    <m/>
    <m/>
    <m/>
    <n v="0"/>
    <m/>
    <m/>
    <n v="0"/>
    <m/>
    <m/>
    <m/>
    <m/>
    <m/>
    <m/>
    <n v="7132001"/>
    <n v="6988208"/>
  </r>
  <r>
    <x v="11"/>
    <x v="0"/>
    <s v="Other Operating Expenses"/>
    <m/>
    <n v="217819"/>
    <x v="2"/>
    <n v="979175"/>
    <n v="979175"/>
    <m/>
    <m/>
    <m/>
    <m/>
    <m/>
    <m/>
    <n v="0"/>
    <m/>
    <m/>
    <n v="0"/>
    <n v="979175"/>
    <n v="979175"/>
    <m/>
    <m/>
    <m/>
    <m/>
    <n v="0"/>
    <m/>
    <m/>
    <n v="0"/>
    <m/>
    <m/>
    <m/>
    <m/>
    <m/>
    <m/>
    <n v="979175"/>
    <n v="979175"/>
  </r>
  <r>
    <x v="11"/>
    <x v="3"/>
    <s v="Community or public service units"/>
    <m/>
    <n v="21781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Research centers/institutes"/>
    <m/>
    <n v="21781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7819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7819"/>
    <x v="2"/>
    <m/>
    <m/>
    <n v="7396"/>
    <n v="7396"/>
    <m/>
    <m/>
    <m/>
    <m/>
    <n v="0"/>
    <m/>
    <m/>
    <n v="0"/>
    <n v="7396"/>
    <n v="7396"/>
    <m/>
    <m/>
    <m/>
    <m/>
    <n v="0"/>
    <m/>
    <m/>
    <n v="0"/>
    <m/>
    <m/>
    <m/>
    <m/>
    <m/>
    <m/>
    <n v="7396"/>
    <n v="7396"/>
  </r>
  <r>
    <x v="11"/>
    <x v="8"/>
    <s v="Lottery Technology (NR)"/>
    <m/>
    <n v="217819"/>
    <x v="2"/>
    <m/>
    <m/>
    <n v="607631"/>
    <n v="607631"/>
    <m/>
    <m/>
    <m/>
    <m/>
    <n v="0"/>
    <m/>
    <m/>
    <n v="0"/>
    <n v="607631"/>
    <n v="607631"/>
    <m/>
    <m/>
    <m/>
    <m/>
    <n v="0"/>
    <m/>
    <m/>
    <n v="0"/>
    <m/>
    <m/>
    <m/>
    <m/>
    <m/>
    <m/>
    <n v="607631"/>
    <n v="607631"/>
  </r>
  <r>
    <x v="11"/>
    <x v="8"/>
    <s v="Lowcountry Graduate Center"/>
    <m/>
    <n v="217819"/>
    <x v="2"/>
    <m/>
    <m/>
    <n v="785099"/>
    <n v="785099"/>
    <m/>
    <m/>
    <m/>
    <m/>
    <n v="0"/>
    <m/>
    <m/>
    <n v="0"/>
    <n v="785099"/>
    <n v="785099"/>
    <m/>
    <m/>
    <m/>
    <m/>
    <n v="0"/>
    <m/>
    <m/>
    <n v="0"/>
    <m/>
    <m/>
    <m/>
    <m/>
    <m/>
    <m/>
    <n v="785099"/>
    <n v="785099"/>
  </r>
  <r>
    <x v="11"/>
    <x v="0"/>
    <s v="The Citadel, the Military College of South Carolina "/>
    <m/>
    <n v="217864"/>
    <x v="2"/>
    <n v="8490713"/>
    <n v="8490713"/>
    <m/>
    <m/>
    <m/>
    <m/>
    <n v="60699031"/>
    <n v="3415321"/>
    <n v="64114352"/>
    <n v="60053073"/>
    <n v="3234342"/>
    <n v="63287415"/>
    <n v="69189744"/>
    <n v="68543786"/>
    <m/>
    <m/>
    <m/>
    <m/>
    <n v="0"/>
    <m/>
    <m/>
    <n v="0"/>
    <m/>
    <m/>
    <m/>
    <m/>
    <m/>
    <m/>
    <n v="69189744"/>
    <n v="68543786"/>
  </r>
  <r>
    <x v="11"/>
    <x v="0"/>
    <s v="Fringe Benefits"/>
    <m/>
    <n v="217864"/>
    <x v="2"/>
    <n v="3061110"/>
    <n v="2992374"/>
    <m/>
    <m/>
    <m/>
    <m/>
    <m/>
    <m/>
    <n v="0"/>
    <m/>
    <m/>
    <n v="0"/>
    <n v="3061110"/>
    <n v="2992374"/>
    <m/>
    <m/>
    <m/>
    <m/>
    <n v="0"/>
    <m/>
    <m/>
    <n v="0"/>
    <m/>
    <m/>
    <m/>
    <m/>
    <m/>
    <m/>
    <n v="3061110"/>
    <n v="2992374"/>
  </r>
  <r>
    <x v="11"/>
    <x v="0"/>
    <s v="Other Operating Expenses"/>
    <m/>
    <n v="217864"/>
    <x v="2"/>
    <n v="1017599"/>
    <n v="1017599"/>
    <m/>
    <m/>
    <m/>
    <m/>
    <m/>
    <m/>
    <n v="0"/>
    <m/>
    <m/>
    <n v="0"/>
    <n v="1017599"/>
    <n v="1017599"/>
    <m/>
    <m/>
    <m/>
    <m/>
    <n v="0"/>
    <m/>
    <m/>
    <n v="0"/>
    <m/>
    <m/>
    <m/>
    <m/>
    <m/>
    <m/>
    <n v="1017599"/>
    <n v="1017599"/>
  </r>
  <r>
    <x v="11"/>
    <x v="8"/>
    <s v="Special Line items for education operations"/>
    <m/>
    <n v="217864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7864"/>
    <x v="2"/>
    <m/>
    <m/>
    <n v="12543"/>
    <n v="12543"/>
    <m/>
    <m/>
    <m/>
    <m/>
    <n v="0"/>
    <m/>
    <m/>
    <n v="0"/>
    <n v="12543"/>
    <n v="12543"/>
    <m/>
    <m/>
    <m/>
    <m/>
    <n v="0"/>
    <m/>
    <m/>
    <n v="0"/>
    <m/>
    <m/>
    <m/>
    <m/>
    <m/>
    <m/>
    <n v="12543"/>
    <n v="12543"/>
  </r>
  <r>
    <x v="11"/>
    <x v="8"/>
    <s v="Lottery Technology (NR)"/>
    <m/>
    <n v="217864"/>
    <x v="2"/>
    <m/>
    <m/>
    <n v="267228"/>
    <n v="267228"/>
    <m/>
    <m/>
    <m/>
    <m/>
    <n v="0"/>
    <m/>
    <m/>
    <n v="0"/>
    <n v="267228"/>
    <n v="267228"/>
    <m/>
    <m/>
    <m/>
    <m/>
    <n v="0"/>
    <m/>
    <m/>
    <n v="0"/>
    <m/>
    <m/>
    <m/>
    <m/>
    <m/>
    <m/>
    <n v="267228"/>
    <n v="267228"/>
  </r>
  <r>
    <x v="11"/>
    <x v="0"/>
    <s v="Winthrop University "/>
    <m/>
    <n v="218964"/>
    <x v="2"/>
    <n v="14282615"/>
    <n v="14282615"/>
    <m/>
    <m/>
    <m/>
    <m/>
    <n v="79419531"/>
    <n v="5892780"/>
    <n v="85312311"/>
    <n v="78201468"/>
    <n v="5271253"/>
    <n v="83472721"/>
    <n v="93702146"/>
    <n v="92484083"/>
    <m/>
    <m/>
    <m/>
    <m/>
    <n v="0"/>
    <m/>
    <m/>
    <n v="0"/>
    <m/>
    <m/>
    <m/>
    <m/>
    <m/>
    <m/>
    <n v="93702146"/>
    <n v="92484083"/>
  </r>
  <r>
    <x v="11"/>
    <x v="0"/>
    <s v="Fringe Benefits"/>
    <m/>
    <n v="218964"/>
    <x v="2"/>
    <n v="4835924"/>
    <n v="4672385"/>
    <m/>
    <m/>
    <m/>
    <m/>
    <m/>
    <m/>
    <n v="0"/>
    <m/>
    <m/>
    <n v="0"/>
    <n v="4835924"/>
    <n v="4672385"/>
    <m/>
    <m/>
    <m/>
    <m/>
    <n v="0"/>
    <m/>
    <m/>
    <n v="0"/>
    <m/>
    <m/>
    <m/>
    <m/>
    <m/>
    <m/>
    <n v="4835924"/>
    <n v="4672385"/>
  </r>
  <r>
    <x v="11"/>
    <x v="0"/>
    <s v="Other Operating Expenses"/>
    <m/>
    <n v="218964"/>
    <x v="2"/>
    <n v="1238076"/>
    <n v="1238076"/>
    <m/>
    <m/>
    <m/>
    <m/>
    <m/>
    <m/>
    <n v="0"/>
    <m/>
    <m/>
    <n v="0"/>
    <n v="1238076"/>
    <n v="1238076"/>
    <m/>
    <m/>
    <m/>
    <m/>
    <n v="0"/>
    <m/>
    <m/>
    <n v="0"/>
    <m/>
    <m/>
    <m/>
    <m/>
    <m/>
    <m/>
    <n v="1238076"/>
    <n v="1238076"/>
  </r>
  <r>
    <x v="11"/>
    <x v="7"/>
    <s v="Research centers/institutes"/>
    <m/>
    <n v="218964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Center for Educ Recruit, Reten, &amp; Adv (CERRA)"/>
    <m/>
    <n v="218964"/>
    <x v="2"/>
    <m/>
    <m/>
    <n v="531680"/>
    <n v="531680"/>
    <m/>
    <m/>
    <m/>
    <m/>
    <n v="0"/>
    <m/>
    <m/>
    <n v="0"/>
    <n v="531680"/>
    <n v="531680"/>
    <m/>
    <m/>
    <m/>
    <m/>
    <n v="0"/>
    <m/>
    <m/>
    <n v="0"/>
    <m/>
    <m/>
    <m/>
    <m/>
    <m/>
    <m/>
    <n v="531680"/>
    <n v="531680"/>
  </r>
  <r>
    <x v="11"/>
    <x v="8"/>
    <s v="Special Line items for education operations"/>
    <m/>
    <n v="218964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964"/>
    <x v="2"/>
    <m/>
    <m/>
    <n v="9010"/>
    <n v="9010"/>
    <m/>
    <m/>
    <m/>
    <m/>
    <n v="0"/>
    <m/>
    <m/>
    <n v="0"/>
    <n v="9010"/>
    <n v="9010"/>
    <m/>
    <m/>
    <m/>
    <m/>
    <n v="0"/>
    <m/>
    <m/>
    <n v="0"/>
    <m/>
    <m/>
    <m/>
    <m/>
    <m/>
    <m/>
    <n v="9010"/>
    <n v="9010"/>
  </r>
  <r>
    <x v="11"/>
    <x v="8"/>
    <s v="Lottery Technology (NR)"/>
    <m/>
    <n v="218964"/>
    <x v="2"/>
    <m/>
    <m/>
    <n v="362400"/>
    <n v="362400"/>
    <m/>
    <m/>
    <m/>
    <m/>
    <n v="0"/>
    <m/>
    <m/>
    <n v="0"/>
    <n v="362400"/>
    <n v="362400"/>
    <m/>
    <m/>
    <m/>
    <m/>
    <n v="0"/>
    <m/>
    <m/>
    <n v="0"/>
    <m/>
    <m/>
    <m/>
    <m/>
    <m/>
    <m/>
    <n v="362400"/>
    <n v="362400"/>
  </r>
  <r>
    <x v="11"/>
    <x v="0"/>
    <s v="Coastal Carolina University"/>
    <m/>
    <n v="218724"/>
    <x v="3"/>
    <n v="12956336"/>
    <n v="12956336"/>
    <m/>
    <m/>
    <n v="371557"/>
    <n v="1516280"/>
    <n v="179890202"/>
    <n v="6020076"/>
    <n v="185910278"/>
    <n v="169906244"/>
    <n v="5823919"/>
    <n v="175730163"/>
    <n v="193218095"/>
    <n v="184378860"/>
    <m/>
    <m/>
    <m/>
    <m/>
    <n v="0"/>
    <m/>
    <m/>
    <n v="0"/>
    <m/>
    <m/>
    <m/>
    <m/>
    <m/>
    <m/>
    <n v="193218095"/>
    <n v="184378860"/>
  </r>
  <r>
    <x v="11"/>
    <x v="0"/>
    <s v="Fringe Benefits"/>
    <m/>
    <n v="218724"/>
    <x v="3"/>
    <n v="3569235"/>
    <n v="3526561"/>
    <m/>
    <m/>
    <m/>
    <m/>
    <m/>
    <m/>
    <n v="0"/>
    <m/>
    <m/>
    <n v="0"/>
    <n v="3569235"/>
    <n v="3526561"/>
    <m/>
    <m/>
    <m/>
    <m/>
    <n v="0"/>
    <m/>
    <m/>
    <n v="0"/>
    <m/>
    <m/>
    <m/>
    <m/>
    <m/>
    <m/>
    <n v="3569235"/>
    <n v="3526561"/>
  </r>
  <r>
    <x v="11"/>
    <x v="0"/>
    <s v="Other Operating Expenses"/>
    <m/>
    <n v="218724"/>
    <x v="3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724"/>
    <x v="3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724"/>
    <x v="3"/>
    <m/>
    <m/>
    <n v="6072"/>
    <n v="6072"/>
    <m/>
    <m/>
    <m/>
    <m/>
    <n v="0"/>
    <m/>
    <m/>
    <n v="0"/>
    <n v="6072"/>
    <n v="6072"/>
    <m/>
    <m/>
    <m/>
    <m/>
    <n v="0"/>
    <m/>
    <m/>
    <n v="0"/>
    <m/>
    <m/>
    <m/>
    <m/>
    <m/>
    <m/>
    <n v="6072"/>
    <n v="6072"/>
  </r>
  <r>
    <x v="11"/>
    <x v="8"/>
    <s v="Lottery Technology (NR)"/>
    <m/>
    <n v="218724"/>
    <x v="3"/>
    <m/>
    <m/>
    <n v="591366"/>
    <n v="591366"/>
    <m/>
    <m/>
    <m/>
    <m/>
    <n v="0"/>
    <m/>
    <m/>
    <n v="0"/>
    <n v="591366"/>
    <n v="591366"/>
    <m/>
    <m/>
    <m/>
    <m/>
    <n v="0"/>
    <m/>
    <m/>
    <n v="0"/>
    <m/>
    <m/>
    <m/>
    <m/>
    <m/>
    <m/>
    <n v="591366"/>
    <n v="591366"/>
  </r>
  <r>
    <x v="11"/>
    <x v="0"/>
    <s v="Francis Marion University "/>
    <m/>
    <n v="218061"/>
    <x v="4"/>
    <n v="12313351"/>
    <n v="12313351"/>
    <m/>
    <m/>
    <m/>
    <m/>
    <n v="42146145"/>
    <n v="673153"/>
    <n v="42819298"/>
    <n v="39731758"/>
    <n v="673153"/>
    <n v="40404911"/>
    <n v="54459496"/>
    <n v="52045109"/>
    <m/>
    <m/>
    <m/>
    <m/>
    <n v="0"/>
    <m/>
    <m/>
    <n v="0"/>
    <m/>
    <m/>
    <m/>
    <m/>
    <m/>
    <m/>
    <n v="54459496"/>
    <n v="52045109"/>
  </r>
  <r>
    <x v="11"/>
    <x v="0"/>
    <s v="Fringe Benefits"/>
    <m/>
    <n v="218061"/>
    <x v="4"/>
    <n v="4214049"/>
    <n v="4091863"/>
    <m/>
    <m/>
    <m/>
    <m/>
    <m/>
    <m/>
    <n v="0"/>
    <m/>
    <m/>
    <n v="0"/>
    <n v="4214049"/>
    <n v="4091863"/>
    <m/>
    <m/>
    <m/>
    <m/>
    <n v="0"/>
    <m/>
    <m/>
    <n v="0"/>
    <m/>
    <m/>
    <m/>
    <m/>
    <m/>
    <m/>
    <n v="4214049"/>
    <n v="4091863"/>
  </r>
  <r>
    <x v="11"/>
    <x v="0"/>
    <s v="Other Operating Expenses"/>
    <m/>
    <n v="218061"/>
    <x v="4"/>
    <n v="2116448"/>
    <n v="2116448"/>
    <m/>
    <m/>
    <m/>
    <m/>
    <m/>
    <m/>
    <n v="0"/>
    <m/>
    <m/>
    <n v="0"/>
    <n v="2116448"/>
    <n v="2116448"/>
    <m/>
    <m/>
    <m/>
    <m/>
    <n v="0"/>
    <m/>
    <m/>
    <n v="0"/>
    <m/>
    <m/>
    <m/>
    <m/>
    <m/>
    <m/>
    <n v="2116448"/>
    <n v="2116448"/>
  </r>
  <r>
    <x v="11"/>
    <x v="3"/>
    <s v="Community or public service units"/>
    <m/>
    <n v="218061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Research centers/institutes"/>
    <m/>
    <n v="218061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7"/>
    <s v="Centers of Excellence"/>
    <m/>
    <n v="218061"/>
    <x v="4"/>
    <m/>
    <m/>
    <n v="350000"/>
    <n v="350000"/>
    <m/>
    <m/>
    <m/>
    <m/>
    <n v="0"/>
    <m/>
    <m/>
    <n v="0"/>
    <n v="350000"/>
    <n v="350000"/>
    <m/>
    <m/>
    <m/>
    <m/>
    <n v="0"/>
    <m/>
    <m/>
    <n v="0"/>
    <m/>
    <m/>
    <m/>
    <m/>
    <m/>
    <m/>
    <n v="350000"/>
    <n v="350000"/>
  </r>
  <r>
    <x v="11"/>
    <x v="8"/>
    <s v="Special Line items for education operations"/>
    <m/>
    <n v="218061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061"/>
    <x v="4"/>
    <m/>
    <m/>
    <n v="4556"/>
    <n v="4556"/>
    <m/>
    <m/>
    <m/>
    <m/>
    <n v="0"/>
    <m/>
    <m/>
    <n v="0"/>
    <n v="4556"/>
    <n v="4556"/>
    <m/>
    <m/>
    <m/>
    <m/>
    <n v="0"/>
    <m/>
    <m/>
    <n v="0"/>
    <m/>
    <m/>
    <m/>
    <m/>
    <m/>
    <m/>
    <n v="4556"/>
    <n v="4556"/>
  </r>
  <r>
    <x v="11"/>
    <x v="8"/>
    <s v="Lottery Technology (NR)"/>
    <m/>
    <n v="218061"/>
    <x v="4"/>
    <m/>
    <m/>
    <n v="260984"/>
    <n v="260984"/>
    <m/>
    <m/>
    <m/>
    <m/>
    <n v="0"/>
    <m/>
    <m/>
    <n v="0"/>
    <n v="260984"/>
    <n v="260984"/>
    <m/>
    <m/>
    <m/>
    <m/>
    <n v="0"/>
    <m/>
    <m/>
    <n v="0"/>
    <m/>
    <m/>
    <m/>
    <m/>
    <m/>
    <m/>
    <n v="260984"/>
    <n v="260984"/>
  </r>
  <r>
    <x v="11"/>
    <x v="0"/>
    <s v="South Carolina State University "/>
    <m/>
    <n v="218733"/>
    <x v="4"/>
    <n v="11135633"/>
    <n v="11135633"/>
    <m/>
    <m/>
    <m/>
    <m/>
    <n v="26934657"/>
    <n v="2426000"/>
    <n v="29360657"/>
    <n v="23741511"/>
    <n v="2427333"/>
    <n v="26168844"/>
    <n v="38070290"/>
    <n v="34877144"/>
    <m/>
    <m/>
    <m/>
    <m/>
    <n v="0"/>
    <m/>
    <m/>
    <n v="0"/>
    <m/>
    <m/>
    <m/>
    <m/>
    <m/>
    <m/>
    <n v="38070290"/>
    <n v="34877144"/>
  </r>
  <r>
    <x v="11"/>
    <x v="0"/>
    <s v="Fringe Benefits"/>
    <m/>
    <n v="218733"/>
    <x v="4"/>
    <n v="4663723"/>
    <n v="4587006"/>
    <m/>
    <m/>
    <m/>
    <m/>
    <m/>
    <m/>
    <n v="0"/>
    <m/>
    <m/>
    <n v="0"/>
    <n v="4663723"/>
    <n v="4587006"/>
    <m/>
    <m/>
    <m/>
    <m/>
    <n v="0"/>
    <m/>
    <m/>
    <n v="0"/>
    <m/>
    <m/>
    <m/>
    <m/>
    <m/>
    <m/>
    <n v="4663723"/>
    <n v="4587006"/>
  </r>
  <r>
    <x v="11"/>
    <x v="0"/>
    <s v="Other Operating Expenses"/>
    <m/>
    <n v="218733"/>
    <x v="4"/>
    <n v="387493"/>
    <n v="387493"/>
    <m/>
    <m/>
    <m/>
    <m/>
    <m/>
    <m/>
    <n v="0"/>
    <m/>
    <m/>
    <n v="0"/>
    <n v="387493"/>
    <n v="387493"/>
    <m/>
    <m/>
    <m/>
    <m/>
    <n v="0"/>
    <m/>
    <m/>
    <n v="0"/>
    <m/>
    <m/>
    <m/>
    <m/>
    <m/>
    <m/>
    <n v="387493"/>
    <n v="387493"/>
  </r>
  <r>
    <x v="11"/>
    <x v="3"/>
    <s v="Community or public service units"/>
    <m/>
    <n v="218733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5"/>
    <s v="Public Service Activities"/>
    <m/>
    <n v="218733"/>
    <x v="4"/>
    <m/>
    <m/>
    <n v="4315320"/>
    <n v="4312098"/>
    <m/>
    <m/>
    <m/>
    <m/>
    <n v="0"/>
    <m/>
    <m/>
    <n v="0"/>
    <n v="4315320"/>
    <n v="4312098"/>
    <m/>
    <m/>
    <m/>
    <m/>
    <n v="0"/>
    <m/>
    <m/>
    <n v="0"/>
    <m/>
    <m/>
    <m/>
    <m/>
    <m/>
    <m/>
    <n v="4315320"/>
    <n v="4312098"/>
  </r>
  <r>
    <x v="11"/>
    <x v="7"/>
    <s v="Research centers/institutes"/>
    <m/>
    <n v="218733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733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733"/>
    <x v="4"/>
    <m/>
    <m/>
    <n v="1386"/>
    <n v="1386"/>
    <m/>
    <m/>
    <m/>
    <m/>
    <n v="0"/>
    <m/>
    <m/>
    <n v="0"/>
    <n v="1386"/>
    <n v="1386"/>
    <m/>
    <m/>
    <m/>
    <m/>
    <n v="0"/>
    <m/>
    <m/>
    <n v="0"/>
    <m/>
    <m/>
    <m/>
    <m/>
    <m/>
    <m/>
    <n v="1386"/>
    <n v="1386"/>
  </r>
  <r>
    <x v="11"/>
    <x v="8"/>
    <s v="S.C. State Univ. Business School "/>
    <m/>
    <n v="218733"/>
    <x v="4"/>
    <m/>
    <m/>
    <n v="479504"/>
    <n v="479504"/>
    <m/>
    <m/>
    <m/>
    <m/>
    <n v="0"/>
    <m/>
    <m/>
    <n v="0"/>
    <n v="479504"/>
    <n v="479504"/>
    <m/>
    <m/>
    <m/>
    <m/>
    <n v="0"/>
    <m/>
    <m/>
    <n v="0"/>
    <m/>
    <m/>
    <m/>
    <m/>
    <m/>
    <m/>
    <n v="479504"/>
    <n v="479504"/>
  </r>
  <r>
    <x v="11"/>
    <x v="8"/>
    <s v="Speech Pathology Program Updates (NR)"/>
    <m/>
    <n v="218733"/>
    <x v="4"/>
    <m/>
    <m/>
    <n v="310000"/>
    <m/>
    <m/>
    <m/>
    <m/>
    <m/>
    <n v="0"/>
    <m/>
    <m/>
    <n v="0"/>
    <n v="310000"/>
    <n v="0"/>
    <m/>
    <m/>
    <m/>
    <m/>
    <n v="0"/>
    <m/>
    <m/>
    <n v="0"/>
    <m/>
    <m/>
    <m/>
    <m/>
    <m/>
    <m/>
    <n v="310000"/>
    <n v="0"/>
  </r>
  <r>
    <x v="11"/>
    <x v="8"/>
    <s v="African American Loan Program"/>
    <m/>
    <n v="218733"/>
    <x v="4"/>
    <m/>
    <m/>
    <n v="87924"/>
    <n v="87924"/>
    <m/>
    <m/>
    <m/>
    <m/>
    <n v="0"/>
    <m/>
    <m/>
    <n v="0"/>
    <n v="87924"/>
    <n v="87924"/>
    <m/>
    <m/>
    <m/>
    <m/>
    <n v="0"/>
    <m/>
    <m/>
    <n v="0"/>
    <m/>
    <m/>
    <m/>
    <m/>
    <m/>
    <m/>
    <n v="87924"/>
    <n v="87924"/>
  </r>
  <r>
    <x v="11"/>
    <x v="8"/>
    <s v="Operating Funds (Lottery) (NR)"/>
    <m/>
    <n v="218733"/>
    <x v="4"/>
    <n v="2500000"/>
    <n v="2500000"/>
    <m/>
    <m/>
    <m/>
    <m/>
    <m/>
    <m/>
    <n v="0"/>
    <m/>
    <m/>
    <n v="0"/>
    <n v="2500000"/>
    <n v="2500000"/>
    <m/>
    <m/>
    <m/>
    <m/>
    <n v="0"/>
    <m/>
    <m/>
    <n v="0"/>
    <m/>
    <m/>
    <m/>
    <m/>
    <m/>
    <m/>
    <n v="2500000"/>
    <n v="2500000"/>
  </r>
  <r>
    <x v="11"/>
    <x v="8"/>
    <s v="Higher Education Excellence Enhancement Program (Lottery)(NR)"/>
    <m/>
    <n v="218733"/>
    <x v="4"/>
    <m/>
    <m/>
    <n v="1000000"/>
    <n v="674719"/>
    <m/>
    <m/>
    <m/>
    <m/>
    <n v="0"/>
    <m/>
    <m/>
    <n v="0"/>
    <n v="1000000"/>
    <n v="674719"/>
    <m/>
    <m/>
    <m/>
    <m/>
    <n v="0"/>
    <m/>
    <m/>
    <n v="0"/>
    <m/>
    <m/>
    <m/>
    <m/>
    <m/>
    <m/>
    <n v="1000000"/>
    <n v="674719"/>
  </r>
  <r>
    <x v="11"/>
    <x v="8"/>
    <s v="Lottery Technology (NR)"/>
    <m/>
    <n v="218733"/>
    <x v="4"/>
    <m/>
    <m/>
    <n v="224476"/>
    <n v="224476"/>
    <m/>
    <m/>
    <m/>
    <m/>
    <n v="0"/>
    <m/>
    <m/>
    <n v="0"/>
    <n v="224476"/>
    <n v="224476"/>
    <m/>
    <m/>
    <m/>
    <m/>
    <n v="0"/>
    <m/>
    <m/>
    <n v="0"/>
    <m/>
    <m/>
    <m/>
    <m/>
    <m/>
    <m/>
    <n v="224476"/>
    <n v="224476"/>
  </r>
  <r>
    <x v="11"/>
    <x v="8"/>
    <s v="Teacher Recruit Program"/>
    <m/>
    <n v="218733"/>
    <x v="4"/>
    <m/>
    <m/>
    <n v="339482"/>
    <n v="339482"/>
    <m/>
    <m/>
    <m/>
    <m/>
    <n v="0"/>
    <m/>
    <m/>
    <n v="0"/>
    <n v="339482"/>
    <n v="339482"/>
    <m/>
    <m/>
    <m/>
    <m/>
    <n v="0"/>
    <m/>
    <m/>
    <n v="0"/>
    <m/>
    <m/>
    <m/>
    <m/>
    <m/>
    <m/>
    <n v="339482"/>
    <n v="339482"/>
  </r>
  <r>
    <x v="11"/>
    <x v="8"/>
    <s v="Bridge Program"/>
    <m/>
    <n v="218733"/>
    <x v="4"/>
    <m/>
    <m/>
    <n v="1400000"/>
    <n v="1400000"/>
    <m/>
    <m/>
    <m/>
    <m/>
    <n v="0"/>
    <m/>
    <m/>
    <n v="0"/>
    <n v="1400000"/>
    <n v="1400000"/>
    <m/>
    <m/>
    <m/>
    <m/>
    <n v="0"/>
    <m/>
    <m/>
    <n v="0"/>
    <m/>
    <m/>
    <m/>
    <m/>
    <m/>
    <m/>
    <n v="1400000"/>
    <n v="1400000"/>
  </r>
  <r>
    <x v="11"/>
    <x v="0"/>
    <s v="Lander University"/>
    <s v="Met the criteria for Four-Year 5 in 2019-20."/>
    <n v="218229"/>
    <x v="5"/>
    <n v="7285501"/>
    <n v="7285501"/>
    <m/>
    <m/>
    <m/>
    <m/>
    <n v="37914978"/>
    <n v="0"/>
    <n v="37914978"/>
    <n v="40504544"/>
    <n v="0"/>
    <n v="40504544"/>
    <n v="45200479"/>
    <n v="47790045"/>
    <m/>
    <m/>
    <m/>
    <m/>
    <n v="0"/>
    <m/>
    <m/>
    <n v="0"/>
    <m/>
    <m/>
    <m/>
    <m/>
    <m/>
    <m/>
    <n v="45200479"/>
    <n v="47790045"/>
  </r>
  <r>
    <x v="11"/>
    <x v="0"/>
    <s v="Fringe Benefits"/>
    <m/>
    <n v="218229"/>
    <x v="5"/>
    <n v="2643529"/>
    <n v="2548176"/>
    <m/>
    <m/>
    <m/>
    <m/>
    <m/>
    <m/>
    <n v="0"/>
    <m/>
    <m/>
    <n v="0"/>
    <n v="2643529"/>
    <n v="2548176"/>
    <m/>
    <m/>
    <m/>
    <m/>
    <n v="0"/>
    <m/>
    <m/>
    <n v="0"/>
    <m/>
    <m/>
    <m/>
    <m/>
    <m/>
    <m/>
    <n v="2643529"/>
    <n v="2548176"/>
  </r>
  <r>
    <x v="11"/>
    <x v="0"/>
    <s v="Other Operating Expenses"/>
    <m/>
    <n v="218229"/>
    <x v="5"/>
    <n v="146376"/>
    <n v="146376"/>
    <m/>
    <m/>
    <m/>
    <m/>
    <m/>
    <m/>
    <n v="0"/>
    <m/>
    <m/>
    <n v="0"/>
    <n v="146376"/>
    <n v="146376"/>
    <m/>
    <m/>
    <m/>
    <m/>
    <n v="0"/>
    <m/>
    <m/>
    <n v="0"/>
    <m/>
    <m/>
    <m/>
    <m/>
    <m/>
    <m/>
    <n v="146376"/>
    <n v="146376"/>
  </r>
  <r>
    <x v="11"/>
    <x v="8"/>
    <s v="Special Line items for education operations"/>
    <m/>
    <n v="218229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229"/>
    <x v="5"/>
    <m/>
    <m/>
    <n v="3146"/>
    <n v="3146"/>
    <m/>
    <m/>
    <m/>
    <m/>
    <n v="0"/>
    <m/>
    <m/>
    <n v="0"/>
    <n v="3146"/>
    <n v="3146"/>
    <m/>
    <m/>
    <m/>
    <m/>
    <n v="0"/>
    <m/>
    <m/>
    <n v="0"/>
    <m/>
    <m/>
    <m/>
    <m/>
    <m/>
    <m/>
    <n v="3146"/>
    <n v="3146"/>
  </r>
  <r>
    <x v="11"/>
    <x v="8"/>
    <s v="Lottery Technology (NR)"/>
    <m/>
    <n v="218229"/>
    <x v="5"/>
    <m/>
    <m/>
    <n v="224174"/>
    <n v="224174"/>
    <m/>
    <m/>
    <m/>
    <m/>
    <n v="0"/>
    <m/>
    <m/>
    <n v="0"/>
    <n v="224174"/>
    <n v="224174"/>
    <m/>
    <m/>
    <m/>
    <m/>
    <n v="0"/>
    <m/>
    <m/>
    <n v="0"/>
    <m/>
    <m/>
    <m/>
    <m/>
    <m/>
    <m/>
    <n v="224174"/>
    <n v="224174"/>
  </r>
  <r>
    <x v="11"/>
    <x v="0"/>
    <s v="University of South Carolina-Aiken"/>
    <s v="Met the criteria for Four-Year 5 in 2019-20."/>
    <n v="218645"/>
    <x v="5"/>
    <n v="8162120"/>
    <n v="8162120"/>
    <m/>
    <m/>
    <m/>
    <m/>
    <n v="34416119"/>
    <n v="1319539"/>
    <n v="35735658"/>
    <n v="35936343"/>
    <n v="1367486"/>
    <n v="37303829"/>
    <n v="42578239"/>
    <n v="44098463"/>
    <m/>
    <m/>
    <m/>
    <m/>
    <n v="0"/>
    <m/>
    <m/>
    <n v="0"/>
    <m/>
    <m/>
    <m/>
    <m/>
    <m/>
    <m/>
    <n v="42578239"/>
    <n v="44098463"/>
  </r>
  <r>
    <x v="11"/>
    <x v="0"/>
    <s v="Fringe Benefits"/>
    <m/>
    <n v="218645"/>
    <x v="5"/>
    <n v="2434348"/>
    <n v="2391940"/>
    <m/>
    <m/>
    <m/>
    <m/>
    <m/>
    <m/>
    <n v="0"/>
    <m/>
    <m/>
    <n v="0"/>
    <n v="2434348"/>
    <n v="2391940"/>
    <m/>
    <m/>
    <m/>
    <m/>
    <n v="0"/>
    <m/>
    <m/>
    <n v="0"/>
    <m/>
    <m/>
    <m/>
    <m/>
    <m/>
    <m/>
    <n v="2434348"/>
    <n v="2391940"/>
  </r>
  <r>
    <x v="11"/>
    <x v="0"/>
    <s v="Other Operating Expenses"/>
    <m/>
    <n v="218645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645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45"/>
    <x v="5"/>
    <m/>
    <m/>
    <n v="3379"/>
    <n v="3379"/>
    <m/>
    <m/>
    <m/>
    <m/>
    <n v="0"/>
    <m/>
    <m/>
    <n v="0"/>
    <n v="3379"/>
    <n v="3379"/>
    <m/>
    <m/>
    <m/>
    <m/>
    <n v="0"/>
    <m/>
    <m/>
    <n v="0"/>
    <m/>
    <m/>
    <m/>
    <m/>
    <m/>
    <m/>
    <n v="3379"/>
    <n v="3379"/>
  </r>
  <r>
    <x v="11"/>
    <x v="8"/>
    <s v="Lottery Technology (NR)"/>
    <m/>
    <n v="218645"/>
    <x v="5"/>
    <m/>
    <m/>
    <n v="243662"/>
    <n v="243662"/>
    <m/>
    <m/>
    <m/>
    <m/>
    <n v="0"/>
    <m/>
    <m/>
    <n v="0"/>
    <n v="243662"/>
    <n v="243662"/>
    <m/>
    <m/>
    <m/>
    <m/>
    <n v="0"/>
    <m/>
    <m/>
    <n v="0"/>
    <m/>
    <m/>
    <m/>
    <m/>
    <m/>
    <m/>
    <n v="243662"/>
    <n v="243662"/>
  </r>
  <r>
    <x v="11"/>
    <x v="0"/>
    <s v="University of South Carolina-Beaufort"/>
    <m/>
    <n v="218654"/>
    <x v="5"/>
    <n v="5103524"/>
    <n v="5103524"/>
    <m/>
    <m/>
    <m/>
    <m/>
    <n v="23482278"/>
    <n v="293386"/>
    <n v="23775664"/>
    <n v="21889054"/>
    <n v="271290"/>
    <n v="22160344"/>
    <n v="28585802"/>
    <n v="26992578"/>
    <m/>
    <m/>
    <m/>
    <m/>
    <n v="0"/>
    <m/>
    <m/>
    <n v="0"/>
    <m/>
    <m/>
    <m/>
    <m/>
    <m/>
    <m/>
    <n v="28585802"/>
    <n v="26992578"/>
  </r>
  <r>
    <x v="11"/>
    <x v="0"/>
    <s v="Fringe Benefits"/>
    <m/>
    <n v="218654"/>
    <x v="5"/>
    <n v="874632"/>
    <n v="860624"/>
    <m/>
    <m/>
    <m/>
    <m/>
    <m/>
    <m/>
    <n v="0"/>
    <m/>
    <m/>
    <n v="0"/>
    <n v="874632"/>
    <n v="860624"/>
    <m/>
    <m/>
    <m/>
    <m/>
    <n v="0"/>
    <m/>
    <m/>
    <n v="0"/>
    <m/>
    <m/>
    <m/>
    <m/>
    <m/>
    <m/>
    <n v="874632"/>
    <n v="860624"/>
  </r>
  <r>
    <x v="11"/>
    <x v="0"/>
    <s v="Other Operating Expenses"/>
    <m/>
    <n v="218654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"/>
    <s v="Community or public service units"/>
    <m/>
    <n v="218654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654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54"/>
    <x v="5"/>
    <m/>
    <m/>
    <n v="808"/>
    <n v="808"/>
    <m/>
    <m/>
    <m/>
    <m/>
    <n v="0"/>
    <m/>
    <m/>
    <n v="0"/>
    <n v="808"/>
    <n v="808"/>
    <m/>
    <m/>
    <m/>
    <m/>
    <n v="0"/>
    <m/>
    <m/>
    <n v="0"/>
    <m/>
    <m/>
    <m/>
    <m/>
    <m/>
    <m/>
    <n v="808"/>
    <n v="808"/>
  </r>
  <r>
    <x v="11"/>
    <x v="8"/>
    <s v="Lottery Technology (NR)"/>
    <m/>
    <n v="218654"/>
    <x v="5"/>
    <m/>
    <m/>
    <n v="183437"/>
    <n v="183437"/>
    <m/>
    <m/>
    <m/>
    <m/>
    <n v="0"/>
    <m/>
    <m/>
    <n v="0"/>
    <n v="183437"/>
    <n v="183437"/>
    <m/>
    <m/>
    <m/>
    <m/>
    <n v="0"/>
    <m/>
    <m/>
    <n v="0"/>
    <m/>
    <m/>
    <m/>
    <m/>
    <m/>
    <m/>
    <n v="183437"/>
    <n v="183437"/>
  </r>
  <r>
    <x v="11"/>
    <x v="0"/>
    <s v="University of South Carolina-Upstate"/>
    <m/>
    <n v="218742"/>
    <x v="5"/>
    <n v="12276406"/>
    <n v="12276406"/>
    <m/>
    <m/>
    <m/>
    <m/>
    <n v="60323523"/>
    <n v="2659118"/>
    <n v="62982641"/>
    <n v="58235121"/>
    <n v="2516236"/>
    <n v="60751357"/>
    <n v="72599929"/>
    <n v="70511527"/>
    <m/>
    <m/>
    <m/>
    <m/>
    <n v="0"/>
    <m/>
    <m/>
    <n v="0"/>
    <m/>
    <m/>
    <m/>
    <m/>
    <m/>
    <m/>
    <n v="72599929"/>
    <n v="70511527"/>
  </r>
  <r>
    <x v="11"/>
    <x v="0"/>
    <s v="Fringe Benefits"/>
    <m/>
    <n v="218742"/>
    <x v="5"/>
    <n v="3356901"/>
    <n v="3306620"/>
    <m/>
    <m/>
    <m/>
    <m/>
    <m/>
    <m/>
    <n v="0"/>
    <m/>
    <m/>
    <n v="0"/>
    <n v="3356901"/>
    <n v="3306620"/>
    <m/>
    <m/>
    <m/>
    <m/>
    <n v="0"/>
    <m/>
    <m/>
    <n v="0"/>
    <m/>
    <m/>
    <m/>
    <m/>
    <m/>
    <m/>
    <n v="3356901"/>
    <n v="3306620"/>
  </r>
  <r>
    <x v="11"/>
    <x v="0"/>
    <s v="Other Operating Expenses"/>
    <m/>
    <n v="218742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742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742"/>
    <x v="5"/>
    <m/>
    <m/>
    <n v="2237"/>
    <n v="2237"/>
    <m/>
    <m/>
    <m/>
    <m/>
    <n v="0"/>
    <m/>
    <m/>
    <n v="0"/>
    <n v="2237"/>
    <n v="2237"/>
    <m/>
    <m/>
    <m/>
    <m/>
    <n v="0"/>
    <m/>
    <m/>
    <n v="0"/>
    <m/>
    <m/>
    <m/>
    <m/>
    <m/>
    <m/>
    <n v="2237"/>
    <n v="2237"/>
  </r>
  <r>
    <x v="11"/>
    <x v="8"/>
    <s v="Lottery Technology (NR)"/>
    <m/>
    <n v="218742"/>
    <x v="5"/>
    <m/>
    <m/>
    <n v="330928"/>
    <n v="330928"/>
    <m/>
    <m/>
    <m/>
    <m/>
    <n v="0"/>
    <m/>
    <m/>
    <n v="0"/>
    <n v="330928"/>
    <n v="330928"/>
    <m/>
    <m/>
    <m/>
    <m/>
    <n v="0"/>
    <m/>
    <m/>
    <n v="0"/>
    <m/>
    <m/>
    <m/>
    <m/>
    <m/>
    <m/>
    <n v="330928"/>
    <n v="330928"/>
  </r>
  <r>
    <x v="11"/>
    <x v="0"/>
    <s v="Greenville Technical College "/>
    <m/>
    <n v="218113"/>
    <x v="6"/>
    <n v="17405812"/>
    <n v="18291816"/>
    <m/>
    <m/>
    <n v="13707737"/>
    <n v="14370543"/>
    <n v="53532577"/>
    <m/>
    <n v="53532577"/>
    <n v="47913052"/>
    <m/>
    <n v="47913052"/>
    <n v="84646126"/>
    <n v="80575411"/>
    <m/>
    <m/>
    <m/>
    <m/>
    <n v="0"/>
    <m/>
    <m/>
    <n v="0"/>
    <m/>
    <m/>
    <m/>
    <m/>
    <m/>
    <m/>
    <n v="84646126"/>
    <n v="80575411"/>
  </r>
  <r>
    <x v="11"/>
    <x v="0"/>
    <s v="Personnel Services"/>
    <m/>
    <n v="218113"/>
    <x v="6"/>
    <n v="509466"/>
    <m/>
    <m/>
    <m/>
    <m/>
    <m/>
    <m/>
    <m/>
    <n v="0"/>
    <m/>
    <m/>
    <n v="0"/>
    <n v="509466"/>
    <n v="0"/>
    <m/>
    <m/>
    <m/>
    <m/>
    <n v="0"/>
    <m/>
    <m/>
    <n v="0"/>
    <m/>
    <m/>
    <m/>
    <m/>
    <m/>
    <m/>
    <n v="509466"/>
    <n v="0"/>
  </r>
  <r>
    <x v="11"/>
    <x v="0"/>
    <s v="Cost of Living Increase"/>
    <m/>
    <n v="218113"/>
    <x v="6"/>
    <n v="310608"/>
    <m/>
    <m/>
    <m/>
    <m/>
    <m/>
    <m/>
    <m/>
    <n v="0"/>
    <m/>
    <m/>
    <n v="0"/>
    <n v="310608"/>
    <n v="0"/>
    <m/>
    <m/>
    <m/>
    <m/>
    <n v="0"/>
    <m/>
    <m/>
    <n v="0"/>
    <m/>
    <m/>
    <m/>
    <m/>
    <m/>
    <m/>
    <n v="310608"/>
    <n v="0"/>
  </r>
  <r>
    <x v="11"/>
    <x v="0"/>
    <s v="Other Operating Expenses"/>
    <m/>
    <n v="21811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11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113"/>
    <x v="6"/>
    <m/>
    <m/>
    <n v="348137"/>
    <n v="343470"/>
    <m/>
    <m/>
    <m/>
    <m/>
    <n v="0"/>
    <m/>
    <m/>
    <n v="0"/>
    <n v="348137"/>
    <n v="343470"/>
    <m/>
    <m/>
    <m/>
    <m/>
    <n v="0"/>
    <m/>
    <m/>
    <n v="0"/>
    <m/>
    <m/>
    <m/>
    <m/>
    <m/>
    <m/>
    <n v="348137"/>
    <n v="343470"/>
  </r>
  <r>
    <x v="11"/>
    <x v="8"/>
    <s v="Critical Needs Nursing Initiative"/>
    <m/>
    <n v="218113"/>
    <x v="6"/>
    <m/>
    <m/>
    <n v="59265"/>
    <n v="56508"/>
    <m/>
    <m/>
    <m/>
    <m/>
    <n v="0"/>
    <m/>
    <m/>
    <n v="0"/>
    <n v="59265"/>
    <n v="56508"/>
    <m/>
    <m/>
    <m/>
    <m/>
    <n v="0"/>
    <m/>
    <m/>
    <n v="0"/>
    <m/>
    <m/>
    <m/>
    <m/>
    <m/>
    <m/>
    <n v="59265"/>
    <n v="56508"/>
  </r>
  <r>
    <x v="11"/>
    <x v="8"/>
    <s v="Pathways to Prosperity"/>
    <m/>
    <n v="218113"/>
    <x v="6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Workforce Scholarships &amp; Grants"/>
    <m/>
    <n v="218113"/>
    <x v="6"/>
    <m/>
    <m/>
    <n v="1779504"/>
    <n v="1810201"/>
    <m/>
    <m/>
    <m/>
    <m/>
    <n v="0"/>
    <m/>
    <m/>
    <n v="0"/>
    <n v="1779504"/>
    <n v="1810201"/>
    <m/>
    <m/>
    <m/>
    <m/>
    <n v="0"/>
    <m/>
    <m/>
    <n v="0"/>
    <m/>
    <m/>
    <m/>
    <m/>
    <m/>
    <m/>
    <n v="1779504"/>
    <n v="1810201"/>
  </r>
  <r>
    <x v="11"/>
    <x v="8"/>
    <s v="Palmetto Promise Scholarship Pilot"/>
    <m/>
    <n v="21811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Lottery Technology (NR)"/>
    <m/>
    <n v="218113"/>
    <x v="6"/>
    <m/>
    <m/>
    <n v="486509"/>
    <n v="489665"/>
    <m/>
    <m/>
    <m/>
    <m/>
    <n v="0"/>
    <m/>
    <m/>
    <n v="0"/>
    <n v="486509"/>
    <n v="489665"/>
    <m/>
    <m/>
    <m/>
    <m/>
    <n v="0"/>
    <m/>
    <m/>
    <n v="0"/>
    <m/>
    <m/>
    <m/>
    <m/>
    <m/>
    <m/>
    <n v="486509"/>
    <n v="489665"/>
  </r>
  <r>
    <x v="11"/>
    <x v="8"/>
    <s v="SPICE Program NR)"/>
    <m/>
    <n v="218113"/>
    <x v="6"/>
    <m/>
    <m/>
    <n v="250000"/>
    <m/>
    <m/>
    <m/>
    <m/>
    <m/>
    <n v="0"/>
    <m/>
    <m/>
    <n v="0"/>
    <n v="250000"/>
    <n v="0"/>
    <m/>
    <m/>
    <m/>
    <m/>
    <n v="0"/>
    <m/>
    <m/>
    <n v="0"/>
    <m/>
    <m/>
    <m/>
    <m/>
    <m/>
    <m/>
    <n v="250000"/>
    <n v="0"/>
  </r>
  <r>
    <x v="11"/>
    <x v="0"/>
    <s v="Horry-Georgetown Technical College "/>
    <m/>
    <n v="218140"/>
    <x v="6"/>
    <n v="10905636"/>
    <n v="11769521"/>
    <m/>
    <m/>
    <n v="4165000"/>
    <n v="4165000"/>
    <n v="32287545"/>
    <m/>
    <n v="32287545"/>
    <n v="31452136"/>
    <m/>
    <n v="31452136"/>
    <n v="47358181"/>
    <n v="47386657"/>
    <m/>
    <m/>
    <m/>
    <m/>
    <n v="0"/>
    <m/>
    <m/>
    <n v="0"/>
    <m/>
    <m/>
    <m/>
    <m/>
    <m/>
    <m/>
    <n v="47358181"/>
    <n v="47386657"/>
  </r>
  <r>
    <x v="11"/>
    <x v="0"/>
    <s v="Personnel Services"/>
    <m/>
    <n v="218140"/>
    <x v="6"/>
    <n v="215779"/>
    <m/>
    <m/>
    <m/>
    <m/>
    <m/>
    <m/>
    <m/>
    <n v="0"/>
    <m/>
    <m/>
    <n v="0"/>
    <n v="215779"/>
    <n v="0"/>
    <m/>
    <m/>
    <m/>
    <m/>
    <n v="0"/>
    <m/>
    <m/>
    <n v="0"/>
    <m/>
    <m/>
    <m/>
    <m/>
    <m/>
    <m/>
    <n v="215779"/>
    <n v="0"/>
  </r>
  <r>
    <x v="11"/>
    <x v="0"/>
    <s v="Cost of Living Increase"/>
    <m/>
    <n v="218140"/>
    <x v="6"/>
    <n v="129782"/>
    <m/>
    <m/>
    <m/>
    <m/>
    <m/>
    <m/>
    <m/>
    <n v="0"/>
    <m/>
    <m/>
    <n v="0"/>
    <n v="129782"/>
    <n v="0"/>
    <m/>
    <m/>
    <m/>
    <m/>
    <n v="0"/>
    <m/>
    <m/>
    <n v="0"/>
    <m/>
    <m/>
    <m/>
    <m/>
    <m/>
    <m/>
    <n v="129782"/>
    <n v="0"/>
  </r>
  <r>
    <x v="11"/>
    <x v="0"/>
    <s v="Other Operating Expenses"/>
    <m/>
    <n v="21814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14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140"/>
    <x v="6"/>
    <m/>
    <m/>
    <n v="173033"/>
    <n v="178213"/>
    <m/>
    <m/>
    <m/>
    <m/>
    <n v="0"/>
    <m/>
    <m/>
    <n v="0"/>
    <n v="173033"/>
    <n v="178213"/>
    <m/>
    <m/>
    <m/>
    <m/>
    <n v="0"/>
    <m/>
    <m/>
    <n v="0"/>
    <m/>
    <m/>
    <m/>
    <m/>
    <m/>
    <m/>
    <n v="173033"/>
    <n v="178213"/>
  </r>
  <r>
    <x v="11"/>
    <x v="8"/>
    <s v="Critical Needs Nursing Initiative"/>
    <m/>
    <n v="218140"/>
    <x v="6"/>
    <m/>
    <m/>
    <n v="27565"/>
    <n v="31700"/>
    <m/>
    <m/>
    <m/>
    <m/>
    <n v="0"/>
    <m/>
    <m/>
    <n v="0"/>
    <n v="27565"/>
    <n v="31700"/>
    <m/>
    <m/>
    <m/>
    <m/>
    <n v="0"/>
    <m/>
    <m/>
    <n v="0"/>
    <m/>
    <m/>
    <m/>
    <m/>
    <m/>
    <m/>
    <n v="27565"/>
    <n v="31700"/>
  </r>
  <r>
    <x v="11"/>
    <x v="8"/>
    <s v="Workforce Scholarships &amp; Grants"/>
    <m/>
    <n v="218140"/>
    <x v="6"/>
    <m/>
    <m/>
    <n v="1136240"/>
    <n v="1213063"/>
    <m/>
    <m/>
    <m/>
    <m/>
    <n v="0"/>
    <m/>
    <m/>
    <n v="0"/>
    <n v="1136240"/>
    <n v="1213063"/>
    <m/>
    <m/>
    <m/>
    <m/>
    <n v="0"/>
    <m/>
    <m/>
    <n v="0"/>
    <m/>
    <m/>
    <m/>
    <m/>
    <m/>
    <m/>
    <n v="1136240"/>
    <n v="1213063"/>
  </r>
  <r>
    <x v="11"/>
    <x v="8"/>
    <s v="Palmetto Promise Scholarship Pilot"/>
    <m/>
    <n v="21814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8140"/>
    <x v="6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140"/>
    <x v="6"/>
    <m/>
    <m/>
    <n v="304831"/>
    <n v="315066"/>
    <m/>
    <m/>
    <m/>
    <m/>
    <n v="0"/>
    <m/>
    <m/>
    <n v="0"/>
    <n v="304831"/>
    <n v="315066"/>
    <m/>
    <m/>
    <m/>
    <m/>
    <n v="0"/>
    <m/>
    <m/>
    <n v="0"/>
    <m/>
    <m/>
    <m/>
    <m/>
    <m/>
    <m/>
    <n v="304831"/>
    <n v="315066"/>
  </r>
  <r>
    <x v="11"/>
    <x v="8"/>
    <s v="STEM Program Ext/Workforce Pathways"/>
    <s v="will be deleted after 2019-20"/>
    <n v="21814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Midlands Technical College "/>
    <m/>
    <n v="218353"/>
    <x v="6"/>
    <n v="16172667"/>
    <n v="16866375"/>
    <m/>
    <m/>
    <n v="13147412"/>
    <n v="12815686"/>
    <n v="58022143"/>
    <n v="2227600"/>
    <n v="60249743"/>
    <n v="54795087"/>
    <n v="2348116"/>
    <n v="57143203"/>
    <n v="87342222"/>
    <n v="84477148"/>
    <m/>
    <m/>
    <m/>
    <m/>
    <n v="0"/>
    <m/>
    <m/>
    <n v="0"/>
    <m/>
    <m/>
    <m/>
    <m/>
    <m/>
    <m/>
    <n v="87342222"/>
    <n v="84477148"/>
  </r>
  <r>
    <x v="11"/>
    <x v="0"/>
    <s v="Personnel Services"/>
    <m/>
    <n v="218353"/>
    <x v="6"/>
    <n v="405236"/>
    <m/>
    <m/>
    <m/>
    <m/>
    <m/>
    <m/>
    <m/>
    <n v="0"/>
    <m/>
    <m/>
    <n v="0"/>
    <n v="405236"/>
    <n v="0"/>
    <m/>
    <m/>
    <m/>
    <m/>
    <n v="0"/>
    <m/>
    <m/>
    <n v="0"/>
    <m/>
    <m/>
    <m/>
    <m/>
    <m/>
    <m/>
    <n v="405236"/>
    <n v="0"/>
  </r>
  <r>
    <x v="11"/>
    <x v="0"/>
    <s v="Cost of Living Increase"/>
    <m/>
    <n v="218353"/>
    <x v="6"/>
    <n v="244968"/>
    <m/>
    <m/>
    <m/>
    <m/>
    <m/>
    <m/>
    <m/>
    <n v="0"/>
    <m/>
    <m/>
    <n v="0"/>
    <n v="244968"/>
    <n v="0"/>
    <m/>
    <m/>
    <m/>
    <m/>
    <n v="0"/>
    <m/>
    <m/>
    <n v="0"/>
    <m/>
    <m/>
    <m/>
    <m/>
    <m/>
    <m/>
    <n v="244968"/>
    <n v="0"/>
  </r>
  <r>
    <x v="11"/>
    <x v="0"/>
    <s v="Other Operating Expenses"/>
    <m/>
    <n v="21835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35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353"/>
    <x v="6"/>
    <m/>
    <m/>
    <n v="325221"/>
    <n v="308969"/>
    <m/>
    <m/>
    <m/>
    <m/>
    <n v="0"/>
    <m/>
    <m/>
    <n v="0"/>
    <n v="325221"/>
    <n v="308969"/>
    <m/>
    <m/>
    <m/>
    <m/>
    <n v="0"/>
    <m/>
    <m/>
    <n v="0"/>
    <m/>
    <m/>
    <m/>
    <m/>
    <m/>
    <m/>
    <n v="325221"/>
    <n v="308969"/>
  </r>
  <r>
    <x v="11"/>
    <x v="8"/>
    <s v="Critical Needs Nursing Initiative"/>
    <m/>
    <n v="218353"/>
    <x v="6"/>
    <m/>
    <m/>
    <n v="39969"/>
    <n v="37213"/>
    <m/>
    <m/>
    <m/>
    <m/>
    <n v="0"/>
    <m/>
    <m/>
    <n v="0"/>
    <n v="39969"/>
    <n v="37213"/>
    <m/>
    <m/>
    <m/>
    <m/>
    <n v="0"/>
    <m/>
    <m/>
    <n v="0"/>
    <m/>
    <m/>
    <m/>
    <m/>
    <m/>
    <m/>
    <n v="39969"/>
    <n v="37213"/>
  </r>
  <r>
    <x v="11"/>
    <x v="8"/>
    <s v="Workforce Scholarships &amp; Grants"/>
    <m/>
    <n v="218353"/>
    <x v="6"/>
    <m/>
    <m/>
    <n v="1671346"/>
    <n v="1652729"/>
    <m/>
    <m/>
    <m/>
    <m/>
    <n v="0"/>
    <m/>
    <m/>
    <n v="0"/>
    <n v="1671346"/>
    <n v="1652729"/>
    <m/>
    <m/>
    <m/>
    <m/>
    <n v="0"/>
    <m/>
    <m/>
    <n v="0"/>
    <m/>
    <m/>
    <m/>
    <m/>
    <m/>
    <m/>
    <n v="1671346"/>
    <n v="1652729"/>
  </r>
  <r>
    <x v="11"/>
    <x v="8"/>
    <s v="Palmetto Promise Scholarship Pilot"/>
    <m/>
    <n v="21835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Quick Jobs Dual Credit Funding"/>
    <m/>
    <n v="218353"/>
    <x v="6"/>
    <m/>
    <m/>
    <n v="2500000"/>
    <m/>
    <m/>
    <m/>
    <m/>
    <m/>
    <n v="0"/>
    <m/>
    <m/>
    <n v="0"/>
    <n v="2500000"/>
    <n v="0"/>
    <m/>
    <m/>
    <m/>
    <m/>
    <n v="0"/>
    <m/>
    <m/>
    <n v="0"/>
    <m/>
    <m/>
    <m/>
    <m/>
    <m/>
    <m/>
    <n v="2500000"/>
    <n v="0"/>
  </r>
  <r>
    <x v="11"/>
    <x v="8"/>
    <s v="Nursing Program"/>
    <m/>
    <n v="218353"/>
    <x v="6"/>
    <m/>
    <m/>
    <n v="370943"/>
    <n v="370943"/>
    <m/>
    <m/>
    <m/>
    <m/>
    <n v="0"/>
    <m/>
    <m/>
    <n v="0"/>
    <n v="370943"/>
    <n v="370943"/>
    <m/>
    <m/>
    <m/>
    <m/>
    <n v="0"/>
    <m/>
    <m/>
    <n v="0"/>
    <m/>
    <m/>
    <m/>
    <m/>
    <m/>
    <m/>
    <n v="370943"/>
    <n v="370943"/>
  </r>
  <r>
    <x v="11"/>
    <x v="8"/>
    <s v="Pathways to Prosperity"/>
    <m/>
    <n v="218353"/>
    <x v="6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353"/>
    <x v="6"/>
    <m/>
    <m/>
    <n v="452054"/>
    <n v="451506"/>
    <m/>
    <m/>
    <m/>
    <m/>
    <n v="0"/>
    <m/>
    <m/>
    <n v="0"/>
    <n v="452054"/>
    <n v="451506"/>
    <m/>
    <m/>
    <m/>
    <m/>
    <n v="0"/>
    <m/>
    <m/>
    <n v="0"/>
    <m/>
    <m/>
    <m/>
    <m/>
    <m/>
    <m/>
    <n v="452054"/>
    <n v="451506"/>
  </r>
  <r>
    <x v="11"/>
    <x v="8"/>
    <s v="STEM Program Ext/Workforce Pathways"/>
    <s v="will be deleted after 2019-20"/>
    <n v="218353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Trident Technical College "/>
    <m/>
    <n v="218894"/>
    <x v="6"/>
    <n v="19076515"/>
    <n v="19725175"/>
    <m/>
    <m/>
    <n v="13890829"/>
    <n v="14837445"/>
    <n v="56061753"/>
    <m/>
    <n v="56061753"/>
    <n v="48022046"/>
    <n v="1336093"/>
    <n v="49358139"/>
    <n v="89029097"/>
    <n v="82584666"/>
    <m/>
    <m/>
    <m/>
    <m/>
    <n v="0"/>
    <m/>
    <m/>
    <n v="0"/>
    <m/>
    <m/>
    <m/>
    <m/>
    <m/>
    <m/>
    <n v="89029097"/>
    <n v="82584666"/>
  </r>
  <r>
    <x v="11"/>
    <x v="0"/>
    <s v="Personnel Services"/>
    <m/>
    <n v="218894"/>
    <x v="6"/>
    <n v="431280"/>
    <m/>
    <m/>
    <m/>
    <m/>
    <m/>
    <m/>
    <m/>
    <n v="0"/>
    <m/>
    <m/>
    <n v="0"/>
    <n v="431280"/>
    <n v="0"/>
    <m/>
    <m/>
    <m/>
    <m/>
    <n v="0"/>
    <m/>
    <m/>
    <n v="0"/>
    <m/>
    <m/>
    <m/>
    <m/>
    <m/>
    <m/>
    <n v="431280"/>
    <n v="0"/>
  </r>
  <r>
    <x v="11"/>
    <x v="0"/>
    <s v="Cost of Living Increase"/>
    <m/>
    <n v="218894"/>
    <x v="6"/>
    <n v="261392"/>
    <m/>
    <m/>
    <m/>
    <m/>
    <m/>
    <m/>
    <m/>
    <n v="0"/>
    <m/>
    <m/>
    <n v="0"/>
    <n v="261392"/>
    <n v="0"/>
    <m/>
    <m/>
    <m/>
    <m/>
    <n v="0"/>
    <m/>
    <m/>
    <n v="0"/>
    <m/>
    <m/>
    <m/>
    <m/>
    <m/>
    <m/>
    <n v="261392"/>
    <n v="0"/>
  </r>
  <r>
    <x v="11"/>
    <x v="0"/>
    <s v="Other Operating Expenses"/>
    <m/>
    <n v="21889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89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894"/>
    <x v="6"/>
    <m/>
    <m/>
    <n v="412389"/>
    <n v="427972"/>
    <m/>
    <m/>
    <m/>
    <m/>
    <n v="0"/>
    <m/>
    <m/>
    <n v="0"/>
    <n v="412389"/>
    <n v="427972"/>
    <m/>
    <m/>
    <m/>
    <m/>
    <n v="0"/>
    <m/>
    <m/>
    <n v="0"/>
    <m/>
    <m/>
    <m/>
    <m/>
    <m/>
    <m/>
    <n v="412389"/>
    <n v="427972"/>
  </r>
  <r>
    <x v="11"/>
    <x v="8"/>
    <s v="Critical Needs Nursing Initiative"/>
    <m/>
    <n v="218894"/>
    <x v="6"/>
    <m/>
    <m/>
    <n v="41348"/>
    <n v="41348"/>
    <m/>
    <m/>
    <m/>
    <m/>
    <n v="0"/>
    <m/>
    <m/>
    <n v="0"/>
    <n v="41348"/>
    <n v="41348"/>
    <m/>
    <m/>
    <m/>
    <m/>
    <n v="0"/>
    <m/>
    <m/>
    <n v="0"/>
    <m/>
    <m/>
    <m/>
    <m/>
    <m/>
    <m/>
    <n v="41348"/>
    <n v="41348"/>
  </r>
  <r>
    <x v="11"/>
    <x v="8"/>
    <s v="Workforce Scholarships &amp; Grants"/>
    <m/>
    <n v="218894"/>
    <x v="6"/>
    <m/>
    <m/>
    <n v="1976651"/>
    <n v="1937085"/>
    <m/>
    <m/>
    <m/>
    <m/>
    <n v="0"/>
    <m/>
    <m/>
    <n v="0"/>
    <n v="1976651"/>
    <n v="1937085"/>
    <m/>
    <m/>
    <m/>
    <m/>
    <n v="0"/>
    <m/>
    <m/>
    <n v="0"/>
    <m/>
    <m/>
    <m/>
    <m/>
    <m/>
    <m/>
    <n v="1976651"/>
    <n v="1937085"/>
  </r>
  <r>
    <x v="11"/>
    <x v="8"/>
    <s v="Palmetto Promise Scholarship Pilot"/>
    <m/>
    <n v="21889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ulinary Arts"/>
    <m/>
    <n v="218894"/>
    <x v="6"/>
    <m/>
    <m/>
    <n v="468522"/>
    <n v="468522"/>
    <m/>
    <m/>
    <m/>
    <m/>
    <n v="0"/>
    <m/>
    <m/>
    <n v="0"/>
    <n v="468522"/>
    <n v="468522"/>
    <m/>
    <m/>
    <m/>
    <m/>
    <n v="0"/>
    <m/>
    <m/>
    <n v="0"/>
    <m/>
    <m/>
    <m/>
    <m/>
    <m/>
    <m/>
    <n v="468522"/>
    <n v="468522"/>
  </r>
  <r>
    <x v="11"/>
    <x v="8"/>
    <s v="Pathways to Prosperity"/>
    <m/>
    <n v="218894"/>
    <x v="6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894"/>
    <x v="6"/>
    <m/>
    <m/>
    <n v="533260"/>
    <n v="528035"/>
    <m/>
    <m/>
    <m/>
    <m/>
    <n v="0"/>
    <m/>
    <m/>
    <n v="0"/>
    <n v="533260"/>
    <n v="528035"/>
    <m/>
    <m/>
    <m/>
    <m/>
    <n v="0"/>
    <m/>
    <m/>
    <n v="0"/>
    <m/>
    <m/>
    <m/>
    <m/>
    <m/>
    <m/>
    <n v="533260"/>
    <n v="528035"/>
  </r>
  <r>
    <x v="11"/>
    <x v="8"/>
    <s v="STEM Program Ext/Workforce Pathways"/>
    <s v="will be deleted after 2019-20"/>
    <n v="21889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Central Carolina Technical College "/>
    <m/>
    <n v="218858"/>
    <x v="7"/>
    <n v="6193540"/>
    <n v="6492761"/>
    <m/>
    <m/>
    <n v="3522961"/>
    <n v="3496115"/>
    <n v="14178399"/>
    <m/>
    <n v="14178399"/>
    <n v="13388950"/>
    <m/>
    <n v="13388950"/>
    <n v="23894900"/>
    <n v="23377826"/>
    <m/>
    <m/>
    <m/>
    <m/>
    <n v="0"/>
    <m/>
    <m/>
    <n v="0"/>
    <m/>
    <m/>
    <m/>
    <m/>
    <m/>
    <m/>
    <n v="23894900"/>
    <n v="23377826"/>
  </r>
  <r>
    <x v="11"/>
    <x v="0"/>
    <s v="Personnel Services"/>
    <m/>
    <n v="218858"/>
    <x v="7"/>
    <n v="138213"/>
    <m/>
    <m/>
    <m/>
    <m/>
    <m/>
    <m/>
    <m/>
    <n v="0"/>
    <m/>
    <m/>
    <n v="0"/>
    <n v="138213"/>
    <n v="0"/>
    <m/>
    <m/>
    <m/>
    <m/>
    <n v="0"/>
    <m/>
    <m/>
    <n v="0"/>
    <m/>
    <m/>
    <m/>
    <m/>
    <m/>
    <m/>
    <n v="138213"/>
    <n v="0"/>
  </r>
  <r>
    <x v="11"/>
    <x v="0"/>
    <s v="Cost of Living Increase"/>
    <m/>
    <n v="218858"/>
    <x v="7"/>
    <n v="78982"/>
    <m/>
    <m/>
    <m/>
    <m/>
    <m/>
    <m/>
    <m/>
    <n v="0"/>
    <m/>
    <m/>
    <n v="0"/>
    <n v="78982"/>
    <n v="0"/>
    <m/>
    <m/>
    <m/>
    <m/>
    <n v="0"/>
    <m/>
    <m/>
    <n v="0"/>
    <m/>
    <m/>
    <m/>
    <m/>
    <m/>
    <m/>
    <n v="78982"/>
    <n v="0"/>
  </r>
  <r>
    <x v="11"/>
    <x v="0"/>
    <s v="Other Operating Expenses"/>
    <m/>
    <n v="21885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85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858"/>
    <x v="7"/>
    <m/>
    <m/>
    <n v="77372"/>
    <n v="82844"/>
    <m/>
    <m/>
    <m/>
    <m/>
    <n v="0"/>
    <m/>
    <m/>
    <n v="0"/>
    <n v="77372"/>
    <n v="82844"/>
    <m/>
    <m/>
    <m/>
    <m/>
    <n v="0"/>
    <m/>
    <m/>
    <n v="0"/>
    <m/>
    <m/>
    <m/>
    <m/>
    <m/>
    <m/>
    <n v="77372"/>
    <n v="82844"/>
  </r>
  <r>
    <x v="11"/>
    <x v="8"/>
    <s v="Critical Needs Nursing Initiative"/>
    <m/>
    <n v="218858"/>
    <x v="7"/>
    <m/>
    <m/>
    <n v="17918"/>
    <n v="17917"/>
    <m/>
    <m/>
    <m/>
    <m/>
    <n v="0"/>
    <m/>
    <m/>
    <n v="0"/>
    <n v="17918"/>
    <n v="17917"/>
    <m/>
    <m/>
    <m/>
    <m/>
    <n v="0"/>
    <m/>
    <m/>
    <n v="0"/>
    <m/>
    <m/>
    <m/>
    <m/>
    <m/>
    <m/>
    <n v="17918"/>
    <n v="17917"/>
  </r>
  <r>
    <x v="11"/>
    <x v="8"/>
    <s v="Workforce Scholarships &amp; Grants"/>
    <m/>
    <n v="218858"/>
    <x v="7"/>
    <m/>
    <m/>
    <n v="626788"/>
    <n v="636257"/>
    <m/>
    <m/>
    <m/>
    <m/>
    <n v="0"/>
    <m/>
    <m/>
    <n v="0"/>
    <n v="626788"/>
    <n v="636257"/>
    <m/>
    <m/>
    <m/>
    <m/>
    <n v="0"/>
    <m/>
    <m/>
    <n v="0"/>
    <m/>
    <m/>
    <m/>
    <m/>
    <m/>
    <m/>
    <n v="626788"/>
    <n v="636257"/>
  </r>
  <r>
    <x v="11"/>
    <x v="8"/>
    <s v="Palmetto Promise Scholarship Pilot"/>
    <m/>
    <n v="21885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8858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858"/>
    <x v="7"/>
    <m/>
    <m/>
    <n v="173116"/>
    <n v="173809"/>
    <m/>
    <m/>
    <m/>
    <m/>
    <n v="0"/>
    <m/>
    <m/>
    <n v="0"/>
    <n v="173116"/>
    <n v="173809"/>
    <m/>
    <m/>
    <m/>
    <m/>
    <n v="0"/>
    <m/>
    <m/>
    <n v="0"/>
    <m/>
    <m/>
    <m/>
    <m/>
    <m/>
    <m/>
    <n v="173116"/>
    <n v="173809"/>
  </r>
  <r>
    <x v="11"/>
    <x v="8"/>
    <s v="STEM Program Ext/Workforce Pathways"/>
    <s v="will be deleted after 2019-20"/>
    <n v="218858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Florence-Darlington Technical College "/>
    <m/>
    <n v="218025"/>
    <x v="7"/>
    <n v="8780978"/>
    <n v="8553388"/>
    <m/>
    <m/>
    <n v="5447394"/>
    <n v="6570183"/>
    <n v="17158099"/>
    <m/>
    <n v="17158099"/>
    <n v="14638737"/>
    <n v="1381387"/>
    <n v="16020124"/>
    <n v="31386471"/>
    <n v="29762308"/>
    <m/>
    <m/>
    <m/>
    <m/>
    <n v="0"/>
    <m/>
    <m/>
    <n v="0"/>
    <m/>
    <m/>
    <m/>
    <m/>
    <m/>
    <m/>
    <n v="31386471"/>
    <n v="29762308"/>
  </r>
  <r>
    <x v="11"/>
    <x v="0"/>
    <s v="Personnel Services"/>
    <m/>
    <n v="218025"/>
    <x v="7"/>
    <n v="177421"/>
    <m/>
    <m/>
    <m/>
    <m/>
    <m/>
    <m/>
    <m/>
    <n v="0"/>
    <m/>
    <m/>
    <n v="0"/>
    <n v="177421"/>
    <n v="0"/>
    <m/>
    <m/>
    <m/>
    <m/>
    <n v="0"/>
    <m/>
    <m/>
    <n v="0"/>
    <m/>
    <m/>
    <m/>
    <m/>
    <m/>
    <m/>
    <n v="177421"/>
    <n v="0"/>
  </r>
  <r>
    <x v="11"/>
    <x v="0"/>
    <s v="Cost of Living Increase"/>
    <m/>
    <n v="218025"/>
    <x v="7"/>
    <n v="108821"/>
    <m/>
    <m/>
    <m/>
    <m/>
    <m/>
    <m/>
    <m/>
    <n v="0"/>
    <m/>
    <m/>
    <n v="0"/>
    <n v="108821"/>
    <n v="0"/>
    <m/>
    <m/>
    <m/>
    <m/>
    <n v="0"/>
    <m/>
    <m/>
    <n v="0"/>
    <m/>
    <m/>
    <m/>
    <m/>
    <m/>
    <m/>
    <n v="108821"/>
    <n v="0"/>
  </r>
  <r>
    <x v="11"/>
    <x v="0"/>
    <s v="Other Operating Expenses"/>
    <m/>
    <n v="21802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02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025"/>
    <x v="7"/>
    <m/>
    <m/>
    <n v="184748"/>
    <n v="142783"/>
    <m/>
    <m/>
    <m/>
    <m/>
    <n v="0"/>
    <m/>
    <m/>
    <n v="0"/>
    <n v="184748"/>
    <n v="142783"/>
    <m/>
    <m/>
    <m/>
    <m/>
    <n v="0"/>
    <m/>
    <m/>
    <n v="0"/>
    <m/>
    <m/>
    <m/>
    <m/>
    <m/>
    <m/>
    <n v="184748"/>
    <n v="142783"/>
  </r>
  <r>
    <x v="11"/>
    <x v="8"/>
    <s v="Critical Needs Nursing Initiative"/>
    <m/>
    <n v="218025"/>
    <x v="7"/>
    <m/>
    <m/>
    <n v="12404"/>
    <n v="13782"/>
    <m/>
    <m/>
    <m/>
    <m/>
    <n v="0"/>
    <m/>
    <m/>
    <n v="0"/>
    <n v="12404"/>
    <n v="13782"/>
    <m/>
    <m/>
    <m/>
    <m/>
    <n v="0"/>
    <m/>
    <m/>
    <n v="0"/>
    <m/>
    <m/>
    <m/>
    <m/>
    <m/>
    <m/>
    <n v="12404"/>
    <n v="13782"/>
  </r>
  <r>
    <x v="11"/>
    <x v="8"/>
    <s v="Workforce Scholarships &amp; Grants"/>
    <m/>
    <n v="218025"/>
    <x v="7"/>
    <m/>
    <m/>
    <n v="915420"/>
    <n v="777989"/>
    <m/>
    <m/>
    <m/>
    <m/>
    <n v="0"/>
    <m/>
    <m/>
    <n v="0"/>
    <n v="915420"/>
    <n v="777989"/>
    <m/>
    <m/>
    <m/>
    <m/>
    <n v="0"/>
    <m/>
    <m/>
    <n v="0"/>
    <m/>
    <m/>
    <m/>
    <m/>
    <m/>
    <m/>
    <n v="915420"/>
    <n v="777989"/>
  </r>
  <r>
    <x v="11"/>
    <x v="8"/>
    <s v="Palmetto Promise Scholarship Pilot"/>
    <m/>
    <n v="21802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IMT"/>
    <m/>
    <n v="218025"/>
    <x v="7"/>
    <m/>
    <m/>
    <n v="906817"/>
    <n v="906817"/>
    <m/>
    <m/>
    <m/>
    <m/>
    <n v="0"/>
    <m/>
    <m/>
    <n v="0"/>
    <n v="906817"/>
    <n v="906817"/>
    <m/>
    <m/>
    <m/>
    <m/>
    <n v="0"/>
    <m/>
    <m/>
    <n v="0"/>
    <m/>
    <m/>
    <m/>
    <m/>
    <m/>
    <m/>
    <n v="906817"/>
    <n v="906817"/>
  </r>
  <r>
    <x v="11"/>
    <x v="8"/>
    <s v="Operations"/>
    <m/>
    <n v="218025"/>
    <x v="7"/>
    <n v="302271"/>
    <n v="302271"/>
    <m/>
    <m/>
    <m/>
    <m/>
    <m/>
    <m/>
    <n v="0"/>
    <m/>
    <m/>
    <n v="0"/>
    <n v="302271"/>
    <n v="302271"/>
    <m/>
    <m/>
    <m/>
    <m/>
    <n v="0"/>
    <m/>
    <m/>
    <n v="0"/>
    <m/>
    <m/>
    <m/>
    <m/>
    <m/>
    <m/>
    <n v="302271"/>
    <n v="302271"/>
  </r>
  <r>
    <x v="11"/>
    <x v="8"/>
    <s v="Pathways to Prosperity"/>
    <m/>
    <n v="218025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025"/>
    <x v="7"/>
    <m/>
    <m/>
    <n v="245538"/>
    <n v="228971"/>
    <m/>
    <m/>
    <m/>
    <m/>
    <n v="0"/>
    <m/>
    <m/>
    <n v="0"/>
    <n v="245538"/>
    <n v="228971"/>
    <m/>
    <m/>
    <m/>
    <m/>
    <n v="0"/>
    <m/>
    <m/>
    <n v="0"/>
    <m/>
    <m/>
    <m/>
    <m/>
    <m/>
    <m/>
    <n v="245538"/>
    <n v="228971"/>
  </r>
  <r>
    <x v="11"/>
    <x v="8"/>
    <s v="STEM Program Ext/Workforce Pathways"/>
    <s v="will be deleted after 2019-20"/>
    <n v="21802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Piedmont Technical College "/>
    <m/>
    <n v="218520"/>
    <x v="7"/>
    <n v="8359710"/>
    <n v="8849876"/>
    <m/>
    <m/>
    <n v="2429669"/>
    <n v="2461200"/>
    <n v="23868052"/>
    <m/>
    <n v="23868052"/>
    <n v="21834102"/>
    <m/>
    <n v="21834102"/>
    <n v="34657431"/>
    <n v="33145178"/>
    <m/>
    <m/>
    <m/>
    <m/>
    <n v="0"/>
    <m/>
    <m/>
    <n v="0"/>
    <m/>
    <m/>
    <m/>
    <m/>
    <m/>
    <m/>
    <n v="34657431"/>
    <n v="33145178"/>
  </r>
  <r>
    <x v="11"/>
    <x v="0"/>
    <s v="Personnel Services"/>
    <m/>
    <n v="218520"/>
    <x v="7"/>
    <n v="210310"/>
    <m/>
    <m/>
    <m/>
    <m/>
    <m/>
    <m/>
    <m/>
    <n v="0"/>
    <m/>
    <m/>
    <n v="0"/>
    <n v="210310"/>
    <n v="0"/>
    <m/>
    <m/>
    <m/>
    <m/>
    <n v="0"/>
    <m/>
    <m/>
    <n v="0"/>
    <m/>
    <m/>
    <m/>
    <m/>
    <m/>
    <m/>
    <n v="210310"/>
    <n v="0"/>
  </r>
  <r>
    <x v="11"/>
    <x v="0"/>
    <s v="Cost of Living Increase"/>
    <m/>
    <n v="218520"/>
    <x v="7"/>
    <n v="111744"/>
    <m/>
    <m/>
    <m/>
    <m/>
    <m/>
    <m/>
    <m/>
    <n v="0"/>
    <m/>
    <m/>
    <n v="0"/>
    <n v="111744"/>
    <n v="0"/>
    <m/>
    <m/>
    <m/>
    <m/>
    <n v="0"/>
    <m/>
    <m/>
    <n v="0"/>
    <m/>
    <m/>
    <m/>
    <m/>
    <m/>
    <m/>
    <n v="111744"/>
    <n v="0"/>
  </r>
  <r>
    <x v="11"/>
    <x v="0"/>
    <s v="Other Operating Expenses"/>
    <m/>
    <n v="21852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52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520"/>
    <x v="7"/>
    <m/>
    <m/>
    <n v="141564"/>
    <n v="159755"/>
    <m/>
    <m/>
    <m/>
    <m/>
    <n v="0"/>
    <m/>
    <m/>
    <n v="0"/>
    <n v="141564"/>
    <n v="159755"/>
    <m/>
    <m/>
    <m/>
    <m/>
    <n v="0"/>
    <m/>
    <m/>
    <n v="0"/>
    <m/>
    <m/>
    <m/>
    <m/>
    <m/>
    <m/>
    <n v="141564"/>
    <n v="159755"/>
  </r>
  <r>
    <x v="11"/>
    <x v="8"/>
    <s v="Critical Needs Nursing Initiative"/>
    <m/>
    <n v="218520"/>
    <x v="7"/>
    <m/>
    <m/>
    <n v="15161"/>
    <n v="15161"/>
    <m/>
    <m/>
    <m/>
    <m/>
    <n v="0"/>
    <m/>
    <m/>
    <n v="0"/>
    <n v="15161"/>
    <n v="15161"/>
    <m/>
    <m/>
    <m/>
    <m/>
    <n v="0"/>
    <m/>
    <m/>
    <n v="0"/>
    <m/>
    <m/>
    <m/>
    <m/>
    <m/>
    <m/>
    <n v="15161"/>
    <n v="15161"/>
  </r>
  <r>
    <x v="11"/>
    <x v="8"/>
    <s v="Workforce Scholarships &amp; Grants"/>
    <m/>
    <n v="218520"/>
    <x v="7"/>
    <m/>
    <m/>
    <n v="852069"/>
    <n v="882980"/>
    <m/>
    <m/>
    <m/>
    <m/>
    <n v="0"/>
    <m/>
    <m/>
    <n v="0"/>
    <n v="852069"/>
    <n v="882980"/>
    <m/>
    <m/>
    <m/>
    <m/>
    <n v="0"/>
    <m/>
    <m/>
    <n v="0"/>
    <m/>
    <m/>
    <m/>
    <m/>
    <m/>
    <m/>
    <n v="852069"/>
    <n v="882980"/>
  </r>
  <r>
    <x v="11"/>
    <x v="8"/>
    <s v="Palmetto Promise Scholarship Pilot"/>
    <m/>
    <n v="21852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8520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520"/>
    <x v="7"/>
    <m/>
    <m/>
    <n v="233663"/>
    <n v="236908"/>
    <m/>
    <m/>
    <m/>
    <m/>
    <n v="0"/>
    <m/>
    <m/>
    <n v="0"/>
    <n v="233663"/>
    <n v="236908"/>
    <m/>
    <m/>
    <m/>
    <m/>
    <n v="0"/>
    <m/>
    <m/>
    <n v="0"/>
    <m/>
    <m/>
    <m/>
    <m/>
    <m/>
    <m/>
    <n v="233663"/>
    <n v="236908"/>
  </r>
  <r>
    <x v="11"/>
    <x v="8"/>
    <s v="STEM Program Ext/Workforce Pathways"/>
    <s v="will be deleted after 2019-20"/>
    <n v="21852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Spartanburg Community College "/>
    <m/>
    <n v="218830"/>
    <x v="7"/>
    <n v="8012057"/>
    <n v="8345132"/>
    <m/>
    <m/>
    <n v="7404645"/>
    <n v="8191613"/>
    <n v="25767779"/>
    <m/>
    <n v="25767779"/>
    <n v="23648089"/>
    <m/>
    <n v="23648089"/>
    <n v="41184481"/>
    <n v="40184834"/>
    <m/>
    <m/>
    <m/>
    <m/>
    <n v="0"/>
    <m/>
    <m/>
    <n v="0"/>
    <m/>
    <m/>
    <m/>
    <m/>
    <m/>
    <m/>
    <n v="41184481"/>
    <n v="40184834"/>
  </r>
  <r>
    <x v="11"/>
    <x v="0"/>
    <s v="Personnel Services"/>
    <m/>
    <n v="218830"/>
    <x v="7"/>
    <n v="191327"/>
    <m/>
    <m/>
    <m/>
    <m/>
    <m/>
    <m/>
    <m/>
    <n v="0"/>
    <m/>
    <m/>
    <n v="0"/>
    <n v="191327"/>
    <n v="0"/>
    <m/>
    <m/>
    <m/>
    <m/>
    <n v="0"/>
    <m/>
    <m/>
    <n v="0"/>
    <m/>
    <m/>
    <m/>
    <m/>
    <m/>
    <m/>
    <n v="191327"/>
    <n v="0"/>
  </r>
  <r>
    <x v="11"/>
    <x v="0"/>
    <s v="Cost of Living Increase"/>
    <m/>
    <n v="218830"/>
    <x v="7"/>
    <n v="113639"/>
    <m/>
    <m/>
    <m/>
    <m/>
    <m/>
    <m/>
    <m/>
    <n v="0"/>
    <m/>
    <m/>
    <n v="0"/>
    <n v="113639"/>
    <n v="0"/>
    <m/>
    <m/>
    <m/>
    <m/>
    <n v="0"/>
    <m/>
    <m/>
    <n v="0"/>
    <m/>
    <m/>
    <m/>
    <m/>
    <m/>
    <m/>
    <n v="113639"/>
    <n v="0"/>
  </r>
  <r>
    <x v="11"/>
    <x v="0"/>
    <s v="Other Operating Expenses"/>
    <m/>
    <n v="21883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83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830"/>
    <x v="7"/>
    <m/>
    <m/>
    <n v="147145"/>
    <n v="153680"/>
    <m/>
    <m/>
    <m/>
    <m/>
    <n v="0"/>
    <m/>
    <m/>
    <n v="0"/>
    <n v="147145"/>
    <n v="153680"/>
    <m/>
    <m/>
    <m/>
    <m/>
    <n v="0"/>
    <m/>
    <m/>
    <n v="0"/>
    <m/>
    <m/>
    <m/>
    <m/>
    <m/>
    <m/>
    <n v="147145"/>
    <n v="153680"/>
  </r>
  <r>
    <x v="11"/>
    <x v="8"/>
    <s v="Critical Needs Nursing Initiative"/>
    <m/>
    <n v="218830"/>
    <x v="7"/>
    <m/>
    <m/>
    <n v="11026"/>
    <n v="11026"/>
    <m/>
    <m/>
    <m/>
    <m/>
    <n v="0"/>
    <m/>
    <m/>
    <n v="0"/>
    <n v="11026"/>
    <n v="11026"/>
    <m/>
    <m/>
    <m/>
    <m/>
    <n v="0"/>
    <m/>
    <m/>
    <n v="0"/>
    <m/>
    <m/>
    <m/>
    <m/>
    <m/>
    <m/>
    <n v="11026"/>
    <n v="11026"/>
  </r>
  <r>
    <x v="11"/>
    <x v="8"/>
    <s v="Workforce Scholarships &amp; Grants"/>
    <m/>
    <n v="218830"/>
    <x v="7"/>
    <m/>
    <m/>
    <n v="816453"/>
    <n v="822202"/>
    <m/>
    <m/>
    <m/>
    <m/>
    <n v="0"/>
    <m/>
    <m/>
    <n v="0"/>
    <n v="816453"/>
    <n v="822202"/>
    <m/>
    <m/>
    <m/>
    <m/>
    <n v="0"/>
    <m/>
    <m/>
    <n v="0"/>
    <m/>
    <m/>
    <m/>
    <m/>
    <m/>
    <m/>
    <n v="816453"/>
    <n v="822202"/>
  </r>
  <r>
    <x v="11"/>
    <x v="8"/>
    <s v="Spartanburg-Cherokee Expansion"/>
    <m/>
    <n v="218830"/>
    <x v="7"/>
    <m/>
    <m/>
    <n v="906816"/>
    <n v="906816"/>
    <m/>
    <m/>
    <m/>
    <m/>
    <n v="0"/>
    <m/>
    <m/>
    <n v="0"/>
    <n v="906816"/>
    <n v="906816"/>
    <m/>
    <m/>
    <m/>
    <m/>
    <n v="0"/>
    <m/>
    <m/>
    <n v="0"/>
    <m/>
    <m/>
    <m/>
    <m/>
    <m/>
    <m/>
    <n v="906816"/>
    <n v="906816"/>
  </r>
  <r>
    <x v="11"/>
    <x v="8"/>
    <s v="Pathways to Prosperity"/>
    <m/>
    <n v="218830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830"/>
    <x v="7"/>
    <m/>
    <m/>
    <n v="223972"/>
    <n v="223396"/>
    <m/>
    <m/>
    <m/>
    <m/>
    <n v="0"/>
    <m/>
    <m/>
    <n v="0"/>
    <n v="223972"/>
    <n v="223396"/>
    <m/>
    <m/>
    <m/>
    <m/>
    <n v="0"/>
    <m/>
    <m/>
    <n v="0"/>
    <m/>
    <m/>
    <m/>
    <m/>
    <m/>
    <m/>
    <n v="223972"/>
    <n v="223396"/>
  </r>
  <r>
    <x v="11"/>
    <x v="8"/>
    <s v="STEM Program Ext/Workforce Pathways"/>
    <s v="will be deleted after 2019-20"/>
    <n v="218830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Tri-County Technical College "/>
    <m/>
    <n v="218885"/>
    <x v="7"/>
    <n v="10514015"/>
    <n v="11246734"/>
    <m/>
    <m/>
    <n v="5010800"/>
    <n v="5086400"/>
    <n v="34805989"/>
    <m/>
    <n v="34805989"/>
    <n v="32783594"/>
    <m/>
    <n v="32783594"/>
    <n v="50330804"/>
    <n v="49116728"/>
    <m/>
    <m/>
    <m/>
    <m/>
    <n v="0"/>
    <m/>
    <m/>
    <n v="0"/>
    <m/>
    <m/>
    <m/>
    <m/>
    <m/>
    <m/>
    <n v="50330804"/>
    <n v="49116728"/>
  </r>
  <r>
    <x v="11"/>
    <x v="0"/>
    <s v="Personnel Services"/>
    <m/>
    <n v="218885"/>
    <x v="7"/>
    <n v="189195"/>
    <m/>
    <m/>
    <m/>
    <m/>
    <m/>
    <m/>
    <m/>
    <n v="0"/>
    <m/>
    <m/>
    <n v="0"/>
    <n v="189195"/>
    <n v="0"/>
    <m/>
    <m/>
    <m/>
    <m/>
    <n v="0"/>
    <m/>
    <m/>
    <n v="0"/>
    <m/>
    <m/>
    <m/>
    <m/>
    <m/>
    <m/>
    <n v="189195"/>
    <n v="0"/>
  </r>
  <r>
    <x v="11"/>
    <x v="0"/>
    <s v="Cost of Living Increase"/>
    <m/>
    <n v="218885"/>
    <x v="7"/>
    <n v="111285"/>
    <m/>
    <m/>
    <m/>
    <m/>
    <m/>
    <m/>
    <m/>
    <n v="0"/>
    <m/>
    <m/>
    <n v="0"/>
    <n v="111285"/>
    <n v="0"/>
    <m/>
    <m/>
    <m/>
    <m/>
    <n v="0"/>
    <m/>
    <m/>
    <n v="0"/>
    <m/>
    <m/>
    <m/>
    <m/>
    <m/>
    <m/>
    <n v="111285"/>
    <n v="0"/>
  </r>
  <r>
    <x v="11"/>
    <x v="0"/>
    <s v="Other Operating Expenses"/>
    <m/>
    <n v="21888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88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885"/>
    <x v="7"/>
    <m/>
    <m/>
    <n v="195959"/>
    <n v="198787"/>
    <m/>
    <m/>
    <m/>
    <m/>
    <n v="0"/>
    <m/>
    <m/>
    <n v="0"/>
    <n v="195959"/>
    <n v="198787"/>
    <m/>
    <m/>
    <m/>
    <m/>
    <n v="0"/>
    <m/>
    <m/>
    <n v="0"/>
    <m/>
    <m/>
    <m/>
    <m/>
    <m/>
    <m/>
    <n v="195959"/>
    <n v="198787"/>
  </r>
  <r>
    <x v="11"/>
    <x v="8"/>
    <s v="Critical Needs Nursing Initiative"/>
    <m/>
    <n v="218885"/>
    <x v="7"/>
    <m/>
    <m/>
    <n v="23430"/>
    <n v="24809"/>
    <m/>
    <m/>
    <m/>
    <m/>
    <n v="0"/>
    <m/>
    <m/>
    <n v="0"/>
    <n v="23430"/>
    <n v="24809"/>
    <m/>
    <m/>
    <m/>
    <m/>
    <n v="0"/>
    <m/>
    <m/>
    <n v="0"/>
    <m/>
    <m/>
    <m/>
    <m/>
    <m/>
    <m/>
    <n v="23430"/>
    <n v="24809"/>
  </r>
  <r>
    <x v="11"/>
    <x v="8"/>
    <s v="Workforce Scholarships &amp; Grants"/>
    <m/>
    <n v="218885"/>
    <x v="7"/>
    <m/>
    <m/>
    <n v="1098502"/>
    <n v="1139535"/>
    <m/>
    <m/>
    <m/>
    <m/>
    <n v="0"/>
    <m/>
    <m/>
    <n v="0"/>
    <n v="1098502"/>
    <n v="1139535"/>
    <m/>
    <m/>
    <m/>
    <m/>
    <n v="0"/>
    <m/>
    <m/>
    <n v="0"/>
    <m/>
    <m/>
    <m/>
    <m/>
    <m/>
    <m/>
    <n v="1098502"/>
    <n v="1139535"/>
  </r>
  <r>
    <x v="11"/>
    <x v="8"/>
    <s v="Palmetto Promise Scholarship Pilot"/>
    <m/>
    <n v="21888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8885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885"/>
    <x v="7"/>
    <m/>
    <m/>
    <n v="293879"/>
    <n v="301071"/>
    <m/>
    <m/>
    <m/>
    <m/>
    <n v="0"/>
    <m/>
    <m/>
    <n v="0"/>
    <n v="293879"/>
    <n v="301071"/>
    <m/>
    <m/>
    <m/>
    <m/>
    <n v="0"/>
    <m/>
    <m/>
    <n v="0"/>
    <m/>
    <m/>
    <m/>
    <m/>
    <m/>
    <m/>
    <n v="293879"/>
    <n v="301071"/>
  </r>
  <r>
    <x v="11"/>
    <x v="8"/>
    <s v="STEM Program Ext/Workforce Pathways"/>
    <s v="will be deleted after 2019-20"/>
    <n v="21888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Lottery Allied Health (NR)"/>
    <s v="will be deleted after 2019-20"/>
    <n v="21888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York Technical College"/>
    <m/>
    <n v="218991"/>
    <x v="7"/>
    <n v="7922873"/>
    <n v="8361032"/>
    <m/>
    <m/>
    <n v="4468023"/>
    <n v="4645450"/>
    <n v="22499278"/>
    <m/>
    <n v="22499278"/>
    <n v="20272861"/>
    <m/>
    <n v="20272861"/>
    <n v="34890174"/>
    <n v="33279343"/>
    <m/>
    <m/>
    <m/>
    <m/>
    <n v="0"/>
    <m/>
    <m/>
    <n v="0"/>
    <m/>
    <m/>
    <m/>
    <m/>
    <m/>
    <m/>
    <n v="34890174"/>
    <n v="33279343"/>
  </r>
  <r>
    <x v="11"/>
    <x v="0"/>
    <s v="Personnel Services"/>
    <m/>
    <n v="218991"/>
    <x v="7"/>
    <n v="194256"/>
    <m/>
    <m/>
    <m/>
    <m/>
    <m/>
    <m/>
    <m/>
    <n v="0"/>
    <m/>
    <m/>
    <n v="0"/>
    <n v="194256"/>
    <n v="0"/>
    <m/>
    <m/>
    <m/>
    <m/>
    <n v="0"/>
    <m/>
    <m/>
    <n v="0"/>
    <m/>
    <m/>
    <m/>
    <m/>
    <m/>
    <m/>
    <n v="194256"/>
    <n v="0"/>
  </r>
  <r>
    <x v="11"/>
    <x v="0"/>
    <s v="Cost of Living Increase"/>
    <m/>
    <n v="218991"/>
    <x v="7"/>
    <n v="122444"/>
    <m/>
    <m/>
    <m/>
    <m/>
    <m/>
    <m/>
    <m/>
    <n v="0"/>
    <m/>
    <m/>
    <n v="0"/>
    <n v="122444"/>
    <n v="0"/>
    <m/>
    <m/>
    <m/>
    <m/>
    <n v="0"/>
    <m/>
    <m/>
    <n v="0"/>
    <m/>
    <m/>
    <m/>
    <m/>
    <m/>
    <m/>
    <n v="122444"/>
    <n v="0"/>
  </r>
  <r>
    <x v="11"/>
    <x v="0"/>
    <s v="Other Operating Expenses"/>
    <m/>
    <n v="21899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99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991"/>
    <x v="7"/>
    <m/>
    <m/>
    <n v="137799"/>
    <n v="147040"/>
    <m/>
    <m/>
    <m/>
    <m/>
    <n v="0"/>
    <m/>
    <m/>
    <n v="0"/>
    <n v="137799"/>
    <n v="147040"/>
    <m/>
    <m/>
    <m/>
    <m/>
    <n v="0"/>
    <m/>
    <m/>
    <n v="0"/>
    <m/>
    <m/>
    <m/>
    <m/>
    <m/>
    <m/>
    <n v="137799"/>
    <n v="147040"/>
  </r>
  <r>
    <x v="11"/>
    <x v="8"/>
    <s v="Critical Needs Nursing Initiative"/>
    <m/>
    <n v="218991"/>
    <x v="7"/>
    <m/>
    <m/>
    <n v="12404"/>
    <n v="13783"/>
    <m/>
    <m/>
    <m/>
    <m/>
    <n v="0"/>
    <m/>
    <m/>
    <n v="0"/>
    <n v="12404"/>
    <n v="13783"/>
    <m/>
    <m/>
    <m/>
    <m/>
    <n v="0"/>
    <m/>
    <m/>
    <n v="0"/>
    <m/>
    <m/>
    <m/>
    <m/>
    <m/>
    <m/>
    <n v="12404"/>
    <n v="13783"/>
  </r>
  <r>
    <x v="11"/>
    <x v="8"/>
    <s v="Workforce Scholarships &amp; Grants"/>
    <m/>
    <n v="218991"/>
    <x v="7"/>
    <m/>
    <m/>
    <n v="808885"/>
    <n v="816269"/>
    <m/>
    <m/>
    <m/>
    <m/>
    <n v="0"/>
    <m/>
    <m/>
    <n v="0"/>
    <n v="808885"/>
    <n v="816269"/>
    <m/>
    <m/>
    <m/>
    <m/>
    <n v="0"/>
    <m/>
    <m/>
    <n v="0"/>
    <m/>
    <m/>
    <m/>
    <m/>
    <m/>
    <m/>
    <n v="808885"/>
    <n v="816269"/>
  </r>
  <r>
    <x v="11"/>
    <x v="8"/>
    <s v="Pathways to Prosperity"/>
    <m/>
    <n v="218991"/>
    <x v="7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991"/>
    <x v="7"/>
    <m/>
    <m/>
    <n v="221458"/>
    <n v="223822"/>
    <m/>
    <m/>
    <m/>
    <m/>
    <n v="0"/>
    <m/>
    <m/>
    <n v="0"/>
    <n v="221458"/>
    <n v="223822"/>
    <m/>
    <m/>
    <m/>
    <m/>
    <n v="0"/>
    <m/>
    <m/>
    <n v="0"/>
    <m/>
    <m/>
    <m/>
    <m/>
    <m/>
    <m/>
    <n v="221458"/>
    <n v="223822"/>
  </r>
  <r>
    <x v="11"/>
    <x v="8"/>
    <s v="STEM Program Ext/Workforce Pathways"/>
    <s v="will be deleted after 2019-20"/>
    <n v="218991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Aiken Technical College "/>
    <m/>
    <n v="217615"/>
    <x v="8"/>
    <n v="4604724"/>
    <n v="4834384"/>
    <m/>
    <m/>
    <n v="2095167"/>
    <n v="2145888"/>
    <n v="10217112"/>
    <m/>
    <n v="10217112"/>
    <n v="9659961"/>
    <m/>
    <n v="9659961"/>
    <n v="16917003"/>
    <n v="16640233"/>
    <m/>
    <m/>
    <m/>
    <m/>
    <n v="0"/>
    <m/>
    <m/>
    <n v="0"/>
    <m/>
    <m/>
    <m/>
    <m/>
    <m/>
    <m/>
    <n v="16917003"/>
    <n v="16640233"/>
  </r>
  <r>
    <x v="11"/>
    <x v="0"/>
    <s v="Personnel Services"/>
    <m/>
    <n v="217615"/>
    <x v="8"/>
    <n v="110267"/>
    <m/>
    <m/>
    <m/>
    <m/>
    <m/>
    <m/>
    <m/>
    <n v="0"/>
    <m/>
    <m/>
    <n v="0"/>
    <n v="110267"/>
    <n v="0"/>
    <m/>
    <m/>
    <m/>
    <m/>
    <n v="0"/>
    <m/>
    <m/>
    <n v="0"/>
    <m/>
    <m/>
    <m/>
    <m/>
    <m/>
    <m/>
    <n v="110267"/>
    <n v="0"/>
  </r>
  <r>
    <x v="11"/>
    <x v="0"/>
    <s v="Cost of Living Increase"/>
    <m/>
    <n v="217615"/>
    <x v="8"/>
    <n v="67413"/>
    <m/>
    <m/>
    <m/>
    <m/>
    <m/>
    <m/>
    <m/>
    <n v="0"/>
    <m/>
    <m/>
    <n v="0"/>
    <n v="67413"/>
    <n v="0"/>
    <m/>
    <m/>
    <m/>
    <m/>
    <n v="0"/>
    <m/>
    <m/>
    <n v="0"/>
    <m/>
    <m/>
    <m/>
    <m/>
    <m/>
    <m/>
    <n v="67413"/>
    <n v="0"/>
  </r>
  <r>
    <x v="11"/>
    <x v="0"/>
    <s v="Other Operating Expenses"/>
    <m/>
    <n v="21761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761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7615"/>
    <x v="8"/>
    <m/>
    <m/>
    <n v="57171"/>
    <n v="55345"/>
    <m/>
    <m/>
    <m/>
    <m/>
    <n v="0"/>
    <m/>
    <m/>
    <n v="0"/>
    <n v="57171"/>
    <n v="55345"/>
    <m/>
    <m/>
    <m/>
    <m/>
    <n v="0"/>
    <m/>
    <m/>
    <n v="0"/>
    <m/>
    <m/>
    <m/>
    <m/>
    <m/>
    <m/>
    <n v="57171"/>
    <n v="55345"/>
  </r>
  <r>
    <x v="11"/>
    <x v="8"/>
    <s v="Critical Needs Nursing Initiative"/>
    <m/>
    <n v="217615"/>
    <x v="8"/>
    <m/>
    <m/>
    <n v="15161"/>
    <n v="15160"/>
    <m/>
    <m/>
    <m/>
    <m/>
    <n v="0"/>
    <m/>
    <m/>
    <n v="0"/>
    <n v="15161"/>
    <n v="15160"/>
    <m/>
    <m/>
    <m/>
    <m/>
    <n v="0"/>
    <m/>
    <m/>
    <n v="0"/>
    <m/>
    <m/>
    <m/>
    <m/>
    <m/>
    <m/>
    <n v="15161"/>
    <n v="15160"/>
  </r>
  <r>
    <x v="11"/>
    <x v="8"/>
    <s v="Workforce Scholarships &amp; Grants"/>
    <m/>
    <n v="217615"/>
    <x v="8"/>
    <m/>
    <m/>
    <n v="449504"/>
    <n v="452007"/>
    <m/>
    <m/>
    <m/>
    <m/>
    <n v="0"/>
    <m/>
    <m/>
    <n v="0"/>
    <n v="449504"/>
    <n v="452007"/>
    <m/>
    <m/>
    <m/>
    <m/>
    <n v="0"/>
    <m/>
    <m/>
    <n v="0"/>
    <m/>
    <m/>
    <m/>
    <m/>
    <m/>
    <m/>
    <n v="449504"/>
    <n v="452007"/>
  </r>
  <r>
    <x v="11"/>
    <x v="8"/>
    <s v="Pathways to Prosperity"/>
    <m/>
    <n v="217615"/>
    <x v="8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7615"/>
    <x v="8"/>
    <m/>
    <m/>
    <n v="128736"/>
    <n v="129414"/>
    <m/>
    <m/>
    <m/>
    <m/>
    <n v="0"/>
    <m/>
    <m/>
    <n v="0"/>
    <n v="128736"/>
    <n v="129414"/>
    <m/>
    <m/>
    <m/>
    <m/>
    <n v="0"/>
    <m/>
    <m/>
    <n v="0"/>
    <m/>
    <m/>
    <m/>
    <m/>
    <m/>
    <m/>
    <n v="128736"/>
    <n v="129414"/>
  </r>
  <r>
    <x v="11"/>
    <x v="0"/>
    <s v="Denmark Technical College "/>
    <m/>
    <n v="217989"/>
    <x v="8"/>
    <n v="2152690"/>
    <n v="1993358"/>
    <m/>
    <m/>
    <n v="61715"/>
    <n v="5000"/>
    <n v="2251642"/>
    <m/>
    <n v="2251642"/>
    <n v="2453923"/>
    <m/>
    <n v="2453923"/>
    <n v="4466047"/>
    <n v="4452281"/>
    <m/>
    <m/>
    <m/>
    <m/>
    <n v="0"/>
    <m/>
    <m/>
    <n v="0"/>
    <m/>
    <m/>
    <m/>
    <m/>
    <m/>
    <m/>
    <n v="4466047"/>
    <n v="4452281"/>
  </r>
  <r>
    <x v="11"/>
    <x v="0"/>
    <s v="Personnel Services"/>
    <m/>
    <n v="217989"/>
    <x v="8"/>
    <n v="47310"/>
    <m/>
    <m/>
    <m/>
    <m/>
    <m/>
    <m/>
    <m/>
    <n v="0"/>
    <m/>
    <m/>
    <n v="0"/>
    <n v="47310"/>
    <n v="0"/>
    <m/>
    <m/>
    <m/>
    <m/>
    <n v="0"/>
    <m/>
    <m/>
    <n v="0"/>
    <m/>
    <m/>
    <m/>
    <m/>
    <m/>
    <m/>
    <n v="47310"/>
    <n v="0"/>
  </r>
  <r>
    <x v="11"/>
    <x v="0"/>
    <s v="Cost of Living Increase"/>
    <m/>
    <n v="217989"/>
    <x v="8"/>
    <n v="29656"/>
    <m/>
    <m/>
    <m/>
    <m/>
    <m/>
    <m/>
    <m/>
    <n v="0"/>
    <m/>
    <m/>
    <n v="0"/>
    <n v="29656"/>
    <n v="0"/>
    <m/>
    <m/>
    <m/>
    <m/>
    <n v="0"/>
    <m/>
    <m/>
    <n v="0"/>
    <m/>
    <m/>
    <m/>
    <m/>
    <m/>
    <m/>
    <n v="29656"/>
    <n v="0"/>
  </r>
  <r>
    <x v="11"/>
    <x v="0"/>
    <s v="Other Operating Expenses"/>
    <m/>
    <n v="217989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7989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7989"/>
    <x v="8"/>
    <m/>
    <m/>
    <n v="27503"/>
    <n v="29425"/>
    <m/>
    <m/>
    <m/>
    <m/>
    <n v="0"/>
    <m/>
    <m/>
    <n v="0"/>
    <n v="27503"/>
    <n v="29425"/>
    <m/>
    <m/>
    <m/>
    <m/>
    <n v="0"/>
    <m/>
    <m/>
    <n v="0"/>
    <m/>
    <m/>
    <m/>
    <m/>
    <m/>
    <m/>
    <n v="27503"/>
    <n v="29425"/>
  </r>
  <r>
    <x v="11"/>
    <x v="8"/>
    <s v="Workforce Scholarships &amp; Grants"/>
    <m/>
    <n v="217989"/>
    <x v="8"/>
    <m/>
    <m/>
    <n v="178620"/>
    <n v="140123"/>
    <m/>
    <m/>
    <m/>
    <m/>
    <n v="0"/>
    <m/>
    <m/>
    <n v="0"/>
    <n v="178620"/>
    <n v="140123"/>
    <m/>
    <m/>
    <m/>
    <m/>
    <n v="0"/>
    <m/>
    <m/>
    <n v="0"/>
    <m/>
    <m/>
    <m/>
    <m/>
    <m/>
    <m/>
    <n v="178620"/>
    <n v="140123"/>
  </r>
  <r>
    <x v="11"/>
    <x v="8"/>
    <s v="Palmetto Promise Scholarship Pilot"/>
    <m/>
    <n v="217989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7989"/>
    <x v="8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7989"/>
    <x v="8"/>
    <m/>
    <m/>
    <n v="77319"/>
    <n v="77319"/>
    <m/>
    <m/>
    <m/>
    <m/>
    <n v="0"/>
    <m/>
    <m/>
    <n v="0"/>
    <n v="77319"/>
    <n v="77319"/>
    <m/>
    <m/>
    <m/>
    <m/>
    <n v="0"/>
    <m/>
    <m/>
    <n v="0"/>
    <m/>
    <m/>
    <m/>
    <m/>
    <m/>
    <m/>
    <n v="77319"/>
    <n v="77319"/>
  </r>
  <r>
    <x v="11"/>
    <x v="0"/>
    <s v="Northeastern Technical College"/>
    <m/>
    <n v="217837"/>
    <x v="8"/>
    <n v="2972665"/>
    <n v="3032855"/>
    <m/>
    <m/>
    <n v="825453"/>
    <n v="866713"/>
    <n v="5022175"/>
    <m/>
    <n v="5022175"/>
    <n v="5669856"/>
    <m/>
    <n v="5669856"/>
    <n v="8820293"/>
    <n v="9569424"/>
    <m/>
    <m/>
    <m/>
    <m/>
    <n v="0"/>
    <m/>
    <m/>
    <n v="0"/>
    <m/>
    <m/>
    <m/>
    <m/>
    <m/>
    <m/>
    <n v="8820293"/>
    <n v="9569424"/>
  </r>
  <r>
    <x v="11"/>
    <x v="0"/>
    <s v="Personnel Services"/>
    <m/>
    <n v="217837"/>
    <x v="8"/>
    <n v="66652"/>
    <m/>
    <m/>
    <m/>
    <m/>
    <m/>
    <m/>
    <m/>
    <n v="0"/>
    <m/>
    <m/>
    <n v="0"/>
    <n v="66652"/>
    <n v="0"/>
    <m/>
    <m/>
    <m/>
    <m/>
    <n v="0"/>
    <m/>
    <m/>
    <n v="0"/>
    <m/>
    <m/>
    <m/>
    <m/>
    <m/>
    <m/>
    <n v="66652"/>
    <n v="0"/>
  </r>
  <r>
    <x v="11"/>
    <x v="0"/>
    <s v="Cost of Living Increase"/>
    <m/>
    <n v="217837"/>
    <x v="8"/>
    <n v="41549"/>
    <m/>
    <m/>
    <m/>
    <m/>
    <m/>
    <m/>
    <m/>
    <n v="0"/>
    <m/>
    <m/>
    <n v="0"/>
    <n v="41549"/>
    <n v="0"/>
    <m/>
    <m/>
    <m/>
    <m/>
    <n v="0"/>
    <m/>
    <m/>
    <n v="0"/>
    <m/>
    <m/>
    <m/>
    <m/>
    <m/>
    <m/>
    <n v="41549"/>
    <n v="0"/>
  </r>
  <r>
    <x v="11"/>
    <x v="0"/>
    <s v="Other Operating Expenses"/>
    <m/>
    <n v="21783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783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7837"/>
    <x v="8"/>
    <m/>
    <m/>
    <n v="66259"/>
    <n v="68353"/>
    <m/>
    <m/>
    <m/>
    <m/>
    <n v="0"/>
    <m/>
    <m/>
    <n v="0"/>
    <n v="66259"/>
    <n v="68353"/>
    <m/>
    <m/>
    <m/>
    <m/>
    <n v="0"/>
    <m/>
    <m/>
    <n v="0"/>
    <m/>
    <m/>
    <m/>
    <m/>
    <m/>
    <m/>
    <n v="66259"/>
    <n v="68353"/>
  </r>
  <r>
    <x v="11"/>
    <x v="8"/>
    <s v="Critical Needs Nursing Initiative"/>
    <m/>
    <n v="217837"/>
    <x v="8"/>
    <m/>
    <m/>
    <n v="5513"/>
    <n v="2757"/>
    <m/>
    <m/>
    <m/>
    <m/>
    <n v="0"/>
    <m/>
    <m/>
    <n v="0"/>
    <n v="5513"/>
    <n v="2757"/>
    <m/>
    <m/>
    <m/>
    <m/>
    <n v="0"/>
    <m/>
    <m/>
    <n v="0"/>
    <m/>
    <m/>
    <m/>
    <m/>
    <m/>
    <m/>
    <n v="5513"/>
    <n v="2757"/>
  </r>
  <r>
    <x v="11"/>
    <x v="8"/>
    <s v="Workforce Scholarships &amp; Grants"/>
    <m/>
    <n v="217837"/>
    <x v="8"/>
    <m/>
    <m/>
    <n v="262698"/>
    <n v="279851"/>
    <m/>
    <m/>
    <m/>
    <m/>
    <n v="0"/>
    <m/>
    <m/>
    <n v="0"/>
    <n v="262698"/>
    <n v="279851"/>
    <m/>
    <m/>
    <m/>
    <m/>
    <n v="0"/>
    <m/>
    <m/>
    <n v="0"/>
    <m/>
    <m/>
    <m/>
    <m/>
    <m/>
    <m/>
    <n v="262698"/>
    <n v="279851"/>
  </r>
  <r>
    <x v="11"/>
    <x v="8"/>
    <s v="Palmetto Promise Scholarship Pilot"/>
    <m/>
    <n v="21783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7837"/>
    <x v="8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7837"/>
    <x v="8"/>
    <m/>
    <m/>
    <n v="83147"/>
    <n v="81188"/>
    <m/>
    <m/>
    <m/>
    <m/>
    <n v="0"/>
    <m/>
    <m/>
    <n v="0"/>
    <n v="83147"/>
    <n v="81188"/>
    <m/>
    <m/>
    <m/>
    <m/>
    <n v="0"/>
    <m/>
    <m/>
    <n v="0"/>
    <m/>
    <m/>
    <m/>
    <m/>
    <m/>
    <m/>
    <n v="83147"/>
    <n v="81188"/>
  </r>
  <r>
    <x v="11"/>
    <x v="0"/>
    <s v="Orangeburg-Calhoun Technical College "/>
    <m/>
    <n v="218487"/>
    <x v="8"/>
    <n v="4917139"/>
    <n v="5014688"/>
    <m/>
    <m/>
    <n v="1483740"/>
    <n v="1484219"/>
    <n v="11147454"/>
    <m/>
    <n v="11147454"/>
    <n v="11299542"/>
    <m/>
    <n v="11299542"/>
    <n v="17548333"/>
    <n v="17798449"/>
    <m/>
    <m/>
    <m/>
    <m/>
    <n v="0"/>
    <m/>
    <m/>
    <n v="0"/>
    <m/>
    <m/>
    <m/>
    <m/>
    <m/>
    <m/>
    <n v="17548333"/>
    <n v="17798449"/>
  </r>
  <r>
    <x v="11"/>
    <x v="0"/>
    <s v="Personnel Services"/>
    <m/>
    <n v="218487"/>
    <x v="8"/>
    <n v="120867"/>
    <m/>
    <m/>
    <m/>
    <m/>
    <m/>
    <m/>
    <m/>
    <n v="0"/>
    <m/>
    <m/>
    <n v="0"/>
    <n v="120867"/>
    <n v="0"/>
    <m/>
    <m/>
    <m/>
    <m/>
    <n v="0"/>
    <m/>
    <m/>
    <n v="0"/>
    <m/>
    <m/>
    <m/>
    <m/>
    <m/>
    <m/>
    <n v="120867"/>
    <n v="0"/>
  </r>
  <r>
    <x v="11"/>
    <x v="0"/>
    <s v="Cost of Living Increase"/>
    <m/>
    <n v="218487"/>
    <x v="8"/>
    <n v="71663"/>
    <m/>
    <m/>
    <m/>
    <m/>
    <m/>
    <m/>
    <m/>
    <n v="0"/>
    <m/>
    <m/>
    <n v="0"/>
    <n v="71663"/>
    <n v="0"/>
    <m/>
    <m/>
    <m/>
    <m/>
    <n v="0"/>
    <m/>
    <m/>
    <n v="0"/>
    <m/>
    <m/>
    <m/>
    <m/>
    <m/>
    <m/>
    <n v="71663"/>
    <n v="0"/>
  </r>
  <r>
    <x v="11"/>
    <x v="0"/>
    <s v="Other Operating Expenses"/>
    <m/>
    <n v="21848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48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487"/>
    <x v="8"/>
    <m/>
    <m/>
    <n v="78911"/>
    <n v="85516"/>
    <m/>
    <m/>
    <m/>
    <m/>
    <n v="0"/>
    <m/>
    <m/>
    <n v="0"/>
    <n v="78911"/>
    <n v="85516"/>
    <m/>
    <m/>
    <m/>
    <m/>
    <n v="0"/>
    <m/>
    <m/>
    <n v="0"/>
    <m/>
    <m/>
    <m/>
    <m/>
    <m/>
    <m/>
    <n v="78911"/>
    <n v="85516"/>
  </r>
  <r>
    <x v="11"/>
    <x v="8"/>
    <s v="Critical Needs Nursing Initiative"/>
    <m/>
    <n v="218487"/>
    <x v="8"/>
    <m/>
    <m/>
    <n v="22052"/>
    <n v="22052"/>
    <m/>
    <m/>
    <m/>
    <m/>
    <n v="0"/>
    <m/>
    <m/>
    <n v="0"/>
    <n v="22052"/>
    <n v="22052"/>
    <m/>
    <m/>
    <m/>
    <m/>
    <n v="0"/>
    <m/>
    <m/>
    <n v="0"/>
    <m/>
    <m/>
    <m/>
    <m/>
    <m/>
    <m/>
    <n v="22052"/>
    <n v="22052"/>
  </r>
  <r>
    <x v="11"/>
    <x v="8"/>
    <s v="Workforce Scholarships &amp; Grants"/>
    <m/>
    <n v="218487"/>
    <x v="8"/>
    <m/>
    <m/>
    <n v="471211"/>
    <n v="470169"/>
    <m/>
    <m/>
    <m/>
    <m/>
    <n v="0"/>
    <m/>
    <m/>
    <n v="0"/>
    <n v="471211"/>
    <n v="470169"/>
    <m/>
    <m/>
    <m/>
    <m/>
    <n v="0"/>
    <m/>
    <m/>
    <n v="0"/>
    <m/>
    <m/>
    <m/>
    <m/>
    <m/>
    <m/>
    <n v="471211"/>
    <n v="470169"/>
  </r>
  <r>
    <x v="11"/>
    <x v="8"/>
    <s v="Palmetto Promise Scholarship Pilot"/>
    <m/>
    <n v="21848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8487"/>
    <x v="8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487"/>
    <x v="8"/>
    <m/>
    <m/>
    <n v="137508"/>
    <n v="134241"/>
    <m/>
    <m/>
    <m/>
    <m/>
    <n v="0"/>
    <m/>
    <m/>
    <n v="0"/>
    <n v="137508"/>
    <n v="134241"/>
    <m/>
    <m/>
    <m/>
    <m/>
    <n v="0"/>
    <m/>
    <m/>
    <n v="0"/>
    <m/>
    <m/>
    <m/>
    <m/>
    <m/>
    <m/>
    <n v="137508"/>
    <n v="134241"/>
  </r>
  <r>
    <x v="11"/>
    <x v="8"/>
    <s v="Truck Driving Certification Program"/>
    <m/>
    <n v="218487"/>
    <x v="8"/>
    <m/>
    <m/>
    <n v="423129"/>
    <n v="73129"/>
    <m/>
    <m/>
    <m/>
    <m/>
    <n v="0"/>
    <m/>
    <m/>
    <n v="0"/>
    <n v="423129"/>
    <n v="73129"/>
    <m/>
    <m/>
    <m/>
    <m/>
    <n v="0"/>
    <m/>
    <m/>
    <n v="0"/>
    <m/>
    <m/>
    <m/>
    <m/>
    <m/>
    <m/>
    <n v="423129"/>
    <n v="73129"/>
  </r>
  <r>
    <x v="11"/>
    <x v="8"/>
    <s v="Nursing Cooperative Program with Claflin"/>
    <m/>
    <n v="21848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Technical College of the Lowcountry"/>
    <m/>
    <n v="217712"/>
    <x v="8"/>
    <n v="4337023"/>
    <n v="4555293"/>
    <m/>
    <m/>
    <n v="2353016"/>
    <n v="2346766"/>
    <n v="10405537"/>
    <m/>
    <n v="10405537"/>
    <n v="9625028"/>
    <m/>
    <n v="9625028"/>
    <n v="17095576"/>
    <n v="16527087"/>
    <m/>
    <m/>
    <m/>
    <m/>
    <n v="0"/>
    <m/>
    <m/>
    <n v="0"/>
    <m/>
    <m/>
    <m/>
    <m/>
    <m/>
    <m/>
    <n v="17095576"/>
    <n v="16527087"/>
  </r>
  <r>
    <x v="11"/>
    <x v="0"/>
    <s v="Personnel Services"/>
    <m/>
    <n v="217712"/>
    <x v="8"/>
    <n v="103121"/>
    <m/>
    <m/>
    <m/>
    <m/>
    <m/>
    <m/>
    <m/>
    <n v="0"/>
    <m/>
    <m/>
    <n v="0"/>
    <n v="103121"/>
    <n v="0"/>
    <m/>
    <m/>
    <m/>
    <m/>
    <n v="0"/>
    <m/>
    <m/>
    <n v="0"/>
    <m/>
    <m/>
    <m/>
    <m/>
    <m/>
    <m/>
    <n v="103121"/>
    <n v="0"/>
  </r>
  <r>
    <x v="11"/>
    <x v="0"/>
    <s v="Cost of Living Increase"/>
    <m/>
    <n v="217712"/>
    <x v="8"/>
    <n v="61672"/>
    <m/>
    <m/>
    <m/>
    <m/>
    <m/>
    <m/>
    <m/>
    <n v="0"/>
    <m/>
    <m/>
    <n v="0"/>
    <n v="61672"/>
    <n v="0"/>
    <m/>
    <m/>
    <m/>
    <m/>
    <n v="0"/>
    <m/>
    <m/>
    <n v="0"/>
    <m/>
    <m/>
    <m/>
    <m/>
    <m/>
    <m/>
    <n v="61672"/>
    <n v="0"/>
  </r>
  <r>
    <x v="11"/>
    <x v="0"/>
    <s v="Other Operating Expenses"/>
    <m/>
    <n v="21771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771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7712"/>
    <x v="8"/>
    <m/>
    <m/>
    <n v="96821"/>
    <n v="86662"/>
    <m/>
    <m/>
    <m/>
    <m/>
    <n v="0"/>
    <m/>
    <m/>
    <n v="0"/>
    <n v="96821"/>
    <n v="86662"/>
    <m/>
    <m/>
    <m/>
    <m/>
    <n v="0"/>
    <m/>
    <m/>
    <n v="0"/>
    <m/>
    <m/>
    <m/>
    <m/>
    <m/>
    <m/>
    <n v="96821"/>
    <n v="86662"/>
  </r>
  <r>
    <x v="11"/>
    <x v="8"/>
    <s v="Critical Needs Nursing Initiative"/>
    <m/>
    <n v="217712"/>
    <x v="8"/>
    <m/>
    <m/>
    <n v="11026"/>
    <n v="9648"/>
    <m/>
    <m/>
    <m/>
    <m/>
    <n v="0"/>
    <m/>
    <m/>
    <n v="0"/>
    <n v="11026"/>
    <n v="9648"/>
    <m/>
    <m/>
    <m/>
    <m/>
    <n v="0"/>
    <m/>
    <m/>
    <n v="0"/>
    <m/>
    <m/>
    <m/>
    <m/>
    <m/>
    <m/>
    <n v="11026"/>
    <n v="9648"/>
  </r>
  <r>
    <x v="11"/>
    <x v="8"/>
    <s v="Workforce Scholarships &amp; Grants"/>
    <m/>
    <n v="217712"/>
    <x v="8"/>
    <m/>
    <m/>
    <n v="419365"/>
    <n v="428474"/>
    <m/>
    <m/>
    <m/>
    <m/>
    <n v="0"/>
    <m/>
    <m/>
    <n v="0"/>
    <n v="419365"/>
    <n v="428474"/>
    <m/>
    <m/>
    <m/>
    <m/>
    <n v="0"/>
    <m/>
    <m/>
    <n v="0"/>
    <m/>
    <m/>
    <m/>
    <m/>
    <m/>
    <m/>
    <n v="419365"/>
    <n v="428474"/>
  </r>
  <r>
    <x v="11"/>
    <x v="8"/>
    <s v="Palmetto Promise Scholarship Pilot"/>
    <m/>
    <n v="21771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thways to Prosperity"/>
    <m/>
    <n v="217712"/>
    <x v="8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7712"/>
    <x v="8"/>
    <m/>
    <m/>
    <n v="121365"/>
    <n v="121943"/>
    <m/>
    <m/>
    <m/>
    <m/>
    <n v="0"/>
    <m/>
    <m/>
    <n v="0"/>
    <n v="121365"/>
    <n v="121943"/>
    <m/>
    <m/>
    <m/>
    <m/>
    <n v="0"/>
    <m/>
    <m/>
    <n v="0"/>
    <m/>
    <m/>
    <m/>
    <m/>
    <m/>
    <m/>
    <n v="121365"/>
    <n v="121943"/>
  </r>
  <r>
    <x v="11"/>
    <x v="8"/>
    <s v="Military Workforce Initiative"/>
    <m/>
    <n v="217712"/>
    <x v="8"/>
    <m/>
    <m/>
    <n v="500000"/>
    <n v="500000"/>
    <m/>
    <m/>
    <m/>
    <m/>
    <n v="0"/>
    <m/>
    <m/>
    <n v="0"/>
    <n v="500000"/>
    <n v="500000"/>
    <m/>
    <m/>
    <m/>
    <m/>
    <n v="0"/>
    <m/>
    <m/>
    <n v="0"/>
    <m/>
    <m/>
    <m/>
    <m/>
    <m/>
    <m/>
    <n v="500000"/>
    <n v="500000"/>
  </r>
  <r>
    <x v="11"/>
    <x v="0"/>
    <s v="University of South Carolina-Lancaster"/>
    <m/>
    <n v="218672"/>
    <x v="8"/>
    <n v="2884010"/>
    <n v="2884010"/>
    <m/>
    <m/>
    <m/>
    <m/>
    <n v="7513576"/>
    <m/>
    <n v="7513576"/>
    <n v="7389049"/>
    <m/>
    <n v="7389049"/>
    <n v="10397586"/>
    <n v="10273059"/>
    <m/>
    <m/>
    <m/>
    <m/>
    <n v="0"/>
    <m/>
    <m/>
    <n v="0"/>
    <m/>
    <m/>
    <m/>
    <m/>
    <m/>
    <m/>
    <n v="10397586"/>
    <n v="10273059"/>
  </r>
  <r>
    <x v="11"/>
    <x v="0"/>
    <s v="Fringe Benefits"/>
    <m/>
    <n v="218672"/>
    <x v="8"/>
    <n v="693171"/>
    <n v="685918"/>
    <m/>
    <m/>
    <m/>
    <m/>
    <m/>
    <m/>
    <n v="0"/>
    <m/>
    <m/>
    <n v="0"/>
    <n v="693171"/>
    <n v="685918"/>
    <m/>
    <m/>
    <m/>
    <m/>
    <n v="0"/>
    <m/>
    <m/>
    <n v="0"/>
    <m/>
    <m/>
    <m/>
    <m/>
    <m/>
    <m/>
    <n v="693171"/>
    <n v="685918"/>
  </r>
  <r>
    <x v="11"/>
    <x v="0"/>
    <s v="Other Operating Expenses"/>
    <m/>
    <n v="21867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67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72"/>
    <x v="8"/>
    <m/>
    <m/>
    <n v="2811"/>
    <n v="2811"/>
    <m/>
    <m/>
    <m/>
    <m/>
    <n v="0"/>
    <m/>
    <m/>
    <n v="0"/>
    <n v="2811"/>
    <n v="2811"/>
    <m/>
    <m/>
    <m/>
    <m/>
    <n v="0"/>
    <m/>
    <m/>
    <n v="0"/>
    <m/>
    <m/>
    <m/>
    <m/>
    <m/>
    <m/>
    <n v="2811"/>
    <n v="2811"/>
  </r>
  <r>
    <x v="11"/>
    <x v="8"/>
    <s v="Lottery Technology (NR)"/>
    <m/>
    <n v="218672"/>
    <x v="8"/>
    <m/>
    <m/>
    <n v="145010"/>
    <n v="145010"/>
    <m/>
    <m/>
    <m/>
    <m/>
    <n v="0"/>
    <m/>
    <m/>
    <n v="0"/>
    <n v="145010"/>
    <n v="145010"/>
    <m/>
    <m/>
    <m/>
    <m/>
    <n v="0"/>
    <m/>
    <m/>
    <n v="0"/>
    <m/>
    <m/>
    <m/>
    <m/>
    <m/>
    <m/>
    <n v="145010"/>
    <n v="145010"/>
  </r>
  <r>
    <x v="11"/>
    <x v="0"/>
    <s v="University of South Carolina-Salkehatchie"/>
    <m/>
    <n v="218681"/>
    <x v="8"/>
    <n v="1898500"/>
    <n v="1898500"/>
    <m/>
    <m/>
    <m/>
    <m/>
    <n v="5223949"/>
    <m/>
    <n v="5223949"/>
    <n v="4815873"/>
    <m/>
    <n v="4815873"/>
    <n v="7122449"/>
    <n v="6714373"/>
    <m/>
    <m/>
    <m/>
    <m/>
    <n v="0"/>
    <m/>
    <m/>
    <n v="0"/>
    <m/>
    <m/>
    <m/>
    <m/>
    <m/>
    <m/>
    <n v="7122449"/>
    <n v="6714373"/>
  </r>
  <r>
    <x v="11"/>
    <x v="0"/>
    <s v="Fringe Benefits"/>
    <m/>
    <n v="218681"/>
    <x v="8"/>
    <n v="486789"/>
    <n v="480194"/>
    <m/>
    <m/>
    <m/>
    <m/>
    <m/>
    <m/>
    <n v="0"/>
    <m/>
    <m/>
    <n v="0"/>
    <n v="486789"/>
    <n v="480194"/>
    <m/>
    <m/>
    <m/>
    <m/>
    <n v="0"/>
    <m/>
    <m/>
    <n v="0"/>
    <m/>
    <m/>
    <m/>
    <m/>
    <m/>
    <m/>
    <n v="486789"/>
    <n v="480194"/>
  </r>
  <r>
    <x v="11"/>
    <x v="0"/>
    <s v="Other Operating Expenses"/>
    <m/>
    <n v="218681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"/>
    <s v="Community or public service units"/>
    <m/>
    <n v="218681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"/>
    <s v="  Salkehatchie Leadership Center"/>
    <m/>
    <n v="218681"/>
    <x v="8"/>
    <m/>
    <m/>
    <n v="100460"/>
    <n v="100460"/>
    <m/>
    <m/>
    <m/>
    <m/>
    <n v="0"/>
    <m/>
    <m/>
    <n v="0"/>
    <n v="100460"/>
    <n v="100460"/>
    <m/>
    <m/>
    <m/>
    <m/>
    <n v="0"/>
    <m/>
    <m/>
    <n v="0"/>
    <m/>
    <m/>
    <m/>
    <m/>
    <m/>
    <m/>
    <n v="100460"/>
    <n v="100460"/>
  </r>
  <r>
    <x v="11"/>
    <x v="8"/>
    <s v="Special Line items for education operations"/>
    <m/>
    <n v="218681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81"/>
    <x v="8"/>
    <m/>
    <m/>
    <n v="206"/>
    <n v="206"/>
    <m/>
    <m/>
    <m/>
    <m/>
    <n v="0"/>
    <m/>
    <m/>
    <n v="0"/>
    <n v="206"/>
    <n v="206"/>
    <m/>
    <m/>
    <m/>
    <m/>
    <n v="0"/>
    <m/>
    <m/>
    <n v="0"/>
    <m/>
    <m/>
    <m/>
    <m/>
    <m/>
    <m/>
    <n v="206"/>
    <n v="206"/>
  </r>
  <r>
    <x v="11"/>
    <x v="8"/>
    <s v="Lottery Technology (NR)"/>
    <m/>
    <n v="218681"/>
    <x v="8"/>
    <m/>
    <m/>
    <n v="145010"/>
    <n v="145010"/>
    <m/>
    <m/>
    <m/>
    <m/>
    <n v="0"/>
    <m/>
    <m/>
    <n v="0"/>
    <n v="145010"/>
    <n v="145010"/>
    <m/>
    <m/>
    <m/>
    <m/>
    <n v="0"/>
    <m/>
    <m/>
    <n v="0"/>
    <m/>
    <m/>
    <m/>
    <m/>
    <m/>
    <m/>
    <n v="145010"/>
    <n v="145010"/>
  </r>
  <r>
    <x v="11"/>
    <x v="0"/>
    <s v="University of South Carolina-Sumter"/>
    <m/>
    <n v="218690"/>
    <x v="8"/>
    <n v="3027859"/>
    <n v="3027859"/>
    <m/>
    <m/>
    <m/>
    <m/>
    <n v="6052969"/>
    <m/>
    <n v="6052969"/>
    <n v="5347497"/>
    <m/>
    <n v="5347497"/>
    <n v="9080828"/>
    <n v="8375356"/>
    <m/>
    <m/>
    <m/>
    <m/>
    <n v="0"/>
    <m/>
    <m/>
    <n v="0"/>
    <m/>
    <m/>
    <m/>
    <m/>
    <m/>
    <m/>
    <n v="9080828"/>
    <n v="8375356"/>
  </r>
  <r>
    <x v="11"/>
    <x v="0"/>
    <s v="Fringe Benefits"/>
    <m/>
    <n v="218690"/>
    <x v="8"/>
    <n v="897641"/>
    <n v="890459"/>
    <m/>
    <m/>
    <m/>
    <m/>
    <m/>
    <m/>
    <n v="0"/>
    <m/>
    <m/>
    <n v="0"/>
    <n v="897641"/>
    <n v="890459"/>
    <m/>
    <m/>
    <m/>
    <m/>
    <n v="0"/>
    <m/>
    <m/>
    <n v="0"/>
    <m/>
    <m/>
    <m/>
    <m/>
    <m/>
    <m/>
    <n v="897641"/>
    <n v="890459"/>
  </r>
  <r>
    <x v="11"/>
    <x v="0"/>
    <s v="Other Operating Expenses"/>
    <m/>
    <n v="218690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690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690"/>
    <x v="8"/>
    <m/>
    <m/>
    <n v="628"/>
    <n v="628"/>
    <m/>
    <m/>
    <m/>
    <m/>
    <n v="0"/>
    <m/>
    <m/>
    <n v="0"/>
    <n v="628"/>
    <n v="628"/>
    <m/>
    <m/>
    <m/>
    <m/>
    <n v="0"/>
    <m/>
    <m/>
    <n v="0"/>
    <m/>
    <m/>
    <m/>
    <m/>
    <m/>
    <m/>
    <n v="628"/>
    <n v="628"/>
  </r>
  <r>
    <x v="11"/>
    <x v="8"/>
    <s v="Lottery Technology (NR)"/>
    <m/>
    <n v="218690"/>
    <x v="8"/>
    <m/>
    <m/>
    <n v="145010"/>
    <n v="145010"/>
    <m/>
    <m/>
    <m/>
    <m/>
    <n v="0"/>
    <m/>
    <m/>
    <n v="0"/>
    <n v="145010"/>
    <n v="145010"/>
    <m/>
    <m/>
    <m/>
    <m/>
    <n v="0"/>
    <m/>
    <m/>
    <n v="0"/>
    <m/>
    <m/>
    <m/>
    <m/>
    <m/>
    <m/>
    <n v="145010"/>
    <n v="145010"/>
  </r>
  <r>
    <x v="11"/>
    <x v="0"/>
    <s v="University of South Carolina-Union"/>
    <m/>
    <n v="218706"/>
    <x v="8"/>
    <n v="1305901"/>
    <n v="1305901"/>
    <m/>
    <m/>
    <m/>
    <m/>
    <n v="4053900"/>
    <m/>
    <n v="4053900"/>
    <n v="4496496"/>
    <m/>
    <n v="4496496"/>
    <n v="5359801"/>
    <n v="5802397"/>
    <m/>
    <m/>
    <m/>
    <m/>
    <n v="0"/>
    <m/>
    <m/>
    <n v="0"/>
    <m/>
    <m/>
    <m/>
    <m/>
    <m/>
    <m/>
    <n v="5359801"/>
    <n v="5802397"/>
  </r>
  <r>
    <x v="11"/>
    <x v="0"/>
    <s v="Fringe Benefits"/>
    <m/>
    <n v="218706"/>
    <x v="8"/>
    <n v="268452"/>
    <n v="263664"/>
    <m/>
    <m/>
    <m/>
    <m/>
    <m/>
    <m/>
    <n v="0"/>
    <m/>
    <m/>
    <n v="0"/>
    <n v="268452"/>
    <n v="263664"/>
    <m/>
    <m/>
    <m/>
    <m/>
    <n v="0"/>
    <m/>
    <m/>
    <n v="0"/>
    <m/>
    <m/>
    <m/>
    <m/>
    <m/>
    <m/>
    <n v="268452"/>
    <n v="263664"/>
  </r>
  <r>
    <x v="11"/>
    <x v="0"/>
    <s v="Other Operating Expenses"/>
    <m/>
    <n v="218706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706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arity Funding"/>
    <s v="will be deleted after 2019-20"/>
    <n v="218706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Academic Endowment"/>
    <m/>
    <n v="218706"/>
    <x v="8"/>
    <m/>
    <m/>
    <n v="223"/>
    <n v="223"/>
    <m/>
    <m/>
    <m/>
    <m/>
    <n v="0"/>
    <m/>
    <m/>
    <n v="0"/>
    <n v="223"/>
    <n v="223"/>
    <m/>
    <m/>
    <m/>
    <m/>
    <n v="0"/>
    <m/>
    <m/>
    <n v="0"/>
    <m/>
    <m/>
    <m/>
    <m/>
    <m/>
    <m/>
    <n v="223"/>
    <n v="223"/>
  </r>
  <r>
    <x v="11"/>
    <x v="8"/>
    <s v="Lottery Technology (NR)"/>
    <m/>
    <n v="218706"/>
    <x v="8"/>
    <m/>
    <m/>
    <n v="145010"/>
    <n v="145010"/>
    <m/>
    <m/>
    <m/>
    <m/>
    <n v="0"/>
    <m/>
    <m/>
    <n v="0"/>
    <n v="145010"/>
    <n v="145010"/>
    <m/>
    <m/>
    <m/>
    <m/>
    <n v="0"/>
    <m/>
    <m/>
    <n v="0"/>
    <m/>
    <m/>
    <m/>
    <m/>
    <m/>
    <m/>
    <n v="145010"/>
    <n v="145010"/>
  </r>
  <r>
    <x v="11"/>
    <x v="8"/>
    <s v="Nursing Program Technology Upgrades"/>
    <m/>
    <n v="218706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0"/>
    <s v="Williamsburg Technical College "/>
    <m/>
    <n v="218955"/>
    <x v="8"/>
    <n v="2217220"/>
    <n v="2340281"/>
    <m/>
    <m/>
    <n v="1047471"/>
    <n v="1085415"/>
    <n v="3019346"/>
    <m/>
    <n v="3019346"/>
    <n v="2451337"/>
    <m/>
    <n v="2451337"/>
    <n v="6284037"/>
    <n v="5877033"/>
    <m/>
    <m/>
    <m/>
    <m/>
    <n v="0"/>
    <m/>
    <m/>
    <n v="0"/>
    <m/>
    <m/>
    <m/>
    <m/>
    <m/>
    <m/>
    <n v="6284037"/>
    <n v="5877033"/>
  </r>
  <r>
    <x v="11"/>
    <x v="0"/>
    <s v="Personnel Services"/>
    <m/>
    <n v="218955"/>
    <x v="8"/>
    <n v="36369"/>
    <m/>
    <m/>
    <m/>
    <m/>
    <m/>
    <m/>
    <m/>
    <n v="0"/>
    <m/>
    <m/>
    <n v="0"/>
    <n v="36369"/>
    <n v="0"/>
    <m/>
    <m/>
    <m/>
    <m/>
    <n v="0"/>
    <m/>
    <m/>
    <n v="0"/>
    <m/>
    <m/>
    <m/>
    <m/>
    <m/>
    <m/>
    <n v="36369"/>
    <n v="0"/>
  </r>
  <r>
    <x v="11"/>
    <x v="0"/>
    <s v="Cost of Living Increase"/>
    <m/>
    <n v="218955"/>
    <x v="8"/>
    <n v="22074"/>
    <m/>
    <m/>
    <m/>
    <m/>
    <m/>
    <m/>
    <m/>
    <n v="0"/>
    <m/>
    <m/>
    <n v="0"/>
    <n v="22074"/>
    <n v="0"/>
    <m/>
    <m/>
    <m/>
    <m/>
    <n v="0"/>
    <m/>
    <m/>
    <n v="0"/>
    <m/>
    <m/>
    <m/>
    <m/>
    <m/>
    <m/>
    <n v="22074"/>
    <n v="0"/>
  </r>
  <r>
    <x v="11"/>
    <x v="0"/>
    <s v="Other Operating Expenses"/>
    <m/>
    <n v="21895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Special Line items for education operations"/>
    <m/>
    <n v="21895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Critical Needs Workforce"/>
    <m/>
    <n v="218955"/>
    <x v="8"/>
    <m/>
    <m/>
    <n v="29968"/>
    <n v="31186"/>
    <m/>
    <m/>
    <m/>
    <m/>
    <n v="0"/>
    <m/>
    <m/>
    <n v="0"/>
    <n v="29968"/>
    <n v="31186"/>
    <m/>
    <m/>
    <m/>
    <m/>
    <n v="0"/>
    <m/>
    <m/>
    <n v="0"/>
    <m/>
    <m/>
    <m/>
    <m/>
    <m/>
    <m/>
    <n v="29968"/>
    <n v="31186"/>
  </r>
  <r>
    <x v="11"/>
    <x v="8"/>
    <s v="Critical Needs Nursing Initiative"/>
    <m/>
    <n v="218955"/>
    <x v="8"/>
    <m/>
    <m/>
    <n v="8270"/>
    <n v="9648"/>
    <m/>
    <m/>
    <m/>
    <m/>
    <n v="0"/>
    <m/>
    <m/>
    <n v="0"/>
    <n v="8270"/>
    <n v="9648"/>
    <m/>
    <m/>
    <m/>
    <m/>
    <n v="0"/>
    <m/>
    <m/>
    <n v="0"/>
    <m/>
    <m/>
    <m/>
    <m/>
    <m/>
    <m/>
    <n v="8270"/>
    <n v="9648"/>
  </r>
  <r>
    <x v="11"/>
    <x v="8"/>
    <s v="Workforce Scholarships &amp; Grants"/>
    <m/>
    <n v="218955"/>
    <x v="8"/>
    <m/>
    <m/>
    <n v="178744"/>
    <n v="183066"/>
    <m/>
    <m/>
    <m/>
    <m/>
    <n v="0"/>
    <m/>
    <m/>
    <n v="0"/>
    <n v="178744"/>
    <n v="183066"/>
    <m/>
    <m/>
    <m/>
    <m/>
    <n v="0"/>
    <m/>
    <m/>
    <n v="0"/>
    <m/>
    <m/>
    <m/>
    <m/>
    <m/>
    <m/>
    <n v="178744"/>
    <n v="183066"/>
  </r>
  <r>
    <x v="11"/>
    <x v="8"/>
    <s v="Pathways to Prosperity"/>
    <m/>
    <n v="218955"/>
    <x v="8"/>
    <m/>
    <m/>
    <n v="37784"/>
    <n v="37784"/>
    <m/>
    <m/>
    <m/>
    <m/>
    <n v="0"/>
    <m/>
    <m/>
    <n v="0"/>
    <n v="37784"/>
    <n v="37784"/>
    <m/>
    <m/>
    <m/>
    <m/>
    <n v="0"/>
    <m/>
    <m/>
    <n v="0"/>
    <m/>
    <m/>
    <m/>
    <m/>
    <m/>
    <m/>
    <n v="37784"/>
    <n v="37784"/>
  </r>
  <r>
    <x v="11"/>
    <x v="8"/>
    <s v="Lottery Technology (NR)"/>
    <m/>
    <n v="218955"/>
    <x v="8"/>
    <m/>
    <m/>
    <n v="77319"/>
    <n v="77319"/>
    <m/>
    <m/>
    <m/>
    <m/>
    <n v="0"/>
    <m/>
    <m/>
    <n v="0"/>
    <n v="77319"/>
    <n v="77319"/>
    <m/>
    <m/>
    <m/>
    <m/>
    <n v="0"/>
    <m/>
    <m/>
    <n v="0"/>
    <m/>
    <m/>
    <m/>
    <m/>
    <m/>
    <m/>
    <n v="77319"/>
    <n v="77319"/>
  </r>
  <r>
    <x v="11"/>
    <x v="8"/>
    <s v="STEM Program Ext/Workforce Pathways"/>
    <m/>
    <n v="218955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8"/>
    <s v="Promise Scholarship Program"/>
    <m/>
    <n v="218955"/>
    <x v="8"/>
    <m/>
    <m/>
    <n v="300000"/>
    <n v="300000"/>
    <m/>
    <m/>
    <m/>
    <m/>
    <n v="0"/>
    <m/>
    <m/>
    <n v="0"/>
    <n v="300000"/>
    <n v="300000"/>
    <m/>
    <m/>
    <m/>
    <m/>
    <n v="0"/>
    <m/>
    <m/>
    <n v="0"/>
    <m/>
    <m/>
    <m/>
    <m/>
    <m/>
    <m/>
    <n v="300000"/>
    <n v="300000"/>
  </r>
  <r>
    <x v="11"/>
    <x v="38"/>
    <s v="Medical University of South Carolina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47406951"/>
    <n v="47406951"/>
    <n v="87336515"/>
    <n v="2469524"/>
    <n v="94335528"/>
    <n v="4804575"/>
    <n v="134743466"/>
    <n v="141742479"/>
  </r>
  <r>
    <x v="11"/>
    <x v="38"/>
    <s v="Fringe Benefits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20151274"/>
    <n v="19933020"/>
    <m/>
    <m/>
    <m/>
    <m/>
    <n v="20151274"/>
    <n v="19933020"/>
  </r>
  <r>
    <x v="11"/>
    <x v="38"/>
    <s v="E&amp;G Other-Operating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7550000"/>
    <n v="7550000"/>
    <m/>
    <m/>
    <m/>
    <m/>
    <n v="7550000"/>
    <n v="7550000"/>
  </r>
  <r>
    <x v="11"/>
    <x v="38"/>
    <s v="Academic Endowment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37395"/>
    <n v="37395"/>
    <m/>
    <m/>
    <m/>
    <m/>
    <n v="37395"/>
    <n v="37395"/>
  </r>
  <r>
    <x v="11"/>
    <x v="38"/>
    <s v="Hypertension Initiative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240433"/>
    <n v="240433"/>
    <m/>
    <m/>
    <m/>
    <m/>
    <n v="240433"/>
    <n v="240433"/>
  </r>
  <r>
    <x v="11"/>
    <x v="38"/>
    <s v="Diabetes Center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123470"/>
    <n v="123470"/>
    <m/>
    <m/>
    <m/>
    <m/>
    <n v="123470"/>
    <n v="123470"/>
  </r>
  <r>
    <x v="11"/>
    <x v="38"/>
    <s v="Rural Dentists Incentive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176101"/>
    <n v="176101"/>
    <m/>
    <m/>
    <m/>
    <m/>
    <n v="176101"/>
    <n v="176101"/>
  </r>
  <r>
    <x v="11"/>
    <x v="38"/>
    <s v="Institute of Medicine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100000"/>
    <n v="100000"/>
    <m/>
    <m/>
    <m/>
    <m/>
    <n v="100000"/>
    <n v="100000"/>
  </r>
  <r>
    <x v="11"/>
    <x v="38"/>
    <s v="Hospital Authority-Telemedicine Program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6225000"/>
    <n v="6225000"/>
    <m/>
    <m/>
    <m/>
    <m/>
    <n v="6225000"/>
    <n v="6225000"/>
  </r>
  <r>
    <x v="11"/>
    <x v="38"/>
    <s v="Hospital Authority-Pediatric Burn Unit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8"/>
    <s v="AHEC-Administration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2447393"/>
    <n v="2447393"/>
    <m/>
    <m/>
    <m/>
    <m/>
    <n v="2447393"/>
    <n v="2447393"/>
  </r>
  <r>
    <x v="11"/>
    <x v="38"/>
    <s v="AHEC-Fringe Benefits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1634290"/>
    <n v="1629462"/>
    <m/>
    <m/>
    <m/>
    <m/>
    <n v="1634290"/>
    <n v="1629462"/>
  </r>
  <r>
    <x v="11"/>
    <x v="38"/>
    <s v="AHEC-Operating Expenses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1744535"/>
    <n v="1744535"/>
    <m/>
    <m/>
    <m/>
    <m/>
    <n v="1744535"/>
    <n v="1744535"/>
  </r>
  <r>
    <x v="11"/>
    <x v="38"/>
    <s v="AHEC-Health Professions Rural Infrastructure Program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400000"/>
    <n v="400000"/>
    <m/>
    <m/>
    <m/>
    <m/>
    <n v="400000"/>
    <n v="400000"/>
  </r>
  <r>
    <x v="11"/>
    <x v="38"/>
    <s v="AHEC-Rural Physicans Program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868847"/>
    <n v="868847"/>
    <m/>
    <m/>
    <m/>
    <m/>
    <n v="868847"/>
    <n v="868847"/>
  </r>
  <r>
    <x v="11"/>
    <x v="38"/>
    <s v="AHEC-Nursing Recruitment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20000"/>
    <n v="20000"/>
    <m/>
    <m/>
    <m/>
    <m/>
    <n v="20000"/>
    <n v="20000"/>
  </r>
  <r>
    <x v="11"/>
    <x v="38"/>
    <s v="Hospital Authority-Adult Burn Unit"/>
    <m/>
    <n v="218335"/>
    <x v="11"/>
    <m/>
    <m/>
    <m/>
    <m/>
    <m/>
    <m/>
    <m/>
    <m/>
    <n v="0"/>
    <m/>
    <m/>
    <n v="0"/>
    <n v="0"/>
    <n v="0"/>
    <m/>
    <m/>
    <m/>
    <m/>
    <n v="0"/>
    <m/>
    <m/>
    <n v="0"/>
    <n v="3000000"/>
    <n v="3000000"/>
    <m/>
    <m/>
    <m/>
    <m/>
    <n v="3000000"/>
    <n v="3000000"/>
  </r>
  <r>
    <x v="11"/>
    <x v="13"/>
    <s v="Educational special purpose funds —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3"/>
    <s v="Greenville Tech-Univ Center"/>
    <m/>
    <m/>
    <x v="12"/>
    <m/>
    <m/>
    <n v="594390"/>
    <n v="594390"/>
    <m/>
    <m/>
    <m/>
    <m/>
    <n v="0"/>
    <m/>
    <m/>
    <n v="0"/>
    <n v="594390"/>
    <n v="594390"/>
    <m/>
    <m/>
    <m/>
    <m/>
    <n v="0"/>
    <m/>
    <m/>
    <n v="0"/>
    <m/>
    <m/>
    <m/>
    <m/>
    <m/>
    <m/>
    <n v="594390"/>
    <n v="594390"/>
  </r>
  <r>
    <x v="11"/>
    <x v="13"/>
    <s v="Greenville Center Operating Cost"/>
    <m/>
    <m/>
    <x v="12"/>
    <m/>
    <m/>
    <n v="1084899"/>
    <n v="1084899"/>
    <m/>
    <m/>
    <m/>
    <m/>
    <n v="0"/>
    <m/>
    <m/>
    <n v="0"/>
    <n v="1084899"/>
    <n v="1084899"/>
    <m/>
    <m/>
    <m/>
    <m/>
    <n v="0"/>
    <m/>
    <m/>
    <n v="0"/>
    <m/>
    <m/>
    <m/>
    <m/>
    <m/>
    <m/>
    <n v="1084899"/>
    <n v="1084899"/>
  </r>
  <r>
    <x v="11"/>
    <x v="13"/>
    <s v="GEARU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3"/>
    <s v="Statewide Electronic Library Supplemental (Lottery)"/>
    <m/>
    <m/>
    <x v="12"/>
    <m/>
    <m/>
    <n v="1500000"/>
    <n v="1500000"/>
    <m/>
    <m/>
    <m/>
    <m/>
    <n v="0"/>
    <m/>
    <m/>
    <n v="0"/>
    <n v="1500000"/>
    <n v="1500000"/>
    <m/>
    <m/>
    <m/>
    <m/>
    <n v="0"/>
    <m/>
    <m/>
    <n v="0"/>
    <m/>
    <m/>
    <m/>
    <m/>
    <m/>
    <m/>
    <n v="1500000"/>
    <n v="1500000"/>
  </r>
  <r>
    <x v="11"/>
    <x v="13"/>
    <s v="Experimental Program for the Stimulation of Competitive Research (EPSCOR) Constorium"/>
    <m/>
    <m/>
    <x v="12"/>
    <m/>
    <m/>
    <n v="1279330"/>
    <n v="1279330"/>
    <m/>
    <m/>
    <m/>
    <m/>
    <n v="0"/>
    <m/>
    <m/>
    <n v="0"/>
    <n v="1279330"/>
    <n v="1279330"/>
    <m/>
    <m/>
    <m/>
    <m/>
    <n v="0"/>
    <m/>
    <m/>
    <n v="0"/>
    <m/>
    <m/>
    <m/>
    <m/>
    <m/>
    <m/>
    <n v="1279330"/>
    <n v="1279330"/>
  </r>
  <r>
    <x v="11"/>
    <x v="13"/>
    <s v="African American Loan Program"/>
    <m/>
    <m/>
    <x v="12"/>
    <m/>
    <m/>
    <n v="31376"/>
    <n v="31376"/>
    <m/>
    <m/>
    <m/>
    <m/>
    <n v="0"/>
    <m/>
    <m/>
    <n v="0"/>
    <n v="31376"/>
    <n v="31376"/>
    <m/>
    <m/>
    <m/>
    <m/>
    <n v="0"/>
    <m/>
    <m/>
    <n v="0"/>
    <m/>
    <m/>
    <m/>
    <m/>
    <m/>
    <m/>
    <n v="31376"/>
    <n v="31376"/>
  </r>
  <r>
    <x v="11"/>
    <x v="13"/>
    <s v="CHE - Technology Security and Technology Upgrades (Lottery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5"/>
    <s v="SC Commission on H.Ed."/>
    <m/>
    <m/>
    <x v="12"/>
    <m/>
    <m/>
    <m/>
    <m/>
    <m/>
    <m/>
    <m/>
    <m/>
    <n v="0"/>
    <m/>
    <m/>
    <n v="0"/>
    <n v="0"/>
    <n v="0"/>
    <n v="2697800"/>
    <n v="2697800"/>
    <m/>
    <m/>
    <n v="0"/>
    <m/>
    <m/>
    <n v="0"/>
    <m/>
    <m/>
    <m/>
    <m/>
    <m/>
    <m/>
    <n v="2697800"/>
    <n v="2697800"/>
  </r>
  <r>
    <x v="11"/>
    <x v="15"/>
    <s v="Education &amp; Economic Development Act"/>
    <m/>
    <m/>
    <x v="12"/>
    <m/>
    <m/>
    <m/>
    <m/>
    <m/>
    <m/>
    <m/>
    <m/>
    <n v="0"/>
    <m/>
    <m/>
    <n v="0"/>
    <n v="0"/>
    <n v="0"/>
    <n v="1180576"/>
    <n v="1180576"/>
    <m/>
    <m/>
    <n v="0"/>
    <m/>
    <m/>
    <n v="0"/>
    <m/>
    <m/>
    <m/>
    <m/>
    <m/>
    <m/>
    <n v="1180576"/>
    <n v="1180576"/>
  </r>
  <r>
    <x v="11"/>
    <x v="15"/>
    <s v="Statewide Electronic Library-Admin"/>
    <m/>
    <m/>
    <x v="12"/>
    <m/>
    <m/>
    <m/>
    <m/>
    <m/>
    <m/>
    <m/>
    <m/>
    <n v="0"/>
    <m/>
    <m/>
    <n v="0"/>
    <n v="0"/>
    <n v="0"/>
    <n v="164289"/>
    <n v="164289"/>
    <m/>
    <m/>
    <n v="0"/>
    <m/>
    <m/>
    <n v="0"/>
    <m/>
    <m/>
    <m/>
    <m/>
    <m/>
    <m/>
    <n v="164289"/>
    <n v="164289"/>
  </r>
  <r>
    <x v="11"/>
    <x v="15"/>
    <s v="National Guard Tuition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6"/>
    <s v="SC Tech College System"/>
    <m/>
    <m/>
    <x v="12"/>
    <m/>
    <m/>
    <m/>
    <m/>
    <m/>
    <m/>
    <m/>
    <m/>
    <n v="0"/>
    <m/>
    <m/>
    <n v="0"/>
    <n v="0"/>
    <n v="0"/>
    <n v="3346587"/>
    <n v="3346587"/>
    <m/>
    <m/>
    <n v="0"/>
    <m/>
    <m/>
    <n v="0"/>
    <m/>
    <m/>
    <m/>
    <m/>
    <m/>
    <m/>
    <n v="3346587"/>
    <n v="3346587"/>
  </r>
  <r>
    <x v="11"/>
    <x v="16"/>
    <s v="Other Operating Expenses"/>
    <m/>
    <m/>
    <x v="12"/>
    <m/>
    <m/>
    <m/>
    <m/>
    <m/>
    <m/>
    <m/>
    <m/>
    <n v="0"/>
    <m/>
    <m/>
    <n v="0"/>
    <n v="0"/>
    <n v="0"/>
    <n v="1271527"/>
    <n v="1271527"/>
    <m/>
    <m/>
    <n v="0"/>
    <m/>
    <m/>
    <n v="0"/>
    <m/>
    <m/>
    <m/>
    <m/>
    <m/>
    <m/>
    <n v="1271527"/>
    <n v="1271527"/>
  </r>
  <r>
    <x v="11"/>
    <x v="16"/>
    <s v="SC Tech College System-Fringe Benefits"/>
    <m/>
    <m/>
    <x v="12"/>
    <m/>
    <m/>
    <m/>
    <m/>
    <m/>
    <m/>
    <m/>
    <m/>
    <n v="0"/>
    <m/>
    <m/>
    <n v="0"/>
    <n v="0"/>
    <n v="0"/>
    <n v="7255618"/>
    <n v="5779253"/>
    <m/>
    <m/>
    <n v="0"/>
    <m/>
    <m/>
    <n v="0"/>
    <m/>
    <m/>
    <m/>
    <m/>
    <m/>
    <m/>
    <n v="7255618"/>
    <n v="5779253"/>
  </r>
  <r>
    <x v="11"/>
    <x v="16"/>
    <s v="SBTCE Special Schools (Economic Development)"/>
    <m/>
    <m/>
    <x v="12"/>
    <m/>
    <m/>
    <m/>
    <m/>
    <m/>
    <m/>
    <m/>
    <m/>
    <n v="0"/>
    <m/>
    <m/>
    <n v="0"/>
    <n v="0"/>
    <n v="0"/>
    <n v="8459986"/>
    <n v="8279986"/>
    <m/>
    <m/>
    <n v="0"/>
    <m/>
    <m/>
    <n v="0"/>
    <m/>
    <m/>
    <m/>
    <m/>
    <m/>
    <m/>
    <n v="8459986"/>
    <n v="8279986"/>
  </r>
  <r>
    <x v="11"/>
    <x v="16"/>
    <s v="System Wide Programs"/>
    <m/>
    <m/>
    <x v="12"/>
    <m/>
    <m/>
    <m/>
    <m/>
    <m/>
    <m/>
    <m/>
    <m/>
    <n v="0"/>
    <m/>
    <m/>
    <n v="0"/>
    <n v="0"/>
    <n v="0"/>
    <n v="2500000"/>
    <n v="2500000"/>
    <m/>
    <m/>
    <n v="0"/>
    <m/>
    <m/>
    <n v="0"/>
    <m/>
    <m/>
    <m/>
    <m/>
    <m/>
    <m/>
    <n v="2500000"/>
    <n v="2500000"/>
  </r>
  <r>
    <x v="11"/>
    <x v="17"/>
    <s v="SBTCE CAT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7"/>
    <s v="Priority Initiativ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7"/>
    <s v="SREB"/>
    <m/>
    <m/>
    <x v="12"/>
    <m/>
    <m/>
    <m/>
    <m/>
    <m/>
    <m/>
    <m/>
    <m/>
    <n v="0"/>
    <m/>
    <m/>
    <n v="0"/>
    <n v="0"/>
    <n v="0"/>
    <n v="205427"/>
    <n v="208508"/>
    <m/>
    <m/>
    <n v="0"/>
    <m/>
    <m/>
    <n v="0"/>
    <m/>
    <m/>
    <m/>
    <m/>
    <m/>
    <m/>
    <n v="205427"/>
    <n v="208508"/>
  </r>
  <r>
    <x v="11"/>
    <x v="18"/>
    <s v="Adm. of Statewide Student Aid Progs. (incld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19"/>
    <s v="Higher Education Excellence Enhancement Program (Lottery)"/>
    <m/>
    <m/>
    <x v="12"/>
    <m/>
    <m/>
    <m/>
    <m/>
    <m/>
    <m/>
    <m/>
    <m/>
    <n v="0"/>
    <m/>
    <m/>
    <n v="0"/>
    <n v="0"/>
    <n v="0"/>
    <n v="8000000"/>
    <n v="5397754"/>
    <m/>
    <m/>
    <n v="0"/>
    <m/>
    <m/>
    <n v="0"/>
    <m/>
    <m/>
    <m/>
    <m/>
    <m/>
    <m/>
    <n v="8000000"/>
    <n v="5397754"/>
  </r>
  <r>
    <x v="11"/>
    <x v="19"/>
    <s v="Other Private Institutions(Lottery)"/>
    <m/>
    <m/>
    <x v="12"/>
    <m/>
    <m/>
    <m/>
    <m/>
    <m/>
    <m/>
    <m/>
    <m/>
    <n v="0"/>
    <m/>
    <m/>
    <n v="0"/>
    <n v="0"/>
    <n v="0"/>
    <n v="300000"/>
    <n v="300000"/>
    <m/>
    <m/>
    <n v="0"/>
    <m/>
    <m/>
    <n v="0"/>
    <m/>
    <m/>
    <m/>
    <m/>
    <m/>
    <m/>
    <n v="300000"/>
    <n v="300000"/>
  </r>
  <r>
    <x v="11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40"/>
    <s v="Tuskegee University (Veterinary Medicine)"/>
    <m/>
    <m/>
    <x v="12"/>
    <m/>
    <m/>
    <m/>
    <m/>
    <m/>
    <m/>
    <m/>
    <m/>
    <n v="0"/>
    <m/>
    <m/>
    <n v="0"/>
    <n v="0"/>
    <n v="0"/>
    <n v="234500"/>
    <n v="402000"/>
    <m/>
    <m/>
    <n v="0"/>
    <m/>
    <m/>
    <n v="0"/>
    <m/>
    <m/>
    <m/>
    <m/>
    <m/>
    <m/>
    <n v="234500"/>
    <n v="402000"/>
  </r>
  <r>
    <x v="11"/>
    <x v="40"/>
    <s v="Southern College of Optometry"/>
    <m/>
    <m/>
    <x v="12"/>
    <m/>
    <m/>
    <m/>
    <m/>
    <m/>
    <m/>
    <m/>
    <m/>
    <n v="0"/>
    <m/>
    <m/>
    <n v="0"/>
    <n v="0"/>
    <n v="0"/>
    <n v="153600"/>
    <n v="153600"/>
    <m/>
    <m/>
    <n v="0"/>
    <m/>
    <m/>
    <n v="0"/>
    <m/>
    <m/>
    <m/>
    <m/>
    <m/>
    <m/>
    <n v="153600"/>
    <n v="153600"/>
  </r>
  <r>
    <x v="11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41"/>
    <s v="University of Alabama at Birmingham (Optometry)"/>
    <m/>
    <m/>
    <x v="12"/>
    <m/>
    <m/>
    <m/>
    <m/>
    <m/>
    <m/>
    <m/>
    <m/>
    <n v="0"/>
    <m/>
    <m/>
    <n v="0"/>
    <n v="0"/>
    <n v="0"/>
    <n v="115200"/>
    <n v="115200"/>
    <m/>
    <m/>
    <n v="0"/>
    <m/>
    <m/>
    <n v="0"/>
    <m/>
    <m/>
    <m/>
    <m/>
    <m/>
    <m/>
    <n v="115200"/>
    <n v="115200"/>
  </r>
  <r>
    <x v="11"/>
    <x v="41"/>
    <s v="University of Georgia (Veterinary Medicine)"/>
    <m/>
    <m/>
    <x v="12"/>
    <m/>
    <m/>
    <m/>
    <m/>
    <m/>
    <m/>
    <m/>
    <m/>
    <n v="0"/>
    <m/>
    <m/>
    <n v="0"/>
    <n v="0"/>
    <n v="0"/>
    <n v="2278000"/>
    <n v="2278000"/>
    <m/>
    <m/>
    <n v="0"/>
    <m/>
    <m/>
    <n v="0"/>
    <m/>
    <m/>
    <m/>
    <m/>
    <m/>
    <m/>
    <n v="2278000"/>
    <n v="2278000"/>
  </r>
  <r>
    <x v="11"/>
    <x v="41"/>
    <s v="Mississippi State University (Veterinary Medicine)"/>
    <m/>
    <m/>
    <x v="12"/>
    <m/>
    <m/>
    <m/>
    <m/>
    <m/>
    <m/>
    <m/>
    <m/>
    <n v="0"/>
    <m/>
    <m/>
    <n v="0"/>
    <n v="0"/>
    <n v="0"/>
    <n v="653250"/>
    <n v="670000"/>
    <m/>
    <m/>
    <n v="0"/>
    <m/>
    <m/>
    <n v="0"/>
    <m/>
    <m/>
    <m/>
    <m/>
    <m/>
    <m/>
    <n v="653250"/>
    <n v="670000"/>
  </r>
  <r>
    <x v="11"/>
    <x v="41"/>
    <s v="University of Pikeville - Optometry"/>
    <m/>
    <m/>
    <x v="12"/>
    <m/>
    <m/>
    <m/>
    <m/>
    <m/>
    <m/>
    <m/>
    <m/>
    <n v="0"/>
    <m/>
    <m/>
    <n v="0"/>
    <n v="0"/>
    <n v="0"/>
    <n v="57600"/>
    <n v="48400"/>
    <m/>
    <m/>
    <n v="0"/>
    <m/>
    <m/>
    <n v="0"/>
    <m/>
    <m/>
    <m/>
    <m/>
    <m/>
    <m/>
    <n v="57600"/>
    <n v="48400"/>
  </r>
  <r>
    <x v="11"/>
    <x v="20"/>
    <s v="Other 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0"/>
    <s v="Doctoral Scholars Program"/>
    <m/>
    <m/>
    <x v="12"/>
    <m/>
    <m/>
    <m/>
    <m/>
    <m/>
    <m/>
    <m/>
    <m/>
    <n v="0"/>
    <m/>
    <m/>
    <n v="0"/>
    <n v="0"/>
    <n v="0"/>
    <n v="375000"/>
    <n v="375000"/>
    <m/>
    <m/>
    <n v="0"/>
    <m/>
    <m/>
    <n v="0"/>
    <m/>
    <m/>
    <m/>
    <m/>
    <m/>
    <m/>
    <n v="375000"/>
    <n v="375000"/>
  </r>
  <r>
    <x v="11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2"/>
    <s v="Life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7"/>
    <s v="Non need-based"/>
    <m/>
    <m/>
    <x v="12"/>
    <m/>
    <m/>
    <m/>
    <m/>
    <m/>
    <m/>
    <m/>
    <m/>
    <n v="0"/>
    <m/>
    <m/>
    <n v="0"/>
    <n v="0"/>
    <n v="0"/>
    <n v="185132193"/>
    <n v="186220234"/>
    <m/>
    <m/>
    <n v="0"/>
    <m/>
    <m/>
    <n v="0"/>
    <m/>
    <m/>
    <m/>
    <m/>
    <m/>
    <m/>
    <n v="185132193"/>
    <n v="186220234"/>
  </r>
  <r>
    <x v="1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9"/>
    <s v="Non need-based"/>
    <m/>
    <m/>
    <x v="12"/>
    <m/>
    <m/>
    <m/>
    <m/>
    <m/>
    <m/>
    <m/>
    <m/>
    <n v="0"/>
    <m/>
    <m/>
    <n v="0"/>
    <n v="0"/>
    <n v="0"/>
    <n v="35235762"/>
    <n v="34128566"/>
    <m/>
    <m/>
    <n v="0"/>
    <m/>
    <m/>
    <n v="0"/>
    <m/>
    <m/>
    <m/>
    <m/>
    <m/>
    <m/>
    <n v="35235762"/>
    <n v="34128566"/>
  </r>
  <r>
    <x v="11"/>
    <x v="22"/>
    <s v="Lottery Tuition Assistance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7"/>
    <s v="Non need-based"/>
    <m/>
    <m/>
    <x v="12"/>
    <m/>
    <m/>
    <m/>
    <m/>
    <m/>
    <m/>
    <m/>
    <m/>
    <n v="0"/>
    <m/>
    <m/>
    <n v="0"/>
    <n v="0"/>
    <n v="0"/>
    <n v="48160054"/>
    <n v="58425711"/>
    <m/>
    <m/>
    <n v="0"/>
    <m/>
    <m/>
    <n v="0"/>
    <m/>
    <m/>
    <m/>
    <m/>
    <m/>
    <m/>
    <n v="48160054"/>
    <n v="58425711"/>
  </r>
  <r>
    <x v="1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9"/>
    <s v="Non need-based"/>
    <m/>
    <m/>
    <x v="12"/>
    <m/>
    <m/>
    <m/>
    <m/>
    <m/>
    <m/>
    <m/>
    <m/>
    <n v="0"/>
    <m/>
    <m/>
    <n v="0"/>
    <n v="0"/>
    <n v="0"/>
    <n v="543777"/>
    <n v="695502"/>
    <m/>
    <m/>
    <n v="0"/>
    <m/>
    <m/>
    <n v="0"/>
    <m/>
    <m/>
    <m/>
    <m/>
    <m/>
    <m/>
    <n v="543777"/>
    <n v="695502"/>
  </r>
  <r>
    <x v="11"/>
    <x v="22"/>
    <s v="  Palmetto Fellows Scholarship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7"/>
    <s v="Non need-based"/>
    <m/>
    <m/>
    <x v="12"/>
    <m/>
    <m/>
    <m/>
    <m/>
    <m/>
    <m/>
    <m/>
    <m/>
    <n v="0"/>
    <m/>
    <m/>
    <n v="0"/>
    <n v="0"/>
    <n v="0"/>
    <n v="62744878"/>
    <n v="65552435"/>
    <m/>
    <m/>
    <n v="0"/>
    <m/>
    <m/>
    <n v="0"/>
    <m/>
    <m/>
    <m/>
    <m/>
    <m/>
    <m/>
    <n v="62744878"/>
    <n v="65552435"/>
  </r>
  <r>
    <x v="1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9"/>
    <s v="Non need-based"/>
    <m/>
    <m/>
    <x v="12"/>
    <m/>
    <m/>
    <m/>
    <m/>
    <m/>
    <m/>
    <m/>
    <m/>
    <n v="0"/>
    <m/>
    <m/>
    <n v="0"/>
    <n v="0"/>
    <n v="0"/>
    <n v="11975115"/>
    <n v="10852194"/>
    <m/>
    <m/>
    <n v="0"/>
    <m/>
    <m/>
    <n v="0"/>
    <m/>
    <m/>
    <m/>
    <m/>
    <m/>
    <m/>
    <n v="11975115"/>
    <n v="10852194"/>
  </r>
  <r>
    <x v="11"/>
    <x v="22"/>
    <s v="SC HOPE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7"/>
    <s v="Non need-based"/>
    <m/>
    <m/>
    <x v="12"/>
    <m/>
    <m/>
    <m/>
    <m/>
    <m/>
    <m/>
    <m/>
    <m/>
    <n v="0"/>
    <m/>
    <m/>
    <n v="0"/>
    <n v="0"/>
    <n v="0"/>
    <n v="6609189"/>
    <n v="6824901"/>
    <m/>
    <m/>
    <n v="0"/>
    <m/>
    <m/>
    <n v="0"/>
    <m/>
    <m/>
    <m/>
    <m/>
    <m/>
    <m/>
    <n v="6609189"/>
    <n v="6824901"/>
  </r>
  <r>
    <x v="1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9"/>
    <s v="Non need-based"/>
    <m/>
    <m/>
    <x v="12"/>
    <m/>
    <m/>
    <m/>
    <m/>
    <m/>
    <m/>
    <m/>
    <m/>
    <n v="0"/>
    <m/>
    <m/>
    <n v="0"/>
    <n v="0"/>
    <n v="0"/>
    <n v="3133554"/>
    <n v="3314663"/>
    <m/>
    <m/>
    <n v="0"/>
    <m/>
    <m/>
    <n v="0"/>
    <m/>
    <m/>
    <m/>
    <m/>
    <m/>
    <m/>
    <n v="3133554"/>
    <n v="3314663"/>
  </r>
  <r>
    <x v="11"/>
    <x v="22"/>
    <s v="SC Need-Based Gra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2"/>
    <m/>
    <m/>
    <m/>
    <m/>
    <m/>
    <m/>
    <m/>
    <m/>
    <n v="0"/>
    <m/>
    <m/>
    <n v="0"/>
    <n v="0"/>
    <n v="0"/>
    <n v="25167132"/>
    <n v="25779573"/>
    <m/>
    <m/>
    <n v="0"/>
    <m/>
    <m/>
    <n v="0"/>
    <m/>
    <m/>
    <m/>
    <m/>
    <m/>
    <m/>
    <n v="25167132"/>
    <n v="25779573"/>
  </r>
  <r>
    <x v="11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2"/>
    <m/>
    <m/>
    <m/>
    <m/>
    <m/>
    <m/>
    <m/>
    <m/>
    <n v="0"/>
    <m/>
    <m/>
    <n v="0"/>
    <n v="0"/>
    <n v="0"/>
    <n v="5359686"/>
    <n v="5305562"/>
    <m/>
    <m/>
    <n v="0"/>
    <m/>
    <m/>
    <n v="0"/>
    <m/>
    <m/>
    <m/>
    <m/>
    <m/>
    <m/>
    <n v="5359686"/>
    <n v="5305562"/>
  </r>
  <r>
    <x v="11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2"/>
    <s v="National Guard College Assistance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7"/>
    <s v="Non need-based"/>
    <m/>
    <m/>
    <x v="12"/>
    <m/>
    <m/>
    <m/>
    <m/>
    <m/>
    <m/>
    <m/>
    <m/>
    <n v="0"/>
    <m/>
    <m/>
    <n v="0"/>
    <n v="0"/>
    <n v="0"/>
    <n v="1735174.75"/>
    <n v="2055002.5"/>
    <m/>
    <m/>
    <n v="0"/>
    <m/>
    <m/>
    <n v="0"/>
    <m/>
    <m/>
    <m/>
    <m/>
    <m/>
    <m/>
    <n v="1735174.75"/>
    <n v="2055002.5"/>
  </r>
  <r>
    <x v="11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29"/>
    <s v="Non need-based"/>
    <m/>
    <m/>
    <x v="12"/>
    <m/>
    <m/>
    <m/>
    <m/>
    <m/>
    <m/>
    <m/>
    <m/>
    <n v="0"/>
    <m/>
    <m/>
    <n v="0"/>
    <n v="0"/>
    <n v="0"/>
    <n v="408380"/>
    <n v="370564.5"/>
    <m/>
    <m/>
    <n v="0"/>
    <m/>
    <m/>
    <n v="0"/>
    <m/>
    <m/>
    <m/>
    <m/>
    <m/>
    <m/>
    <n v="408380"/>
    <n v="370564.5"/>
  </r>
  <r>
    <x v="11"/>
    <x v="31"/>
    <s v="Limited to public college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4"/>
    <s v="Limited to private college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4"/>
    <s v="S.C. Tuition Gra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1"/>
    <x v="35"/>
    <s v="Need-based"/>
    <m/>
    <m/>
    <x v="12"/>
    <m/>
    <m/>
    <m/>
    <m/>
    <m/>
    <m/>
    <m/>
    <m/>
    <n v="0"/>
    <m/>
    <m/>
    <n v="0"/>
    <n v="0"/>
    <n v="0"/>
    <n v="37488624"/>
    <n v="37488624"/>
    <m/>
    <m/>
    <n v="0"/>
    <m/>
    <m/>
    <n v="0"/>
    <m/>
    <m/>
    <m/>
    <m/>
    <m/>
    <m/>
    <n v="37488624"/>
    <n v="37488624"/>
  </r>
  <r>
    <x v="11"/>
    <x v="36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0"/>
    <s v="University of Memphis"/>
    <m/>
    <n v="220862"/>
    <x v="0"/>
    <n v="129456900"/>
    <n v="131228900"/>
    <m/>
    <m/>
    <m/>
    <m/>
    <n v="176049000"/>
    <n v="8172000"/>
    <n v="184221000"/>
    <n v="180215900"/>
    <n v="8172000"/>
    <n v="188387900"/>
    <n v="305505900"/>
    <n v="311444800"/>
    <m/>
    <m/>
    <m/>
    <m/>
    <n v="0"/>
    <m/>
    <m/>
    <n v="0"/>
    <m/>
    <m/>
    <m/>
    <m/>
    <m/>
    <m/>
    <n v="305505900"/>
    <n v="311444800"/>
  </r>
  <r>
    <x v="12"/>
    <x v="0"/>
    <s v="University of Tennessee, Knoxville"/>
    <m/>
    <n v="221759"/>
    <x v="0"/>
    <n v="256159500"/>
    <n v="259060700"/>
    <m/>
    <m/>
    <m/>
    <m/>
    <n v="363341818"/>
    <n v="11400000"/>
    <n v="374741818"/>
    <n v="383341818"/>
    <n v="12000000"/>
    <n v="395341818"/>
    <n v="619501318"/>
    <n v="642402518"/>
    <m/>
    <m/>
    <m/>
    <m/>
    <n v="0"/>
    <m/>
    <m/>
    <n v="0"/>
    <m/>
    <m/>
    <m/>
    <m/>
    <m/>
    <m/>
    <n v="619501318"/>
    <n v="642402518"/>
  </r>
  <r>
    <x v="12"/>
    <x v="3"/>
    <s v="Community/Public Service Units"/>
    <m/>
    <n v="221759"/>
    <x v="0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"/>
    <s v="Municipal Technology Advisory Service"/>
    <m/>
    <n v="221759"/>
    <x v="0"/>
    <m/>
    <m/>
    <n v="3715600"/>
    <n v="3789800"/>
    <m/>
    <m/>
    <n v="0"/>
    <n v="0"/>
    <n v="0"/>
    <m/>
    <m/>
    <n v="0"/>
    <n v="3715600"/>
    <n v="3789800"/>
    <m/>
    <m/>
    <m/>
    <m/>
    <n v="0"/>
    <m/>
    <m/>
    <n v="0"/>
    <m/>
    <m/>
    <m/>
    <m/>
    <m/>
    <m/>
    <n v="3715600"/>
    <n v="3789800"/>
  </r>
  <r>
    <x v="12"/>
    <x v="3"/>
    <s v="County Technology Advisory Service"/>
    <m/>
    <n v="221759"/>
    <x v="0"/>
    <m/>
    <m/>
    <n v="3205800"/>
    <n v="3263300"/>
    <m/>
    <m/>
    <n v="0"/>
    <n v="0"/>
    <n v="0"/>
    <m/>
    <m/>
    <n v="0"/>
    <n v="3205800"/>
    <n v="3263300"/>
    <m/>
    <m/>
    <m/>
    <m/>
    <n v="0"/>
    <m/>
    <m/>
    <n v="0"/>
    <m/>
    <m/>
    <m/>
    <m/>
    <m/>
    <m/>
    <n v="3205800"/>
    <n v="3263300"/>
  </r>
  <r>
    <x v="12"/>
    <x v="3"/>
    <s v="Institute for Public Service"/>
    <m/>
    <n v="221759"/>
    <x v="0"/>
    <m/>
    <m/>
    <n v="6124900"/>
    <n v="6178700"/>
    <m/>
    <m/>
    <n v="0"/>
    <n v="0"/>
    <n v="0"/>
    <m/>
    <m/>
    <n v="0"/>
    <n v="6124900"/>
    <n v="6178700"/>
    <m/>
    <m/>
    <m/>
    <m/>
    <n v="0"/>
    <m/>
    <m/>
    <n v="0"/>
    <m/>
    <m/>
    <m/>
    <m/>
    <m/>
    <m/>
    <n v="6124900"/>
    <n v="6178700"/>
  </r>
  <r>
    <x v="12"/>
    <x v="5"/>
    <s v="Agricultural cooperative extension"/>
    <m/>
    <n v="221759"/>
    <x v="0"/>
    <m/>
    <m/>
    <n v="38387000"/>
    <n v="38919500"/>
    <m/>
    <m/>
    <n v="0"/>
    <n v="0"/>
    <n v="0"/>
    <m/>
    <m/>
    <n v="0"/>
    <n v="38387000"/>
    <n v="38919500"/>
    <m/>
    <m/>
    <m/>
    <m/>
    <n v="0"/>
    <m/>
    <m/>
    <n v="0"/>
    <m/>
    <m/>
    <m/>
    <m/>
    <m/>
    <m/>
    <n v="38387000"/>
    <n v="38919500"/>
  </r>
  <r>
    <x v="12"/>
    <x v="6"/>
    <s v="Agricultural experiment stations"/>
    <m/>
    <n v="221759"/>
    <x v="0"/>
    <m/>
    <m/>
    <n v="31206400"/>
    <n v="31563400"/>
    <m/>
    <m/>
    <n v="0"/>
    <n v="0"/>
    <n v="0"/>
    <m/>
    <m/>
    <n v="0"/>
    <n v="31206400"/>
    <n v="31563400"/>
    <m/>
    <m/>
    <m/>
    <m/>
    <n v="0"/>
    <m/>
    <m/>
    <n v="0"/>
    <m/>
    <m/>
    <m/>
    <m/>
    <m/>
    <m/>
    <n v="31206400"/>
    <n v="31563400"/>
  </r>
  <r>
    <x v="12"/>
    <x v="0"/>
    <s v="East Tennessee State University "/>
    <m/>
    <n v="220075"/>
    <x v="1"/>
    <n v="73194900"/>
    <n v="74328100"/>
    <m/>
    <m/>
    <m/>
    <m/>
    <n v="127253760"/>
    <n v="6069400"/>
    <n v="133323160"/>
    <n v="122625220"/>
    <n v="6046800"/>
    <n v="128672020"/>
    <n v="200448660"/>
    <n v="196953320"/>
    <m/>
    <m/>
    <m/>
    <m/>
    <n v="0"/>
    <m/>
    <m/>
    <n v="0"/>
    <m/>
    <m/>
    <m/>
    <m/>
    <m/>
    <m/>
    <n v="200448660"/>
    <n v="196953320"/>
  </r>
  <r>
    <x v="12"/>
    <x v="1"/>
    <s v="Medical School"/>
    <m/>
    <n v="220075"/>
    <x v="1"/>
    <m/>
    <m/>
    <m/>
    <m/>
    <m/>
    <m/>
    <n v="0"/>
    <n v="0"/>
    <n v="0"/>
    <m/>
    <m/>
    <n v="0"/>
    <n v="0"/>
    <n v="0"/>
    <m/>
    <m/>
    <m/>
    <m/>
    <n v="0"/>
    <m/>
    <m/>
    <n v="0"/>
    <n v="43359800"/>
    <n v="45223100"/>
    <n v="21326000"/>
    <n v="98300"/>
    <n v="20072750"/>
    <n v="230580"/>
    <n v="64685800"/>
    <n v="65295850"/>
  </r>
  <r>
    <x v="12"/>
    <x v="0"/>
    <s v="Middle Tennessee State University "/>
    <m/>
    <n v="220978"/>
    <x v="1"/>
    <n v="109956800"/>
    <n v="111009000"/>
    <m/>
    <m/>
    <m/>
    <m/>
    <n v="175206862"/>
    <n v="7939400"/>
    <n v="183146262"/>
    <n v="174741862"/>
    <n v="7939400"/>
    <n v="182681262"/>
    <n v="285163662"/>
    <n v="285750862"/>
    <m/>
    <m/>
    <m/>
    <m/>
    <n v="0"/>
    <m/>
    <m/>
    <n v="0"/>
    <m/>
    <m/>
    <m/>
    <m/>
    <m/>
    <m/>
    <n v="285163662"/>
    <n v="285750862"/>
  </r>
  <r>
    <x v="12"/>
    <x v="0"/>
    <s v="Tennessee State University "/>
    <m/>
    <n v="221838"/>
    <x v="1"/>
    <n v="47017600"/>
    <n v="45055100"/>
    <m/>
    <m/>
    <m/>
    <m/>
    <n v="64524500"/>
    <n v="1368900"/>
    <n v="65893400"/>
    <n v="62525900"/>
    <n v="1300500"/>
    <n v="63826400"/>
    <n v="111542100"/>
    <n v="107581000"/>
    <m/>
    <m/>
    <m/>
    <m/>
    <n v="0"/>
    <m/>
    <m/>
    <n v="0"/>
    <m/>
    <m/>
    <m/>
    <m/>
    <m/>
    <m/>
    <n v="111542100"/>
    <n v="107581000"/>
  </r>
  <r>
    <x v="12"/>
    <x v="5"/>
    <s v="Agricultural experiment stations"/>
    <m/>
    <n v="221838"/>
    <x v="1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5"/>
    <s v="McMinnville Center Station"/>
    <m/>
    <n v="221838"/>
    <x v="1"/>
    <m/>
    <m/>
    <n v="1429200"/>
    <n v="1438900"/>
    <m/>
    <m/>
    <n v="0"/>
    <n v="0"/>
    <n v="0"/>
    <m/>
    <m/>
    <n v="0"/>
    <n v="1429200"/>
    <n v="1438900"/>
    <m/>
    <m/>
    <m/>
    <m/>
    <n v="0"/>
    <m/>
    <m/>
    <n v="0"/>
    <m/>
    <m/>
    <m/>
    <m/>
    <m/>
    <m/>
    <n v="1429200"/>
    <n v="1438900"/>
  </r>
  <r>
    <x v="12"/>
    <x v="5"/>
    <s v="TSU Institute of Agr and Environmental Research"/>
    <m/>
    <n v="221838"/>
    <x v="1"/>
    <m/>
    <m/>
    <n v="4771800"/>
    <n v="4793700"/>
    <m/>
    <m/>
    <n v="0"/>
    <n v="0"/>
    <n v="0"/>
    <m/>
    <m/>
    <n v="0"/>
    <n v="4771800"/>
    <n v="4793700"/>
    <m/>
    <m/>
    <m/>
    <m/>
    <n v="0"/>
    <m/>
    <m/>
    <n v="0"/>
    <m/>
    <m/>
    <m/>
    <m/>
    <m/>
    <m/>
    <n v="4771800"/>
    <n v="4793700"/>
  </r>
  <r>
    <x v="12"/>
    <x v="5"/>
    <s v="TSU Cooperative Extension"/>
    <m/>
    <n v="221838"/>
    <x v="1"/>
    <m/>
    <m/>
    <n v="3703500"/>
    <n v="3745700"/>
    <m/>
    <m/>
    <n v="0"/>
    <n v="0"/>
    <n v="0"/>
    <m/>
    <m/>
    <n v="0"/>
    <n v="3703500"/>
    <n v="3745700"/>
    <m/>
    <m/>
    <m/>
    <m/>
    <n v="0"/>
    <m/>
    <m/>
    <n v="0"/>
    <m/>
    <m/>
    <m/>
    <m/>
    <m/>
    <m/>
    <n v="3703500"/>
    <n v="3745700"/>
  </r>
  <r>
    <x v="12"/>
    <x v="5"/>
    <s v="TSU McIntire-Stennis Forestry Research"/>
    <m/>
    <n v="221838"/>
    <x v="1"/>
    <m/>
    <m/>
    <n v="198900"/>
    <n v="201100"/>
    <m/>
    <m/>
    <n v="0"/>
    <n v="0"/>
    <n v="0"/>
    <m/>
    <m/>
    <n v="0"/>
    <n v="198900"/>
    <n v="201100"/>
    <m/>
    <m/>
    <m/>
    <m/>
    <n v="0"/>
    <m/>
    <m/>
    <n v="0"/>
    <m/>
    <m/>
    <m/>
    <m/>
    <m/>
    <m/>
    <n v="198900"/>
    <n v="201100"/>
  </r>
  <r>
    <x v="12"/>
    <x v="0"/>
    <s v="Austin Peay State University "/>
    <m/>
    <n v="219602"/>
    <x v="2"/>
    <n v="51910500"/>
    <n v="52931600"/>
    <m/>
    <m/>
    <m/>
    <m/>
    <n v="74491900"/>
    <n v="2316300"/>
    <n v="76808200"/>
    <n v="70613400"/>
    <n v="2260500"/>
    <n v="72873900"/>
    <n v="126402400"/>
    <n v="123545000"/>
    <m/>
    <m/>
    <m/>
    <m/>
    <n v="0"/>
    <m/>
    <m/>
    <n v="0"/>
    <m/>
    <m/>
    <m/>
    <m/>
    <m/>
    <m/>
    <n v="126402400"/>
    <n v="123545000"/>
  </r>
  <r>
    <x v="12"/>
    <x v="0"/>
    <s v="Tennessee Technological University "/>
    <m/>
    <n v="221847"/>
    <x v="2"/>
    <n v="64671400"/>
    <n v="65968200"/>
    <m/>
    <m/>
    <m/>
    <m/>
    <n v="84121350"/>
    <n v="2285500"/>
    <n v="86406850"/>
    <n v="83380998"/>
    <n v="2458120"/>
    <n v="85839118"/>
    <n v="148792750"/>
    <n v="149349198"/>
    <m/>
    <m/>
    <m/>
    <m/>
    <n v="0"/>
    <m/>
    <m/>
    <n v="0"/>
    <m/>
    <m/>
    <m/>
    <m/>
    <m/>
    <m/>
    <n v="148792750"/>
    <n v="149349198"/>
  </r>
  <r>
    <x v="12"/>
    <x v="0"/>
    <s v="University of Tennessee at Chattanooga"/>
    <m/>
    <n v="221740"/>
    <x v="2"/>
    <n v="61093800"/>
    <n v="62388400"/>
    <m/>
    <m/>
    <m/>
    <m/>
    <n v="92633392"/>
    <n v="3090000"/>
    <n v="95723392"/>
    <n v="94833392"/>
    <n v="3090000"/>
    <n v="97923392"/>
    <n v="153727192"/>
    <n v="157221792"/>
    <m/>
    <m/>
    <m/>
    <m/>
    <n v="0"/>
    <m/>
    <m/>
    <n v="0"/>
    <m/>
    <m/>
    <m/>
    <m/>
    <m/>
    <m/>
    <n v="153727192"/>
    <n v="157221792"/>
  </r>
  <r>
    <x v="12"/>
    <x v="0"/>
    <s v="University of Tennessee at Martin"/>
    <s v="Reclassified: Met the criteria for Four-Year 4 in 2018-19, 2019-20, and 2020-21."/>
    <n v="221768"/>
    <x v="3"/>
    <n v="36930500"/>
    <n v="36212200"/>
    <m/>
    <m/>
    <m/>
    <m/>
    <n v="54847182"/>
    <n v="1730000"/>
    <n v="56577182"/>
    <n v="54936182"/>
    <n v="1700000"/>
    <n v="56636182"/>
    <n v="91777682"/>
    <n v="91148382"/>
    <m/>
    <m/>
    <m/>
    <m/>
    <n v="0"/>
    <m/>
    <m/>
    <n v="0"/>
    <m/>
    <m/>
    <m/>
    <m/>
    <m/>
    <m/>
    <n v="91777682"/>
    <n v="91148382"/>
  </r>
  <r>
    <x v="12"/>
    <x v="0"/>
    <s v="Chattanooga State Technical Community College "/>
    <m/>
    <n v="219824"/>
    <x v="6"/>
    <n v="34194100"/>
    <n v="33701100"/>
    <m/>
    <m/>
    <m/>
    <m/>
    <n v="28520000"/>
    <n v="0"/>
    <n v="28520000"/>
    <n v="26750000"/>
    <n v="0"/>
    <n v="26750000"/>
    <n v="62714100"/>
    <n v="60451100"/>
    <m/>
    <m/>
    <m/>
    <m/>
    <n v="0"/>
    <m/>
    <m/>
    <n v="0"/>
    <m/>
    <m/>
    <m/>
    <m/>
    <m/>
    <m/>
    <n v="62714100"/>
    <n v="60451100"/>
  </r>
  <r>
    <x v="12"/>
    <x v="0"/>
    <s v="Nashville State Technical Community College"/>
    <m/>
    <n v="221184"/>
    <x v="6"/>
    <n v="23847100"/>
    <n v="23195600"/>
    <m/>
    <m/>
    <m/>
    <m/>
    <n v="25508600"/>
    <n v="0"/>
    <n v="25508600"/>
    <n v="23190700"/>
    <n v="0"/>
    <n v="23190700"/>
    <n v="49355700"/>
    <n v="46386300"/>
    <m/>
    <m/>
    <m/>
    <m/>
    <n v="0"/>
    <m/>
    <m/>
    <n v="0"/>
    <m/>
    <m/>
    <m/>
    <m/>
    <m/>
    <m/>
    <n v="49355700"/>
    <n v="46386300"/>
  </r>
  <r>
    <x v="12"/>
    <x v="0"/>
    <s v="Pellissippi State Technical Community College"/>
    <m/>
    <n v="221643"/>
    <x v="6"/>
    <n v="35319900"/>
    <n v="35994000"/>
    <m/>
    <m/>
    <m/>
    <m/>
    <n v="37000000"/>
    <n v="300000"/>
    <n v="37300000"/>
    <n v="33615000"/>
    <n v="130000"/>
    <n v="33745000"/>
    <n v="72319900"/>
    <n v="69609000"/>
    <m/>
    <m/>
    <m/>
    <m/>
    <n v="0"/>
    <m/>
    <m/>
    <n v="0"/>
    <m/>
    <m/>
    <m/>
    <m/>
    <m/>
    <m/>
    <n v="72319900"/>
    <n v="69609000"/>
  </r>
  <r>
    <x v="12"/>
    <x v="0"/>
    <s v="Southwest Tennessee Community College"/>
    <m/>
    <n v="221485"/>
    <x v="6"/>
    <n v="31029500"/>
    <n v="30720900"/>
    <m/>
    <m/>
    <m/>
    <m/>
    <n v="29903300"/>
    <n v="0"/>
    <n v="29903300"/>
    <n v="24980380"/>
    <n v="0"/>
    <n v="24980380"/>
    <n v="60932800"/>
    <n v="55701280"/>
    <m/>
    <m/>
    <m/>
    <m/>
    <n v="0"/>
    <m/>
    <m/>
    <n v="0"/>
    <m/>
    <m/>
    <m/>
    <m/>
    <m/>
    <m/>
    <n v="60932800"/>
    <n v="55701280"/>
  </r>
  <r>
    <x v="12"/>
    <x v="0"/>
    <s v="Volunteer State Community College "/>
    <m/>
    <n v="222053"/>
    <x v="6"/>
    <n v="26730600"/>
    <n v="28364800"/>
    <m/>
    <m/>
    <m/>
    <m/>
    <n v="30903500"/>
    <n v="0"/>
    <n v="30903500"/>
    <n v="29208163"/>
    <n v="0"/>
    <n v="29208163"/>
    <n v="57634100"/>
    <n v="57572963"/>
    <m/>
    <m/>
    <m/>
    <m/>
    <n v="0"/>
    <m/>
    <m/>
    <n v="0"/>
    <m/>
    <m/>
    <m/>
    <m/>
    <m/>
    <m/>
    <n v="57634100"/>
    <n v="57572963"/>
  </r>
  <r>
    <x v="12"/>
    <x v="0"/>
    <s v="Cleveland State Community College "/>
    <m/>
    <n v="219879"/>
    <x v="7"/>
    <n v="12579200"/>
    <n v="12241100"/>
    <m/>
    <m/>
    <m/>
    <m/>
    <n v="11438000"/>
    <n v="0"/>
    <n v="11438000"/>
    <n v="10624000"/>
    <n v="0"/>
    <n v="10624000"/>
    <n v="24017200"/>
    <n v="22865100"/>
    <m/>
    <m/>
    <m/>
    <m/>
    <n v="0"/>
    <m/>
    <m/>
    <n v="0"/>
    <m/>
    <m/>
    <m/>
    <m/>
    <m/>
    <m/>
    <n v="24017200"/>
    <n v="22865100"/>
  </r>
  <r>
    <x v="12"/>
    <x v="0"/>
    <s v="Columbia State Community College "/>
    <m/>
    <n v="219888"/>
    <x v="7"/>
    <n v="17238600"/>
    <n v="18024500"/>
    <m/>
    <m/>
    <m/>
    <m/>
    <n v="20427700"/>
    <n v="230000"/>
    <n v="20657700"/>
    <n v="19692100"/>
    <n v="230000"/>
    <n v="19922100"/>
    <n v="37666300"/>
    <n v="37716600"/>
    <m/>
    <m/>
    <m/>
    <m/>
    <n v="0"/>
    <m/>
    <m/>
    <n v="0"/>
    <m/>
    <m/>
    <m/>
    <m/>
    <m/>
    <m/>
    <n v="37666300"/>
    <n v="37716600"/>
  </r>
  <r>
    <x v="12"/>
    <x v="0"/>
    <s v="Jackson State Community College "/>
    <m/>
    <n v="220400"/>
    <x v="7"/>
    <n v="15392100"/>
    <n v="15240000"/>
    <m/>
    <m/>
    <m/>
    <m/>
    <n v="15708300"/>
    <n v="0"/>
    <n v="15708300"/>
    <n v="13851700"/>
    <n v="0"/>
    <n v="13851700"/>
    <n v="31100400"/>
    <n v="29091700"/>
    <m/>
    <m/>
    <m/>
    <m/>
    <n v="0"/>
    <m/>
    <m/>
    <n v="0"/>
    <m/>
    <m/>
    <m/>
    <m/>
    <m/>
    <m/>
    <n v="31100400"/>
    <n v="29091700"/>
  </r>
  <r>
    <x v="12"/>
    <x v="0"/>
    <s v="Motlow State Community College "/>
    <m/>
    <n v="221096"/>
    <x v="7"/>
    <n v="17884200"/>
    <n v="19766500"/>
    <m/>
    <m/>
    <m/>
    <m/>
    <n v="23504700"/>
    <n v="0"/>
    <n v="23504700"/>
    <n v="20927600"/>
    <n v="0"/>
    <n v="20927600"/>
    <n v="41388900"/>
    <n v="40694100"/>
    <m/>
    <m/>
    <m/>
    <m/>
    <n v="0"/>
    <m/>
    <m/>
    <n v="0"/>
    <m/>
    <m/>
    <m/>
    <m/>
    <m/>
    <m/>
    <n v="41388900"/>
    <n v="40694100"/>
  </r>
  <r>
    <x v="12"/>
    <x v="0"/>
    <s v="Northeast State Technical Community College"/>
    <m/>
    <n v="221908"/>
    <x v="7"/>
    <n v="21412200"/>
    <n v="23451900"/>
    <m/>
    <m/>
    <m/>
    <m/>
    <n v="19378971"/>
    <n v="0"/>
    <n v="19378971"/>
    <n v="17138420"/>
    <n v="0"/>
    <n v="17138420"/>
    <n v="40791171"/>
    <n v="40590320"/>
    <m/>
    <m/>
    <m/>
    <m/>
    <n v="0"/>
    <m/>
    <m/>
    <n v="0"/>
    <m/>
    <m/>
    <m/>
    <m/>
    <m/>
    <m/>
    <n v="40791171"/>
    <n v="40590320"/>
  </r>
  <r>
    <x v="12"/>
    <x v="0"/>
    <s v="Roane State Community College "/>
    <m/>
    <n v="221397"/>
    <x v="7"/>
    <n v="24403800"/>
    <n v="24551100"/>
    <m/>
    <m/>
    <m/>
    <m/>
    <n v="19383400"/>
    <n v="0"/>
    <n v="19383400"/>
    <n v="17399670"/>
    <n v="0"/>
    <n v="17399670"/>
    <n v="43787200"/>
    <n v="41950770"/>
    <m/>
    <m/>
    <m/>
    <m/>
    <n v="0"/>
    <m/>
    <m/>
    <n v="0"/>
    <m/>
    <m/>
    <m/>
    <m/>
    <m/>
    <m/>
    <n v="43787200"/>
    <n v="41950770"/>
  </r>
  <r>
    <x v="12"/>
    <x v="0"/>
    <s v="Walters State Community College "/>
    <m/>
    <n v="222062"/>
    <x v="7"/>
    <n v="25911100"/>
    <n v="25977000"/>
    <m/>
    <m/>
    <m/>
    <m/>
    <n v="22557900"/>
    <n v="0"/>
    <n v="22557900"/>
    <n v="20255800"/>
    <n v="0"/>
    <n v="20255800"/>
    <n v="48469000"/>
    <n v="46232800"/>
    <m/>
    <m/>
    <m/>
    <m/>
    <n v="0"/>
    <m/>
    <m/>
    <n v="0"/>
    <m/>
    <m/>
    <m/>
    <m/>
    <m/>
    <m/>
    <n v="48469000"/>
    <n v="46232800"/>
  </r>
  <r>
    <x v="12"/>
    <x v="0"/>
    <s v="Dyersburg State Community College "/>
    <m/>
    <n v="220057"/>
    <x v="8"/>
    <n v="10781300"/>
    <n v="11049000"/>
    <m/>
    <m/>
    <m/>
    <m/>
    <n v="9144900"/>
    <n v="0"/>
    <n v="9144900"/>
    <n v="8579900"/>
    <n v="0"/>
    <n v="8579900"/>
    <n v="19926200"/>
    <n v="19628900"/>
    <m/>
    <m/>
    <m/>
    <m/>
    <n v="0"/>
    <m/>
    <m/>
    <n v="0"/>
    <m/>
    <m/>
    <m/>
    <m/>
    <m/>
    <m/>
    <n v="19926200"/>
    <n v="19628900"/>
  </r>
  <r>
    <x v="12"/>
    <x v="0"/>
    <s v="Tennessee College of Applied Technology at Athens"/>
    <m/>
    <n v="219596"/>
    <x v="10"/>
    <n v="1947100"/>
    <n v="1958200"/>
    <m/>
    <m/>
    <m/>
    <m/>
    <n v="876600"/>
    <n v="0"/>
    <n v="876600"/>
    <n v="862700"/>
    <n v="0"/>
    <n v="862700"/>
    <n v="2823700"/>
    <n v="2820900"/>
    <m/>
    <m/>
    <m/>
    <m/>
    <n v="0"/>
    <m/>
    <m/>
    <n v="0"/>
    <m/>
    <m/>
    <m/>
    <m/>
    <m/>
    <m/>
    <n v="2823700"/>
    <n v="2820900"/>
  </r>
  <r>
    <x v="12"/>
    <x v="0"/>
    <s v="Tennessee College of Applied Technology at Chattanooga"/>
    <m/>
    <s v="219824B"/>
    <x v="10"/>
    <n v="4476100"/>
    <n v="4501500"/>
    <m/>
    <m/>
    <m/>
    <m/>
    <n v="2679700"/>
    <n v="0"/>
    <n v="2679700"/>
    <n v="2513000"/>
    <n v="0"/>
    <n v="2513000"/>
    <n v="7155800"/>
    <n v="7014500"/>
    <m/>
    <m/>
    <m/>
    <m/>
    <n v="0"/>
    <m/>
    <m/>
    <n v="0"/>
    <m/>
    <m/>
    <m/>
    <m/>
    <m/>
    <m/>
    <n v="7155800"/>
    <n v="7014500"/>
  </r>
  <r>
    <x v="12"/>
    <x v="0"/>
    <s v="Tennessee College of Applied Technology at Covington"/>
    <m/>
    <n v="219921"/>
    <x v="10"/>
    <n v="1632900"/>
    <n v="1642200"/>
    <m/>
    <m/>
    <m/>
    <m/>
    <n v="1070400"/>
    <n v="0"/>
    <n v="1070400"/>
    <n v="772300"/>
    <n v="0"/>
    <n v="772300"/>
    <n v="2703300"/>
    <n v="2414500"/>
    <m/>
    <m/>
    <m/>
    <m/>
    <n v="0"/>
    <m/>
    <m/>
    <n v="0"/>
    <m/>
    <m/>
    <m/>
    <m/>
    <m/>
    <m/>
    <n v="2703300"/>
    <n v="2414500"/>
  </r>
  <r>
    <x v="12"/>
    <x v="0"/>
    <s v="Tennessee College of Applied Technology at Crossville"/>
    <m/>
    <n v="221591"/>
    <x v="10"/>
    <n v="3266300"/>
    <n v="3284900"/>
    <m/>
    <m/>
    <m/>
    <m/>
    <n v="1542800"/>
    <n v="0"/>
    <n v="1542800"/>
    <n v="1497700"/>
    <n v="0"/>
    <n v="1497700"/>
    <n v="4809100"/>
    <n v="4782600"/>
    <m/>
    <m/>
    <m/>
    <m/>
    <n v="0"/>
    <m/>
    <m/>
    <n v="0"/>
    <m/>
    <m/>
    <m/>
    <m/>
    <m/>
    <m/>
    <n v="4809100"/>
    <n v="4782600"/>
  </r>
  <r>
    <x v="12"/>
    <x v="0"/>
    <s v="Tennessee College of Applied Technology at Crump"/>
    <m/>
    <n v="221430"/>
    <x v="10"/>
    <n v="2248300"/>
    <n v="2261100"/>
    <m/>
    <m/>
    <m/>
    <m/>
    <n v="897000"/>
    <n v="0"/>
    <n v="897000"/>
    <n v="1183692"/>
    <n v="0"/>
    <n v="1183692"/>
    <n v="3145300"/>
    <n v="3444792"/>
    <m/>
    <m/>
    <m/>
    <m/>
    <n v="0"/>
    <m/>
    <m/>
    <n v="0"/>
    <m/>
    <m/>
    <m/>
    <m/>
    <m/>
    <m/>
    <n v="3145300"/>
    <n v="3444792"/>
  </r>
  <r>
    <x v="12"/>
    <x v="0"/>
    <s v="Tennessee College of Applied Technology at Dickson"/>
    <m/>
    <n v="219994"/>
    <x v="10"/>
    <n v="3328200"/>
    <n v="3347200"/>
    <m/>
    <m/>
    <m/>
    <m/>
    <n v="2265700"/>
    <n v="0"/>
    <n v="2265700"/>
    <n v="2470000"/>
    <n v="0"/>
    <n v="2470000"/>
    <n v="5593900"/>
    <n v="5817200"/>
    <m/>
    <m/>
    <m/>
    <m/>
    <n v="0"/>
    <m/>
    <m/>
    <n v="0"/>
    <m/>
    <m/>
    <m/>
    <m/>
    <m/>
    <m/>
    <n v="5593900"/>
    <n v="5817200"/>
  </r>
  <r>
    <x v="12"/>
    <x v="0"/>
    <s v="Tennessee College of Applied Technology at Elizabethton"/>
    <m/>
    <n v="220127"/>
    <x v="10"/>
    <n v="2153100"/>
    <n v="2165500"/>
    <m/>
    <m/>
    <m/>
    <m/>
    <n v="1574500"/>
    <n v="0"/>
    <n v="1574500"/>
    <n v="1514800"/>
    <n v="0"/>
    <n v="1514800"/>
    <n v="3727600"/>
    <n v="3680300"/>
    <m/>
    <m/>
    <m/>
    <m/>
    <n v="0"/>
    <m/>
    <m/>
    <n v="0"/>
    <m/>
    <m/>
    <m/>
    <m/>
    <m/>
    <m/>
    <n v="3727600"/>
    <n v="3680300"/>
  </r>
  <r>
    <x v="12"/>
    <x v="0"/>
    <s v="Tennessee College of Applied Technology at Harriman"/>
    <m/>
    <n v="220251"/>
    <x v="10"/>
    <n v="2009600"/>
    <n v="2021000"/>
    <m/>
    <m/>
    <m/>
    <m/>
    <n v="975200"/>
    <n v="0"/>
    <n v="975200"/>
    <n v="899200"/>
    <n v="0"/>
    <n v="899200"/>
    <n v="2984800"/>
    <n v="2920200"/>
    <m/>
    <m/>
    <m/>
    <m/>
    <n v="0"/>
    <m/>
    <m/>
    <n v="0"/>
    <m/>
    <m/>
    <m/>
    <m/>
    <m/>
    <m/>
    <n v="2984800"/>
    <n v="2920200"/>
  </r>
  <r>
    <x v="12"/>
    <x v="0"/>
    <s v="Tennessee College of Applied Technology at Hartsville"/>
    <m/>
    <n v="220279"/>
    <x v="10"/>
    <n v="1598500"/>
    <n v="1607500"/>
    <m/>
    <m/>
    <m/>
    <m/>
    <n v="1179000"/>
    <n v="0"/>
    <n v="1179000"/>
    <n v="1215500"/>
    <n v="0"/>
    <n v="1215500"/>
    <n v="2777500"/>
    <n v="2823000"/>
    <m/>
    <m/>
    <m/>
    <m/>
    <n v="0"/>
    <m/>
    <m/>
    <n v="0"/>
    <m/>
    <m/>
    <m/>
    <m/>
    <m/>
    <m/>
    <n v="2777500"/>
    <n v="2823000"/>
  </r>
  <r>
    <x v="12"/>
    <x v="0"/>
    <s v="Tennessee College of Applied Technology at Hohenwald"/>
    <m/>
    <n v="220321"/>
    <x v="10"/>
    <n v="2186600"/>
    <n v="2199000"/>
    <m/>
    <m/>
    <m/>
    <m/>
    <n v="1370000"/>
    <n v="0"/>
    <n v="1370000"/>
    <n v="1254200"/>
    <n v="0"/>
    <n v="1254200"/>
    <n v="3556600"/>
    <n v="3453200"/>
    <m/>
    <m/>
    <m/>
    <m/>
    <n v="0"/>
    <m/>
    <m/>
    <n v="0"/>
    <m/>
    <m/>
    <m/>
    <m/>
    <m/>
    <m/>
    <n v="3556600"/>
    <n v="3453200"/>
  </r>
  <r>
    <x v="12"/>
    <x v="0"/>
    <s v="Tennessee College of Applied Technology at Jacksboro"/>
    <m/>
    <n v="220394"/>
    <x v="10"/>
    <n v="1875300"/>
    <n v="1885900"/>
    <m/>
    <m/>
    <m/>
    <m/>
    <n v="652600"/>
    <n v="0"/>
    <n v="652600"/>
    <n v="814100"/>
    <n v="0"/>
    <n v="814100"/>
    <n v="2527900"/>
    <n v="2700000"/>
    <m/>
    <m/>
    <m/>
    <m/>
    <n v="0"/>
    <m/>
    <m/>
    <n v="0"/>
    <m/>
    <m/>
    <m/>
    <m/>
    <m/>
    <m/>
    <n v="2527900"/>
    <n v="2700000"/>
  </r>
  <r>
    <x v="12"/>
    <x v="0"/>
    <s v="Tennessee College of Applied Technology at Jackson"/>
    <m/>
    <n v="221616"/>
    <x v="10"/>
    <n v="4320800"/>
    <n v="4345400"/>
    <m/>
    <m/>
    <m/>
    <m/>
    <n v="1539300"/>
    <n v="0"/>
    <n v="1539300"/>
    <n v="1765400"/>
    <n v="0"/>
    <n v="1765400"/>
    <n v="5860100"/>
    <n v="6110800"/>
    <m/>
    <m/>
    <m/>
    <m/>
    <n v="0"/>
    <m/>
    <m/>
    <n v="0"/>
    <m/>
    <m/>
    <m/>
    <m/>
    <m/>
    <m/>
    <n v="5860100"/>
    <n v="6110800"/>
  </r>
  <r>
    <x v="12"/>
    <x v="0"/>
    <s v="Tennessee College of Applied Technology at Knoxville"/>
    <m/>
    <n v="221625"/>
    <x v="10"/>
    <n v="4524300"/>
    <n v="4550000"/>
    <m/>
    <m/>
    <m/>
    <m/>
    <n v="2556600"/>
    <n v="0"/>
    <n v="2556600"/>
    <n v="2958000"/>
    <n v="0"/>
    <n v="2958000"/>
    <n v="7080900"/>
    <n v="7508000"/>
    <m/>
    <m/>
    <m/>
    <m/>
    <n v="0"/>
    <m/>
    <m/>
    <n v="0"/>
    <m/>
    <m/>
    <m/>
    <m/>
    <m/>
    <m/>
    <n v="7080900"/>
    <n v="7508000"/>
  </r>
  <r>
    <x v="12"/>
    <x v="0"/>
    <s v="Tennessee College of Applied Technology at Livingston"/>
    <m/>
    <n v="220640"/>
    <x v="10"/>
    <n v="3010100"/>
    <n v="3027200"/>
    <m/>
    <m/>
    <m/>
    <m/>
    <n v="1355100"/>
    <n v="0"/>
    <n v="1355100"/>
    <n v="1379100"/>
    <n v="0"/>
    <n v="1379100"/>
    <n v="4365200"/>
    <n v="4406300"/>
    <m/>
    <m/>
    <m/>
    <m/>
    <n v="0"/>
    <m/>
    <m/>
    <n v="0"/>
    <m/>
    <m/>
    <m/>
    <m/>
    <m/>
    <m/>
    <n v="4365200"/>
    <n v="4406300"/>
  </r>
  <r>
    <x v="12"/>
    <x v="0"/>
    <s v="Tennessee College of Applied Technology at McKenzie"/>
    <m/>
    <n v="220756"/>
    <x v="10"/>
    <n v="1803200"/>
    <n v="1813400"/>
    <m/>
    <m/>
    <m/>
    <m/>
    <n v="506900"/>
    <n v="0"/>
    <n v="506900"/>
    <n v="455500"/>
    <n v="0"/>
    <n v="455500"/>
    <n v="2310100"/>
    <n v="2268900"/>
    <m/>
    <m/>
    <m/>
    <m/>
    <n v="0"/>
    <m/>
    <m/>
    <n v="0"/>
    <m/>
    <m/>
    <m/>
    <m/>
    <m/>
    <m/>
    <n v="2310100"/>
    <n v="2268900"/>
  </r>
  <r>
    <x v="12"/>
    <x v="0"/>
    <s v="Tennessee College of Applied Technology at McMinnville"/>
    <m/>
    <n v="221607"/>
    <x v="10"/>
    <n v="1976300"/>
    <n v="1987600"/>
    <m/>
    <m/>
    <m/>
    <m/>
    <n v="792700"/>
    <n v="0"/>
    <n v="792700"/>
    <n v="922141"/>
    <n v="0"/>
    <n v="922141"/>
    <n v="2769000"/>
    <n v="2909741"/>
    <m/>
    <m/>
    <m/>
    <m/>
    <n v="0"/>
    <m/>
    <m/>
    <n v="0"/>
    <m/>
    <m/>
    <m/>
    <m/>
    <m/>
    <m/>
    <n v="2769000"/>
    <n v="2909741"/>
  </r>
  <r>
    <x v="12"/>
    <x v="0"/>
    <s v="Tennessee College of Applied Technology at Memphis"/>
    <s v="Met the criteria for Technical Institute or College 1 in 2019-20 and 2020-21."/>
    <n v="220853"/>
    <x v="10"/>
    <n v="5982600"/>
    <n v="6016700"/>
    <m/>
    <m/>
    <m/>
    <m/>
    <n v="3431850"/>
    <n v="0"/>
    <n v="3431850"/>
    <n v="3470794"/>
    <n v="0"/>
    <n v="3470794"/>
    <n v="9414450"/>
    <n v="9487494"/>
    <m/>
    <m/>
    <m/>
    <m/>
    <n v="0"/>
    <m/>
    <m/>
    <n v="0"/>
    <m/>
    <m/>
    <m/>
    <m/>
    <m/>
    <m/>
    <n v="9414450"/>
    <n v="9487494"/>
  </r>
  <r>
    <x v="12"/>
    <x v="0"/>
    <s v="Tennessee College of Applied Technology at Morristown"/>
    <m/>
    <n v="221050"/>
    <x v="10"/>
    <n v="5525100"/>
    <n v="5556600"/>
    <m/>
    <m/>
    <m/>
    <m/>
    <n v="2592100"/>
    <n v="0"/>
    <n v="2592100"/>
    <n v="2363900"/>
    <n v="0"/>
    <n v="2363900"/>
    <n v="8117200"/>
    <n v="7920500"/>
    <m/>
    <m/>
    <m/>
    <m/>
    <n v="0"/>
    <m/>
    <m/>
    <n v="0"/>
    <m/>
    <m/>
    <m/>
    <m/>
    <m/>
    <m/>
    <n v="8117200"/>
    <n v="7920500"/>
  </r>
  <r>
    <x v="12"/>
    <x v="0"/>
    <s v="Tennessee College of Applied Technology at Murfreesboro"/>
    <m/>
    <n v="221102"/>
    <x v="10"/>
    <n v="2446800"/>
    <n v="2460800"/>
    <m/>
    <m/>
    <m/>
    <m/>
    <n v="1785200"/>
    <n v="0"/>
    <n v="1785200"/>
    <n v="1860200"/>
    <n v="0"/>
    <n v="1860200"/>
    <n v="4232000"/>
    <n v="4321000"/>
    <m/>
    <m/>
    <m/>
    <m/>
    <n v="0"/>
    <m/>
    <m/>
    <n v="0"/>
    <m/>
    <m/>
    <m/>
    <m/>
    <m/>
    <m/>
    <n v="4232000"/>
    <n v="4321000"/>
  </r>
  <r>
    <x v="12"/>
    <x v="0"/>
    <s v="Tennessee College of Applied Technology at Nashville"/>
    <m/>
    <n v="248925"/>
    <x v="10"/>
    <n v="5179600"/>
    <n v="5209100"/>
    <m/>
    <m/>
    <m/>
    <m/>
    <n v="2859500"/>
    <n v="0"/>
    <n v="2859500"/>
    <n v="2851500"/>
    <n v="0"/>
    <n v="2851500"/>
    <n v="8039100"/>
    <n v="8060600"/>
    <m/>
    <m/>
    <m/>
    <m/>
    <n v="0"/>
    <m/>
    <m/>
    <n v="0"/>
    <m/>
    <m/>
    <m/>
    <m/>
    <m/>
    <m/>
    <n v="8039100"/>
    <n v="8060600"/>
  </r>
  <r>
    <x v="12"/>
    <x v="0"/>
    <s v="Tennessee College of Applied Technology at Newbern"/>
    <m/>
    <n v="221236"/>
    <x v="10"/>
    <n v="1962100"/>
    <n v="1973200"/>
    <m/>
    <m/>
    <m/>
    <m/>
    <n v="1284700"/>
    <n v="0"/>
    <n v="1284700"/>
    <n v="1253700"/>
    <n v="0"/>
    <n v="1253700"/>
    <n v="3246800"/>
    <n v="3226900"/>
    <m/>
    <m/>
    <m/>
    <m/>
    <n v="0"/>
    <m/>
    <m/>
    <n v="0"/>
    <m/>
    <m/>
    <m/>
    <m/>
    <m/>
    <m/>
    <n v="3246800"/>
    <n v="3226900"/>
  </r>
  <r>
    <x v="12"/>
    <x v="0"/>
    <s v="Tennessee College of Applied Technology at Oneida"/>
    <m/>
    <n v="221582"/>
    <x v="10"/>
    <n v="1875400"/>
    <n v="1886200"/>
    <m/>
    <m/>
    <m/>
    <m/>
    <n v="581900"/>
    <n v="0"/>
    <n v="581900"/>
    <n v="621600"/>
    <n v="0"/>
    <n v="621600"/>
    <n v="2457300"/>
    <n v="2507800"/>
    <m/>
    <m/>
    <m/>
    <m/>
    <n v="0"/>
    <m/>
    <m/>
    <n v="0"/>
    <m/>
    <m/>
    <m/>
    <m/>
    <m/>
    <m/>
    <n v="2457300"/>
    <n v="2507800"/>
  </r>
  <r>
    <x v="12"/>
    <x v="0"/>
    <s v="Tennessee College of Applied Technology at Paris"/>
    <m/>
    <n v="221281"/>
    <x v="10"/>
    <n v="2510500"/>
    <n v="2524800"/>
    <m/>
    <m/>
    <m/>
    <m/>
    <n v="844300"/>
    <n v="0"/>
    <n v="844300"/>
    <n v="827000"/>
    <n v="0"/>
    <n v="827000"/>
    <n v="3354800"/>
    <n v="3351800"/>
    <m/>
    <m/>
    <m/>
    <m/>
    <n v="0"/>
    <m/>
    <m/>
    <n v="0"/>
    <m/>
    <m/>
    <m/>
    <m/>
    <m/>
    <m/>
    <n v="3354800"/>
    <n v="3351800"/>
  </r>
  <r>
    <x v="12"/>
    <x v="0"/>
    <s v="Tennessee College of Applied Technology at Pulaski"/>
    <m/>
    <n v="221333"/>
    <x v="10"/>
    <n v="1991700"/>
    <n v="2003100"/>
    <m/>
    <m/>
    <m/>
    <m/>
    <n v="1125000"/>
    <n v="0"/>
    <n v="1125000"/>
    <n v="1151500"/>
    <n v="0"/>
    <n v="1151500"/>
    <n v="3116700"/>
    <n v="3154600"/>
    <m/>
    <m/>
    <m/>
    <m/>
    <n v="0"/>
    <m/>
    <m/>
    <n v="0"/>
    <m/>
    <m/>
    <m/>
    <m/>
    <m/>
    <m/>
    <n v="3116700"/>
    <n v="3154600"/>
  </r>
  <r>
    <x v="12"/>
    <x v="0"/>
    <s v="Tennessee College of Applied Technology at Ripley"/>
    <m/>
    <n v="221388"/>
    <x v="10"/>
    <n v="1597400"/>
    <n v="1607000"/>
    <m/>
    <m/>
    <m/>
    <m/>
    <n v="630000"/>
    <n v="0"/>
    <n v="630000"/>
    <n v="613467"/>
    <n v="0"/>
    <n v="613467"/>
    <n v="2227400"/>
    <n v="2220467"/>
    <m/>
    <m/>
    <m/>
    <m/>
    <n v="0"/>
    <m/>
    <m/>
    <n v="0"/>
    <m/>
    <m/>
    <m/>
    <m/>
    <m/>
    <m/>
    <n v="2227400"/>
    <n v="2220467"/>
  </r>
  <r>
    <x v="12"/>
    <x v="0"/>
    <s v="Tennessee College of Applied Technology at Shelbyville"/>
    <m/>
    <n v="221494"/>
    <x v="10"/>
    <n v="2812100"/>
    <n v="2828100"/>
    <m/>
    <m/>
    <m/>
    <m/>
    <n v="1672100"/>
    <n v="0"/>
    <n v="1672100"/>
    <n v="1563900"/>
    <n v="0"/>
    <n v="1563900"/>
    <n v="4484200"/>
    <n v="4392000"/>
    <m/>
    <m/>
    <m/>
    <m/>
    <n v="0"/>
    <m/>
    <m/>
    <n v="0"/>
    <m/>
    <m/>
    <m/>
    <m/>
    <m/>
    <m/>
    <n v="4484200"/>
    <n v="4392000"/>
  </r>
  <r>
    <x v="12"/>
    <x v="0"/>
    <s v="Tennessee College of Applied Technology at Whiteville"/>
    <m/>
    <n v="221634"/>
    <x v="10"/>
    <n v="1836100"/>
    <n v="1846600"/>
    <m/>
    <m/>
    <m/>
    <m/>
    <n v="514800"/>
    <n v="0"/>
    <n v="514800"/>
    <n v="625700"/>
    <n v="0"/>
    <n v="625700"/>
    <n v="2350900"/>
    <n v="2472300"/>
    <m/>
    <m/>
    <m/>
    <m/>
    <n v="0"/>
    <m/>
    <m/>
    <n v="0"/>
    <m/>
    <m/>
    <m/>
    <m/>
    <m/>
    <m/>
    <n v="2350900"/>
    <n v="2472300"/>
  </r>
  <r>
    <x v="12"/>
    <x v="38"/>
    <s v="University of Tennessee Health Science Center"/>
    <m/>
    <n v="221704"/>
    <x v="11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8"/>
    <s v="Health professions education"/>
    <m/>
    <n v="221704"/>
    <x v="11"/>
    <m/>
    <m/>
    <m/>
    <m/>
    <m/>
    <m/>
    <n v="0"/>
    <n v="0"/>
    <n v="0"/>
    <m/>
    <m/>
    <n v="0"/>
    <n v="0"/>
    <n v="0"/>
    <m/>
    <m/>
    <m/>
    <m/>
    <n v="0"/>
    <m/>
    <m/>
    <n v="0"/>
    <n v="166232400"/>
    <n v="169135500"/>
    <n v="81983794"/>
    <n v="169500"/>
    <n v="81983794"/>
    <n v="169500"/>
    <n v="248216194"/>
    <n v="251119294"/>
  </r>
  <r>
    <x v="12"/>
    <x v="38"/>
    <s v="Medical School"/>
    <m/>
    <n v="221704"/>
    <x v="11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8"/>
    <s v="Veterinary School"/>
    <m/>
    <n v="221704"/>
    <x v="11"/>
    <m/>
    <m/>
    <m/>
    <m/>
    <m/>
    <m/>
    <n v="0"/>
    <n v="0"/>
    <n v="0"/>
    <m/>
    <m/>
    <n v="0"/>
    <n v="0"/>
    <n v="0"/>
    <m/>
    <m/>
    <m/>
    <m/>
    <n v="0"/>
    <m/>
    <m/>
    <n v="0"/>
    <n v="23041900"/>
    <n v="23476800"/>
    <n v="12902961"/>
    <n v="0"/>
    <n v="12600028"/>
    <n v="0"/>
    <n v="35944861"/>
    <n v="36076828"/>
  </r>
  <r>
    <x v="12"/>
    <x v="9"/>
    <s v="University of Tennessee Space Institute"/>
    <m/>
    <n v="221704"/>
    <x v="11"/>
    <m/>
    <m/>
    <m/>
    <m/>
    <m/>
    <m/>
    <n v="0"/>
    <n v="0"/>
    <n v="0"/>
    <m/>
    <m/>
    <n v="0"/>
    <n v="0"/>
    <n v="0"/>
    <n v="10340800"/>
    <n v="10914900"/>
    <n v="1095000"/>
    <n v="0"/>
    <n v="1095000"/>
    <n v="997918"/>
    <n v="0"/>
    <n v="997918"/>
    <m/>
    <m/>
    <m/>
    <m/>
    <m/>
    <m/>
    <n v="11435800"/>
    <n v="11912818"/>
  </r>
  <r>
    <x v="12"/>
    <x v="13"/>
    <s v="Educational special purpose funds — all other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13"/>
    <s v="Tennessee Language Center"/>
    <m/>
    <m/>
    <x v="12"/>
    <m/>
    <m/>
    <n v="719900"/>
    <n v="741800"/>
    <m/>
    <m/>
    <n v="0"/>
    <n v="0"/>
    <n v="0"/>
    <m/>
    <m/>
    <n v="0"/>
    <n v="719900"/>
    <n v="741800"/>
    <m/>
    <m/>
    <m/>
    <m/>
    <n v="0"/>
    <m/>
    <m/>
    <n v="0"/>
    <m/>
    <m/>
    <m/>
    <m/>
    <m/>
    <m/>
    <n v="719900"/>
    <n v="741800"/>
  </r>
  <r>
    <x v="12"/>
    <x v="14"/>
    <s v="Statewide System Operations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15"/>
    <s v="Colleges and universities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15"/>
    <s v="TN H.Ed. Commission"/>
    <m/>
    <m/>
    <x v="12"/>
    <m/>
    <m/>
    <m/>
    <m/>
    <m/>
    <m/>
    <n v="0"/>
    <n v="0"/>
    <n v="0"/>
    <m/>
    <m/>
    <n v="0"/>
    <n v="0"/>
    <n v="0"/>
    <n v="3879800"/>
    <n v="3715400"/>
    <n v="0"/>
    <n v="0"/>
    <n v="0"/>
    <n v="0"/>
    <n v="0"/>
    <n v="0"/>
    <m/>
    <m/>
    <m/>
    <m/>
    <m/>
    <m/>
    <n v="3879800"/>
    <n v="3715400"/>
  </r>
  <r>
    <x v="12"/>
    <x v="15"/>
    <s v="Univ TN System Adm &amp; TN Board of Regents"/>
    <m/>
    <m/>
    <x v="12"/>
    <m/>
    <m/>
    <m/>
    <m/>
    <m/>
    <m/>
    <n v="0"/>
    <n v="0"/>
    <n v="0"/>
    <m/>
    <m/>
    <n v="0"/>
    <n v="0"/>
    <n v="0"/>
    <n v="28638000"/>
    <n v="23381400"/>
    <n v="0"/>
    <n v="0"/>
    <n v="0"/>
    <n v="0"/>
    <n v="0"/>
    <n v="0"/>
    <m/>
    <m/>
    <m/>
    <m/>
    <m/>
    <m/>
    <n v="28638000"/>
    <n v="23381400"/>
  </r>
  <r>
    <x v="12"/>
    <x v="17"/>
    <s v="National or regional associations, compacts or consortia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17"/>
    <s v="SREB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18"/>
    <s v="Adm. of Statewide Student Aid Progs. (incldng centralized guaranteed student loans)"/>
    <m/>
    <m/>
    <x v="12"/>
    <m/>
    <m/>
    <m/>
    <m/>
    <m/>
    <m/>
    <n v="0"/>
    <n v="0"/>
    <n v="0"/>
    <m/>
    <m/>
    <n v="0"/>
    <n v="0"/>
    <n v="0"/>
    <n v="2136400"/>
    <n v="2161300"/>
    <n v="0"/>
    <n v="0"/>
    <n v="0"/>
    <n v="0"/>
    <n v="0"/>
    <n v="0"/>
    <m/>
    <m/>
    <m/>
    <m/>
    <m/>
    <m/>
    <n v="2136400"/>
    <n v="2161300"/>
  </r>
  <r>
    <x v="12"/>
    <x v="19"/>
    <s v="State Support to Private Colleges Other Than Student Aid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9"/>
    <s v="Contract Education Programs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40"/>
    <s v="SREB contract program with private colleges"/>
    <m/>
    <m/>
    <x v="12"/>
    <m/>
    <m/>
    <m/>
    <m/>
    <m/>
    <m/>
    <n v="0"/>
    <n v="0"/>
    <n v="0"/>
    <m/>
    <m/>
    <n v="0"/>
    <n v="0"/>
    <n v="0"/>
    <n v="2037900"/>
    <n v="2037900"/>
    <n v="0"/>
    <n v="0"/>
    <n v="0"/>
    <n v="0"/>
    <n v="0"/>
    <n v="0"/>
    <m/>
    <m/>
    <m/>
    <m/>
    <m/>
    <m/>
    <n v="2037900"/>
    <n v="2037900"/>
  </r>
  <r>
    <x v="12"/>
    <x v="40"/>
    <s v="Meharry Medical College (Dentistry, Medicine, Special Aid)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40"/>
    <s v="Southern College of Optometry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41"/>
    <s v="SREB contract program with public colleges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20"/>
    <s v="Other contract education programs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21"/>
    <s v="Statewide Student Financial Aid Programs Administered Off Campus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22"/>
    <s v="Available to public &amp; private sector students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22"/>
    <s v="Academic Scholarships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25"/>
    <s v="Amount to public sector students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26"/>
    <s v="Need-based"/>
    <m/>
    <m/>
    <x v="12"/>
    <m/>
    <m/>
    <m/>
    <m/>
    <m/>
    <m/>
    <n v="0"/>
    <n v="0"/>
    <n v="0"/>
    <m/>
    <m/>
    <n v="0"/>
    <n v="0"/>
    <n v="0"/>
    <n v="138340729"/>
    <n v="136635597.43000001"/>
    <m/>
    <m/>
    <n v="0"/>
    <m/>
    <m/>
    <n v="0"/>
    <m/>
    <m/>
    <m/>
    <m/>
    <m/>
    <m/>
    <n v="138340729"/>
    <n v="136635597.43000001"/>
  </r>
  <r>
    <x v="12"/>
    <x v="27"/>
    <s v="Non need-based"/>
    <m/>
    <m/>
    <x v="12"/>
    <m/>
    <m/>
    <m/>
    <m/>
    <m/>
    <m/>
    <n v="0"/>
    <n v="0"/>
    <n v="0"/>
    <m/>
    <m/>
    <n v="0"/>
    <n v="0"/>
    <n v="0"/>
    <n v="269743500"/>
    <n v="244148861.30000001"/>
    <m/>
    <m/>
    <n v="0"/>
    <m/>
    <m/>
    <n v="0"/>
    <m/>
    <m/>
    <m/>
    <m/>
    <m/>
    <m/>
    <n v="269743500"/>
    <n v="244148861.30000001"/>
  </r>
  <r>
    <x v="12"/>
    <x v="28"/>
    <s v="Amount to private sector students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0"/>
    <s v="Need-based"/>
    <m/>
    <m/>
    <x v="12"/>
    <m/>
    <m/>
    <m/>
    <m/>
    <m/>
    <m/>
    <n v="0"/>
    <n v="0"/>
    <n v="0"/>
    <m/>
    <m/>
    <n v="0"/>
    <n v="0"/>
    <n v="0"/>
    <n v="53229771"/>
    <n v="54122207.359999999"/>
    <m/>
    <m/>
    <n v="0"/>
    <m/>
    <m/>
    <n v="0"/>
    <m/>
    <m/>
    <m/>
    <m/>
    <m/>
    <m/>
    <n v="53229771"/>
    <n v="54122207.359999999"/>
  </r>
  <r>
    <x v="12"/>
    <x v="29"/>
    <s v="Non need-based"/>
    <m/>
    <m/>
    <x v="12"/>
    <m/>
    <m/>
    <m/>
    <m/>
    <m/>
    <m/>
    <n v="0"/>
    <n v="0"/>
    <n v="0"/>
    <m/>
    <m/>
    <n v="0"/>
    <n v="0"/>
    <n v="0"/>
    <n v="48992790"/>
    <n v="50104097.490000002"/>
    <m/>
    <m/>
    <n v="0"/>
    <m/>
    <m/>
    <n v="0"/>
    <m/>
    <m/>
    <m/>
    <m/>
    <m/>
    <m/>
    <n v="48992790"/>
    <n v="50104097.490000002"/>
  </r>
  <r>
    <x v="12"/>
    <x v="31"/>
    <s v="Limited to public college students only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2"/>
    <s v="Need-based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3"/>
    <s v="Non need-based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4"/>
    <s v="Limited to private college students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5"/>
    <s v="Need-based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2"/>
    <x v="36"/>
    <s v="Non need-based"/>
    <m/>
    <m/>
    <x v="12"/>
    <m/>
    <m/>
    <m/>
    <m/>
    <m/>
    <m/>
    <n v="0"/>
    <n v="0"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Texas A&amp;M University "/>
    <m/>
    <n v="228723"/>
    <x v="0"/>
    <n v="549514986"/>
    <n v="536147820"/>
    <m/>
    <m/>
    <m/>
    <m/>
    <n v="570145267"/>
    <m/>
    <n v="570145267"/>
    <n v="606100402.94066203"/>
    <m/>
    <n v="606100402.94066203"/>
    <n v="1119660253"/>
    <n v="1142248222.9406619"/>
    <m/>
    <m/>
    <m/>
    <m/>
    <n v="0"/>
    <m/>
    <m/>
    <n v="0"/>
    <n v="33529665"/>
    <n v="33519987"/>
    <n v="22581829"/>
    <m/>
    <n v="24470880.0593381"/>
    <m/>
    <n v="1175771747"/>
    <n v="1200239090"/>
  </r>
  <r>
    <x v="13"/>
    <x v="1"/>
    <s v="Health professions education"/>
    <m/>
    <n v="22872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"/>
    <s v="Veterinary Medicine School"/>
    <m/>
    <n v="22872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6"/>
    <s v="Texas AgriLife Research"/>
    <m/>
    <n v="228723"/>
    <x v="0"/>
    <m/>
    <m/>
    <n v="67793667"/>
    <n v="67516728"/>
    <m/>
    <m/>
    <m/>
    <m/>
    <n v="0"/>
    <m/>
    <m/>
    <n v="0"/>
    <n v="67793667"/>
    <n v="67516728"/>
    <m/>
    <m/>
    <m/>
    <m/>
    <n v="0"/>
    <m/>
    <m/>
    <n v="0"/>
    <m/>
    <m/>
    <m/>
    <m/>
    <m/>
    <m/>
    <n v="67793667"/>
    <n v="67516728"/>
  </r>
  <r>
    <x v="13"/>
    <x v="5"/>
    <s v="Texas AgriLife Extension Service"/>
    <m/>
    <n v="228723"/>
    <x v="0"/>
    <m/>
    <m/>
    <n v="67302119"/>
    <n v="66040528"/>
    <m/>
    <m/>
    <m/>
    <m/>
    <n v="0"/>
    <m/>
    <m/>
    <n v="0"/>
    <n v="67302119"/>
    <n v="66040528"/>
    <m/>
    <m/>
    <m/>
    <m/>
    <n v="0"/>
    <m/>
    <m/>
    <n v="0"/>
    <m/>
    <m/>
    <m/>
    <m/>
    <m/>
    <m/>
    <n v="67302119"/>
    <n v="66040528"/>
  </r>
  <r>
    <x v="13"/>
    <x v="43"/>
    <s v="Texas Engineering Experiment Station"/>
    <m/>
    <n v="228723"/>
    <x v="0"/>
    <m/>
    <m/>
    <n v="24445695"/>
    <n v="26992096"/>
    <m/>
    <m/>
    <m/>
    <m/>
    <n v="0"/>
    <m/>
    <m/>
    <n v="0"/>
    <n v="24445695"/>
    <n v="26992096"/>
    <m/>
    <m/>
    <m/>
    <m/>
    <n v="0"/>
    <m/>
    <m/>
    <n v="0"/>
    <m/>
    <m/>
    <m/>
    <m/>
    <m/>
    <m/>
    <n v="24445695"/>
    <n v="26992096"/>
  </r>
  <r>
    <x v="13"/>
    <x v="3"/>
    <s v="Texas Transportation Institute"/>
    <m/>
    <n v="228723"/>
    <x v="0"/>
    <m/>
    <m/>
    <n v="11887991"/>
    <n v="11930780"/>
    <m/>
    <m/>
    <m/>
    <m/>
    <n v="0"/>
    <m/>
    <m/>
    <n v="0"/>
    <n v="11887991"/>
    <n v="11930780"/>
    <m/>
    <m/>
    <m/>
    <m/>
    <n v="0"/>
    <m/>
    <m/>
    <n v="0"/>
    <m/>
    <m/>
    <m/>
    <m/>
    <m/>
    <m/>
    <n v="11887991"/>
    <n v="11930780"/>
  </r>
  <r>
    <x v="13"/>
    <x v="46"/>
    <s v="Texas Engineering extension service"/>
    <m/>
    <n v="228723"/>
    <x v="0"/>
    <m/>
    <m/>
    <n v="9680819"/>
    <n v="9698523"/>
    <m/>
    <m/>
    <m/>
    <m/>
    <n v="0"/>
    <m/>
    <m/>
    <n v="0"/>
    <n v="9680819"/>
    <n v="9698523"/>
    <m/>
    <m/>
    <m/>
    <m/>
    <n v="0"/>
    <m/>
    <m/>
    <n v="0"/>
    <m/>
    <m/>
    <m/>
    <m/>
    <m/>
    <m/>
    <n v="9680819"/>
    <n v="9698523"/>
  </r>
  <r>
    <x v="13"/>
    <x v="3"/>
    <s v="Texas Forest Service"/>
    <m/>
    <n v="228723"/>
    <x v="0"/>
    <m/>
    <m/>
    <n v="39759133"/>
    <n v="37805724"/>
    <m/>
    <m/>
    <m/>
    <m/>
    <n v="0"/>
    <m/>
    <m/>
    <n v="0"/>
    <n v="39759133"/>
    <n v="37805724"/>
    <m/>
    <m/>
    <m/>
    <m/>
    <n v="0"/>
    <m/>
    <m/>
    <n v="0"/>
    <m/>
    <m/>
    <m/>
    <m/>
    <m/>
    <m/>
    <n v="39759133"/>
    <n v="37805724"/>
  </r>
  <r>
    <x v="13"/>
    <x v="3"/>
    <s v="Texas Vet Med Diagnostic Lab"/>
    <m/>
    <n v="228723"/>
    <x v="0"/>
    <m/>
    <m/>
    <n v="10072694"/>
    <n v="9702638"/>
    <m/>
    <m/>
    <m/>
    <m/>
    <n v="0"/>
    <m/>
    <m/>
    <n v="0"/>
    <n v="10072694"/>
    <n v="9702638"/>
    <m/>
    <m/>
    <m/>
    <m/>
    <n v="0"/>
    <m/>
    <m/>
    <n v="0"/>
    <m/>
    <m/>
    <m/>
    <m/>
    <m/>
    <m/>
    <n v="10072694"/>
    <n v="9702638"/>
  </r>
  <r>
    <x v="13"/>
    <x v="3"/>
    <s v="Division of Emergency Management"/>
    <m/>
    <n v="228723"/>
    <x v="0"/>
    <m/>
    <m/>
    <n v="22183968"/>
    <n v="11012098"/>
    <m/>
    <m/>
    <m/>
    <m/>
    <n v="0"/>
    <m/>
    <m/>
    <n v="0"/>
    <n v="22183968"/>
    <n v="11012098"/>
    <m/>
    <m/>
    <m/>
    <m/>
    <n v="0"/>
    <m/>
    <m/>
    <n v="0"/>
    <m/>
    <m/>
    <m/>
    <m/>
    <m/>
    <m/>
    <n v="22183968"/>
    <n v="11012098"/>
  </r>
  <r>
    <x v="13"/>
    <x v="3"/>
    <s v="Community or public service units"/>
    <m/>
    <n v="228723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Texas Tech University "/>
    <m/>
    <n v="229115"/>
    <x v="0"/>
    <n v="200011119"/>
    <n v="177409462"/>
    <n v="4646618.49"/>
    <n v="5887434.4800000004"/>
    <m/>
    <m/>
    <n v="312261175"/>
    <m/>
    <n v="312261175"/>
    <n v="329894807"/>
    <m/>
    <n v="329894807"/>
    <n v="516918912.49000001"/>
    <n v="513191703.48000002"/>
    <m/>
    <m/>
    <m/>
    <m/>
    <n v="0"/>
    <m/>
    <m/>
    <n v="0"/>
    <n v="7500000"/>
    <n v="9850000"/>
    <m/>
    <m/>
    <m/>
    <m/>
    <n v="524418912.49000001"/>
    <n v="523041703.48000002"/>
  </r>
  <r>
    <x v="13"/>
    <x v="0"/>
    <s v="University of Houston"/>
    <m/>
    <n v="225511"/>
    <x v="0"/>
    <n v="240407008"/>
    <n v="195811472"/>
    <n v="5109773.5"/>
    <n v="2850000"/>
    <m/>
    <m/>
    <n v="360651617"/>
    <m/>
    <n v="360651617"/>
    <n v="367253363"/>
    <m/>
    <n v="367253363"/>
    <n v="606168398.5"/>
    <n v="565914835"/>
    <m/>
    <m/>
    <m/>
    <m/>
    <n v="0"/>
    <m/>
    <m/>
    <n v="0"/>
    <m/>
    <m/>
    <m/>
    <m/>
    <m/>
    <m/>
    <n v="606168398.5"/>
    <n v="565914835"/>
  </r>
  <r>
    <x v="13"/>
    <x v="0"/>
    <s v="University of North Texas"/>
    <m/>
    <n v="227216"/>
    <x v="0"/>
    <n v="134079372"/>
    <n v="130171463"/>
    <n v="2317750"/>
    <n v="934955.38"/>
    <m/>
    <m/>
    <n v="310215849"/>
    <m/>
    <n v="310215849"/>
    <n v="331219265"/>
    <m/>
    <n v="331219265"/>
    <n v="446612971"/>
    <n v="462325683.38"/>
    <m/>
    <m/>
    <m/>
    <m/>
    <n v="0"/>
    <m/>
    <m/>
    <n v="0"/>
    <m/>
    <m/>
    <m/>
    <m/>
    <m/>
    <m/>
    <n v="446612971"/>
    <n v="462325683.38"/>
  </r>
  <r>
    <x v="13"/>
    <x v="0"/>
    <s v="University of Texas at Arlington"/>
    <m/>
    <n v="228769"/>
    <x v="0"/>
    <n v="142428216"/>
    <n v="133912204"/>
    <n v="275000"/>
    <n v="487500"/>
    <m/>
    <m/>
    <n v="311918978"/>
    <m/>
    <n v="311918978"/>
    <n v="326687549"/>
    <m/>
    <n v="326687549"/>
    <n v="454622194"/>
    <n v="461087253"/>
    <m/>
    <m/>
    <m/>
    <m/>
    <n v="0"/>
    <m/>
    <m/>
    <n v="0"/>
    <m/>
    <m/>
    <m/>
    <m/>
    <m/>
    <m/>
    <n v="454622194"/>
    <n v="461087253"/>
  </r>
  <r>
    <x v="13"/>
    <x v="0"/>
    <s v="University of Texas at Austin"/>
    <m/>
    <n v="228778"/>
    <x v="0"/>
    <n v="736765944"/>
    <n v="933830369"/>
    <m/>
    <m/>
    <m/>
    <m/>
    <n v="477601226"/>
    <m/>
    <n v="477601226"/>
    <n v="473882428"/>
    <m/>
    <n v="473882428"/>
    <n v="1214367170"/>
    <n v="1407712797"/>
    <m/>
    <m/>
    <m/>
    <m/>
    <n v="0"/>
    <m/>
    <m/>
    <n v="0"/>
    <m/>
    <m/>
    <m/>
    <m/>
    <m/>
    <m/>
    <n v="1214367170"/>
    <n v="1407712797"/>
  </r>
  <r>
    <x v="13"/>
    <x v="0"/>
    <s v="University of Texas at Dallas"/>
    <m/>
    <n v="228787"/>
    <x v="0"/>
    <n v="118254508"/>
    <n v="109350714"/>
    <n v="3885819.42"/>
    <n v="2184180.58"/>
    <m/>
    <m/>
    <n v="272494083"/>
    <m/>
    <n v="272494083"/>
    <n v="294638433"/>
    <m/>
    <n v="294638433"/>
    <n v="394634410.42000002"/>
    <n v="406173327.57999998"/>
    <m/>
    <m/>
    <m/>
    <m/>
    <n v="0"/>
    <m/>
    <m/>
    <n v="0"/>
    <m/>
    <m/>
    <m/>
    <m/>
    <m/>
    <m/>
    <n v="394634410.42000002"/>
    <n v="406173327.57999998"/>
  </r>
  <r>
    <x v="13"/>
    <x v="0"/>
    <s v="University of Texas at San Antonio"/>
    <m/>
    <n v="229027"/>
    <x v="0"/>
    <n v="131769532"/>
    <n v="124012514"/>
    <n v="780186.82"/>
    <n v="1225000"/>
    <m/>
    <m/>
    <n v="183418781"/>
    <m/>
    <n v="183418781"/>
    <n v="203601417"/>
    <m/>
    <n v="203601417"/>
    <n v="315968499.81999999"/>
    <n v="328838931"/>
    <m/>
    <m/>
    <m/>
    <m/>
    <n v="0"/>
    <m/>
    <m/>
    <n v="0"/>
    <m/>
    <m/>
    <m/>
    <m/>
    <m/>
    <m/>
    <n v="315968499.81999999"/>
    <n v="328838931"/>
  </r>
  <r>
    <x v="13"/>
    <x v="0"/>
    <s v="Texas State University"/>
    <m/>
    <n v="228459"/>
    <x v="1"/>
    <n v="136203378"/>
    <n v="127000442"/>
    <n v="200000"/>
    <n v="3549162.08"/>
    <m/>
    <m/>
    <n v="238678109"/>
    <m/>
    <n v="238678109"/>
    <n v="242885556"/>
    <m/>
    <n v="242885556"/>
    <n v="375081487"/>
    <n v="373435160.07999998"/>
    <m/>
    <m/>
    <m/>
    <m/>
    <n v="0"/>
    <m/>
    <m/>
    <n v="0"/>
    <m/>
    <m/>
    <m/>
    <m/>
    <m/>
    <m/>
    <n v="375081487"/>
    <n v="373435160.07999998"/>
  </r>
  <r>
    <x v="13"/>
    <x v="0"/>
    <s v="Texas Woman's University"/>
    <s v="Met the requirments for 4-year 1 in 2020-21"/>
    <n v="229179"/>
    <x v="1"/>
    <n v="68663479"/>
    <n v="71173472"/>
    <m/>
    <m/>
    <m/>
    <m/>
    <n v="77541183"/>
    <m/>
    <n v="77541183"/>
    <n v="87137532"/>
    <m/>
    <n v="87137532"/>
    <n v="146204662"/>
    <n v="158311004"/>
    <m/>
    <m/>
    <m/>
    <m/>
    <n v="0"/>
    <m/>
    <m/>
    <n v="0"/>
    <m/>
    <m/>
    <m/>
    <m/>
    <m/>
    <m/>
    <n v="146204662"/>
    <n v="158311004"/>
  </r>
  <r>
    <x v="13"/>
    <x v="0"/>
    <s v="University of Texas at El Paso"/>
    <s v="Met the requirments for 4 Year 1 in 2020-21"/>
    <n v="228796"/>
    <x v="1"/>
    <n v="106731294"/>
    <n v="99457064"/>
    <n v="284851.77"/>
    <n v="381767.48"/>
    <m/>
    <m/>
    <n v="130124360"/>
    <m/>
    <n v="130124360"/>
    <n v="139315793"/>
    <m/>
    <n v="139315793"/>
    <n v="237140505.76999998"/>
    <n v="239154624.48000002"/>
    <m/>
    <m/>
    <m/>
    <m/>
    <n v="0"/>
    <m/>
    <m/>
    <n v="0"/>
    <m/>
    <m/>
    <m/>
    <m/>
    <m/>
    <m/>
    <n v="237140505.76999998"/>
    <n v="239154624.48000002"/>
  </r>
  <r>
    <x v="13"/>
    <x v="0"/>
    <s v="Angelo State University"/>
    <m/>
    <n v="222831"/>
    <x v="2"/>
    <n v="36220412"/>
    <n v="33639285"/>
    <m/>
    <m/>
    <m/>
    <m/>
    <n v="41562764"/>
    <m/>
    <n v="41562764"/>
    <n v="41367534"/>
    <m/>
    <n v="41367534"/>
    <n v="77783176"/>
    <n v="75006819"/>
    <m/>
    <m/>
    <m/>
    <m/>
    <n v="0"/>
    <m/>
    <m/>
    <n v="0"/>
    <m/>
    <m/>
    <m/>
    <m/>
    <m/>
    <m/>
    <n v="77783176"/>
    <n v="75006819"/>
  </r>
  <r>
    <x v="13"/>
    <x v="0"/>
    <s v="Lamar University"/>
    <m/>
    <n v="226091"/>
    <x v="2"/>
    <n v="57580069"/>
    <n v="53383059"/>
    <m/>
    <m/>
    <m/>
    <m/>
    <n v="83931633"/>
    <m/>
    <n v="83931633"/>
    <n v="87889027"/>
    <m/>
    <n v="87889027"/>
    <n v="141511702"/>
    <n v="141272086"/>
    <m/>
    <m/>
    <m/>
    <m/>
    <n v="0"/>
    <m/>
    <m/>
    <n v="0"/>
    <m/>
    <m/>
    <m/>
    <m/>
    <m/>
    <m/>
    <n v="141511702"/>
    <n v="141272086"/>
  </r>
  <r>
    <x v="13"/>
    <x v="0"/>
    <s v="Midwestern State University  "/>
    <m/>
    <n v="226833"/>
    <x v="2"/>
    <n v="21965064"/>
    <n v="20457875"/>
    <m/>
    <m/>
    <m/>
    <m/>
    <n v="35183763"/>
    <m/>
    <n v="35183763"/>
    <n v="36834617"/>
    <m/>
    <n v="36834617"/>
    <n v="57148827"/>
    <n v="57292492"/>
    <m/>
    <m/>
    <m/>
    <m/>
    <n v="0"/>
    <m/>
    <m/>
    <n v="0"/>
    <m/>
    <m/>
    <m/>
    <m/>
    <m/>
    <m/>
    <n v="57148827"/>
    <n v="57292492"/>
  </r>
  <r>
    <x v="13"/>
    <x v="0"/>
    <s v="Prairie View A&amp;M University"/>
    <m/>
    <n v="227526"/>
    <x v="2"/>
    <n v="80421854"/>
    <n v="79700711"/>
    <m/>
    <m/>
    <m/>
    <m/>
    <n v="40878006"/>
    <m/>
    <n v="40878006"/>
    <n v="45000109"/>
    <m/>
    <n v="45000109"/>
    <n v="121299860"/>
    <n v="124700820"/>
    <m/>
    <m/>
    <m/>
    <m/>
    <n v="0"/>
    <m/>
    <m/>
    <n v="0"/>
    <m/>
    <m/>
    <m/>
    <m/>
    <m/>
    <m/>
    <n v="121299860"/>
    <n v="124700820"/>
  </r>
  <r>
    <x v="13"/>
    <x v="0"/>
    <s v="Sam Houston State University "/>
    <m/>
    <n v="227881"/>
    <x v="2"/>
    <n v="72913124"/>
    <n v="69036132"/>
    <m/>
    <m/>
    <m/>
    <m/>
    <n v="154563100"/>
    <m/>
    <n v="154563100"/>
    <n v="158792596"/>
    <m/>
    <n v="158792596"/>
    <n v="227476224"/>
    <n v="227828728"/>
    <m/>
    <m/>
    <m/>
    <m/>
    <n v="0"/>
    <m/>
    <m/>
    <n v="0"/>
    <m/>
    <m/>
    <m/>
    <m/>
    <m/>
    <m/>
    <n v="227476224"/>
    <n v="227828728"/>
  </r>
  <r>
    <x v="13"/>
    <x v="0"/>
    <s v="Stephen F. Austin State University"/>
    <m/>
    <n v="228431"/>
    <x v="2"/>
    <n v="43810077"/>
    <n v="43930552"/>
    <m/>
    <m/>
    <m/>
    <m/>
    <n v="83460589"/>
    <m/>
    <n v="83460589"/>
    <n v="83822895"/>
    <m/>
    <n v="83822895"/>
    <n v="127270666"/>
    <n v="127753447"/>
    <m/>
    <m/>
    <m/>
    <m/>
    <n v="0"/>
    <m/>
    <m/>
    <n v="0"/>
    <m/>
    <m/>
    <m/>
    <m/>
    <m/>
    <m/>
    <n v="127270666"/>
    <n v="127753447"/>
  </r>
  <r>
    <x v="13"/>
    <x v="0"/>
    <s v="Sul Ross State University "/>
    <m/>
    <n v="228501"/>
    <x v="2"/>
    <n v="13644158"/>
    <n v="12733413"/>
    <m/>
    <m/>
    <m/>
    <m/>
    <n v="5952891"/>
    <m/>
    <n v="5952891"/>
    <n v="10392039"/>
    <m/>
    <n v="10392039"/>
    <n v="19597049"/>
    <n v="23125452"/>
    <m/>
    <m/>
    <m/>
    <m/>
    <n v="0"/>
    <m/>
    <m/>
    <n v="0"/>
    <m/>
    <m/>
    <m/>
    <m/>
    <m/>
    <m/>
    <n v="19597049"/>
    <n v="23125452"/>
  </r>
  <r>
    <x v="13"/>
    <x v="0"/>
    <s v="Tarleton State University  "/>
    <m/>
    <n v="228529"/>
    <x v="2"/>
    <n v="45570237"/>
    <n v="44254626"/>
    <m/>
    <m/>
    <m/>
    <m/>
    <n v="71174877"/>
    <m/>
    <n v="71174877"/>
    <n v="76547125"/>
    <m/>
    <n v="76547125"/>
    <n v="116745114"/>
    <n v="120801751"/>
    <m/>
    <m/>
    <m/>
    <m/>
    <n v="0"/>
    <m/>
    <m/>
    <n v="0"/>
    <m/>
    <m/>
    <m/>
    <m/>
    <m/>
    <m/>
    <n v="116745114"/>
    <n v="120801751"/>
  </r>
  <r>
    <x v="13"/>
    <x v="0"/>
    <s v="Texas A&amp;M International University"/>
    <m/>
    <n v="226152"/>
    <x v="2"/>
    <n v="29521741"/>
    <n v="29508267"/>
    <m/>
    <m/>
    <m/>
    <m/>
    <n v="23789547"/>
    <m/>
    <n v="23789547"/>
    <n v="27797374"/>
    <m/>
    <n v="27797374"/>
    <n v="53311288"/>
    <n v="57305641"/>
    <m/>
    <m/>
    <m/>
    <m/>
    <n v="0"/>
    <m/>
    <m/>
    <n v="0"/>
    <m/>
    <m/>
    <m/>
    <m/>
    <m/>
    <m/>
    <n v="53311288"/>
    <n v="57305641"/>
  </r>
  <r>
    <x v="13"/>
    <x v="0"/>
    <s v="Texas A&amp;M University-Commerce"/>
    <m/>
    <n v="224554"/>
    <x v="2"/>
    <n v="47958846"/>
    <n v="48048688"/>
    <m/>
    <m/>
    <m/>
    <m/>
    <n v="52643350"/>
    <m/>
    <n v="52643350"/>
    <n v="55834421"/>
    <m/>
    <n v="55834421"/>
    <n v="100602196"/>
    <n v="103883109"/>
    <m/>
    <m/>
    <m/>
    <m/>
    <n v="0"/>
    <m/>
    <m/>
    <n v="0"/>
    <m/>
    <m/>
    <m/>
    <m/>
    <m/>
    <m/>
    <n v="100602196"/>
    <n v="103883109"/>
  </r>
  <r>
    <x v="13"/>
    <x v="0"/>
    <s v="Texas A&amp;M University-Corpus Christi "/>
    <s v="Met the criteria for Four-Year 2 in 2019-20."/>
    <n v="224147"/>
    <x v="2"/>
    <n v="51743616"/>
    <n v="51885338"/>
    <m/>
    <m/>
    <m/>
    <m/>
    <n v="64350604"/>
    <m/>
    <n v="64350604"/>
    <n v="67396925"/>
    <m/>
    <n v="67396925"/>
    <n v="116094220"/>
    <n v="119282263"/>
    <m/>
    <m/>
    <m/>
    <m/>
    <n v="0"/>
    <m/>
    <m/>
    <n v="0"/>
    <m/>
    <m/>
    <m/>
    <m/>
    <m/>
    <m/>
    <n v="116094220"/>
    <n v="119282263"/>
  </r>
  <r>
    <x v="13"/>
    <x v="0"/>
    <s v="Texas A&amp;M University-Kingsville"/>
    <m/>
    <n v="228705"/>
    <x v="2"/>
    <n v="43283570"/>
    <n v="40967615"/>
    <m/>
    <m/>
    <m/>
    <m/>
    <n v="40437658"/>
    <m/>
    <n v="40437658"/>
    <n v="38038936"/>
    <m/>
    <n v="38038936"/>
    <n v="83721228"/>
    <n v="79006551"/>
    <m/>
    <m/>
    <m/>
    <m/>
    <n v="0"/>
    <m/>
    <m/>
    <n v="0"/>
    <m/>
    <m/>
    <m/>
    <m/>
    <m/>
    <m/>
    <n v="83721228"/>
    <n v="79006551"/>
  </r>
  <r>
    <x v="13"/>
    <x v="0"/>
    <s v="Texas Southern University "/>
    <m/>
    <n v="229063"/>
    <x v="2"/>
    <n v="49630970"/>
    <n v="49588558"/>
    <m/>
    <m/>
    <m/>
    <m/>
    <n v="62210273"/>
    <m/>
    <n v="62210273"/>
    <n v="55891658"/>
    <m/>
    <n v="55891658"/>
    <n v="111841243"/>
    <n v="105480216"/>
    <m/>
    <m/>
    <m/>
    <m/>
    <n v="0"/>
    <m/>
    <m/>
    <n v="0"/>
    <m/>
    <m/>
    <m/>
    <m/>
    <m/>
    <m/>
    <n v="111841243"/>
    <n v="105480216"/>
  </r>
  <r>
    <x v="13"/>
    <x v="0"/>
    <s v="University of Houston-Clear Lake "/>
    <m/>
    <n v="225414"/>
    <x v="2"/>
    <n v="28195119"/>
    <n v="28256366"/>
    <m/>
    <m/>
    <m/>
    <m/>
    <n v="53589439"/>
    <m/>
    <n v="53589439"/>
    <n v="57843777"/>
    <m/>
    <n v="57843777"/>
    <n v="81784558"/>
    <n v="86100143"/>
    <m/>
    <m/>
    <m/>
    <m/>
    <n v="0"/>
    <m/>
    <m/>
    <n v="0"/>
    <m/>
    <m/>
    <m/>
    <m/>
    <m/>
    <m/>
    <n v="81784558"/>
    <n v="86100143"/>
  </r>
  <r>
    <x v="13"/>
    <x v="0"/>
    <s v="University of Texas - Rio Grande Valley"/>
    <m/>
    <n v="227368"/>
    <x v="2"/>
    <n v="104756028"/>
    <n v="97137320"/>
    <m/>
    <m/>
    <m/>
    <m/>
    <n v="90949003"/>
    <m/>
    <n v="90949003"/>
    <n v="97578347"/>
    <m/>
    <n v="97578347"/>
    <n v="195705031"/>
    <n v="194715667"/>
    <m/>
    <m/>
    <m/>
    <m/>
    <n v="0"/>
    <m/>
    <m/>
    <n v="0"/>
    <m/>
    <m/>
    <m/>
    <m/>
    <m/>
    <m/>
    <n v="195705031"/>
    <n v="194715667"/>
  </r>
  <r>
    <x v="13"/>
    <x v="0"/>
    <s v="University of Texas at Tyler"/>
    <m/>
    <n v="228802"/>
    <x v="2"/>
    <n v="34864772"/>
    <n v="32343430"/>
    <m/>
    <m/>
    <m/>
    <m/>
    <n v="47209824"/>
    <m/>
    <n v="47209824"/>
    <n v="49913885"/>
    <m/>
    <n v="49913885"/>
    <n v="82074596"/>
    <n v="82257315"/>
    <m/>
    <m/>
    <m/>
    <m/>
    <n v="0"/>
    <m/>
    <m/>
    <n v="0"/>
    <m/>
    <m/>
    <m/>
    <m/>
    <m/>
    <m/>
    <n v="82074596"/>
    <n v="82257315"/>
  </r>
  <r>
    <x v="13"/>
    <x v="0"/>
    <s v="University of Texas of the Permian Basin"/>
    <m/>
    <n v="229018"/>
    <x v="2"/>
    <n v="24626547"/>
    <n v="22886974"/>
    <m/>
    <m/>
    <m/>
    <m/>
    <n v="-9101562"/>
    <m/>
    <n v="-9101562"/>
    <n v="43756605"/>
    <m/>
    <n v="43756605"/>
    <n v="15524985"/>
    <n v="66643579"/>
    <m/>
    <m/>
    <m/>
    <m/>
    <n v="0"/>
    <m/>
    <m/>
    <n v="0"/>
    <m/>
    <m/>
    <m/>
    <m/>
    <m/>
    <m/>
    <n v="15524985"/>
    <n v="66643579"/>
  </r>
  <r>
    <x v="13"/>
    <x v="0"/>
    <s v="West Texas A&amp;M University"/>
    <m/>
    <n v="229814"/>
    <x v="2"/>
    <n v="38858310"/>
    <n v="36051083"/>
    <m/>
    <m/>
    <m/>
    <m/>
    <n v="49435605"/>
    <m/>
    <n v="49435605"/>
    <n v="51511542"/>
    <m/>
    <n v="51511542"/>
    <n v="88293915"/>
    <n v="87562625"/>
    <m/>
    <m/>
    <m/>
    <m/>
    <n v="0"/>
    <m/>
    <m/>
    <n v="0"/>
    <m/>
    <m/>
    <m/>
    <m/>
    <m/>
    <m/>
    <n v="88293915"/>
    <n v="87562625"/>
  </r>
  <r>
    <x v="13"/>
    <x v="0"/>
    <s v="Texas A&amp;M Univ-Central Texas"/>
    <s v="Reclassified: Met the criteria for Four-Year 3 in 2018-19 ,2019-20, and 2020-21"/>
    <n v="483036"/>
    <x v="2"/>
    <n v="15050938"/>
    <n v="14126953"/>
    <m/>
    <m/>
    <m/>
    <m/>
    <n v="11993667"/>
    <m/>
    <n v="11993667"/>
    <n v="12557100"/>
    <m/>
    <n v="12557100"/>
    <n v="27044605"/>
    <n v="26684053"/>
    <m/>
    <m/>
    <m/>
    <m/>
    <n v="0"/>
    <m/>
    <m/>
    <n v="0"/>
    <m/>
    <m/>
    <m/>
    <m/>
    <m/>
    <m/>
    <n v="27044605"/>
    <n v="26684053"/>
  </r>
  <r>
    <x v="13"/>
    <x v="0"/>
    <s v="Texas A&amp;M -Texarkana"/>
    <m/>
    <n v="224545"/>
    <x v="3"/>
    <n v="18058357"/>
    <n v="18103002"/>
    <m/>
    <m/>
    <m/>
    <m/>
    <n v="10322235"/>
    <m/>
    <n v="10322235"/>
    <n v="10594818"/>
    <m/>
    <n v="10594818"/>
    <n v="28380592"/>
    <n v="28697820"/>
    <m/>
    <m/>
    <m/>
    <m/>
    <n v="0"/>
    <m/>
    <m/>
    <n v="0"/>
    <m/>
    <m/>
    <m/>
    <m/>
    <m/>
    <m/>
    <n v="28380592"/>
    <n v="28697820"/>
  </r>
  <r>
    <x v="13"/>
    <x v="0"/>
    <s v="University of Houston-Downtown"/>
    <m/>
    <n v="225432"/>
    <x v="3"/>
    <n v="25415822"/>
    <n v="25862091"/>
    <m/>
    <m/>
    <m/>
    <m/>
    <n v="65819688"/>
    <m/>
    <n v="65819688"/>
    <n v="71113144"/>
    <m/>
    <n v="71113144"/>
    <n v="91235510"/>
    <n v="96975235"/>
    <m/>
    <m/>
    <m/>
    <m/>
    <n v="0"/>
    <m/>
    <m/>
    <n v="0"/>
    <m/>
    <m/>
    <m/>
    <m/>
    <m/>
    <m/>
    <n v="91235510"/>
    <n v="96975235"/>
  </r>
  <r>
    <x v="13"/>
    <x v="0"/>
    <s v="University of Houston-Victoria"/>
    <m/>
    <n v="225502"/>
    <x v="3"/>
    <n v="14213814"/>
    <n v="14266351"/>
    <m/>
    <m/>
    <m/>
    <m/>
    <n v="19716905"/>
    <m/>
    <n v="19716905"/>
    <n v="22004558"/>
    <m/>
    <n v="22004558"/>
    <n v="33930719"/>
    <n v="36270909"/>
    <m/>
    <m/>
    <m/>
    <m/>
    <n v="0"/>
    <m/>
    <m/>
    <n v="0"/>
    <m/>
    <m/>
    <m/>
    <m/>
    <m/>
    <m/>
    <n v="33930719"/>
    <n v="36270909"/>
  </r>
  <r>
    <x v="13"/>
    <x v="0"/>
    <s v="Sul Ross State University-Rio Grande College"/>
    <m/>
    <n v="227924"/>
    <x v="4"/>
    <n v="5686792"/>
    <n v="5190636"/>
    <m/>
    <m/>
    <m/>
    <m/>
    <m/>
    <m/>
    <n v="0"/>
    <m/>
    <m/>
    <n v="0"/>
    <n v="5686792"/>
    <n v="5190636"/>
    <m/>
    <m/>
    <m/>
    <m/>
    <n v="0"/>
    <m/>
    <m/>
    <n v="0"/>
    <m/>
    <m/>
    <m/>
    <m/>
    <m/>
    <m/>
    <n v="5686792"/>
    <n v="5190636"/>
  </r>
  <r>
    <x v="13"/>
    <x v="0"/>
    <s v="Texas A&amp;M Univ-San Antonio"/>
    <s v="Reclassified: Met the criteria for Four-Year 4 in 2018-19 and 2019-20, and 2021"/>
    <n v="870501"/>
    <x v="3"/>
    <n v="28913598"/>
    <n v="27516728"/>
    <m/>
    <m/>
    <m/>
    <m/>
    <n v="30298894"/>
    <m/>
    <n v="30298894"/>
    <n v="32078741"/>
    <m/>
    <n v="32078741"/>
    <n v="59212492"/>
    <n v="59595469"/>
    <m/>
    <m/>
    <m/>
    <m/>
    <n v="0"/>
    <m/>
    <m/>
    <n v="0"/>
    <m/>
    <m/>
    <m/>
    <m/>
    <m/>
    <m/>
    <n v="59212492"/>
    <n v="59595469"/>
  </r>
  <r>
    <x v="13"/>
    <x v="0"/>
    <s v="Texas A&amp;M University at Galveston"/>
    <m/>
    <n v="228714"/>
    <x v="4"/>
    <n v="17237536"/>
    <n v="17280850"/>
    <m/>
    <m/>
    <m/>
    <m/>
    <n v="21182278"/>
    <m/>
    <n v="21182278"/>
    <n v="18625925"/>
    <m/>
    <n v="18625925"/>
    <n v="38419814"/>
    <n v="35906775"/>
    <m/>
    <m/>
    <m/>
    <m/>
    <n v="0"/>
    <m/>
    <m/>
    <n v="0"/>
    <m/>
    <m/>
    <m/>
    <m/>
    <m/>
    <m/>
    <n v="38419814"/>
    <n v="35906775"/>
  </r>
  <r>
    <x v="13"/>
    <x v="0"/>
    <s v="Brazosport College "/>
    <s v="Met the criteria Two-Year 2 in 2020-21"/>
    <n v="223506"/>
    <x v="14"/>
    <n v="8485020"/>
    <n v="8485019"/>
    <m/>
    <m/>
    <n v="23510066"/>
    <n v="24125631"/>
    <n v="9099168"/>
    <m/>
    <n v="9099168"/>
    <n v="7238949"/>
    <m/>
    <n v="7238949"/>
    <n v="41094254"/>
    <n v="39849599"/>
    <m/>
    <m/>
    <m/>
    <m/>
    <n v="0"/>
    <m/>
    <m/>
    <n v="0"/>
    <m/>
    <m/>
    <m/>
    <m/>
    <m/>
    <m/>
    <n v="41094254"/>
    <n v="39849599"/>
  </r>
  <r>
    <x v="13"/>
    <x v="0"/>
    <s v="Midland College "/>
    <s v="Met the criteria Two-Year 2 in 2020-21"/>
    <n v="226806"/>
    <x v="14"/>
    <n v="11372635"/>
    <n v="11372632"/>
    <m/>
    <m/>
    <n v="28295755"/>
    <n v="31160243"/>
    <n v="9170673"/>
    <m/>
    <n v="9170673"/>
    <n v="8360389"/>
    <m/>
    <n v="8360389"/>
    <n v="48839063"/>
    <n v="50893264"/>
    <m/>
    <m/>
    <m/>
    <m/>
    <n v="0"/>
    <m/>
    <m/>
    <n v="0"/>
    <m/>
    <m/>
    <m/>
    <m/>
    <m/>
    <m/>
    <n v="48839063"/>
    <n v="50893264"/>
  </r>
  <r>
    <x v="13"/>
    <x v="0"/>
    <s v="South Texas College"/>
    <s v="Met the critera for Two-Year 1 in 2020-21"/>
    <n v="409315"/>
    <x v="14"/>
    <n v="51861697"/>
    <n v="51861695"/>
    <m/>
    <m/>
    <n v="53934103"/>
    <n v="56146535"/>
    <n v="22589007"/>
    <m/>
    <n v="22589007"/>
    <n v="23652462"/>
    <m/>
    <n v="23652462"/>
    <n v="128384807"/>
    <n v="131660692"/>
    <m/>
    <m/>
    <m/>
    <m/>
    <n v="0"/>
    <m/>
    <m/>
    <n v="0"/>
    <m/>
    <m/>
    <m/>
    <m/>
    <m/>
    <m/>
    <n v="128384807"/>
    <n v="131660692"/>
  </r>
  <r>
    <x v="13"/>
    <x v="0"/>
    <s v="Amarillo College "/>
    <m/>
    <n v="222576"/>
    <x v="6"/>
    <n v="20499099"/>
    <n v="20499097"/>
    <m/>
    <m/>
    <n v="21067011"/>
    <n v="21483476"/>
    <n v="14506839"/>
    <m/>
    <n v="14506839"/>
    <n v="13054088"/>
    <m/>
    <n v="13054088"/>
    <n v="56072949"/>
    <n v="55036661"/>
    <m/>
    <m/>
    <m/>
    <m/>
    <n v="0"/>
    <m/>
    <m/>
    <n v="0"/>
    <m/>
    <m/>
    <m/>
    <m/>
    <m/>
    <m/>
    <n v="56072949"/>
    <n v="55036661"/>
  </r>
  <r>
    <x v="13"/>
    <x v="0"/>
    <s v="Austin Community College "/>
    <s v="Met the criteria for Two-Year with Bachelor's in 2019-20."/>
    <n v="222992"/>
    <x v="6"/>
    <n v="68950258"/>
    <n v="64390257"/>
    <m/>
    <m/>
    <n v="196320613"/>
    <n v="212591502"/>
    <n v="66946013"/>
    <m/>
    <n v="66946013"/>
    <n v="67650501"/>
    <m/>
    <n v="67650501"/>
    <n v="332216884"/>
    <n v="344632260"/>
    <m/>
    <m/>
    <m/>
    <m/>
    <n v="0"/>
    <m/>
    <m/>
    <n v="0"/>
    <m/>
    <m/>
    <m/>
    <m/>
    <m/>
    <m/>
    <n v="332216884"/>
    <n v="344632260"/>
  </r>
  <r>
    <x v="13"/>
    <x v="0"/>
    <s v="Blinn College "/>
    <m/>
    <n v="223427"/>
    <x v="6"/>
    <n v="30793166"/>
    <n v="30656365"/>
    <m/>
    <m/>
    <n v="1939201"/>
    <n v="2190612"/>
    <n v="60568848"/>
    <m/>
    <n v="60568848"/>
    <n v="61999367"/>
    <m/>
    <n v="61999367"/>
    <n v="93301215"/>
    <n v="94846344"/>
    <m/>
    <m/>
    <m/>
    <m/>
    <n v="0"/>
    <m/>
    <m/>
    <n v="0"/>
    <m/>
    <m/>
    <m/>
    <m/>
    <m/>
    <m/>
    <n v="93301215"/>
    <n v="94846344"/>
  </r>
  <r>
    <x v="13"/>
    <x v="0"/>
    <s v="Brookhaven College  (DCCCD)"/>
    <m/>
    <n v="223524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Central Texas College "/>
    <m/>
    <n v="223816"/>
    <x v="6"/>
    <n v="20934796"/>
    <n v="20934795"/>
    <m/>
    <m/>
    <n v="13352061"/>
    <n v="13371476"/>
    <n v="39425313"/>
    <m/>
    <n v="39425313"/>
    <n v="34774258"/>
    <m/>
    <n v="34774258"/>
    <n v="73712170"/>
    <n v="69080529"/>
    <m/>
    <m/>
    <m/>
    <m/>
    <n v="0"/>
    <m/>
    <m/>
    <n v="0"/>
    <m/>
    <m/>
    <m/>
    <m/>
    <m/>
    <m/>
    <n v="73712170"/>
    <n v="69080529"/>
  </r>
  <r>
    <x v="13"/>
    <x v="0"/>
    <s v="Collin County Community College District"/>
    <m/>
    <n v="247834"/>
    <x v="6"/>
    <n v="49208836"/>
    <n v="49208835"/>
    <m/>
    <m/>
    <n v="106276226"/>
    <n v="115221104"/>
    <n v="40182049"/>
    <m/>
    <n v="40182049"/>
    <n v="39230781"/>
    <m/>
    <n v="39230781"/>
    <n v="195667111"/>
    <n v="203660720"/>
    <m/>
    <m/>
    <m/>
    <m/>
    <n v="0"/>
    <m/>
    <m/>
    <n v="0"/>
    <m/>
    <m/>
    <m/>
    <m/>
    <m/>
    <m/>
    <n v="195667111"/>
    <n v="203660720"/>
  </r>
  <r>
    <x v="13"/>
    <x v="0"/>
    <s v="Del Mar College "/>
    <m/>
    <n v="224350"/>
    <x v="6"/>
    <n v="23387601"/>
    <n v="23387599"/>
    <m/>
    <m/>
    <n v="54449297"/>
    <n v="58318766"/>
    <n v="12574086"/>
    <m/>
    <n v="12574086"/>
    <n v="12540731"/>
    <m/>
    <n v="12540731"/>
    <n v="90410984"/>
    <n v="94247096"/>
    <m/>
    <m/>
    <m/>
    <m/>
    <n v="0"/>
    <m/>
    <m/>
    <n v="0"/>
    <m/>
    <m/>
    <m/>
    <m/>
    <m/>
    <m/>
    <n v="90410984"/>
    <n v="94247096"/>
  </r>
  <r>
    <x v="13"/>
    <x v="0"/>
    <s v="Eastfield College  (DCCCD)"/>
    <m/>
    <n v="224572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El Centro College  (DCCCD)"/>
    <m/>
    <n v="224615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El Paso County Community College District"/>
    <m/>
    <n v="224642"/>
    <x v="6"/>
    <n v="43131993"/>
    <n v="43131991"/>
    <m/>
    <m/>
    <n v="61284007"/>
    <n v="64101302"/>
    <n v="25133302"/>
    <m/>
    <n v="25133302"/>
    <n v="23292432"/>
    <m/>
    <n v="23292432"/>
    <n v="129549302"/>
    <n v="130525725"/>
    <m/>
    <m/>
    <m/>
    <m/>
    <n v="0"/>
    <m/>
    <m/>
    <n v="0"/>
    <m/>
    <m/>
    <m/>
    <m/>
    <m/>
    <m/>
    <n v="129549302"/>
    <n v="130525725"/>
  </r>
  <r>
    <x v="13"/>
    <x v="0"/>
    <s v="Houston Community College"/>
    <m/>
    <n v="225423"/>
    <x v="6"/>
    <n v="89140367"/>
    <n v="89140365"/>
    <m/>
    <m/>
    <n v="152465955"/>
    <n v="161157699"/>
    <n v="76925390"/>
    <m/>
    <n v="76925390"/>
    <n v="83937951"/>
    <m/>
    <n v="83937951"/>
    <n v="318531712"/>
    <n v="334236015"/>
    <m/>
    <m/>
    <m/>
    <m/>
    <n v="0"/>
    <m/>
    <m/>
    <n v="0"/>
    <m/>
    <m/>
    <m/>
    <m/>
    <m/>
    <m/>
    <n v="318531712"/>
    <n v="334236015"/>
  </r>
  <r>
    <x v="13"/>
    <x v="0"/>
    <s v="Laredo Community College "/>
    <m/>
    <n v="226134"/>
    <x v="6"/>
    <n v="16804487"/>
    <n v="16804486"/>
    <m/>
    <m/>
    <n v="35954285"/>
    <n v="37652641"/>
    <n v="7536617"/>
    <m/>
    <n v="7536617"/>
    <n v="6481688"/>
    <m/>
    <n v="6481688"/>
    <n v="60295389"/>
    <n v="60938815"/>
    <m/>
    <m/>
    <m/>
    <m/>
    <n v="0"/>
    <m/>
    <m/>
    <n v="0"/>
    <m/>
    <m/>
    <m/>
    <m/>
    <m/>
    <m/>
    <n v="60295389"/>
    <n v="60938815"/>
  </r>
  <r>
    <x v="13"/>
    <x v="0"/>
    <s v="Lone Star College System District"/>
    <m/>
    <n v="227182"/>
    <x v="6"/>
    <n v="98536062"/>
    <n v="98536061"/>
    <m/>
    <m/>
    <n v="152277079"/>
    <n v="163311926"/>
    <n v="80966660"/>
    <m/>
    <n v="80966660"/>
    <n v="80820186"/>
    <m/>
    <n v="80820186"/>
    <n v="331779801"/>
    <n v="342668173"/>
    <m/>
    <m/>
    <m/>
    <m/>
    <n v="0"/>
    <m/>
    <m/>
    <n v="0"/>
    <m/>
    <m/>
    <m/>
    <m/>
    <m/>
    <m/>
    <n v="331779801"/>
    <n v="342668173"/>
  </r>
  <r>
    <x v="13"/>
    <x v="0"/>
    <s v="McLennan Community College "/>
    <m/>
    <n v="226578"/>
    <x v="6"/>
    <n v="17260795"/>
    <n v="17260795"/>
    <m/>
    <m/>
    <n v="20175004"/>
    <n v="21809084"/>
    <n v="13453670"/>
    <m/>
    <n v="13453670"/>
    <n v="12671608"/>
    <m/>
    <n v="12671608"/>
    <n v="50889469"/>
    <n v="51741487"/>
    <m/>
    <m/>
    <m/>
    <m/>
    <n v="0"/>
    <m/>
    <m/>
    <n v="0"/>
    <m/>
    <m/>
    <m/>
    <m/>
    <m/>
    <m/>
    <n v="50889469"/>
    <n v="51741487"/>
  </r>
  <r>
    <x v="13"/>
    <x v="0"/>
    <s v="Mountain View College  (DCCCD)"/>
    <m/>
    <n v="226930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Navarro College "/>
    <m/>
    <n v="227146"/>
    <x v="6"/>
    <n v="16181989"/>
    <n v="16181987"/>
    <m/>
    <m/>
    <n v="4225699"/>
    <n v="4757104"/>
    <n v="14804719"/>
    <m/>
    <n v="14804719"/>
    <n v="14857047"/>
    <m/>
    <n v="14857047"/>
    <n v="35212407"/>
    <n v="35796138"/>
    <m/>
    <m/>
    <m/>
    <m/>
    <n v="0"/>
    <m/>
    <m/>
    <n v="0"/>
    <m/>
    <m/>
    <m/>
    <m/>
    <m/>
    <m/>
    <n v="35212407"/>
    <n v="35796138"/>
  </r>
  <r>
    <x v="13"/>
    <x v="0"/>
    <s v="North Central Texas Community College"/>
    <s v="Met the requirments for  Two-year 3 in 2020-21"/>
    <n v="224110"/>
    <x v="6"/>
    <n v="14578896"/>
    <n v="14578896"/>
    <m/>
    <m/>
    <n v="2994555"/>
    <n v="3076441"/>
    <n v="19735931"/>
    <m/>
    <n v="19735931"/>
    <n v="21504682"/>
    <m/>
    <n v="21504682"/>
    <n v="37309382"/>
    <n v="39160019"/>
    <m/>
    <m/>
    <m/>
    <m/>
    <n v="0"/>
    <m/>
    <m/>
    <n v="0"/>
    <m/>
    <m/>
    <m/>
    <m/>
    <m/>
    <m/>
    <n v="37309382"/>
    <n v="39160019"/>
  </r>
  <r>
    <x v="13"/>
    <x v="0"/>
    <s v="North Lake College  (DCCCD)"/>
    <m/>
    <n v="227191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Northwest Vista College (ACCD)"/>
    <m/>
    <n v="420398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Palo Alto College  (ACCD)"/>
    <m/>
    <n v="246354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Richland College  (DCCCD)"/>
    <m/>
    <n v="227766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San Antonio College (ACCD)"/>
    <m/>
    <n v="227924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San Jacinto College (SJCDS)"/>
    <m/>
    <n v="227979"/>
    <x v="6"/>
    <n v="55078624"/>
    <n v="55078624"/>
    <m/>
    <m/>
    <n v="69383250"/>
    <n v="71440051"/>
    <n v="44940388"/>
    <m/>
    <n v="44940388"/>
    <n v="44232735"/>
    <m/>
    <n v="44232735"/>
    <n v="169402262"/>
    <n v="170751410"/>
    <m/>
    <m/>
    <m/>
    <m/>
    <n v="0"/>
    <m/>
    <m/>
    <n v="0"/>
    <m/>
    <m/>
    <m/>
    <m/>
    <m/>
    <m/>
    <n v="169402262"/>
    <n v="170751410"/>
  </r>
  <r>
    <x v="13"/>
    <x v="0"/>
    <s v="South Plains College "/>
    <m/>
    <n v="228158"/>
    <x v="6"/>
    <n v="18555115"/>
    <n v="18555114"/>
    <m/>
    <m/>
    <n v="10813210"/>
    <n v="11759211"/>
    <n v="16312605"/>
    <m/>
    <n v="16312605"/>
    <n v="17573879"/>
    <m/>
    <n v="17573879"/>
    <n v="45680930"/>
    <n v="47888204"/>
    <m/>
    <m/>
    <m/>
    <m/>
    <n v="0"/>
    <m/>
    <m/>
    <n v="0"/>
    <m/>
    <m/>
    <m/>
    <m/>
    <m/>
    <m/>
    <n v="45680930"/>
    <n v="47888204"/>
  </r>
  <r>
    <x v="13"/>
    <x v="0"/>
    <s v="St. Philip's College  (ACCD)"/>
    <m/>
    <n v="227854"/>
    <x v="6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Tarrant County College (TCJCD)"/>
    <m/>
    <n v="228547"/>
    <x v="6"/>
    <n v="78937095"/>
    <n v="78937094"/>
    <m/>
    <m/>
    <n v="244974129"/>
    <n v="261196233"/>
    <n v="55682936"/>
    <m/>
    <n v="55682936"/>
    <n v="46156087"/>
    <m/>
    <n v="46156087"/>
    <n v="379594160"/>
    <n v="386289414"/>
    <m/>
    <m/>
    <m/>
    <m/>
    <n v="0"/>
    <m/>
    <m/>
    <n v="0"/>
    <m/>
    <m/>
    <m/>
    <m/>
    <m/>
    <m/>
    <n v="379594160"/>
    <n v="386289414"/>
  </r>
  <r>
    <x v="13"/>
    <x v="0"/>
    <s v="Trinity Valley Community College"/>
    <m/>
    <n v="225308"/>
    <x v="6"/>
    <n v="14937219"/>
    <n v="14937218"/>
    <m/>
    <m/>
    <n v="15339294"/>
    <n v="17218609"/>
    <n v="7249164"/>
    <m/>
    <n v="7249164"/>
    <n v="4962566"/>
    <m/>
    <n v="4962566"/>
    <n v="37525677"/>
    <n v="37118393"/>
    <m/>
    <m/>
    <m/>
    <m/>
    <n v="0"/>
    <m/>
    <m/>
    <n v="0"/>
    <m/>
    <m/>
    <m/>
    <m/>
    <m/>
    <m/>
    <n v="37525677"/>
    <n v="37118393"/>
  </r>
  <r>
    <x v="13"/>
    <x v="0"/>
    <s v="Tyler Junior College "/>
    <s v="Met the criteria for Two-Year with Bachelor's in 2018-19 and 2019-20. "/>
    <n v="229355"/>
    <x v="6"/>
    <n v="23945149"/>
    <n v="23945147"/>
    <m/>
    <m/>
    <n v="26115573"/>
    <n v="27773130"/>
    <n v="21843430"/>
    <m/>
    <n v="21843430"/>
    <n v="21359174"/>
    <m/>
    <n v="21359174"/>
    <n v="71904152"/>
    <n v="73077451"/>
    <m/>
    <m/>
    <m/>
    <m/>
    <n v="0"/>
    <m/>
    <m/>
    <n v="0"/>
    <m/>
    <m/>
    <m/>
    <m/>
    <m/>
    <m/>
    <n v="71904152"/>
    <n v="73077451"/>
  </r>
  <r>
    <x v="13"/>
    <x v="0"/>
    <s v="Alvin Community College "/>
    <m/>
    <n v="222567"/>
    <x v="7"/>
    <n v="10497574"/>
    <n v="10497574"/>
    <m/>
    <m/>
    <n v="17296711"/>
    <n v="19453051"/>
    <n v="8857943"/>
    <m/>
    <n v="8857943"/>
    <n v="9176163"/>
    <m/>
    <n v="9176163"/>
    <n v="36652228"/>
    <n v="39126788"/>
    <m/>
    <m/>
    <m/>
    <m/>
    <n v="0"/>
    <m/>
    <m/>
    <n v="0"/>
    <m/>
    <m/>
    <m/>
    <m/>
    <m/>
    <m/>
    <n v="36652228"/>
    <n v="39126788"/>
  </r>
  <r>
    <x v="13"/>
    <x v="0"/>
    <s v="Angelina College "/>
    <m/>
    <n v="222822"/>
    <x v="7"/>
    <n v="10829291"/>
    <n v="10829290"/>
    <m/>
    <m/>
    <n v="6220538"/>
    <n v="6690284"/>
    <n v="6271023"/>
    <m/>
    <n v="6271023"/>
    <n v="5974592"/>
    <m/>
    <n v="5974592"/>
    <n v="23320852"/>
    <n v="23494166"/>
    <m/>
    <m/>
    <m/>
    <m/>
    <n v="0"/>
    <m/>
    <m/>
    <n v="0"/>
    <m/>
    <m/>
    <m/>
    <m/>
    <m/>
    <m/>
    <n v="23320852"/>
    <n v="23494166"/>
  </r>
  <r>
    <x v="13"/>
    <x v="0"/>
    <s v="Cedar Valley College  (DCCCD)"/>
    <m/>
    <n v="223773"/>
    <x v="7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Cisco Junior College "/>
    <m/>
    <n v="223898"/>
    <x v="7"/>
    <n v="6701687"/>
    <n v="6701686"/>
    <m/>
    <m/>
    <n v="1174942"/>
    <n v="1217358"/>
    <n v="4929103"/>
    <m/>
    <n v="4929103"/>
    <n v="5284395"/>
    <m/>
    <n v="5284395"/>
    <n v="12805732"/>
    <n v="13203439"/>
    <m/>
    <m/>
    <m/>
    <m/>
    <n v="0"/>
    <m/>
    <m/>
    <n v="0"/>
    <m/>
    <m/>
    <m/>
    <m/>
    <m/>
    <m/>
    <n v="12805732"/>
    <n v="13203439"/>
  </r>
  <r>
    <x v="13"/>
    <x v="0"/>
    <s v="Coastal Bend College"/>
    <m/>
    <n v="223320"/>
    <x v="7"/>
    <n v="8476156"/>
    <n v="8476156"/>
    <m/>
    <m/>
    <n v="2293641"/>
    <n v="2300881"/>
    <n v="2765132"/>
    <m/>
    <n v="2765132"/>
    <n v="131113"/>
    <m/>
    <n v="131113"/>
    <n v="13534929"/>
    <n v="10908150"/>
    <m/>
    <m/>
    <m/>
    <m/>
    <n v="0"/>
    <m/>
    <m/>
    <n v="0"/>
    <m/>
    <m/>
    <m/>
    <m/>
    <m/>
    <m/>
    <n v="13534929"/>
    <n v="10908150"/>
  </r>
  <r>
    <x v="13"/>
    <x v="0"/>
    <s v="College of the Mainland"/>
    <m/>
    <n v="226408"/>
    <x v="7"/>
    <n v="9956987"/>
    <n v="9956986"/>
    <m/>
    <m/>
    <n v="22567888"/>
    <n v="23739139"/>
    <n v="7223980"/>
    <m/>
    <n v="7223980"/>
    <n v="6731005"/>
    <m/>
    <n v="6731005"/>
    <n v="39748855"/>
    <n v="40427130"/>
    <m/>
    <m/>
    <m/>
    <m/>
    <n v="0"/>
    <m/>
    <m/>
    <n v="0"/>
    <m/>
    <m/>
    <m/>
    <m/>
    <m/>
    <m/>
    <n v="39748855"/>
    <n v="40427130"/>
  </r>
  <r>
    <x v="13"/>
    <x v="0"/>
    <s v="Grayson County College "/>
    <m/>
    <n v="225070"/>
    <x v="7"/>
    <n v="9432257"/>
    <n v="9432257"/>
    <m/>
    <m/>
    <n v="14491190"/>
    <n v="15972364"/>
    <n v="4683836"/>
    <m/>
    <n v="4683836"/>
    <n v="4978410"/>
    <m/>
    <n v="4978410"/>
    <n v="28607283"/>
    <n v="30383031"/>
    <m/>
    <m/>
    <m/>
    <m/>
    <n v="0"/>
    <m/>
    <m/>
    <n v="0"/>
    <m/>
    <m/>
    <m/>
    <m/>
    <m/>
    <m/>
    <n v="28607283"/>
    <n v="30383031"/>
  </r>
  <r>
    <x v="13"/>
    <x v="0"/>
    <s v="Hill College"/>
    <m/>
    <n v="225371"/>
    <x v="7"/>
    <n v="8884120"/>
    <n v="8884119"/>
    <m/>
    <m/>
    <n v="1879627"/>
    <n v="1910393"/>
    <n v="4662749"/>
    <m/>
    <n v="4662749"/>
    <n v="5810161"/>
    <m/>
    <n v="5810161"/>
    <n v="15426496"/>
    <n v="16604673"/>
    <m/>
    <m/>
    <m/>
    <m/>
    <n v="0"/>
    <m/>
    <m/>
    <n v="0"/>
    <m/>
    <m/>
    <m/>
    <m/>
    <m/>
    <m/>
    <n v="15426496"/>
    <n v="16604673"/>
  </r>
  <r>
    <x v="13"/>
    <x v="0"/>
    <s v="Howard College (HCJCD)"/>
    <m/>
    <n v="225520"/>
    <x v="7"/>
    <n v="12538606"/>
    <n v="12538605"/>
    <m/>
    <m/>
    <n v="9691119"/>
    <n v="10510027"/>
    <n v="4456035"/>
    <m/>
    <n v="4456035"/>
    <n v="4171010"/>
    <m/>
    <n v="4171010"/>
    <n v="26685760"/>
    <n v="27219642"/>
    <m/>
    <m/>
    <m/>
    <m/>
    <n v="0"/>
    <m/>
    <m/>
    <n v="0"/>
    <m/>
    <m/>
    <m/>
    <m/>
    <m/>
    <m/>
    <n v="26685760"/>
    <n v="27219642"/>
  </r>
  <r>
    <x v="13"/>
    <x v="0"/>
    <s v="Kilgore College "/>
    <m/>
    <n v="226019"/>
    <x v="6"/>
    <n v="12592901"/>
    <n v="12592900"/>
    <m/>
    <m/>
    <n v="6602588"/>
    <n v="7263613"/>
    <n v="8576482"/>
    <m/>
    <n v="8576482"/>
    <n v="9582499"/>
    <m/>
    <n v="9582499"/>
    <n v="27771971"/>
    <n v="29439012"/>
    <m/>
    <m/>
    <m/>
    <m/>
    <n v="0"/>
    <m/>
    <m/>
    <n v="0"/>
    <m/>
    <m/>
    <m/>
    <m/>
    <m/>
    <m/>
    <n v="27771971"/>
    <n v="29439012"/>
  </r>
  <r>
    <x v="13"/>
    <x v="0"/>
    <s v="Lamar Institute of Technology"/>
    <m/>
    <n v="441760"/>
    <x v="7"/>
    <n v="15898270"/>
    <n v="15936973"/>
    <m/>
    <m/>
    <m/>
    <m/>
    <n v="7187488"/>
    <m/>
    <n v="7187488"/>
    <n v="5809912"/>
    <m/>
    <n v="5809912"/>
    <n v="23085758"/>
    <n v="21746885"/>
    <m/>
    <m/>
    <m/>
    <m/>
    <n v="0"/>
    <m/>
    <m/>
    <n v="0"/>
    <m/>
    <m/>
    <m/>
    <m/>
    <m/>
    <m/>
    <n v="23085758"/>
    <n v="21746885"/>
  </r>
  <r>
    <x v="13"/>
    <x v="0"/>
    <s v="Lee College "/>
    <m/>
    <n v="226204"/>
    <x v="7"/>
    <n v="14065664"/>
    <n v="14065662"/>
    <m/>
    <m/>
    <n v="31325219"/>
    <n v="32645106"/>
    <n v="10535213"/>
    <m/>
    <n v="10535213"/>
    <n v="7961292"/>
    <m/>
    <n v="7961292"/>
    <n v="55926096"/>
    <n v="54672060"/>
    <m/>
    <m/>
    <m/>
    <m/>
    <n v="0"/>
    <m/>
    <m/>
    <n v="0"/>
    <m/>
    <m/>
    <m/>
    <m/>
    <m/>
    <m/>
    <n v="55926096"/>
    <n v="54672060"/>
  </r>
  <r>
    <x v="13"/>
    <x v="0"/>
    <s v="Northeast Texas Community College "/>
    <m/>
    <n v="227225"/>
    <x v="7"/>
    <n v="6521010"/>
    <n v="6521009"/>
    <m/>
    <m/>
    <n v="3187208"/>
    <n v="3482782"/>
    <n v="3862155"/>
    <m/>
    <n v="3862155"/>
    <n v="3921721"/>
    <m/>
    <n v="3921721"/>
    <n v="13570373"/>
    <n v="13925512"/>
    <m/>
    <m/>
    <m/>
    <m/>
    <n v="0"/>
    <m/>
    <m/>
    <n v="0"/>
    <m/>
    <m/>
    <m/>
    <m/>
    <m/>
    <m/>
    <n v="13570373"/>
    <n v="13925512"/>
  </r>
  <r>
    <x v="13"/>
    <x v="0"/>
    <s v="Odessa College "/>
    <m/>
    <n v="227304"/>
    <x v="7"/>
    <n v="12963933"/>
    <n v="12963932"/>
    <m/>
    <m/>
    <n v="23863032"/>
    <n v="25682905"/>
    <n v="11192706"/>
    <m/>
    <n v="11192706"/>
    <n v="10965280"/>
    <m/>
    <n v="10965280"/>
    <n v="48019671"/>
    <n v="49612117"/>
    <m/>
    <m/>
    <m/>
    <m/>
    <n v="0"/>
    <m/>
    <m/>
    <n v="0"/>
    <m/>
    <m/>
    <m/>
    <m/>
    <m/>
    <m/>
    <n v="48019671"/>
    <n v="49612117"/>
  </r>
  <r>
    <x v="13"/>
    <x v="0"/>
    <s v="Paris Junior College"/>
    <m/>
    <n v="227401"/>
    <x v="7"/>
    <n v="9832043"/>
    <n v="9832041"/>
    <m/>
    <m/>
    <n v="2941468"/>
    <n v="3000997"/>
    <n v="7131226"/>
    <m/>
    <n v="7131226"/>
    <n v="6975054"/>
    <m/>
    <n v="6975054"/>
    <n v="19904737"/>
    <n v="19808092"/>
    <m/>
    <m/>
    <m/>
    <m/>
    <n v="0"/>
    <m/>
    <m/>
    <n v="0"/>
    <m/>
    <m/>
    <m/>
    <m/>
    <m/>
    <m/>
    <n v="19904737"/>
    <n v="19808092"/>
  </r>
  <r>
    <x v="13"/>
    <x v="0"/>
    <s v="Southwest Texas Junior College "/>
    <m/>
    <n v="228316"/>
    <x v="7"/>
    <n v="10827030"/>
    <n v="10827029"/>
    <m/>
    <m/>
    <n v="5557488"/>
    <n v="6062810"/>
    <n v="7556069"/>
    <m/>
    <n v="7556069"/>
    <n v="4462458"/>
    <m/>
    <n v="4462458"/>
    <n v="23940587"/>
    <n v="21352297"/>
    <m/>
    <m/>
    <m/>
    <m/>
    <n v="0"/>
    <m/>
    <m/>
    <n v="0"/>
    <m/>
    <m/>
    <m/>
    <m/>
    <m/>
    <m/>
    <n v="23940587"/>
    <n v="21352297"/>
  </r>
  <r>
    <x v="13"/>
    <x v="0"/>
    <s v="Temple College "/>
    <m/>
    <n v="228608"/>
    <x v="7"/>
    <n v="9463526"/>
    <n v="9463524"/>
    <m/>
    <m/>
    <n v="6243498"/>
    <n v="6763995"/>
    <n v="11316689"/>
    <m/>
    <n v="11316689"/>
    <n v="9685037"/>
    <m/>
    <n v="9685037"/>
    <n v="27023713"/>
    <n v="25912556"/>
    <m/>
    <m/>
    <m/>
    <m/>
    <n v="0"/>
    <m/>
    <m/>
    <n v="0"/>
    <m/>
    <m/>
    <m/>
    <m/>
    <m/>
    <m/>
    <n v="27023713"/>
    <n v="25912556"/>
  </r>
  <r>
    <x v="13"/>
    <x v="0"/>
    <s v="Texarkana College "/>
    <m/>
    <n v="228699"/>
    <x v="7"/>
    <n v="9701865"/>
    <n v="9701863"/>
    <m/>
    <m/>
    <n v="6532330"/>
    <n v="7002036"/>
    <n v="6173965"/>
    <m/>
    <n v="6173965"/>
    <n v="4363647"/>
    <m/>
    <n v="4363647"/>
    <n v="22408160"/>
    <n v="21067546"/>
    <m/>
    <m/>
    <m/>
    <m/>
    <n v="0"/>
    <m/>
    <m/>
    <n v="0"/>
    <m/>
    <m/>
    <m/>
    <m/>
    <m/>
    <m/>
    <n v="22408160"/>
    <n v="21067546"/>
  </r>
  <r>
    <x v="13"/>
    <x v="0"/>
    <s v="Texas Southmost College "/>
    <m/>
    <n v="229072"/>
    <x v="6"/>
    <n v="9609210"/>
    <n v="9609208"/>
    <m/>
    <m/>
    <n v="14516319"/>
    <n v="15796727"/>
    <n v="12475770"/>
    <m/>
    <n v="12475770"/>
    <n v="2393405"/>
    <m/>
    <n v="2393405"/>
    <n v="36601299"/>
    <n v="27799340"/>
    <m/>
    <m/>
    <m/>
    <m/>
    <n v="0"/>
    <m/>
    <m/>
    <n v="0"/>
    <m/>
    <m/>
    <m/>
    <m/>
    <m/>
    <m/>
    <n v="36601299"/>
    <n v="27799340"/>
  </r>
  <r>
    <x v="13"/>
    <x v="0"/>
    <s v="Texas State Technical College-Harlingen "/>
    <m/>
    <n v="229319"/>
    <x v="7"/>
    <n v="32844545"/>
    <n v="33122507"/>
    <m/>
    <m/>
    <m/>
    <m/>
    <n v="7135153"/>
    <m/>
    <n v="7135153"/>
    <n v="9494885"/>
    <m/>
    <n v="9494885"/>
    <n v="39979698"/>
    <n v="42617392"/>
    <m/>
    <m/>
    <m/>
    <m/>
    <n v="0"/>
    <m/>
    <m/>
    <n v="0"/>
    <m/>
    <m/>
    <m/>
    <m/>
    <m/>
    <m/>
    <n v="39979698"/>
    <n v="42617392"/>
  </r>
  <r>
    <x v="13"/>
    <x v="0"/>
    <s v="Texas State Technical College-Waco"/>
    <m/>
    <n v="228680"/>
    <x v="6"/>
    <n v="42289492"/>
    <n v="42385441"/>
    <m/>
    <m/>
    <m/>
    <m/>
    <n v="14083664"/>
    <m/>
    <n v="14083664"/>
    <n v="11227778"/>
    <m/>
    <n v="11227778"/>
    <n v="56373156"/>
    <n v="53613219"/>
    <m/>
    <m/>
    <m/>
    <m/>
    <n v="0"/>
    <m/>
    <m/>
    <n v="0"/>
    <m/>
    <m/>
    <m/>
    <m/>
    <m/>
    <m/>
    <n v="56373156"/>
    <n v="53613219"/>
  </r>
  <r>
    <x v="13"/>
    <x v="0"/>
    <s v="Vernon College "/>
    <s v="Met the requirments for  Two-year 3 in 2020-21"/>
    <n v="229504"/>
    <x v="7"/>
    <n v="7060843"/>
    <n v="7060842"/>
    <m/>
    <m/>
    <n v="2721282"/>
    <n v="2707220"/>
    <n v="4886531"/>
    <m/>
    <n v="4886531"/>
    <n v="4479034"/>
    <m/>
    <n v="4479034"/>
    <n v="14668656"/>
    <n v="14247096"/>
    <m/>
    <m/>
    <m/>
    <m/>
    <n v="0"/>
    <m/>
    <m/>
    <n v="0"/>
    <m/>
    <m/>
    <m/>
    <m/>
    <m/>
    <m/>
    <n v="14668656"/>
    <n v="14247096"/>
  </r>
  <r>
    <x v="13"/>
    <x v="0"/>
    <s v="Victoria College "/>
    <m/>
    <n v="229540"/>
    <x v="7"/>
    <n v="7803140"/>
    <n v="7803138"/>
    <m/>
    <m/>
    <n v="11588962"/>
    <n v="12580777"/>
    <n v="9312815"/>
    <m/>
    <n v="9312815"/>
    <n v="9234455"/>
    <m/>
    <n v="9234455"/>
    <n v="28704917"/>
    <n v="29618370"/>
    <m/>
    <m/>
    <m/>
    <m/>
    <n v="0"/>
    <m/>
    <m/>
    <n v="0"/>
    <m/>
    <m/>
    <m/>
    <m/>
    <m/>
    <m/>
    <n v="28704917"/>
    <n v="29618370"/>
  </r>
  <r>
    <x v="13"/>
    <x v="0"/>
    <s v="Weatherford College "/>
    <m/>
    <n v="229799"/>
    <x v="7"/>
    <n v="11799032"/>
    <n v="11799032"/>
    <m/>
    <m/>
    <n v="14032739"/>
    <n v="15598077"/>
    <n v="8803947"/>
    <m/>
    <n v="8803947"/>
    <n v="9884181"/>
    <m/>
    <n v="9884181"/>
    <n v="34635718"/>
    <n v="37281290"/>
    <m/>
    <m/>
    <m/>
    <m/>
    <n v="0"/>
    <m/>
    <m/>
    <n v="0"/>
    <m/>
    <m/>
    <m/>
    <m/>
    <m/>
    <m/>
    <n v="34635718"/>
    <n v="37281290"/>
  </r>
  <r>
    <x v="13"/>
    <x v="0"/>
    <s v="Wharton County Junior College "/>
    <m/>
    <n v="229841"/>
    <x v="7"/>
    <n v="12745455"/>
    <n v="12745454"/>
    <m/>
    <m/>
    <n v="7267859"/>
    <n v="7532901"/>
    <n v="19100874"/>
    <m/>
    <n v="19100874"/>
    <n v="18208281"/>
    <m/>
    <n v="18208281"/>
    <n v="39114188"/>
    <n v="38486636"/>
    <m/>
    <m/>
    <m/>
    <m/>
    <n v="0"/>
    <m/>
    <m/>
    <n v="0"/>
    <m/>
    <m/>
    <m/>
    <m/>
    <m/>
    <m/>
    <n v="39114188"/>
    <n v="38486636"/>
  </r>
  <r>
    <x v="13"/>
    <x v="0"/>
    <s v="Clarendon College "/>
    <m/>
    <n v="223922"/>
    <x v="8"/>
    <n v="3607224"/>
    <n v="3607223"/>
    <m/>
    <m/>
    <n v="574714"/>
    <n v="608389"/>
    <n v="2342738"/>
    <m/>
    <n v="2342738"/>
    <n v="1926560"/>
    <m/>
    <n v="1926560"/>
    <n v="6524676"/>
    <n v="6142172"/>
    <m/>
    <m/>
    <m/>
    <m/>
    <n v="0"/>
    <m/>
    <m/>
    <n v="0"/>
    <m/>
    <m/>
    <m/>
    <m/>
    <m/>
    <m/>
    <n v="6524676"/>
    <n v="6142172"/>
  </r>
  <r>
    <x v="13"/>
    <x v="0"/>
    <s v="Frank Phillips College "/>
    <m/>
    <n v="224891"/>
    <x v="8"/>
    <n v="3228077"/>
    <n v="3228077"/>
    <m/>
    <m/>
    <n v="2474830"/>
    <n v="2440421"/>
    <n v="1448058"/>
    <m/>
    <n v="1448058"/>
    <n v="1806541"/>
    <m/>
    <n v="1806541"/>
    <n v="7150965"/>
    <n v="7475039"/>
    <m/>
    <m/>
    <m/>
    <m/>
    <n v="0"/>
    <m/>
    <m/>
    <n v="0"/>
    <m/>
    <m/>
    <m/>
    <m/>
    <m/>
    <m/>
    <n v="7150965"/>
    <n v="7475039"/>
  </r>
  <r>
    <x v="13"/>
    <x v="0"/>
    <s v="Galveston College "/>
    <m/>
    <n v="224961"/>
    <x v="8"/>
    <n v="6013461"/>
    <n v="6013460"/>
    <m/>
    <m/>
    <n v="13869957"/>
    <n v="14283682"/>
    <n v="2900554"/>
    <m/>
    <n v="2900554"/>
    <n v="2834638"/>
    <m/>
    <n v="2834638"/>
    <n v="22783972"/>
    <n v="23131780"/>
    <m/>
    <m/>
    <m/>
    <m/>
    <n v="0"/>
    <m/>
    <m/>
    <n v="0"/>
    <m/>
    <m/>
    <m/>
    <m/>
    <m/>
    <m/>
    <n v="22783972"/>
    <n v="23131780"/>
  </r>
  <r>
    <x v="13"/>
    <x v="0"/>
    <s v="Lamar State College-Orange"/>
    <m/>
    <n v="226107"/>
    <x v="8"/>
    <n v="11990068"/>
    <n v="12020482"/>
    <m/>
    <m/>
    <m/>
    <m/>
    <n v="5199475"/>
    <m/>
    <n v="5199475"/>
    <n v="3809217"/>
    <m/>
    <n v="3809217"/>
    <n v="17189543"/>
    <n v="15829699"/>
    <m/>
    <m/>
    <m/>
    <m/>
    <n v="0"/>
    <m/>
    <m/>
    <n v="0"/>
    <m/>
    <m/>
    <m/>
    <m/>
    <m/>
    <m/>
    <n v="17189543"/>
    <n v="15829699"/>
  </r>
  <r>
    <x v="13"/>
    <x v="0"/>
    <s v="Lamar State College-Port Arthur"/>
    <s v="Met the criteria for Two-Year 2 in 2019-20."/>
    <n v="226116"/>
    <x v="8"/>
    <n v="14572957"/>
    <n v="14609750"/>
    <m/>
    <m/>
    <m/>
    <m/>
    <n v="6472716"/>
    <m/>
    <n v="6472716"/>
    <n v="4675320"/>
    <m/>
    <n v="4675320"/>
    <n v="21045673"/>
    <n v="19285070"/>
    <m/>
    <m/>
    <m/>
    <m/>
    <n v="0"/>
    <m/>
    <m/>
    <n v="0"/>
    <m/>
    <m/>
    <m/>
    <m/>
    <m/>
    <m/>
    <n v="21045673"/>
    <n v="19285070"/>
  </r>
  <r>
    <x v="13"/>
    <x v="0"/>
    <s v="Northeast Lakeview College (ACCD)"/>
    <s v="Reclassifed Met the criteria for Two-Year 2 in 2018-19 and 2019-20 and 2020-21"/>
    <n v="488730"/>
    <x v="7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Panola College"/>
    <m/>
    <n v="227386"/>
    <x v="8"/>
    <n v="6339061"/>
    <n v="6339060"/>
    <m/>
    <m/>
    <n v="6826243"/>
    <n v="7962107"/>
    <n v="3794342"/>
    <m/>
    <n v="3794342"/>
    <n v="3758260"/>
    <m/>
    <n v="3758260"/>
    <n v="16959646"/>
    <n v="18059427"/>
    <m/>
    <m/>
    <m/>
    <m/>
    <n v="0"/>
    <m/>
    <m/>
    <n v="0"/>
    <m/>
    <m/>
    <m/>
    <m/>
    <m/>
    <m/>
    <n v="16959646"/>
    <n v="18059427"/>
  </r>
  <r>
    <x v="13"/>
    <x v="0"/>
    <s v="Ranger College "/>
    <m/>
    <n v="227687"/>
    <x v="8"/>
    <n v="4602980"/>
    <n v="4602979"/>
    <m/>
    <m/>
    <n v="34736"/>
    <n v="28416"/>
    <n v="3151878"/>
    <m/>
    <n v="3151878"/>
    <n v="3454226"/>
    <m/>
    <n v="3454226"/>
    <n v="7789594"/>
    <n v="8085621"/>
    <m/>
    <m/>
    <m/>
    <m/>
    <n v="0"/>
    <m/>
    <m/>
    <n v="0"/>
    <m/>
    <m/>
    <m/>
    <m/>
    <m/>
    <m/>
    <n v="7789594"/>
    <n v="8085621"/>
  </r>
  <r>
    <x v="13"/>
    <x v="0"/>
    <s v="Southwest Collegiate Institute for the Deaf (HCJCD)"/>
    <m/>
    <n v="382911"/>
    <x v="8"/>
    <n v="0"/>
    <n v="0"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0"/>
    <s v="Texas State Technical College - Ft. Bend"/>
    <m/>
    <s v="N/A"/>
    <x v="8"/>
    <n v="5860503"/>
    <n v="5871591"/>
    <m/>
    <m/>
    <m/>
    <m/>
    <n v="1241507"/>
    <m/>
    <n v="1241507"/>
    <n v="1570585"/>
    <m/>
    <n v="1570585"/>
    <n v="7102010"/>
    <n v="7442176"/>
    <m/>
    <m/>
    <m/>
    <m/>
    <n v="0"/>
    <m/>
    <m/>
    <n v="0"/>
    <m/>
    <m/>
    <m/>
    <m/>
    <m/>
    <m/>
    <n v="7102010"/>
    <n v="7442176"/>
  </r>
  <r>
    <x v="13"/>
    <x v="0"/>
    <s v="Texas State Technical College-Marshall"/>
    <m/>
    <n v="408394"/>
    <x v="8"/>
    <n v="7679939"/>
    <n v="7695530"/>
    <m/>
    <m/>
    <m/>
    <m/>
    <n v="1371882"/>
    <m/>
    <n v="1371882"/>
    <n v="1621620"/>
    <m/>
    <n v="1621620"/>
    <n v="9051821"/>
    <n v="9317150"/>
    <m/>
    <m/>
    <m/>
    <m/>
    <n v="0"/>
    <m/>
    <m/>
    <n v="0"/>
    <m/>
    <m/>
    <m/>
    <m/>
    <m/>
    <m/>
    <n v="9051821"/>
    <n v="9317150"/>
  </r>
  <r>
    <x v="13"/>
    <x v="0"/>
    <s v="Texas State Technical College - N. Texas"/>
    <m/>
    <s v="N/A"/>
    <x v="8"/>
    <n v="3595578"/>
    <n v="3604260"/>
    <m/>
    <m/>
    <m/>
    <m/>
    <n v="826762"/>
    <m/>
    <n v="826762"/>
    <n v="679812"/>
    <m/>
    <n v="679812"/>
    <n v="4422340"/>
    <n v="4284072"/>
    <m/>
    <m/>
    <m/>
    <m/>
    <n v="0"/>
    <m/>
    <m/>
    <n v="0"/>
    <m/>
    <m/>
    <m/>
    <m/>
    <m/>
    <m/>
    <n v="4422340"/>
    <n v="4284072"/>
  </r>
  <r>
    <x v="13"/>
    <x v="0"/>
    <s v="Texas State Technical College-West Texas"/>
    <m/>
    <n v="229328"/>
    <x v="8"/>
    <n v="13755365"/>
    <n v="13792018"/>
    <m/>
    <m/>
    <m/>
    <m/>
    <n v="4093533"/>
    <m/>
    <n v="4093533"/>
    <n v="3957176"/>
    <m/>
    <n v="3957176"/>
    <n v="17848898"/>
    <n v="17749194"/>
    <m/>
    <m/>
    <m/>
    <m/>
    <n v="0"/>
    <m/>
    <m/>
    <n v="0"/>
    <m/>
    <m/>
    <m/>
    <m/>
    <m/>
    <m/>
    <n v="17848898"/>
    <n v="17749194"/>
  </r>
  <r>
    <x v="13"/>
    <x v="0"/>
    <s v="Western Texas College "/>
    <m/>
    <n v="229832"/>
    <x v="8"/>
    <n v="5052240"/>
    <n v="5052239"/>
    <m/>
    <m/>
    <n v="7950266"/>
    <n v="7593047"/>
    <n v="3962951"/>
    <m/>
    <n v="3962951"/>
    <n v="3460137"/>
    <m/>
    <n v="3460137"/>
    <n v="16965457"/>
    <n v="16105423"/>
    <m/>
    <m/>
    <m/>
    <m/>
    <n v="0"/>
    <m/>
    <m/>
    <n v="0"/>
    <m/>
    <m/>
    <m/>
    <m/>
    <m/>
    <m/>
    <n v="16965457"/>
    <n v="16105423"/>
  </r>
  <r>
    <x v="13"/>
    <x v="0"/>
    <s v="Alamo Community College District (ACCD)"/>
    <m/>
    <m/>
    <x v="15"/>
    <n v="88498671"/>
    <n v="88498679"/>
    <m/>
    <m/>
    <n v="176545503"/>
    <n v="187462441"/>
    <n v="56682644"/>
    <m/>
    <n v="56682644"/>
    <n v="53795869"/>
    <m/>
    <n v="53795869"/>
    <n v="321726818"/>
    <n v="329756989"/>
    <m/>
    <m/>
    <m/>
    <m/>
    <n v="0"/>
    <m/>
    <m/>
    <n v="0"/>
    <m/>
    <m/>
    <m/>
    <m/>
    <m/>
    <m/>
    <n v="321726818"/>
    <n v="329756989"/>
  </r>
  <r>
    <x v="13"/>
    <x v="0"/>
    <s v="Dallas College"/>
    <s v="Name change ( Dallas County Community College)"/>
    <n v="224615"/>
    <x v="6"/>
    <n v="126833889"/>
    <n v="126833888"/>
    <m/>
    <m/>
    <n v="257730336"/>
    <n v="278915909"/>
    <n v="71216814"/>
    <m/>
    <n v="71216814"/>
    <n v="64927325"/>
    <m/>
    <n v="64927325"/>
    <n v="455781039"/>
    <n v="470677122"/>
    <m/>
    <m/>
    <m/>
    <m/>
    <n v="0"/>
    <m/>
    <m/>
    <n v="0"/>
    <m/>
    <m/>
    <m/>
    <m/>
    <m/>
    <m/>
    <n v="455781039"/>
    <n v="470677122"/>
  </r>
  <r>
    <x v="13"/>
    <x v="1"/>
    <s v="Texas A&amp;M Health Science Center"/>
    <m/>
    <n v="223214"/>
    <x v="11"/>
    <m/>
    <m/>
    <m/>
    <m/>
    <m/>
    <m/>
    <m/>
    <m/>
    <n v="0"/>
    <m/>
    <m/>
    <n v="0"/>
    <n v="0"/>
    <n v="0"/>
    <m/>
    <m/>
    <m/>
    <m/>
    <n v="0"/>
    <m/>
    <m/>
    <n v="0"/>
    <n v="150777487"/>
    <n v="151045687"/>
    <n v="59692493"/>
    <m/>
    <n v="39547012"/>
    <m/>
    <n v="210469980"/>
    <n v="190592699"/>
  </r>
  <r>
    <x v="13"/>
    <x v="1"/>
    <s v="Texas Tech University Health Sciences Center"/>
    <m/>
    <n v="229337"/>
    <x v="11"/>
    <m/>
    <m/>
    <m/>
    <m/>
    <m/>
    <m/>
    <m/>
    <m/>
    <n v="0"/>
    <m/>
    <m/>
    <n v="0"/>
    <n v="0"/>
    <n v="0"/>
    <m/>
    <m/>
    <m/>
    <m/>
    <n v="0"/>
    <m/>
    <m/>
    <n v="0"/>
    <n v="167497257"/>
    <n v="167878709"/>
    <n v="44011035"/>
    <m/>
    <n v="61939881"/>
    <m/>
    <n v="211508292"/>
    <n v="229818590"/>
  </r>
  <r>
    <x v="13"/>
    <x v="1"/>
    <s v="Texas Tech University Health Sciences Center El Paso"/>
    <m/>
    <s v="????"/>
    <x v="11"/>
    <m/>
    <m/>
    <m/>
    <m/>
    <m/>
    <m/>
    <m/>
    <m/>
    <n v="0"/>
    <m/>
    <m/>
    <n v="0"/>
    <n v="0"/>
    <n v="0"/>
    <m/>
    <m/>
    <m/>
    <m/>
    <n v="0"/>
    <m/>
    <m/>
    <n v="0"/>
    <n v="70049368"/>
    <n v="70171187"/>
    <n v="10151693"/>
    <m/>
    <n v="10636020"/>
    <m/>
    <n v="80201061"/>
    <n v="80807207"/>
  </r>
  <r>
    <x v="13"/>
    <x v="1"/>
    <s v="University of North Texas Health Science Center "/>
    <m/>
    <n v="228909"/>
    <x v="11"/>
    <m/>
    <m/>
    <m/>
    <m/>
    <m/>
    <m/>
    <m/>
    <m/>
    <n v="0"/>
    <m/>
    <m/>
    <n v="0"/>
    <n v="0"/>
    <n v="0"/>
    <m/>
    <m/>
    <m/>
    <m/>
    <n v="0"/>
    <m/>
    <m/>
    <n v="0"/>
    <n v="102508453"/>
    <n v="102440488"/>
    <n v="1815921"/>
    <m/>
    <n v="30753135"/>
    <m/>
    <n v="104324374"/>
    <n v="133193623"/>
  </r>
  <r>
    <x v="13"/>
    <x v="1"/>
    <s v="University of Texas Health Science Center at Houston"/>
    <m/>
    <n v="229300"/>
    <x v="11"/>
    <m/>
    <m/>
    <m/>
    <m/>
    <m/>
    <m/>
    <m/>
    <m/>
    <n v="0"/>
    <m/>
    <m/>
    <n v="0"/>
    <n v="0"/>
    <n v="0"/>
    <m/>
    <m/>
    <m/>
    <m/>
    <n v="0"/>
    <m/>
    <m/>
    <n v="0"/>
    <n v="219715949"/>
    <n v="220238375"/>
    <n v="40213693"/>
    <m/>
    <n v="59762457"/>
    <m/>
    <n v="259929642"/>
    <n v="280000832"/>
  </r>
  <r>
    <x v="13"/>
    <x v="1"/>
    <s v="University of Texas Health Science Center at San Antonio"/>
    <m/>
    <n v="228644"/>
    <x v="11"/>
    <m/>
    <m/>
    <m/>
    <m/>
    <m/>
    <m/>
    <m/>
    <m/>
    <n v="0"/>
    <m/>
    <m/>
    <n v="0"/>
    <n v="0"/>
    <n v="0"/>
    <m/>
    <m/>
    <m/>
    <m/>
    <n v="0"/>
    <m/>
    <m/>
    <n v="0"/>
    <n v="183824953"/>
    <n v="184187172"/>
    <n v="30598820"/>
    <m/>
    <n v="47869416"/>
    <m/>
    <n v="214423773"/>
    <n v="232056588"/>
  </r>
  <r>
    <x v="13"/>
    <x v="1"/>
    <s v="University of Texas M.D. Anderson Cancer Center"/>
    <m/>
    <n v="416801"/>
    <x v="11"/>
    <m/>
    <m/>
    <m/>
    <m/>
    <m/>
    <m/>
    <m/>
    <m/>
    <n v="0"/>
    <m/>
    <m/>
    <n v="0"/>
    <n v="0"/>
    <n v="0"/>
    <m/>
    <m/>
    <m/>
    <m/>
    <n v="0"/>
    <m/>
    <m/>
    <n v="0"/>
    <n v="215724215"/>
    <n v="215961205"/>
    <n v="262489"/>
    <m/>
    <n v="1906705"/>
    <m/>
    <n v="215986704"/>
    <n v="217867910"/>
  </r>
  <r>
    <x v="13"/>
    <x v="1"/>
    <s v="University of Texas Medical Branch at Galveston"/>
    <m/>
    <n v="228653"/>
    <x v="11"/>
    <m/>
    <m/>
    <m/>
    <m/>
    <m/>
    <m/>
    <m/>
    <m/>
    <n v="0"/>
    <m/>
    <m/>
    <n v="0"/>
    <n v="0"/>
    <n v="0"/>
    <m/>
    <m/>
    <m/>
    <m/>
    <n v="0"/>
    <m/>
    <m/>
    <n v="0"/>
    <n v="343686111"/>
    <n v="344546841"/>
    <n v="48740553"/>
    <m/>
    <n v="44508255"/>
    <m/>
    <n v="392426664"/>
    <n v="389055096"/>
  </r>
  <r>
    <x v="13"/>
    <x v="1"/>
    <s v="University of Texas Southwestern Medical Center"/>
    <m/>
    <n v="228635"/>
    <x v="11"/>
    <m/>
    <m/>
    <m/>
    <m/>
    <m/>
    <m/>
    <m/>
    <m/>
    <n v="0"/>
    <m/>
    <m/>
    <n v="0"/>
    <n v="0"/>
    <n v="0"/>
    <m/>
    <m/>
    <m/>
    <m/>
    <n v="0"/>
    <m/>
    <m/>
    <n v="0"/>
    <n v="189519416"/>
    <n v="189903030"/>
    <n v="26161864"/>
    <m/>
    <n v="25242810"/>
    <m/>
    <n v="215681280"/>
    <n v="215145840"/>
  </r>
  <r>
    <x v="13"/>
    <x v="44"/>
    <s v="University of Texas Health Center at Tyler"/>
    <m/>
    <s v="???"/>
    <x v="11"/>
    <m/>
    <m/>
    <m/>
    <m/>
    <m/>
    <m/>
    <m/>
    <m/>
    <n v="0"/>
    <m/>
    <m/>
    <n v="0"/>
    <n v="0"/>
    <n v="0"/>
    <m/>
    <m/>
    <m/>
    <m/>
    <n v="0"/>
    <m/>
    <m/>
    <n v="0"/>
    <n v="57585104"/>
    <n v="57714239"/>
    <n v="58132912"/>
    <m/>
    <n v="399939"/>
    <m/>
    <n v="115718016"/>
    <n v="58114178"/>
  </r>
  <r>
    <x v="13"/>
    <x v="42"/>
    <s v="Univ. of Texas at Austin Medical School"/>
    <m/>
    <s v="???"/>
    <x v="12"/>
    <m/>
    <m/>
    <m/>
    <m/>
    <m/>
    <m/>
    <m/>
    <m/>
    <n v="0"/>
    <m/>
    <m/>
    <n v="0"/>
    <n v="0"/>
    <n v="0"/>
    <m/>
    <m/>
    <m/>
    <m/>
    <n v="0"/>
    <m/>
    <m/>
    <n v="0"/>
    <n v="10985359"/>
    <n v="10985359"/>
    <n v="3383352"/>
    <m/>
    <n v="4075777"/>
    <m/>
    <n v="14368711"/>
    <n v="15061136"/>
  </r>
  <r>
    <x v="13"/>
    <x v="42"/>
    <s v="Univ. of Texas Rio Grande School of Medicine"/>
    <m/>
    <s v="???"/>
    <x v="12"/>
    <m/>
    <m/>
    <m/>
    <m/>
    <m/>
    <m/>
    <m/>
    <m/>
    <n v="0"/>
    <m/>
    <m/>
    <n v="0"/>
    <n v="0"/>
    <n v="0"/>
    <m/>
    <m/>
    <m/>
    <m/>
    <n v="0"/>
    <m/>
    <m/>
    <n v="0"/>
    <n v="37317816"/>
    <n v="37348898"/>
    <n v="3631944"/>
    <m/>
    <n v="4159462"/>
    <m/>
    <n v="40949760"/>
    <n v="41508360"/>
  </r>
  <r>
    <x v="13"/>
    <x v="42"/>
    <s v="Univ of Houston School of Medicine"/>
    <m/>
    <s v="???"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n v="135254"/>
    <m/>
    <n v="0"/>
    <n v="135254"/>
  </r>
  <r>
    <x v="13"/>
    <x v="0"/>
    <s v="Univ. of North Texas at Dallas"/>
    <m/>
    <n v="443711"/>
    <x v="3"/>
    <n v="20883932"/>
    <n v="19707441"/>
    <m/>
    <m/>
    <m/>
    <m/>
    <n v="24792120"/>
    <m/>
    <n v="24792120"/>
    <n v="27333771"/>
    <m/>
    <n v="27333771"/>
    <n v="45676052"/>
    <n v="47041212"/>
    <m/>
    <m/>
    <m/>
    <m/>
    <n v="0"/>
    <m/>
    <m/>
    <n v="0"/>
    <m/>
    <m/>
    <m/>
    <m/>
    <m/>
    <m/>
    <n v="45676052"/>
    <n v="47041212"/>
  </r>
  <r>
    <x v="13"/>
    <x v="10"/>
    <s v="Statewide Special-Purpos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2"/>
    <s v="Family practice residency "/>
    <m/>
    <m/>
    <x v="12"/>
    <m/>
    <m/>
    <m/>
    <m/>
    <m/>
    <m/>
    <m/>
    <m/>
    <n v="0"/>
    <m/>
    <m/>
    <n v="0"/>
    <n v="0"/>
    <n v="0"/>
    <m/>
    <m/>
    <m/>
    <m/>
    <n v="0"/>
    <m/>
    <m/>
    <n v="0"/>
    <n v="5000000"/>
    <n v="5000000"/>
    <m/>
    <m/>
    <m/>
    <m/>
    <n v="5000000"/>
    <n v="5000000"/>
  </r>
  <r>
    <x v="13"/>
    <x v="12"/>
    <s v="Other Health Related- Tobacco Settle-Minority Health Res. &amp; Ed."/>
    <m/>
    <m/>
    <x v="12"/>
    <m/>
    <m/>
    <m/>
    <m/>
    <m/>
    <m/>
    <m/>
    <m/>
    <n v="0"/>
    <m/>
    <m/>
    <n v="0"/>
    <n v="0"/>
    <n v="0"/>
    <m/>
    <m/>
    <m/>
    <m/>
    <n v="0"/>
    <m/>
    <m/>
    <n v="0"/>
    <n v="1066551"/>
    <n v="1066551"/>
    <m/>
    <m/>
    <m/>
    <m/>
    <n v="1066551"/>
    <n v="1066551"/>
  </r>
  <r>
    <x v="13"/>
    <x v="12"/>
    <s v="Other Health Related- Tobacco Settle-Nursing, Allied Health, etc."/>
    <m/>
    <m/>
    <x v="12"/>
    <m/>
    <m/>
    <m/>
    <m/>
    <m/>
    <m/>
    <m/>
    <m/>
    <n v="0"/>
    <m/>
    <m/>
    <n v="0"/>
    <n v="0"/>
    <n v="0"/>
    <m/>
    <m/>
    <m/>
    <m/>
    <n v="0"/>
    <m/>
    <m/>
    <n v="0"/>
    <n v="1883810"/>
    <n v="1883810"/>
    <m/>
    <m/>
    <m/>
    <m/>
    <n v="1883810"/>
    <n v="1883810"/>
  </r>
  <r>
    <x v="13"/>
    <x v="12"/>
    <s v="Nursing Shortage Reduction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n v="9940024"/>
    <n v="8940024"/>
    <m/>
    <m/>
    <m/>
    <m/>
    <n v="9940024"/>
    <n v="8940024"/>
  </r>
  <r>
    <x v="13"/>
    <x v="13"/>
    <s v="Educational special purpose funds —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3"/>
    <s v="African American Museu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5"/>
    <s v="Colleges and universities System Admin."/>
    <m/>
    <m/>
    <x v="12"/>
    <m/>
    <m/>
    <m/>
    <m/>
    <m/>
    <m/>
    <m/>
    <m/>
    <n v="0"/>
    <m/>
    <m/>
    <n v="0"/>
    <n v="0"/>
    <n v="0"/>
    <n v="59622494"/>
    <n v="58204124"/>
    <m/>
    <m/>
    <n v="0"/>
    <m/>
    <m/>
    <n v="0"/>
    <m/>
    <m/>
    <m/>
    <m/>
    <m/>
    <m/>
    <n v="59622494"/>
    <n v="58204124"/>
  </r>
  <r>
    <x v="13"/>
    <x v="15"/>
    <s v="Texas Higher Education Coordinating Board"/>
    <m/>
    <m/>
    <x v="12"/>
    <m/>
    <m/>
    <m/>
    <m/>
    <m/>
    <m/>
    <m/>
    <m/>
    <n v="0"/>
    <m/>
    <m/>
    <n v="0"/>
    <n v="0"/>
    <n v="0"/>
    <n v="22344254.77"/>
    <n v="93588107.560000002"/>
    <m/>
    <m/>
    <n v="0"/>
    <m/>
    <m/>
    <n v="0"/>
    <n v="133430544"/>
    <n v="149163774"/>
    <m/>
    <m/>
    <m/>
    <m/>
    <n v="155774798.77000001"/>
    <n v="242751881.56"/>
  </r>
  <r>
    <x v="13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6"/>
    <s v="Texas State Technical College System Office"/>
    <m/>
    <m/>
    <x v="12"/>
    <m/>
    <m/>
    <m/>
    <m/>
    <m/>
    <m/>
    <m/>
    <m/>
    <n v="0"/>
    <m/>
    <m/>
    <n v="0"/>
    <n v="0"/>
    <n v="0"/>
    <n v="9082966"/>
    <n v="9099871"/>
    <m/>
    <m/>
    <n v="0"/>
    <m/>
    <m/>
    <n v="0"/>
    <m/>
    <m/>
    <m/>
    <m/>
    <m/>
    <m/>
    <n v="9082966"/>
    <n v="9099871"/>
  </r>
  <r>
    <x v="13"/>
    <x v="18"/>
    <s v="Adm. of Statewide Student Aid Progs. (including centralized guaranteed student loans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19"/>
    <s v="Baylor College of Medicine"/>
    <m/>
    <m/>
    <x v="12"/>
    <m/>
    <m/>
    <m/>
    <m/>
    <m/>
    <m/>
    <m/>
    <m/>
    <n v="0"/>
    <m/>
    <m/>
    <n v="0"/>
    <n v="0"/>
    <n v="0"/>
    <m/>
    <m/>
    <m/>
    <m/>
    <n v="0"/>
    <m/>
    <m/>
    <n v="0"/>
    <n v="48444436"/>
    <n v="48426485"/>
    <m/>
    <m/>
    <m/>
    <m/>
    <n v="48444436"/>
    <n v="48426485"/>
  </r>
  <r>
    <x v="13"/>
    <x v="19"/>
    <s v="Centers for Teacher Education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3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3"/>
    <x v="22"/>
    <s v="TX Student Aid"/>
    <m/>
    <m/>
    <x v="12"/>
    <m/>
    <m/>
    <m/>
    <m/>
    <m/>
    <m/>
    <m/>
    <m/>
    <n v="0"/>
    <m/>
    <m/>
    <n v="0"/>
    <n v="0"/>
    <n v="0"/>
    <n v="572102673"/>
    <n v="530892262"/>
    <m/>
    <m/>
    <n v="0"/>
    <m/>
    <m/>
    <n v="0"/>
    <m/>
    <m/>
    <m/>
    <m/>
    <m/>
    <m/>
    <n v="572102673"/>
    <n v="530892262"/>
  </r>
  <r>
    <x v="13"/>
    <x v="24"/>
    <s v="Non need-based"/>
    <m/>
    <m/>
    <x v="12"/>
    <m/>
    <m/>
    <m/>
    <m/>
    <m/>
    <m/>
    <m/>
    <m/>
    <n v="0"/>
    <m/>
    <m/>
    <n v="0"/>
    <n v="0"/>
    <n v="0"/>
    <n v="18620000"/>
    <n v="18420000"/>
    <m/>
    <m/>
    <n v="0"/>
    <m/>
    <m/>
    <n v="0"/>
    <m/>
    <m/>
    <m/>
    <m/>
    <m/>
    <m/>
    <n v="18620000"/>
    <n v="18420000"/>
  </r>
  <r>
    <x v="13"/>
    <x v="22"/>
    <s v="Teach for TX Conditional Grants"/>
    <m/>
    <m/>
    <x v="12"/>
    <m/>
    <m/>
    <m/>
    <m/>
    <m/>
    <m/>
    <m/>
    <m/>
    <n v="0"/>
    <m/>
    <m/>
    <n v="0"/>
    <n v="0"/>
    <n v="0"/>
    <n v="0"/>
    <m/>
    <m/>
    <m/>
    <n v="0"/>
    <m/>
    <m/>
    <n v="0"/>
    <m/>
    <m/>
    <m/>
    <m/>
    <m/>
    <m/>
    <n v="0"/>
    <n v="0"/>
  </r>
  <r>
    <x v="13"/>
    <x v="22"/>
    <s v="Joint Admission Medical Program"/>
    <m/>
    <m/>
    <x v="12"/>
    <m/>
    <m/>
    <m/>
    <m/>
    <m/>
    <m/>
    <m/>
    <m/>
    <n v="0"/>
    <m/>
    <m/>
    <n v="0"/>
    <n v="0"/>
    <n v="0"/>
    <n v="10206794"/>
    <n v="0"/>
    <m/>
    <m/>
    <n v="0"/>
    <m/>
    <m/>
    <n v="0"/>
    <m/>
    <m/>
    <m/>
    <m/>
    <m/>
    <m/>
    <n v="10206794"/>
    <n v="0"/>
  </r>
  <r>
    <x v="13"/>
    <x v="22"/>
    <s v="Border Faculty Loan Repayment Program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4"/>
    <x v="0"/>
    <s v="George Mason University "/>
    <m/>
    <n v="232186"/>
    <x v="0"/>
    <n v="149763436"/>
    <n v="166315949"/>
    <n v="2106250"/>
    <n v="2106250"/>
    <m/>
    <m/>
    <n v="482014371.63"/>
    <n v="2804490"/>
    <n v="484818861.63"/>
    <n v="498970249.40432698"/>
    <n v="2804490"/>
    <n v="501774739.40432698"/>
    <n v="633884057.63"/>
    <n v="667392448.40432692"/>
    <m/>
    <m/>
    <m/>
    <m/>
    <n v="0"/>
    <m/>
    <m/>
    <n v="0"/>
    <m/>
    <m/>
    <m/>
    <m/>
    <m/>
    <m/>
    <n v="633884057.63"/>
    <n v="667392448.40432692"/>
  </r>
  <r>
    <x v="14"/>
    <x v="0"/>
    <s v="Old Dominion University "/>
    <m/>
    <n v="232982"/>
    <x v="0"/>
    <n v="129804452"/>
    <n v="143948380"/>
    <n v="4434245"/>
    <n v="4553965"/>
    <m/>
    <m/>
    <n v="184342886"/>
    <n v="1108899"/>
    <n v="185451785"/>
    <n v="182004427"/>
    <n v="1108899"/>
    <n v="183113326"/>
    <n v="318581583"/>
    <n v="330506772"/>
    <m/>
    <m/>
    <m/>
    <m/>
    <n v="0"/>
    <m/>
    <m/>
    <n v="0"/>
    <m/>
    <m/>
    <m/>
    <m/>
    <m/>
    <m/>
    <n v="318581583"/>
    <n v="330506772"/>
  </r>
  <r>
    <x v="14"/>
    <x v="0"/>
    <s v="University of Virginia"/>
    <m/>
    <n v="234076"/>
    <x v="0"/>
    <n v="118648962"/>
    <n v="136586101"/>
    <n v="9969379"/>
    <n v="9969379"/>
    <m/>
    <m/>
    <n v="687293895"/>
    <n v="5006754"/>
    <n v="692300649"/>
    <n v="742200840"/>
    <n v="5006754"/>
    <n v="747207594"/>
    <n v="815912236"/>
    <n v="888756320"/>
    <m/>
    <m/>
    <m/>
    <m/>
    <n v="0"/>
    <m/>
    <m/>
    <n v="0"/>
    <m/>
    <m/>
    <m/>
    <m/>
    <m/>
    <m/>
    <n v="815912236"/>
    <n v="888756320"/>
  </r>
  <r>
    <x v="14"/>
    <x v="1"/>
    <s v="Medical School"/>
    <m/>
    <n v="234076"/>
    <x v="0"/>
    <m/>
    <m/>
    <m/>
    <m/>
    <m/>
    <m/>
    <m/>
    <m/>
    <n v="0"/>
    <m/>
    <m/>
    <n v="0"/>
    <n v="0"/>
    <n v="0"/>
    <m/>
    <m/>
    <m/>
    <m/>
    <n v="0"/>
    <m/>
    <m/>
    <n v="0"/>
    <n v="17937139"/>
    <n v="18624501"/>
    <n v="54255625"/>
    <m/>
    <n v="53568263"/>
    <m/>
    <n v="72192764"/>
    <n v="72192764"/>
  </r>
  <r>
    <x v="14"/>
    <x v="0"/>
    <s v="Virginia Commonwealth University"/>
    <m/>
    <n v="234030"/>
    <x v="0"/>
    <n v="154327216"/>
    <n v="207795835"/>
    <n v="14012500"/>
    <n v="16512500"/>
    <m/>
    <m/>
    <n v="412538910"/>
    <n v="2359266"/>
    <n v="414898176"/>
    <n v="465492515"/>
    <n v="2359266"/>
    <n v="467851781"/>
    <n v="580878626"/>
    <n v="689800850"/>
    <m/>
    <m/>
    <m/>
    <m/>
    <n v="0"/>
    <m/>
    <m/>
    <n v="0"/>
    <m/>
    <m/>
    <m/>
    <m/>
    <m/>
    <m/>
    <n v="580878626"/>
    <n v="689800850"/>
  </r>
  <r>
    <x v="14"/>
    <x v="1"/>
    <s v="Medical School"/>
    <m/>
    <n v="234030"/>
    <x v="0"/>
    <m/>
    <m/>
    <m/>
    <m/>
    <m/>
    <m/>
    <m/>
    <m/>
    <n v="0"/>
    <m/>
    <m/>
    <n v="0"/>
    <n v="0"/>
    <n v="0"/>
    <m/>
    <m/>
    <m/>
    <m/>
    <n v="0"/>
    <m/>
    <m/>
    <n v="0"/>
    <n v="35772216"/>
    <n v="29811964"/>
    <n v="60134804"/>
    <m/>
    <n v="61791746"/>
    <m/>
    <n v="95907020"/>
    <n v="91603710"/>
  </r>
  <r>
    <x v="14"/>
    <x v="0"/>
    <s v="Virginia Tech "/>
    <m/>
    <n v="233921"/>
    <x v="0"/>
    <n v="159430866"/>
    <n v="184293109"/>
    <n v="8145894"/>
    <n v="5388544"/>
    <m/>
    <m/>
    <n v="631197448"/>
    <n v="5192295"/>
    <n v="636389743"/>
    <n v="677381755.88402498"/>
    <n v="5192295"/>
    <n v="682574050.88402498"/>
    <n v="798774208"/>
    <n v="867063408.88402498"/>
    <m/>
    <m/>
    <m/>
    <m/>
    <n v="0"/>
    <m/>
    <m/>
    <n v="0"/>
    <m/>
    <m/>
    <m/>
    <m/>
    <m/>
    <m/>
    <n v="798774208"/>
    <n v="867063408.88402498"/>
  </r>
  <r>
    <x v="14"/>
    <x v="1"/>
    <s v="Veterinary School"/>
    <m/>
    <n v="233921"/>
    <x v="0"/>
    <m/>
    <m/>
    <m/>
    <m/>
    <m/>
    <m/>
    <m/>
    <m/>
    <n v="0"/>
    <m/>
    <m/>
    <n v="0"/>
    <n v="0"/>
    <n v="0"/>
    <m/>
    <m/>
    <m/>
    <m/>
    <n v="0"/>
    <m/>
    <m/>
    <n v="0"/>
    <n v="14345496"/>
    <n v="15199061"/>
    <n v="20328225"/>
    <m/>
    <n v="27837942"/>
    <m/>
    <n v="34673721"/>
    <n v="43037003"/>
  </r>
  <r>
    <x v="14"/>
    <x v="1"/>
    <s v="Medical School"/>
    <m/>
    <n v="233921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5"/>
    <s v="Agricultural &amp; Foresty Research"/>
    <m/>
    <n v="233921"/>
    <x v="0"/>
    <m/>
    <m/>
    <n v="36200690"/>
    <n v="37138397"/>
    <m/>
    <m/>
    <m/>
    <m/>
    <n v="0"/>
    <m/>
    <m/>
    <n v="0"/>
    <n v="36200690"/>
    <n v="37138397"/>
    <m/>
    <m/>
    <m/>
    <m/>
    <n v="0"/>
    <m/>
    <m/>
    <n v="0"/>
    <m/>
    <m/>
    <m/>
    <m/>
    <m/>
    <m/>
    <n v="36200690"/>
    <n v="37138397"/>
  </r>
  <r>
    <x v="14"/>
    <x v="6"/>
    <s v="Cooperative Extension"/>
    <m/>
    <n v="233921"/>
    <x v="0"/>
    <m/>
    <m/>
    <n v="36759974"/>
    <n v="37735131"/>
    <m/>
    <m/>
    <m/>
    <m/>
    <n v="0"/>
    <m/>
    <m/>
    <n v="0"/>
    <n v="36759974"/>
    <n v="37735131"/>
    <m/>
    <m/>
    <m/>
    <m/>
    <n v="0"/>
    <m/>
    <m/>
    <n v="0"/>
    <m/>
    <m/>
    <m/>
    <m/>
    <m/>
    <m/>
    <n v="36759974"/>
    <n v="37735131"/>
  </r>
  <r>
    <x v="14"/>
    <x v="0"/>
    <s v="College of William &amp; Mary"/>
    <m/>
    <n v="231624"/>
    <x v="1"/>
    <n v="47574032"/>
    <n v="53238886"/>
    <n v="75000"/>
    <n v="75000"/>
    <m/>
    <m/>
    <n v="223366936"/>
    <n v="1639845"/>
    <n v="225006781"/>
    <n v="220188376"/>
    <n v="1639845"/>
    <n v="221828221"/>
    <n v="271015968"/>
    <n v="273502262"/>
    <m/>
    <m/>
    <m/>
    <m/>
    <n v="0"/>
    <m/>
    <m/>
    <n v="0"/>
    <m/>
    <m/>
    <m/>
    <m/>
    <m/>
    <m/>
    <n v="271015968"/>
    <n v="273502262"/>
  </r>
  <r>
    <x v="14"/>
    <x v="7"/>
    <s v="Research centers/institutes"/>
    <m/>
    <n v="231624"/>
    <x v="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7"/>
    <s v="Va Inst of Marine Science"/>
    <m/>
    <n v="231624"/>
    <x v="1"/>
    <m/>
    <m/>
    <n v="24149502"/>
    <n v="25158765"/>
    <m/>
    <m/>
    <m/>
    <m/>
    <n v="0"/>
    <m/>
    <m/>
    <n v="0"/>
    <n v="24149502"/>
    <n v="25158765"/>
    <m/>
    <m/>
    <m/>
    <m/>
    <n v="0"/>
    <m/>
    <m/>
    <n v="0"/>
    <m/>
    <m/>
    <m/>
    <m/>
    <m/>
    <m/>
    <n v="24149502"/>
    <n v="25158765"/>
  </r>
  <r>
    <x v="14"/>
    <x v="0"/>
    <s v="James Madison University  "/>
    <m/>
    <n v="232423"/>
    <x v="2"/>
    <n v="92856420"/>
    <n v="102410352"/>
    <m/>
    <m/>
    <m/>
    <m/>
    <n v="250024959"/>
    <n v="2843787"/>
    <n v="252868746"/>
    <n v="248181186"/>
    <n v="2843787"/>
    <n v="251024973"/>
    <n v="342881379"/>
    <n v="350591538"/>
    <m/>
    <m/>
    <m/>
    <m/>
    <n v="0"/>
    <m/>
    <m/>
    <n v="0"/>
    <m/>
    <m/>
    <m/>
    <m/>
    <m/>
    <m/>
    <n v="342881379"/>
    <n v="350591538"/>
  </r>
  <r>
    <x v="14"/>
    <x v="0"/>
    <s v="Longwood University "/>
    <s v="Reclassified: Met the criteria for Four-Year 5 in 2018-19, 2019-20, and 2020-21."/>
    <n v="232566"/>
    <x v="4"/>
    <n v="30304452"/>
    <n v="32998893"/>
    <m/>
    <m/>
    <m/>
    <m/>
    <n v="39989785.780000001"/>
    <n v="106149"/>
    <n v="40095934.780000001"/>
    <n v="39762376"/>
    <n v="106149"/>
    <n v="39868525"/>
    <n v="70294237.780000001"/>
    <n v="72761269"/>
    <m/>
    <m/>
    <m/>
    <m/>
    <n v="0"/>
    <m/>
    <m/>
    <n v="0"/>
    <m/>
    <m/>
    <m/>
    <m/>
    <m/>
    <m/>
    <n v="70294237.780000001"/>
    <n v="72761269"/>
  </r>
  <r>
    <x v="14"/>
    <x v="0"/>
    <s v="Norfolk State University "/>
    <s v="Reclassified: Met the criteria for Four-Year 4 in 2018-19, 2019-20, and 2020-21."/>
    <n v="232937"/>
    <x v="3"/>
    <n v="49028930"/>
    <n v="56420122"/>
    <m/>
    <m/>
    <m/>
    <m/>
    <n v="51051032.399999999"/>
    <n v="420789"/>
    <n v="51471821.399999999"/>
    <n v="49565701.310000002"/>
    <n v="420789"/>
    <n v="49986490.310000002"/>
    <n v="100079962.40000001"/>
    <n v="105985823.31"/>
    <m/>
    <m/>
    <m/>
    <m/>
    <n v="0"/>
    <m/>
    <m/>
    <n v="0"/>
    <m/>
    <m/>
    <m/>
    <m/>
    <m/>
    <m/>
    <n v="100079962.40000001"/>
    <n v="105985823.31"/>
  </r>
  <r>
    <x v="14"/>
    <x v="0"/>
    <s v="Radford University"/>
    <s v=" "/>
    <n v="233277"/>
    <x v="2"/>
    <n v="56240403"/>
    <n v="61615984"/>
    <m/>
    <m/>
    <m/>
    <m/>
    <n v="90057374.579999998"/>
    <n v="300486"/>
    <n v="90357860.579999998"/>
    <n v="84552607.010000005"/>
    <n v="300486"/>
    <n v="84853093.010000005"/>
    <n v="146297777.57999998"/>
    <n v="146168591.00999999"/>
    <m/>
    <m/>
    <m/>
    <m/>
    <n v="0"/>
    <m/>
    <m/>
    <n v="0"/>
    <m/>
    <m/>
    <m/>
    <m/>
    <m/>
    <m/>
    <n v="146297777.57999998"/>
    <n v="146168591.00999999"/>
  </r>
  <r>
    <x v="14"/>
    <x v="0"/>
    <s v="University of Mary Washington"/>
    <s v="Reclassified: Met the criteria for Four-Year 5 in 2018-19, 2019-20, and 2020-21."/>
    <n v="232681"/>
    <x v="4"/>
    <n v="28628274"/>
    <n v="33089352"/>
    <n v="1250000"/>
    <n v="1250000"/>
    <m/>
    <m/>
    <n v="46716023"/>
    <n v="234834"/>
    <n v="46950857"/>
    <n v="43610723"/>
    <n v="234834"/>
    <n v="43845557"/>
    <n v="76594297"/>
    <n v="77950075"/>
    <m/>
    <m/>
    <m/>
    <m/>
    <n v="0"/>
    <m/>
    <m/>
    <n v="0"/>
    <m/>
    <m/>
    <m/>
    <m/>
    <m/>
    <m/>
    <n v="76594297"/>
    <n v="77950075"/>
  </r>
  <r>
    <x v="14"/>
    <x v="0"/>
    <s v="Virginia State University "/>
    <m/>
    <n v="234155"/>
    <x v="2"/>
    <n v="38270868"/>
    <n v="43724756"/>
    <m/>
    <m/>
    <m/>
    <m/>
    <n v="39229645"/>
    <n v="773577"/>
    <n v="40003222"/>
    <n v="36679846"/>
    <n v="773577"/>
    <n v="37453423"/>
    <n v="77500513"/>
    <n v="80404602"/>
    <m/>
    <m/>
    <m/>
    <m/>
    <n v="0"/>
    <m/>
    <m/>
    <n v="0"/>
    <m/>
    <m/>
    <m/>
    <m/>
    <m/>
    <m/>
    <n v="77500513"/>
    <n v="80404602"/>
  </r>
  <r>
    <x v="14"/>
    <x v="5"/>
    <s v="Agricultural cooperative extension"/>
    <m/>
    <n v="234155"/>
    <x v="2"/>
    <m/>
    <m/>
    <n v="5590340"/>
    <n v="7126822"/>
    <m/>
    <m/>
    <m/>
    <m/>
    <n v="0"/>
    <m/>
    <m/>
    <n v="0"/>
    <n v="5590340"/>
    <n v="7126822"/>
    <m/>
    <m/>
    <m/>
    <m/>
    <n v="0"/>
    <m/>
    <m/>
    <n v="0"/>
    <m/>
    <m/>
    <m/>
    <m/>
    <m/>
    <m/>
    <n v="5590340"/>
    <n v="7126822"/>
  </r>
  <r>
    <x v="14"/>
    <x v="0"/>
    <s v="Christopher Newport University"/>
    <m/>
    <n v="231712"/>
    <x v="4"/>
    <n v="31947238"/>
    <n v="35648951"/>
    <m/>
    <m/>
    <m/>
    <m/>
    <n v="48733291"/>
    <n v="131508"/>
    <n v="48864799"/>
    <n v="49324576.710000001"/>
    <n v="131508"/>
    <n v="49456084.710000001"/>
    <n v="80680529"/>
    <n v="84973527.710000008"/>
    <m/>
    <m/>
    <m/>
    <m/>
    <n v="0"/>
    <m/>
    <m/>
    <n v="0"/>
    <m/>
    <m/>
    <m/>
    <m/>
    <m/>
    <m/>
    <n v="80680529"/>
    <n v="84973527.710000008"/>
  </r>
  <r>
    <x v="14"/>
    <x v="0"/>
    <s v="University of Virginia's College at Wise "/>
    <m/>
    <n v="233897"/>
    <x v="5"/>
    <n v="20553230"/>
    <n v="19887822"/>
    <m/>
    <m/>
    <m/>
    <m/>
    <n v="11871806"/>
    <n v="48330"/>
    <n v="11920136"/>
    <n v="11026665.859999999"/>
    <n v="48330"/>
    <n v="11074995.859999999"/>
    <n v="32425036"/>
    <n v="30914487.859999999"/>
    <m/>
    <m/>
    <m/>
    <m/>
    <n v="0"/>
    <m/>
    <m/>
    <n v="0"/>
    <m/>
    <m/>
    <m/>
    <m/>
    <m/>
    <m/>
    <n v="32425036"/>
    <n v="30914487.859999999"/>
  </r>
  <r>
    <x v="14"/>
    <x v="0"/>
    <s v="J.S. Reynolds Community College"/>
    <m/>
    <n v="23241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John Tyler Community College"/>
    <m/>
    <n v="232450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Northern Virginia Community College "/>
    <m/>
    <n v="232946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Thomas Nelson Community College "/>
    <s v="Met the criteria for Two-Year 2 in 2019-20 and 2020-21."/>
    <n v="233754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Tidewater Community College "/>
    <m/>
    <n v="233772"/>
    <x v="6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Blue Ridge Community College "/>
    <m/>
    <n v="23153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Central Virginia Community College "/>
    <m/>
    <n v="23169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Germanna Community College"/>
    <m/>
    <n v="23219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Lord Fairfax Community College  "/>
    <m/>
    <n v="232575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New River Community College "/>
    <m/>
    <n v="232867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Piedmont Virginia Community College "/>
    <m/>
    <n v="233116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Southside Virginia Community College  "/>
    <s v="Met the criteria for Two-Year 3 in 2019-20 and 2020-21."/>
    <n v="23363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Virginia Western Community College "/>
    <m/>
    <n v="233949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D.S. Lancaster Community College "/>
    <m/>
    <n v="231873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Danville Community College "/>
    <m/>
    <n v="23188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Eastern Shore Community College  "/>
    <m/>
    <n v="23205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Mountain Empire Community College"/>
    <m/>
    <n v="232788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Patrick Henry Community College "/>
    <m/>
    <n v="233019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Paul D. Camp Community College  "/>
    <m/>
    <n v="23303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Rappahannock Community College  "/>
    <m/>
    <n v="233310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Richard Bland College "/>
    <m/>
    <n v="233338"/>
    <x v="8"/>
    <n v="8244744"/>
    <n v="9494914"/>
    <m/>
    <m/>
    <m/>
    <m/>
    <n v="6128787.5"/>
    <n v="10830"/>
    <n v="6139617.5"/>
    <n v="5877839"/>
    <n v="10830"/>
    <n v="5888669"/>
    <n v="14373531.5"/>
    <n v="15372753"/>
    <m/>
    <m/>
    <m/>
    <m/>
    <n v="0"/>
    <m/>
    <m/>
    <n v="0"/>
    <m/>
    <m/>
    <m/>
    <m/>
    <m/>
    <m/>
    <n v="14373531.5"/>
    <n v="15372753"/>
  </r>
  <r>
    <x v="14"/>
    <x v="0"/>
    <s v="Southwest Virginia Community College "/>
    <m/>
    <n v="233648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Virginia Highlands Community College "/>
    <m/>
    <n v="233903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0"/>
    <s v="Wytheville Community College "/>
    <m/>
    <n v="23437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9"/>
    <s v="Virginia Military Institute"/>
    <m/>
    <n v="234085"/>
    <x v="11"/>
    <m/>
    <m/>
    <m/>
    <m/>
    <m/>
    <m/>
    <m/>
    <m/>
    <n v="0"/>
    <m/>
    <m/>
    <n v="0"/>
    <n v="0"/>
    <n v="0"/>
    <n v="17811922"/>
    <n v="19296030"/>
    <n v="32691135"/>
    <n v="400470"/>
    <n v="33091605"/>
    <n v="33661032"/>
    <n v="33661032"/>
    <n v="67322064"/>
    <m/>
    <m/>
    <m/>
    <m/>
    <m/>
    <m/>
    <n v="50503057"/>
    <n v="52957062"/>
  </r>
  <r>
    <x v="14"/>
    <x v="0"/>
    <s v="All Community Colleges except R.Bland"/>
    <m/>
    <m/>
    <x v="15"/>
    <n v="379710954"/>
    <n v="427692183"/>
    <n v="550000"/>
    <m/>
    <n v="11570690.2857143"/>
    <n v="9533038"/>
    <n v="487486108"/>
    <n v="3301665"/>
    <n v="490787773"/>
    <n v="495042262"/>
    <n v="3301665"/>
    <n v="498343927"/>
    <n v="879317752.28571439"/>
    <n v="932267483"/>
    <m/>
    <m/>
    <m/>
    <m/>
    <n v="0"/>
    <m/>
    <m/>
    <n v="0"/>
    <m/>
    <m/>
    <m/>
    <m/>
    <m/>
    <m/>
    <n v="879317752.28571439"/>
    <n v="932267483"/>
  </r>
  <r>
    <x v="14"/>
    <x v="10"/>
    <s v="Statewide Special-Purpos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1"/>
    <s v="Research centers/institut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1"/>
    <s v="Commerce and Trade"/>
    <m/>
    <m/>
    <x v="12"/>
    <m/>
    <m/>
    <n v="3750000"/>
    <n v="3750000"/>
    <m/>
    <m/>
    <m/>
    <m/>
    <n v="0"/>
    <m/>
    <m/>
    <n v="0"/>
    <n v="3750000"/>
    <n v="3750000"/>
    <m/>
    <m/>
    <m/>
    <m/>
    <n v="0"/>
    <m/>
    <m/>
    <n v="0"/>
    <m/>
    <m/>
    <m/>
    <m/>
    <m/>
    <m/>
    <n v="3750000"/>
    <n v="3750000"/>
  </r>
  <r>
    <x v="14"/>
    <x v="11"/>
    <s v="Jefferson Science Associates"/>
    <m/>
    <m/>
    <x v="12"/>
    <m/>
    <m/>
    <n v="1775439"/>
    <n v="1547683"/>
    <m/>
    <m/>
    <m/>
    <m/>
    <n v="0"/>
    <m/>
    <m/>
    <n v="0"/>
    <n v="1775439"/>
    <n v="1547683"/>
    <m/>
    <m/>
    <m/>
    <m/>
    <n v="0"/>
    <m/>
    <m/>
    <n v="0"/>
    <m/>
    <m/>
    <m/>
    <m/>
    <m/>
    <m/>
    <n v="1775439"/>
    <n v="1547683"/>
  </r>
  <r>
    <x v="14"/>
    <x v="11"/>
    <s v="Higher Education Research Initiatives"/>
    <m/>
    <m/>
    <x v="12"/>
    <m/>
    <m/>
    <n v="28000000"/>
    <n v="4000000"/>
    <m/>
    <m/>
    <m/>
    <m/>
    <n v="0"/>
    <m/>
    <m/>
    <n v="0"/>
    <n v="28000000"/>
    <n v="4000000"/>
    <m/>
    <m/>
    <m/>
    <m/>
    <n v="0"/>
    <m/>
    <m/>
    <n v="0"/>
    <m/>
    <m/>
    <m/>
    <m/>
    <m/>
    <m/>
    <n v="28000000"/>
    <n v="4000000"/>
  </r>
  <r>
    <x v="14"/>
    <x v="11"/>
    <s v="Hampton Roads Biomedical Research Consortium"/>
    <m/>
    <m/>
    <x v="12"/>
    <m/>
    <m/>
    <m/>
    <n v="4000000"/>
    <m/>
    <m/>
    <m/>
    <m/>
    <n v="0"/>
    <m/>
    <m/>
    <n v="0"/>
    <n v="0"/>
    <n v="4000000"/>
    <m/>
    <m/>
    <m/>
    <m/>
    <n v="0"/>
    <m/>
    <m/>
    <n v="0"/>
    <m/>
    <m/>
    <m/>
    <m/>
    <m/>
    <m/>
    <n v="0"/>
    <n v="4000000"/>
  </r>
  <r>
    <x v="14"/>
    <x v="11"/>
    <s v="Commerce and Trade (VBHRC)"/>
    <m/>
    <m/>
    <x v="12"/>
    <m/>
    <m/>
    <m/>
    <n v="3750000"/>
    <m/>
    <m/>
    <m/>
    <m/>
    <n v="0"/>
    <m/>
    <m/>
    <n v="0"/>
    <n v="0"/>
    <n v="3750000"/>
    <m/>
    <m/>
    <m/>
    <m/>
    <n v="0"/>
    <m/>
    <m/>
    <n v="0"/>
    <m/>
    <m/>
    <m/>
    <m/>
    <m/>
    <m/>
    <n v="0"/>
    <n v="3750000"/>
  </r>
  <r>
    <x v="14"/>
    <x v="11"/>
    <s v="Advanced Manufacturer (CCAM)"/>
    <m/>
    <m/>
    <x v="12"/>
    <m/>
    <m/>
    <m/>
    <n v="1925000"/>
    <m/>
    <m/>
    <m/>
    <m/>
    <n v="0"/>
    <m/>
    <m/>
    <n v="0"/>
    <n v="0"/>
    <n v="1925000"/>
    <m/>
    <m/>
    <m/>
    <m/>
    <n v="0"/>
    <m/>
    <m/>
    <n v="0"/>
    <m/>
    <m/>
    <m/>
    <m/>
    <m/>
    <m/>
    <n v="0"/>
    <n v="1925000"/>
  </r>
  <r>
    <x v="14"/>
    <x v="11"/>
    <s v="Commonwealth Cybersecurity (CCI)"/>
    <m/>
    <m/>
    <x v="12"/>
    <m/>
    <m/>
    <m/>
    <n v="10000000"/>
    <m/>
    <m/>
    <m/>
    <m/>
    <n v="0"/>
    <m/>
    <m/>
    <n v="0"/>
    <n v="0"/>
    <n v="10000000"/>
    <m/>
    <m/>
    <m/>
    <m/>
    <n v="0"/>
    <m/>
    <m/>
    <n v="0"/>
    <m/>
    <m/>
    <m/>
    <m/>
    <m/>
    <m/>
    <n v="0"/>
    <n v="10000000"/>
  </r>
  <r>
    <x v="14"/>
    <x v="11"/>
    <s v="Tech Talent"/>
    <m/>
    <m/>
    <x v="12"/>
    <m/>
    <m/>
    <n v="31800000"/>
    <n v="31800000"/>
    <m/>
    <m/>
    <m/>
    <m/>
    <n v="0"/>
    <m/>
    <m/>
    <n v="0"/>
    <n v="31800000"/>
    <n v="31800000"/>
    <m/>
    <m/>
    <m/>
    <m/>
    <n v="0"/>
    <m/>
    <m/>
    <n v="0"/>
    <m/>
    <m/>
    <m/>
    <m/>
    <m/>
    <m/>
    <n v="31800000"/>
    <n v="31800000"/>
  </r>
  <r>
    <x v="14"/>
    <x v="12"/>
    <s v="Special Line items for education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2"/>
    <m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3"/>
    <s v="Educational special purpose funds —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3"/>
    <s v="Eminent Scholar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3"/>
    <s v="Library Sharing"/>
    <m/>
    <m/>
    <x v="12"/>
    <m/>
    <m/>
    <n v="9162363"/>
    <n v="9562363"/>
    <m/>
    <m/>
    <m/>
    <m/>
    <n v="0"/>
    <m/>
    <m/>
    <n v="0"/>
    <n v="9162363"/>
    <n v="9562363"/>
    <m/>
    <m/>
    <m/>
    <m/>
    <n v="0"/>
    <m/>
    <m/>
    <n v="0"/>
    <m/>
    <m/>
    <m/>
    <m/>
    <m/>
    <m/>
    <n v="9162363"/>
    <n v="9562363"/>
  </r>
  <r>
    <x v="14"/>
    <x v="13"/>
    <s v="VMI/MBC Contract"/>
    <m/>
    <m/>
    <x v="12"/>
    <m/>
    <m/>
    <n v="307899"/>
    <n v="307899"/>
    <m/>
    <m/>
    <m/>
    <m/>
    <n v="0"/>
    <m/>
    <m/>
    <n v="0"/>
    <n v="307899"/>
    <n v="307899"/>
    <m/>
    <m/>
    <m/>
    <m/>
    <n v="0"/>
    <m/>
    <m/>
    <n v="0"/>
    <m/>
    <m/>
    <m/>
    <m/>
    <m/>
    <m/>
    <n v="307899"/>
    <n v="307899"/>
  </r>
  <r>
    <x v="14"/>
    <x v="13"/>
    <s v="Space Grant"/>
    <m/>
    <m/>
    <x v="12"/>
    <m/>
    <m/>
    <n v="795000"/>
    <n v="795000"/>
    <m/>
    <m/>
    <m/>
    <m/>
    <n v="0"/>
    <m/>
    <m/>
    <n v="0"/>
    <n v="795000"/>
    <n v="795000"/>
    <m/>
    <m/>
    <m/>
    <m/>
    <n v="0"/>
    <m/>
    <m/>
    <n v="0"/>
    <m/>
    <m/>
    <m/>
    <m/>
    <m/>
    <m/>
    <n v="795000"/>
    <n v="795000"/>
  </r>
  <r>
    <x v="14"/>
    <x v="13"/>
    <s v="Melcher's-Monroe Memorials"/>
    <m/>
    <m/>
    <x v="12"/>
    <m/>
    <m/>
    <n v="755065"/>
    <n v="755065"/>
    <m/>
    <m/>
    <m/>
    <m/>
    <n v="0"/>
    <m/>
    <m/>
    <n v="0"/>
    <n v="755065"/>
    <n v="755065"/>
    <m/>
    <m/>
    <m/>
    <m/>
    <n v="0"/>
    <m/>
    <m/>
    <n v="0"/>
    <m/>
    <m/>
    <m/>
    <m/>
    <m/>
    <m/>
    <n v="755065"/>
    <n v="755065"/>
  </r>
  <r>
    <x v="14"/>
    <x v="13"/>
    <s v="Medical College Hampton Rds./Eastern VA Medical Auth."/>
    <m/>
    <m/>
    <x v="12"/>
    <m/>
    <m/>
    <m/>
    <m/>
    <m/>
    <m/>
    <m/>
    <m/>
    <n v="0"/>
    <m/>
    <m/>
    <n v="0"/>
    <n v="0"/>
    <n v="0"/>
    <m/>
    <m/>
    <m/>
    <m/>
    <n v="0"/>
    <m/>
    <m/>
    <n v="0"/>
    <n v="30366126"/>
    <n v="30365881"/>
    <m/>
    <m/>
    <m/>
    <m/>
    <n v="30366126"/>
    <n v="30365881"/>
  </r>
  <r>
    <x v="14"/>
    <x v="13"/>
    <s v="VCBA-Eq Trust Fund"/>
    <m/>
    <m/>
    <x v="12"/>
    <m/>
    <m/>
    <n v="73837840"/>
    <n v="85158967"/>
    <m/>
    <m/>
    <m/>
    <m/>
    <n v="0"/>
    <m/>
    <m/>
    <n v="0"/>
    <n v="73837840"/>
    <n v="85158967"/>
    <m/>
    <m/>
    <m/>
    <m/>
    <n v="0"/>
    <m/>
    <m/>
    <n v="0"/>
    <m/>
    <m/>
    <m/>
    <m/>
    <m/>
    <m/>
    <n v="73837840"/>
    <n v="85158967"/>
  </r>
  <r>
    <x v="14"/>
    <x v="13"/>
    <s v="Southern Virginia Higher Education Center"/>
    <m/>
    <m/>
    <x v="12"/>
    <m/>
    <m/>
    <n v="3718615"/>
    <n v="3803865"/>
    <m/>
    <m/>
    <m/>
    <m/>
    <n v="0"/>
    <m/>
    <m/>
    <n v="0"/>
    <n v="3718615"/>
    <n v="3803865"/>
    <m/>
    <m/>
    <m/>
    <m/>
    <n v="0"/>
    <m/>
    <m/>
    <n v="0"/>
    <m/>
    <m/>
    <m/>
    <m/>
    <m/>
    <m/>
    <n v="3718615"/>
    <n v="3803865"/>
  </r>
  <r>
    <x v="14"/>
    <x v="13"/>
    <s v="SW Va Higher Education Center"/>
    <m/>
    <m/>
    <x v="12"/>
    <m/>
    <m/>
    <n v="2100046"/>
    <n v="2171000"/>
    <m/>
    <m/>
    <m/>
    <m/>
    <n v="0"/>
    <m/>
    <m/>
    <n v="0"/>
    <n v="2100046"/>
    <n v="2171000"/>
    <m/>
    <m/>
    <m/>
    <m/>
    <n v="0"/>
    <m/>
    <m/>
    <n v="0"/>
    <m/>
    <m/>
    <m/>
    <m/>
    <m/>
    <m/>
    <n v="2100046"/>
    <n v="2171000"/>
  </r>
  <r>
    <x v="14"/>
    <x v="13"/>
    <s v="Roanoke H. Ed. Authority"/>
    <m/>
    <m/>
    <x v="12"/>
    <m/>
    <m/>
    <n v="1478706"/>
    <n v="1478706"/>
    <m/>
    <m/>
    <m/>
    <m/>
    <n v="0"/>
    <m/>
    <m/>
    <n v="0"/>
    <n v="1478706"/>
    <n v="1478706"/>
    <m/>
    <m/>
    <m/>
    <m/>
    <n v="0"/>
    <m/>
    <m/>
    <n v="0"/>
    <m/>
    <m/>
    <m/>
    <m/>
    <m/>
    <m/>
    <n v="1478706"/>
    <n v="1478706"/>
  </r>
  <r>
    <x v="14"/>
    <x v="13"/>
    <s v="Institute of Advanced Learning and Research"/>
    <m/>
    <m/>
    <x v="12"/>
    <m/>
    <m/>
    <n v="6415246"/>
    <n v="6415193"/>
    <m/>
    <m/>
    <m/>
    <m/>
    <n v="0"/>
    <m/>
    <m/>
    <n v="0"/>
    <n v="6415246"/>
    <n v="6415193"/>
    <m/>
    <m/>
    <m/>
    <m/>
    <n v="0"/>
    <m/>
    <m/>
    <n v="0"/>
    <m/>
    <m/>
    <m/>
    <m/>
    <m/>
    <m/>
    <n v="6415246"/>
    <n v="6415193"/>
  </r>
  <r>
    <x v="14"/>
    <x v="13"/>
    <s v="New College Institute"/>
    <m/>
    <m/>
    <x v="12"/>
    <m/>
    <m/>
    <n v="2589059"/>
    <n v="2692553"/>
    <m/>
    <m/>
    <m/>
    <m/>
    <n v="0"/>
    <m/>
    <m/>
    <n v="0"/>
    <n v="2589059"/>
    <n v="2692553"/>
    <m/>
    <m/>
    <m/>
    <m/>
    <n v="0"/>
    <m/>
    <m/>
    <n v="0"/>
    <m/>
    <m/>
    <m/>
    <m/>
    <m/>
    <m/>
    <n v="2589059"/>
    <n v="2692553"/>
  </r>
  <r>
    <x v="14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5"/>
    <s v="Colleges and universities"/>
    <m/>
    <m/>
    <x v="12"/>
    <m/>
    <m/>
    <m/>
    <m/>
    <m/>
    <m/>
    <m/>
    <m/>
    <n v="0"/>
    <m/>
    <m/>
    <n v="0"/>
    <n v="0"/>
    <n v="0"/>
    <n v="7658118"/>
    <n v="7471303"/>
    <m/>
    <m/>
    <n v="0"/>
    <m/>
    <m/>
    <n v="0"/>
    <m/>
    <m/>
    <m/>
    <m/>
    <m/>
    <m/>
    <n v="7658118"/>
    <n v="7471303"/>
  </r>
  <r>
    <x v="14"/>
    <x v="16"/>
    <s v="Two-year system(s), if any"/>
    <m/>
    <m/>
    <x v="12"/>
    <m/>
    <m/>
    <m/>
    <m/>
    <m/>
    <m/>
    <m/>
    <m/>
    <n v="0"/>
    <m/>
    <m/>
    <n v="0"/>
    <n v="0"/>
    <n v="0"/>
    <n v="18225350"/>
    <n v="18519187"/>
    <m/>
    <m/>
    <n v="0"/>
    <m/>
    <m/>
    <n v="0"/>
    <m/>
    <m/>
    <m/>
    <m/>
    <m/>
    <m/>
    <n v="18225350"/>
    <n v="18519187"/>
  </r>
  <r>
    <x v="14"/>
    <x v="16"/>
    <s v="Va Network Authority"/>
    <m/>
    <m/>
    <x v="12"/>
    <m/>
    <m/>
    <n v="3000000"/>
    <n v="4000000"/>
    <m/>
    <m/>
    <m/>
    <m/>
    <n v="0"/>
    <m/>
    <m/>
    <n v="0"/>
    <n v="3000000"/>
    <n v="4000000"/>
    <m/>
    <m/>
    <m/>
    <m/>
    <n v="0"/>
    <m/>
    <m/>
    <n v="0"/>
    <m/>
    <m/>
    <m/>
    <m/>
    <m/>
    <m/>
    <n v="3000000"/>
    <n v="4000000"/>
  </r>
  <r>
    <x v="14"/>
    <x v="42"/>
    <s v="Workforce Credentials"/>
    <m/>
    <m/>
    <x v="12"/>
    <m/>
    <m/>
    <n v="13500000"/>
    <n v="13500000"/>
    <m/>
    <m/>
    <m/>
    <m/>
    <n v="0"/>
    <m/>
    <m/>
    <n v="0"/>
    <n v="13500000"/>
    <n v="13500000"/>
    <m/>
    <m/>
    <m/>
    <m/>
    <n v="0"/>
    <m/>
    <m/>
    <n v="0"/>
    <m/>
    <m/>
    <m/>
    <m/>
    <m/>
    <m/>
    <n v="13500000"/>
    <n v="13500000"/>
  </r>
  <r>
    <x v="14"/>
    <x v="16"/>
    <s v="VCCS economic development"/>
    <m/>
    <m/>
    <x v="12"/>
    <m/>
    <m/>
    <n v="10876314"/>
    <n v="10876314"/>
    <m/>
    <m/>
    <m/>
    <m/>
    <n v="0"/>
    <m/>
    <m/>
    <n v="0"/>
    <n v="10876314"/>
    <n v="10876314"/>
    <m/>
    <m/>
    <m/>
    <m/>
    <n v="0"/>
    <m/>
    <m/>
    <n v="0"/>
    <m/>
    <m/>
    <m/>
    <m/>
    <m/>
    <m/>
    <n v="10876314"/>
    <n v="10876314"/>
  </r>
  <r>
    <x v="14"/>
    <x v="16"/>
    <s v="Grow Your Own Teacher"/>
    <m/>
    <m/>
    <x v="12"/>
    <m/>
    <m/>
    <m/>
    <n v="240000"/>
    <m/>
    <m/>
    <m/>
    <m/>
    <n v="0"/>
    <m/>
    <m/>
    <n v="0"/>
    <n v="0"/>
    <n v="240000"/>
    <m/>
    <m/>
    <m/>
    <m/>
    <n v="0"/>
    <m/>
    <m/>
    <n v="0"/>
    <m/>
    <m/>
    <m/>
    <m/>
    <m/>
    <m/>
    <n v="0"/>
    <n v="240000"/>
  </r>
  <r>
    <x v="14"/>
    <x v="17"/>
    <s v="SREB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18"/>
    <s v="Interest earnings and credit card rebates"/>
    <m/>
    <m/>
    <x v="12"/>
    <m/>
    <m/>
    <m/>
    <m/>
    <m/>
    <m/>
    <m/>
    <m/>
    <n v="0"/>
    <m/>
    <m/>
    <n v="0"/>
    <n v="0"/>
    <n v="0"/>
    <n v="7231017"/>
    <n v="7231017"/>
    <m/>
    <m/>
    <n v="0"/>
    <m/>
    <m/>
    <n v="0"/>
    <m/>
    <m/>
    <m/>
    <m/>
    <m/>
    <m/>
    <n v="7231017"/>
    <n v="7231017"/>
  </r>
  <r>
    <x v="14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0"/>
    <s v="SREB contract program with private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0"/>
    <s v="Southern College of Optometry"/>
    <m/>
    <m/>
    <x v="12"/>
    <m/>
    <m/>
    <m/>
    <m/>
    <m/>
    <m/>
    <m/>
    <m/>
    <n v="0"/>
    <m/>
    <m/>
    <n v="0"/>
    <n v="0"/>
    <n v="0"/>
    <n v="20000"/>
    <n v="20000"/>
    <m/>
    <m/>
    <n v="0"/>
    <m/>
    <m/>
    <n v="0"/>
    <m/>
    <m/>
    <m/>
    <m/>
    <m/>
    <m/>
    <n v="20000"/>
    <n v="20000"/>
  </r>
  <r>
    <x v="14"/>
    <x v="41"/>
    <s v="SREB contract program with public colleg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1"/>
    <s v="University of North Carolina at Chapel Hill (Library Science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1"/>
    <s v="North Carolina State University (Pulp/Paper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1"/>
    <s v="University of Alabama at Birmingham (Optometry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41"/>
    <s v="North Carolina Central University (Library Science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0"/>
    <s v="Other contract education programs"/>
    <m/>
    <m/>
    <x v="12"/>
    <m/>
    <m/>
    <m/>
    <m/>
    <m/>
    <m/>
    <m/>
    <m/>
    <n v="0"/>
    <m/>
    <m/>
    <n v="0"/>
    <n v="0"/>
    <n v="0"/>
    <n v="170000"/>
    <n v="170000"/>
    <m/>
    <m/>
    <n v="0"/>
    <m/>
    <m/>
    <n v="0"/>
    <m/>
    <m/>
    <m/>
    <m/>
    <m/>
    <m/>
    <n v="170000"/>
    <n v="170000"/>
  </r>
  <r>
    <x v="14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2"/>
    <s v="Program name(s)???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7"/>
    <s v="(Military stipend) Non need-based"/>
    <m/>
    <m/>
    <x v="12"/>
    <m/>
    <m/>
    <m/>
    <m/>
    <m/>
    <m/>
    <m/>
    <m/>
    <n v="0"/>
    <m/>
    <m/>
    <n v="0"/>
    <n v="0"/>
    <n v="0"/>
    <n v="1980000"/>
    <n v="2130000"/>
    <m/>
    <m/>
    <n v="0"/>
    <m/>
    <m/>
    <n v="0"/>
    <m/>
    <m/>
    <m/>
    <m/>
    <m/>
    <m/>
    <n v="1980000"/>
    <n v="2130000"/>
  </r>
  <r>
    <x v="14"/>
    <x v="28"/>
    <s v="Cyber Security Scholarship"/>
    <m/>
    <m/>
    <x v="12"/>
    <m/>
    <m/>
    <m/>
    <m/>
    <m/>
    <m/>
    <m/>
    <m/>
    <n v="0"/>
    <m/>
    <m/>
    <n v="0"/>
    <n v="0"/>
    <n v="0"/>
    <n v="500000"/>
    <n v="500000"/>
    <m/>
    <m/>
    <n v="0"/>
    <m/>
    <m/>
    <n v="0"/>
    <m/>
    <m/>
    <m/>
    <m/>
    <m/>
    <m/>
    <n v="500000"/>
    <n v="500000"/>
  </r>
  <r>
    <x v="14"/>
    <x v="42"/>
    <s v="Early Awareness (GearUp)"/>
    <m/>
    <m/>
    <x v="12"/>
    <m/>
    <m/>
    <m/>
    <n v="5000000"/>
    <m/>
    <m/>
    <m/>
    <m/>
    <n v="0"/>
    <m/>
    <m/>
    <n v="0"/>
    <n v="0"/>
    <n v="5000000"/>
    <m/>
    <m/>
    <m/>
    <m/>
    <n v="0"/>
    <m/>
    <m/>
    <n v="0"/>
    <m/>
    <m/>
    <m/>
    <m/>
    <m/>
    <m/>
    <n v="0"/>
    <n v="5000000"/>
  </r>
  <r>
    <x v="14"/>
    <x v="42"/>
    <s v="Soil Scientist (Item222.A.1)"/>
    <m/>
    <m/>
    <x v="12"/>
    <m/>
    <m/>
    <m/>
    <n v="11000"/>
    <m/>
    <m/>
    <m/>
    <m/>
    <n v="0"/>
    <m/>
    <m/>
    <n v="0"/>
    <n v="0"/>
    <n v="11000"/>
    <m/>
    <m/>
    <m/>
    <m/>
    <n v="0"/>
    <m/>
    <m/>
    <n v="0"/>
    <m/>
    <m/>
    <m/>
    <m/>
    <m/>
    <m/>
    <n v="0"/>
    <n v="11000"/>
  </r>
  <r>
    <x v="14"/>
    <x v="42"/>
    <s v="Multicultural Acdemic Opportunities Program (item222.A.2)"/>
    <m/>
    <m/>
    <x v="12"/>
    <m/>
    <m/>
    <m/>
    <n v="86500"/>
    <m/>
    <m/>
    <m/>
    <m/>
    <n v="0"/>
    <m/>
    <m/>
    <n v="0"/>
    <n v="0"/>
    <n v="86500"/>
    <m/>
    <m/>
    <m/>
    <m/>
    <n v="0"/>
    <m/>
    <m/>
    <n v="0"/>
    <m/>
    <m/>
    <m/>
    <m/>
    <m/>
    <m/>
    <n v="0"/>
    <n v="86500"/>
  </r>
  <r>
    <x v="14"/>
    <x v="42"/>
    <s v="Foster Children (VCCS no language, fixed amt)"/>
    <m/>
    <m/>
    <x v="12"/>
    <m/>
    <m/>
    <m/>
    <n v="20000"/>
    <m/>
    <m/>
    <m/>
    <m/>
    <n v="0"/>
    <m/>
    <m/>
    <n v="0"/>
    <n v="0"/>
    <n v="20000"/>
    <m/>
    <m/>
    <m/>
    <m/>
    <n v="0"/>
    <m/>
    <m/>
    <n v="0"/>
    <m/>
    <m/>
    <m/>
    <m/>
    <m/>
    <m/>
    <n v="0"/>
    <n v="20000"/>
  </r>
  <r>
    <x v="14"/>
    <x v="42"/>
    <s v="Nursing Program - UVA (item194.A)"/>
    <m/>
    <m/>
    <x v="12"/>
    <m/>
    <m/>
    <m/>
    <n v="250000"/>
    <m/>
    <m/>
    <m/>
    <m/>
    <n v="0"/>
    <m/>
    <m/>
    <n v="0"/>
    <n v="0"/>
    <n v="250000"/>
    <m/>
    <m/>
    <m/>
    <m/>
    <n v="0"/>
    <m/>
    <m/>
    <n v="0"/>
    <m/>
    <m/>
    <m/>
    <m/>
    <m/>
    <m/>
    <n v="0"/>
    <n v="250000"/>
  </r>
  <r>
    <x v="14"/>
    <x v="42"/>
    <s v="Shipyard workers (item 211.A)"/>
    <m/>
    <m/>
    <x v="12"/>
    <m/>
    <m/>
    <m/>
    <n v="150000"/>
    <m/>
    <m/>
    <m/>
    <m/>
    <n v="0"/>
    <m/>
    <m/>
    <n v="0"/>
    <n v="0"/>
    <n v="150000"/>
    <m/>
    <m/>
    <m/>
    <m/>
    <n v="0"/>
    <m/>
    <m/>
    <n v="0"/>
    <m/>
    <m/>
    <m/>
    <m/>
    <m/>
    <m/>
    <n v="0"/>
    <n v="150000"/>
  </r>
  <r>
    <x v="14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1"/>
    <s v="Limited to public college students onl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1"/>
    <s v="Program name(s)???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2"/>
    <s v="Need-based"/>
    <m/>
    <m/>
    <x v="12"/>
    <m/>
    <m/>
    <m/>
    <m/>
    <m/>
    <m/>
    <m/>
    <m/>
    <n v="0"/>
    <m/>
    <m/>
    <n v="0"/>
    <n v="0"/>
    <n v="0"/>
    <n v="241061101"/>
    <n v="249975393"/>
    <m/>
    <m/>
    <n v="0"/>
    <m/>
    <m/>
    <n v="0"/>
    <m/>
    <m/>
    <m/>
    <m/>
    <m/>
    <m/>
    <n v="241061101"/>
    <n v="249975393"/>
  </r>
  <r>
    <x v="14"/>
    <x v="33"/>
    <s v="Non need-based"/>
    <m/>
    <m/>
    <x v="12"/>
    <m/>
    <m/>
    <m/>
    <m/>
    <m/>
    <m/>
    <m/>
    <m/>
    <n v="0"/>
    <m/>
    <m/>
    <n v="0"/>
    <n v="0"/>
    <n v="0"/>
    <n v="8156329"/>
    <n v="8156329"/>
    <m/>
    <m/>
    <n v="0"/>
    <m/>
    <m/>
    <n v="0"/>
    <m/>
    <m/>
    <m/>
    <m/>
    <m/>
    <m/>
    <n v="8156329"/>
    <n v="8156329"/>
  </r>
  <r>
    <x v="14"/>
    <x v="31"/>
    <s v="Transfer grant"/>
    <m/>
    <m/>
    <x v="12"/>
    <m/>
    <m/>
    <m/>
    <m/>
    <m/>
    <m/>
    <m/>
    <m/>
    <n v="0"/>
    <m/>
    <m/>
    <n v="0"/>
    <n v="0"/>
    <n v="0"/>
    <n v="3885256"/>
    <n v="3885256"/>
    <m/>
    <m/>
    <n v="0"/>
    <m/>
    <m/>
    <n v="0"/>
    <m/>
    <m/>
    <m/>
    <m/>
    <m/>
    <m/>
    <n v="3885256"/>
    <n v="3885256"/>
  </r>
  <r>
    <x v="14"/>
    <x v="34"/>
    <s v="Limited to private college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4"/>
    <s v="Student Tuition Aid Grant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6"/>
    <s v="Non need-based"/>
    <m/>
    <m/>
    <x v="12"/>
    <m/>
    <m/>
    <m/>
    <m/>
    <m/>
    <m/>
    <m/>
    <m/>
    <n v="0"/>
    <m/>
    <m/>
    <n v="0"/>
    <n v="0"/>
    <n v="0"/>
    <n v="71098303"/>
    <n v="71098303"/>
    <m/>
    <m/>
    <n v="0"/>
    <m/>
    <m/>
    <n v="0"/>
    <m/>
    <m/>
    <m/>
    <m/>
    <m/>
    <m/>
    <n v="71098303"/>
    <n v="71098303"/>
  </r>
  <r>
    <x v="14"/>
    <x v="34"/>
    <s v="Other Student Financial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5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4"/>
    <x v="36"/>
    <s v="Non need-based"/>
    <m/>
    <m/>
    <x v="12"/>
    <m/>
    <m/>
    <m/>
    <m/>
    <m/>
    <m/>
    <m/>
    <m/>
    <n v="0"/>
    <m/>
    <m/>
    <n v="0"/>
    <n v="0"/>
    <n v="0"/>
    <n v="3328382"/>
    <n v="3328382"/>
    <m/>
    <m/>
    <n v="0"/>
    <m/>
    <m/>
    <n v="0"/>
    <m/>
    <m/>
    <m/>
    <m/>
    <m/>
    <m/>
    <n v="3328382"/>
    <n v="3328382"/>
  </r>
  <r>
    <x v="15"/>
    <x v="0"/>
    <s v="West Virginia University"/>
    <m/>
    <n v="238032"/>
    <x v="0"/>
    <n v="59813761"/>
    <n v="61050748"/>
    <m/>
    <m/>
    <m/>
    <m/>
    <n v="389758238"/>
    <n v="10614313"/>
    <n v="400372551"/>
    <n v="389758238"/>
    <n v="10617313"/>
    <n v="400375551"/>
    <n v="449571999"/>
    <n v="450808986"/>
    <m/>
    <m/>
    <m/>
    <m/>
    <n v="0"/>
    <m/>
    <m/>
    <n v="0"/>
    <m/>
    <m/>
    <m/>
    <m/>
    <m/>
    <m/>
    <n v="449571999"/>
    <n v="450808986"/>
  </r>
  <r>
    <x v="15"/>
    <x v="1"/>
    <s v="Health professions education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"/>
    <s v="School of Health Sciences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n v="66893606"/>
    <n v="66893606"/>
    <n v="92779288"/>
    <m/>
    <n v="92779288"/>
    <m/>
    <n v="159672894"/>
    <n v="159672894"/>
  </r>
  <r>
    <x v="15"/>
    <x v="1"/>
    <s v="BRIM insurance subsidy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n v="1203087"/>
    <n v="1203087"/>
    <m/>
    <m/>
    <m/>
    <m/>
    <n v="1203087"/>
    <n v="1203087"/>
  </r>
  <r>
    <x v="15"/>
    <x v="13"/>
    <s v="HSTA Program"/>
    <m/>
    <n v="238032"/>
    <x v="0"/>
    <m/>
    <m/>
    <n v="1761948"/>
    <n v="1761948"/>
    <m/>
    <m/>
    <m/>
    <m/>
    <n v="0"/>
    <m/>
    <m/>
    <n v="0"/>
    <n v="1761948"/>
    <n v="1761948"/>
    <m/>
    <m/>
    <m/>
    <m/>
    <n v="0"/>
    <m/>
    <m/>
    <n v="0"/>
    <m/>
    <m/>
    <m/>
    <m/>
    <m/>
    <m/>
    <n v="1761948"/>
    <n v="1761948"/>
  </r>
  <r>
    <x v="15"/>
    <x v="13"/>
    <s v="Health Sciences Career Opportunities"/>
    <m/>
    <n v="238032"/>
    <x v="0"/>
    <m/>
    <m/>
    <n v="336987"/>
    <n v="336987"/>
    <m/>
    <m/>
    <m/>
    <m/>
    <n v="0"/>
    <m/>
    <m/>
    <n v="0"/>
    <n v="336987"/>
    <n v="336987"/>
    <m/>
    <m/>
    <m/>
    <m/>
    <n v="0"/>
    <m/>
    <m/>
    <n v="0"/>
    <m/>
    <m/>
    <m/>
    <m/>
    <m/>
    <m/>
    <n v="336987"/>
    <n v="336987"/>
  </r>
  <r>
    <x v="15"/>
    <x v="1"/>
    <s v="Community or public service units"/>
    <m/>
    <n v="238032"/>
    <x v="0"/>
    <m/>
    <m/>
    <n v="862266"/>
    <n v="2799219"/>
    <m/>
    <m/>
    <m/>
    <m/>
    <n v="0"/>
    <m/>
    <m/>
    <n v="0"/>
    <n v="862266"/>
    <n v="2799219"/>
    <m/>
    <m/>
    <m/>
    <m/>
    <n v="0"/>
    <m/>
    <m/>
    <n v="0"/>
    <m/>
    <m/>
    <m/>
    <m/>
    <m/>
    <m/>
    <n v="862266"/>
    <n v="2799219"/>
  </r>
  <r>
    <x v="15"/>
    <x v="1"/>
    <s v="WVU HSC - Blanchette Rockefeller Neuroligical Institute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3"/>
    <s v="Public Health Program &amp; Health Science Technology"/>
    <m/>
    <n v="238032"/>
    <x v="0"/>
    <m/>
    <m/>
    <n v="52445"/>
    <n v="52445"/>
    <m/>
    <m/>
    <m/>
    <m/>
    <n v="0"/>
    <m/>
    <m/>
    <n v="0"/>
    <n v="52445"/>
    <n v="52445"/>
    <m/>
    <m/>
    <m/>
    <m/>
    <n v="0"/>
    <m/>
    <m/>
    <n v="0"/>
    <m/>
    <m/>
    <m/>
    <m/>
    <m/>
    <m/>
    <n v="52445"/>
    <n v="52445"/>
  </r>
  <r>
    <x v="15"/>
    <x v="1"/>
    <s v="WVUHSC - Graduate Medical Education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"/>
    <s v="WVU Health Sciences Center - Academy of Family Physicians Doc of the Day Program"/>
    <m/>
    <n v="238032"/>
    <x v="0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5"/>
    <s v="Agricultural cooperative extension"/>
    <m/>
    <n v="238032"/>
    <x v="0"/>
    <m/>
    <m/>
    <n v="15899167"/>
    <n v="14856080"/>
    <m/>
    <m/>
    <m/>
    <m/>
    <n v="0"/>
    <m/>
    <m/>
    <n v="0"/>
    <n v="15899167"/>
    <n v="14856080"/>
    <m/>
    <m/>
    <m/>
    <m/>
    <n v="0"/>
    <m/>
    <m/>
    <n v="0"/>
    <m/>
    <m/>
    <m/>
    <m/>
    <m/>
    <m/>
    <n v="15899167"/>
    <n v="14856080"/>
  </r>
  <r>
    <x v="15"/>
    <x v="6"/>
    <s v="Agricultural experiment stations"/>
    <m/>
    <n v="238032"/>
    <x v="0"/>
    <m/>
    <m/>
    <n v="9746705"/>
    <n v="8240177"/>
    <m/>
    <m/>
    <m/>
    <m/>
    <n v="0"/>
    <m/>
    <m/>
    <n v="0"/>
    <n v="9746705"/>
    <n v="8240177"/>
    <m/>
    <m/>
    <m/>
    <m/>
    <n v="0"/>
    <m/>
    <m/>
    <n v="0"/>
    <m/>
    <m/>
    <m/>
    <m/>
    <m/>
    <m/>
    <n v="9746705"/>
    <n v="8240177"/>
  </r>
  <r>
    <x v="15"/>
    <x v="43"/>
    <s v="Engineering experiment stations"/>
    <m/>
    <n v="238032"/>
    <x v="0"/>
    <m/>
    <m/>
    <n v="6763442"/>
    <n v="6423918"/>
    <m/>
    <m/>
    <m/>
    <m/>
    <n v="0"/>
    <m/>
    <m/>
    <n v="0"/>
    <n v="6763442"/>
    <n v="6423918"/>
    <m/>
    <m/>
    <m/>
    <m/>
    <n v="0"/>
    <m/>
    <m/>
    <n v="0"/>
    <m/>
    <m/>
    <m/>
    <m/>
    <m/>
    <m/>
    <n v="6763442"/>
    <n v="6423918"/>
  </r>
  <r>
    <x v="15"/>
    <x v="7"/>
    <s v="Research centers/institutes"/>
    <m/>
    <n v="238032"/>
    <x v="0"/>
    <m/>
    <m/>
    <n v="2121530"/>
    <n v="2031036"/>
    <m/>
    <m/>
    <m/>
    <m/>
    <n v="0"/>
    <m/>
    <m/>
    <n v="0"/>
    <n v="2121530"/>
    <n v="2031036"/>
    <m/>
    <m/>
    <m/>
    <m/>
    <n v="0"/>
    <m/>
    <m/>
    <n v="0"/>
    <m/>
    <m/>
    <m/>
    <m/>
    <m/>
    <m/>
    <n v="2121530"/>
    <n v="2031036"/>
  </r>
  <r>
    <x v="15"/>
    <x v="7"/>
    <s v="WVU - PRT"/>
    <m/>
    <n v="238032"/>
    <x v="0"/>
    <m/>
    <m/>
    <n v="1811089"/>
    <n v="1616782"/>
    <m/>
    <m/>
    <m/>
    <m/>
    <n v="0"/>
    <m/>
    <m/>
    <n v="0"/>
    <n v="1811089"/>
    <n v="1616782"/>
    <m/>
    <m/>
    <m/>
    <m/>
    <n v="0"/>
    <m/>
    <m/>
    <n v="0"/>
    <m/>
    <m/>
    <m/>
    <m/>
    <m/>
    <m/>
    <n v="1811089"/>
    <n v="1616782"/>
  </r>
  <r>
    <x v="15"/>
    <x v="8"/>
    <s v="Special Line items for education operations"/>
    <m/>
    <n v="238032"/>
    <x v="0"/>
    <m/>
    <m/>
    <n v="1190949"/>
    <n v="1190949"/>
    <m/>
    <m/>
    <m/>
    <m/>
    <n v="0"/>
    <m/>
    <m/>
    <n v="0"/>
    <n v="1190949"/>
    <n v="1190949"/>
    <m/>
    <m/>
    <m/>
    <m/>
    <n v="0"/>
    <m/>
    <m/>
    <n v="0"/>
    <m/>
    <m/>
    <m/>
    <m/>
    <m/>
    <m/>
    <n v="1190949"/>
    <n v="1190949"/>
  </r>
  <r>
    <x v="15"/>
    <x v="8"/>
    <s v="Center for Excellence in Disabilities"/>
    <m/>
    <n v="238032"/>
    <x v="0"/>
    <m/>
    <m/>
    <n v="313517"/>
    <n v="313517"/>
    <m/>
    <m/>
    <m/>
    <m/>
    <n v="0"/>
    <m/>
    <m/>
    <n v="0"/>
    <n v="313517"/>
    <n v="313517"/>
    <m/>
    <m/>
    <m/>
    <m/>
    <n v="0"/>
    <m/>
    <m/>
    <n v="0"/>
    <m/>
    <m/>
    <m/>
    <m/>
    <m/>
    <m/>
    <n v="313517"/>
    <n v="313517"/>
  </r>
  <r>
    <x v="15"/>
    <x v="0"/>
    <s v="Marshall University "/>
    <m/>
    <n v="237525"/>
    <x v="2"/>
    <n v="45270055"/>
    <n v="45244442"/>
    <m/>
    <m/>
    <m/>
    <m/>
    <n v="111348800"/>
    <n v="1290148"/>
    <n v="112638948"/>
    <n v="112816509"/>
    <n v="1291745"/>
    <n v="114108254"/>
    <n v="156618855"/>
    <n v="158060951"/>
    <m/>
    <m/>
    <m/>
    <m/>
    <n v="0"/>
    <m/>
    <m/>
    <n v="0"/>
    <m/>
    <m/>
    <m/>
    <m/>
    <m/>
    <m/>
    <n v="156618855"/>
    <n v="158060951"/>
  </r>
  <r>
    <x v="15"/>
    <x v="7"/>
    <s v="Research centers/institutes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8"/>
    <s v="MU/SWVVCTC 2+2 Program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7"/>
    <s v="Autism Training Center"/>
    <m/>
    <n v="237525"/>
    <x v="2"/>
    <m/>
    <m/>
    <n v="1808381"/>
    <n v="1808381"/>
    <m/>
    <m/>
    <m/>
    <m/>
    <n v="0"/>
    <m/>
    <m/>
    <n v="0"/>
    <n v="1808381"/>
    <n v="1808381"/>
    <m/>
    <m/>
    <m/>
    <m/>
    <n v="0"/>
    <m/>
    <m/>
    <n v="0"/>
    <m/>
    <m/>
    <m/>
    <m/>
    <m/>
    <m/>
    <n v="1808381"/>
    <n v="1808381"/>
  </r>
  <r>
    <x v="15"/>
    <x v="8"/>
    <s v="Special Line items for education operations"/>
    <m/>
    <n v="237525"/>
    <x v="2"/>
    <m/>
    <m/>
    <n v="564037"/>
    <n v="564037"/>
    <m/>
    <m/>
    <m/>
    <m/>
    <n v="0"/>
    <m/>
    <m/>
    <n v="0"/>
    <n v="564037"/>
    <n v="564037"/>
    <m/>
    <m/>
    <m/>
    <m/>
    <n v="0"/>
    <m/>
    <m/>
    <n v="0"/>
    <m/>
    <m/>
    <m/>
    <m/>
    <m/>
    <m/>
    <n v="564037"/>
    <n v="564037"/>
  </r>
  <r>
    <x v="15"/>
    <x v="1"/>
    <s v="Medical School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n v="17841562"/>
    <n v="17917175"/>
    <n v="9803250"/>
    <s v=" "/>
    <n v="9803250"/>
    <m/>
    <n v="27644812"/>
    <n v="27720425"/>
  </r>
  <r>
    <x v="15"/>
    <x v="1"/>
    <s v="MU SOM- Graduate Medical Education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"/>
    <s v="MU SOM- Academy of Family Physicians Doc of the Day Program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"/>
    <s v="MUSOM - Center for Rural Health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n v="157096"/>
    <n v="157096"/>
    <m/>
    <m/>
    <m/>
    <m/>
    <n v="157096"/>
    <n v="157096"/>
  </r>
  <r>
    <x v="15"/>
    <x v="7"/>
    <s v="Forensic Lab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n v="227415"/>
    <n v="227415"/>
    <m/>
    <m/>
    <m/>
    <m/>
    <n v="227415"/>
    <n v="227415"/>
  </r>
  <r>
    <x v="15"/>
    <x v="8"/>
    <s v="BRIM insurance subsidy"/>
    <m/>
    <n v="237525"/>
    <x v="2"/>
    <m/>
    <m/>
    <m/>
    <m/>
    <m/>
    <m/>
    <m/>
    <m/>
    <n v="0"/>
    <m/>
    <m/>
    <n v="0"/>
    <n v="0"/>
    <n v="0"/>
    <m/>
    <m/>
    <m/>
    <m/>
    <n v="0"/>
    <m/>
    <m/>
    <n v="0"/>
    <n v="872612"/>
    <n v="872612"/>
    <m/>
    <m/>
    <m/>
    <m/>
    <n v="872612"/>
    <n v="872612"/>
  </r>
  <r>
    <x v="15"/>
    <x v="0"/>
    <s v="Concord University "/>
    <m/>
    <n v="237330"/>
    <x v="4"/>
    <n v="10476415"/>
    <n v="10476415"/>
    <m/>
    <m/>
    <m/>
    <m/>
    <n v="15030909"/>
    <m/>
    <n v="15030909"/>
    <n v="15030909"/>
    <m/>
    <n v="15030909"/>
    <n v="25507324"/>
    <n v="25507324"/>
    <m/>
    <m/>
    <m/>
    <m/>
    <n v="0"/>
    <m/>
    <m/>
    <n v="0"/>
    <m/>
    <m/>
    <m/>
    <m/>
    <m/>
    <m/>
    <n v="25507324"/>
    <n v="25507324"/>
  </r>
  <r>
    <x v="15"/>
    <x v="8"/>
    <s v="Special Line items for education operations"/>
    <m/>
    <n v="237330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Fairmont State University"/>
    <m/>
    <n v="237367"/>
    <x v="4"/>
    <n v="18600341"/>
    <n v="18600341"/>
    <m/>
    <m/>
    <m/>
    <m/>
    <n v="27301717"/>
    <n v="826553"/>
    <n v="28128270"/>
    <n v="27303478"/>
    <n v="824792"/>
    <n v="28128270"/>
    <n v="45902058"/>
    <n v="45903819"/>
    <m/>
    <m/>
    <m/>
    <m/>
    <n v="0"/>
    <m/>
    <m/>
    <n v="0"/>
    <m/>
    <m/>
    <m/>
    <m/>
    <m/>
    <m/>
    <n v="45902058"/>
    <n v="45903819"/>
  </r>
  <r>
    <x v="15"/>
    <x v="0"/>
    <s v="Shepherd University "/>
    <m/>
    <n v="237792"/>
    <x v="4"/>
    <n v="12683829"/>
    <n v="12683829"/>
    <m/>
    <m/>
    <m/>
    <m/>
    <n v="27067872"/>
    <m/>
    <n v="27067872"/>
    <n v="27067872"/>
    <m/>
    <n v="27067872"/>
    <n v="39751701"/>
    <n v="39751701"/>
    <m/>
    <m/>
    <m/>
    <m/>
    <n v="0"/>
    <m/>
    <m/>
    <n v="0"/>
    <m/>
    <m/>
    <m/>
    <m/>
    <m/>
    <m/>
    <n v="39751701"/>
    <n v="39751701"/>
  </r>
  <r>
    <x v="15"/>
    <x v="8"/>
    <s v="Special Line items for education operations"/>
    <m/>
    <n v="237792"/>
    <x v="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West Liberty University"/>
    <s v="Met the criteria for Four-Year 4 in 2019-20 and 2020-21."/>
    <n v="237932"/>
    <x v="4"/>
    <n v="9102662"/>
    <n v="9102662"/>
    <m/>
    <m/>
    <m/>
    <m/>
    <n v="22353120"/>
    <n v="207872"/>
    <n v="22560992"/>
    <n v="22805710"/>
    <n v="206502"/>
    <n v="23012212"/>
    <n v="31455782"/>
    <n v="31908372"/>
    <m/>
    <m/>
    <m/>
    <m/>
    <n v="0"/>
    <m/>
    <m/>
    <n v="0"/>
    <m/>
    <m/>
    <m/>
    <m/>
    <m/>
    <m/>
    <n v="31455782"/>
    <n v="31908372"/>
  </r>
  <r>
    <x v="15"/>
    <x v="0"/>
    <s v="Bluefield State College "/>
    <m/>
    <n v="237215"/>
    <x v="5"/>
    <n v="6383221"/>
    <n v="6383221"/>
    <m/>
    <m/>
    <m/>
    <m/>
    <n v="9721168"/>
    <m/>
    <n v="9721168"/>
    <n v="9847543"/>
    <m/>
    <n v="9847543"/>
    <n v="16104389"/>
    <n v="16230764"/>
    <m/>
    <m/>
    <m/>
    <m/>
    <n v="0"/>
    <m/>
    <m/>
    <n v="0"/>
    <m/>
    <m/>
    <m/>
    <m/>
    <m/>
    <m/>
    <n v="16104389"/>
    <n v="16230764"/>
  </r>
  <r>
    <x v="15"/>
    <x v="0"/>
    <s v="Glenville State College "/>
    <m/>
    <n v="237385"/>
    <x v="5"/>
    <n v="6446942"/>
    <n v="6446942"/>
    <m/>
    <m/>
    <m/>
    <m/>
    <n v="10538165"/>
    <n v="85406"/>
    <n v="10623571"/>
    <n v="11377990"/>
    <n v="84843"/>
    <n v="11462833"/>
    <n v="16985107"/>
    <n v="17824932"/>
    <m/>
    <m/>
    <m/>
    <m/>
    <n v="0"/>
    <m/>
    <m/>
    <n v="0"/>
    <m/>
    <m/>
    <m/>
    <m/>
    <m/>
    <m/>
    <n v="16985107"/>
    <n v="17824932"/>
  </r>
  <r>
    <x v="15"/>
    <x v="8"/>
    <s v="Special Line items for education operations"/>
    <m/>
    <n v="237385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West Virginia State University "/>
    <s v="Met the criteria for Four-Year 4 in 2019-20 and 2020-21."/>
    <n v="237899"/>
    <x v="5"/>
    <n v="14292704"/>
    <n v="14292704"/>
    <m/>
    <m/>
    <m/>
    <m/>
    <n v="18185712"/>
    <m/>
    <n v="18185712"/>
    <n v="18658541"/>
    <m/>
    <n v="18658541"/>
    <n v="32478416"/>
    <n v="32951245"/>
    <m/>
    <m/>
    <m/>
    <m/>
    <n v="0"/>
    <m/>
    <m/>
    <n v="0"/>
    <m/>
    <m/>
    <m/>
    <m/>
    <m/>
    <m/>
    <n v="32478416"/>
    <n v="32951245"/>
  </r>
  <r>
    <x v="15"/>
    <x v="0"/>
    <s v="West Virginia University Institute of Technology"/>
    <m/>
    <n v="237950"/>
    <x v="5"/>
    <n v="8020938"/>
    <n v="8020938"/>
    <m/>
    <m/>
    <m/>
    <m/>
    <n v="11992060"/>
    <m/>
    <n v="11992060"/>
    <n v="11992060"/>
    <m/>
    <n v="11992060"/>
    <n v="20012998"/>
    <n v="20012998"/>
    <m/>
    <m/>
    <m/>
    <m/>
    <n v="0"/>
    <m/>
    <m/>
    <n v="0"/>
    <m/>
    <m/>
    <m/>
    <m/>
    <m/>
    <m/>
    <n v="20012998"/>
    <n v="20012998"/>
  </r>
  <r>
    <x v="15"/>
    <x v="8"/>
    <s v="Accreditation supplement"/>
    <m/>
    <n v="237950"/>
    <x v="5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Potomac State College of West Virginia University"/>
    <m/>
    <n v="237701"/>
    <x v="14"/>
    <n v="4512711"/>
    <n v="4512711"/>
    <m/>
    <m/>
    <m/>
    <m/>
    <n v="5818791"/>
    <m/>
    <n v="5818791"/>
    <n v="5818791"/>
    <m/>
    <n v="5818791"/>
    <n v="10331502"/>
    <n v="10331502"/>
    <m/>
    <m/>
    <m/>
    <m/>
    <n v="0"/>
    <m/>
    <m/>
    <n v="0"/>
    <m/>
    <m/>
    <m/>
    <m/>
    <m/>
    <m/>
    <n v="10331502"/>
    <n v="10331502"/>
  </r>
  <r>
    <x v="15"/>
    <x v="8"/>
    <s v="Special Line items for education operations"/>
    <m/>
    <n v="237701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West Virginia University at Parkersburg"/>
    <s v="Met the criteria for Four-Year 6 in 2020-21."/>
    <n v="237686"/>
    <x v="14"/>
    <n v="10319284"/>
    <n v="10319284"/>
    <m/>
    <m/>
    <m/>
    <m/>
    <n v="9117000"/>
    <m/>
    <n v="9117000"/>
    <n v="9117000"/>
    <m/>
    <n v="9117000"/>
    <n v="19436284"/>
    <n v="19436284"/>
    <m/>
    <m/>
    <m/>
    <m/>
    <n v="0"/>
    <m/>
    <m/>
    <n v="0"/>
    <m/>
    <m/>
    <m/>
    <m/>
    <m/>
    <m/>
    <n v="19436284"/>
    <n v="19436284"/>
  </r>
  <r>
    <x v="15"/>
    <x v="8"/>
    <s v="Special Line items for education operations"/>
    <m/>
    <n v="237686"/>
    <x v="14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New River Community &amp; Technical College"/>
    <m/>
    <n v="447582"/>
    <x v="8"/>
    <n v="5864886"/>
    <n v="5864886"/>
    <m/>
    <m/>
    <m/>
    <m/>
    <n v="5416717"/>
    <m/>
    <n v="5416717"/>
    <n v="5416717"/>
    <m/>
    <n v="5416717"/>
    <n v="11281603"/>
    <n v="11281603"/>
    <m/>
    <m/>
    <m/>
    <m/>
    <n v="0"/>
    <m/>
    <m/>
    <n v="0"/>
    <m/>
    <m/>
    <m/>
    <m/>
    <m/>
    <m/>
    <n v="11281603"/>
    <n v="11281603"/>
  </r>
  <r>
    <x v="15"/>
    <x v="8"/>
    <s v="Special Line items for education operations"/>
    <m/>
    <n v="44758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Pierpont Community &amp; Technical College"/>
    <m/>
    <n v="443492"/>
    <x v="8"/>
    <n v="7820129"/>
    <n v="7820129"/>
    <m/>
    <m/>
    <m/>
    <m/>
    <n v="7193382"/>
    <m/>
    <n v="7193382"/>
    <n v="7409183"/>
    <m/>
    <n v="7409183"/>
    <n v="15013511"/>
    <n v="15229312"/>
    <m/>
    <m/>
    <m/>
    <m/>
    <n v="0"/>
    <m/>
    <m/>
    <n v="0"/>
    <m/>
    <m/>
    <m/>
    <m/>
    <m/>
    <m/>
    <n v="15013511"/>
    <n v="15229312"/>
  </r>
  <r>
    <x v="15"/>
    <x v="8"/>
    <s v="Special Line items for education operations"/>
    <m/>
    <n v="443492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Blue Ridge Community &amp; Technical College"/>
    <s v="Met the criteria for Two-Year 3 in 2020-21."/>
    <n v="446774"/>
    <x v="7"/>
    <n v="7830842"/>
    <n v="7830842"/>
    <m/>
    <m/>
    <m/>
    <m/>
    <n v="7514455"/>
    <m/>
    <n v="7514455"/>
    <n v="7514455"/>
    <m/>
    <n v="7514455"/>
    <n v="15345297"/>
    <n v="15345297"/>
    <m/>
    <m/>
    <m/>
    <m/>
    <n v="0"/>
    <m/>
    <m/>
    <n v="0"/>
    <m/>
    <m/>
    <m/>
    <m/>
    <m/>
    <m/>
    <n v="15345297"/>
    <n v="15345297"/>
  </r>
  <r>
    <x v="15"/>
    <x v="8"/>
    <s v="Special Line items for education operations"/>
    <s v=" "/>
    <n v="446774"/>
    <x v="7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BridgeValley Community and Technical College"/>
    <m/>
    <n v="484932"/>
    <x v="8"/>
    <n v="8098811"/>
    <n v="8098811"/>
    <m/>
    <m/>
    <m/>
    <m/>
    <n v="7151872"/>
    <m/>
    <n v="7151872"/>
    <n v="7294909"/>
    <m/>
    <n v="7294909"/>
    <n v="15250683"/>
    <n v="15393720"/>
    <m/>
    <m/>
    <m/>
    <m/>
    <n v="0"/>
    <m/>
    <m/>
    <n v="0"/>
    <m/>
    <m/>
    <m/>
    <m/>
    <m/>
    <m/>
    <n v="15250683"/>
    <n v="15393720"/>
  </r>
  <r>
    <x v="15"/>
    <x v="0"/>
    <s v="Eastern West Virginia Community &amp; Technical College"/>
    <m/>
    <n v="438708"/>
    <x v="8"/>
    <n v="2179912"/>
    <n v="2179912"/>
    <m/>
    <m/>
    <m/>
    <m/>
    <n v="1103016"/>
    <m/>
    <n v="1103016"/>
    <n v="1378770"/>
    <m/>
    <n v="1378770"/>
    <n v="3282928"/>
    <n v="3558682"/>
    <m/>
    <m/>
    <m/>
    <m/>
    <n v="0"/>
    <m/>
    <m/>
    <n v="0"/>
    <m/>
    <m/>
    <m/>
    <m/>
    <m/>
    <m/>
    <n v="3282928"/>
    <n v="3558682"/>
  </r>
  <r>
    <x v="15"/>
    <x v="8"/>
    <s v="Special Line items for education operations"/>
    <m/>
    <n v="438708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Mountwest Community &amp; Technical College"/>
    <m/>
    <n v="444954"/>
    <x v="8"/>
    <n v="6489307"/>
    <n v="6489307"/>
    <m/>
    <m/>
    <m/>
    <m/>
    <n v="6695294"/>
    <n v="76562"/>
    <n v="6771856"/>
    <n v="7162955"/>
    <n v="76159"/>
    <n v="7239114"/>
    <n v="13184601"/>
    <n v="13652262"/>
    <m/>
    <m/>
    <m/>
    <m/>
    <n v="0"/>
    <m/>
    <m/>
    <n v="0"/>
    <m/>
    <m/>
    <m/>
    <m/>
    <m/>
    <m/>
    <n v="13184601"/>
    <n v="13652262"/>
  </r>
  <r>
    <x v="15"/>
    <x v="8"/>
    <s v="Special Line items for education operations"/>
    <m/>
    <n v="444954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Southern West Virginia Community &amp; Technical College "/>
    <m/>
    <n v="237817"/>
    <x v="8"/>
    <n v="8241823"/>
    <n v="8241823"/>
    <m/>
    <m/>
    <m/>
    <m/>
    <n v="5529676"/>
    <m/>
    <n v="5529676"/>
    <n v="5651329"/>
    <m/>
    <n v="5651329"/>
    <n v="13771499"/>
    <n v="13893152"/>
    <m/>
    <m/>
    <m/>
    <m/>
    <n v="0"/>
    <m/>
    <m/>
    <n v="0"/>
    <m/>
    <m/>
    <m/>
    <m/>
    <m/>
    <m/>
    <n v="13771499"/>
    <n v="13893152"/>
  </r>
  <r>
    <x v="15"/>
    <x v="8"/>
    <s v="Special Line items for education operations"/>
    <m/>
    <n v="237817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0"/>
    <s v="West Virginia Northern Community College"/>
    <m/>
    <n v="238014"/>
    <x v="8"/>
    <n v="7285825"/>
    <n v="7285825"/>
    <m/>
    <m/>
    <m/>
    <m/>
    <n v="4374727"/>
    <m/>
    <n v="4374727"/>
    <n v="4457847"/>
    <m/>
    <n v="4457847"/>
    <n v="11660552"/>
    <n v="11743672"/>
    <m/>
    <m/>
    <m/>
    <m/>
    <n v="0"/>
    <m/>
    <m/>
    <n v="0"/>
    <m/>
    <m/>
    <m/>
    <m/>
    <m/>
    <m/>
    <n v="11660552"/>
    <n v="11743672"/>
  </r>
  <r>
    <x v="15"/>
    <x v="8"/>
    <s v="Special Line items for education operations"/>
    <m/>
    <n v="238014"/>
    <x v="8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8"/>
    <s v="West Virginia School of Osteopathic Medicine"/>
    <m/>
    <n v="237880"/>
    <x v="11"/>
    <m/>
    <m/>
    <m/>
    <m/>
    <m/>
    <m/>
    <m/>
    <m/>
    <n v="0"/>
    <m/>
    <m/>
    <n v="0"/>
    <n v="0"/>
    <n v="0"/>
    <m/>
    <m/>
    <m/>
    <m/>
    <n v="0"/>
    <m/>
    <m/>
    <n v="0"/>
    <n v="8879296"/>
    <n v="8879296"/>
    <n v="36654489"/>
    <m/>
    <n v="36654489"/>
    <m/>
    <n v="45533785"/>
    <n v="45533785"/>
  </r>
  <r>
    <x v="15"/>
    <x v="8"/>
    <s v="Special Line items for education operations"/>
    <m/>
    <n v="237880"/>
    <x v="11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8"/>
    <s v="BRIM insurance subsidy"/>
    <m/>
    <n v="237880"/>
    <x v="11"/>
    <m/>
    <m/>
    <m/>
    <m/>
    <m/>
    <m/>
    <m/>
    <m/>
    <n v="0"/>
    <m/>
    <m/>
    <n v="0"/>
    <n v="0"/>
    <n v="0"/>
    <m/>
    <m/>
    <m/>
    <m/>
    <n v="0"/>
    <m/>
    <m/>
    <n v="0"/>
    <n v="153405"/>
    <n v="153405"/>
    <m/>
    <m/>
    <m/>
    <m/>
    <n v="153405"/>
    <n v="153405"/>
  </r>
  <r>
    <x v="15"/>
    <x v="10"/>
    <s v="Statewide Special-Purpos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44"/>
    <s v="Community or public service uni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44"/>
    <s v="Rural Health Initiative"/>
    <m/>
    <m/>
    <x v="12"/>
    <m/>
    <m/>
    <m/>
    <m/>
    <m/>
    <m/>
    <m/>
    <m/>
    <n v="0"/>
    <m/>
    <m/>
    <n v="0"/>
    <n v="0"/>
    <n v="0"/>
    <n v="2399141"/>
    <n v="2399141"/>
    <m/>
    <m/>
    <n v="0"/>
    <m/>
    <m/>
    <n v="0"/>
    <m/>
    <m/>
    <m/>
    <m/>
    <m/>
    <m/>
    <n v="2399141"/>
    <n v="2399141"/>
  </r>
  <r>
    <x v="15"/>
    <x v="44"/>
    <s v="RHI Program and Site Support - Gradutate Medical Education Fiscal Oversight"/>
    <m/>
    <m/>
    <x v="12"/>
    <m/>
    <m/>
    <m/>
    <m/>
    <m/>
    <m/>
    <m/>
    <m/>
    <n v="0"/>
    <m/>
    <m/>
    <n v="0"/>
    <n v="0"/>
    <n v="0"/>
    <n v="88913"/>
    <n v="88913"/>
    <m/>
    <m/>
    <n v="0"/>
    <m/>
    <m/>
    <n v="0"/>
    <m/>
    <m/>
    <m/>
    <m/>
    <m/>
    <m/>
    <n v="88913"/>
    <n v="88913"/>
  </r>
  <r>
    <x v="15"/>
    <x v="44"/>
    <s v="RHI Program and Site Support - District Consortia"/>
    <m/>
    <m/>
    <x v="12"/>
    <m/>
    <m/>
    <m/>
    <m/>
    <m/>
    <m/>
    <m/>
    <m/>
    <n v="0"/>
    <m/>
    <m/>
    <n v="0"/>
    <n v="0"/>
    <n v="0"/>
    <n v="2153048"/>
    <n v="2233048"/>
    <m/>
    <m/>
    <n v="0"/>
    <m/>
    <m/>
    <n v="0"/>
    <m/>
    <m/>
    <m/>
    <m/>
    <m/>
    <m/>
    <n v="2153048"/>
    <n v="2233048"/>
  </r>
  <r>
    <x v="15"/>
    <x v="45"/>
    <s v="Vice Chancellor for Health Sciences/Rural Health Program Support"/>
    <m/>
    <m/>
    <x v="12"/>
    <m/>
    <m/>
    <m/>
    <m/>
    <m/>
    <m/>
    <m/>
    <m/>
    <n v="0"/>
    <m/>
    <m/>
    <n v="0"/>
    <n v="0"/>
    <n v="0"/>
    <n v="234086"/>
    <n v="234086"/>
    <m/>
    <m/>
    <n v="0"/>
    <m/>
    <m/>
    <n v="0"/>
    <m/>
    <m/>
    <m/>
    <m/>
    <m/>
    <m/>
    <n v="234086"/>
    <n v="234086"/>
  </r>
  <r>
    <x v="15"/>
    <x v="13"/>
    <s v="Educational special purpose funds — all other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3"/>
    <s v="College Transition Program"/>
    <m/>
    <m/>
    <x v="12"/>
    <m/>
    <m/>
    <n v="278222"/>
    <n v="278222"/>
    <m/>
    <m/>
    <m/>
    <m/>
    <n v="0"/>
    <m/>
    <m/>
    <n v="0"/>
    <n v="278222"/>
    <n v="278222"/>
    <m/>
    <m/>
    <m/>
    <m/>
    <n v="0"/>
    <m/>
    <m/>
    <n v="0"/>
    <m/>
    <m/>
    <m/>
    <m/>
    <m/>
    <m/>
    <n v="278222"/>
    <n v="278222"/>
  </r>
  <r>
    <x v="15"/>
    <x v="13"/>
    <s v="Transit Training Partnership"/>
    <m/>
    <m/>
    <x v="12"/>
    <m/>
    <m/>
    <m/>
    <m/>
    <m/>
    <m/>
    <m/>
    <m/>
    <n v="0"/>
    <m/>
    <m/>
    <n v="0"/>
    <n v="0"/>
    <n v="0"/>
    <n v="34293"/>
    <n v="34293"/>
    <m/>
    <m/>
    <n v="0"/>
    <m/>
    <m/>
    <n v="0"/>
    <m/>
    <m/>
    <m/>
    <m/>
    <m/>
    <m/>
    <n v="34293"/>
    <n v="34293"/>
  </r>
  <r>
    <x v="15"/>
    <x v="13"/>
    <s v="WV Advanced Workforce Development &amp; Technical  Programs"/>
    <m/>
    <m/>
    <x v="12"/>
    <m/>
    <m/>
    <m/>
    <m/>
    <m/>
    <m/>
    <m/>
    <m/>
    <n v="0"/>
    <m/>
    <m/>
    <n v="0"/>
    <n v="0"/>
    <n v="0"/>
    <n v="7706620"/>
    <n v="5206620"/>
    <m/>
    <m/>
    <n v="0"/>
    <m/>
    <m/>
    <n v="0"/>
    <m/>
    <m/>
    <m/>
    <m/>
    <m/>
    <m/>
    <n v="7706620"/>
    <n v="5206620"/>
  </r>
  <r>
    <x v="16"/>
    <x v="13"/>
    <s v="Higher Education System Initiatives"/>
    <m/>
    <m/>
    <x v="12"/>
    <m/>
    <m/>
    <m/>
    <m/>
    <m/>
    <m/>
    <m/>
    <m/>
    <n v="0"/>
    <m/>
    <m/>
    <n v="0"/>
    <n v="0"/>
    <n v="0"/>
    <n v="1630000"/>
    <n v="1630000"/>
    <m/>
    <m/>
    <n v="0"/>
    <m/>
    <m/>
    <n v="0"/>
    <m/>
    <m/>
    <m/>
    <m/>
    <m/>
    <m/>
    <n v="1630000"/>
    <n v="1630000"/>
  </r>
  <r>
    <x v="15"/>
    <x v="13"/>
    <s v="Mental Health Provider Loan Repayment"/>
    <m/>
    <m/>
    <x v="12"/>
    <m/>
    <m/>
    <m/>
    <m/>
    <m/>
    <m/>
    <m/>
    <m/>
    <n v="0"/>
    <m/>
    <m/>
    <n v="0"/>
    <n v="0"/>
    <n v="0"/>
    <n v="0"/>
    <n v="330000"/>
    <m/>
    <m/>
    <n v="0"/>
    <m/>
    <m/>
    <n v="0"/>
    <m/>
    <m/>
    <m/>
    <m/>
    <m/>
    <m/>
    <n v="0"/>
    <n v="330000"/>
  </r>
  <r>
    <x v="15"/>
    <x v="14"/>
    <s v="Statewide System Operation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5"/>
    <s v="Colleges and universitie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5"/>
    <s v="Higher Education Policy Commission"/>
    <m/>
    <m/>
    <x v="12"/>
    <m/>
    <m/>
    <m/>
    <m/>
    <m/>
    <m/>
    <m/>
    <m/>
    <n v="0"/>
    <m/>
    <m/>
    <n v="0"/>
    <n v="0"/>
    <n v="0"/>
    <n v="5600372"/>
    <n v="5601831"/>
    <m/>
    <m/>
    <n v="0"/>
    <m/>
    <m/>
    <n v="0"/>
    <m/>
    <m/>
    <m/>
    <m/>
    <m/>
    <m/>
    <n v="5600372"/>
    <n v="5601831"/>
  </r>
  <r>
    <x v="15"/>
    <x v="15"/>
    <s v="WV Network for Education Telecommunications Computer Center"/>
    <m/>
    <m/>
    <x v="12"/>
    <m/>
    <m/>
    <m/>
    <m/>
    <m/>
    <m/>
    <m/>
    <m/>
    <n v="0"/>
    <m/>
    <m/>
    <n v="0"/>
    <n v="0"/>
    <n v="0"/>
    <n v="1747826"/>
    <n v="1747826"/>
    <m/>
    <m/>
    <n v="0"/>
    <m/>
    <m/>
    <n v="0"/>
    <m/>
    <m/>
    <m/>
    <m/>
    <m/>
    <m/>
    <n v="1747826"/>
    <n v="1747826"/>
  </r>
  <r>
    <x v="15"/>
    <x v="16"/>
    <s v="Two-year system(s), if any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6"/>
    <s v="WV Council for Community &amp; Technical Education"/>
    <m/>
    <m/>
    <x v="12"/>
    <m/>
    <m/>
    <m/>
    <m/>
    <m/>
    <m/>
    <m/>
    <m/>
    <n v="0"/>
    <m/>
    <m/>
    <n v="0"/>
    <n v="0"/>
    <n v="0"/>
    <n v="738955"/>
    <n v="3238955"/>
    <m/>
    <m/>
    <n v="0"/>
    <m/>
    <m/>
    <n v="0"/>
    <m/>
    <m/>
    <m/>
    <m/>
    <m/>
    <m/>
    <n v="738955"/>
    <n v="3238955"/>
  </r>
  <r>
    <x v="15"/>
    <x v="17"/>
    <s v="National or regional associations, compacts or consortia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18"/>
    <s v="Adm. of Statewide Student Aid Progs. (incldng centralized guaranteed student loans)"/>
    <m/>
    <m/>
    <x v="12"/>
    <m/>
    <m/>
    <m/>
    <m/>
    <m/>
    <m/>
    <m/>
    <m/>
    <n v="0"/>
    <m/>
    <m/>
    <n v="0"/>
    <n v="0"/>
    <n v="0"/>
    <n v="1613870"/>
    <n v="1996881"/>
    <m/>
    <m/>
    <n v="0"/>
    <m/>
    <m/>
    <n v="0"/>
    <m/>
    <m/>
    <m/>
    <m/>
    <m/>
    <m/>
    <n v="1613870"/>
    <n v="1996881"/>
  </r>
  <r>
    <x v="15"/>
    <x v="19"/>
    <s v="State Support to Private Colleges Other Than Student Ai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9"/>
    <s v="Contract Education Program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0"/>
    <s v="Other contract education programs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5"/>
    <x v="20"/>
    <s v="Virginia Tech (Veterinary)"/>
    <m/>
    <m/>
    <x v="12"/>
    <m/>
    <m/>
    <m/>
    <m/>
    <m/>
    <m/>
    <m/>
    <m/>
    <n v="0"/>
    <m/>
    <m/>
    <n v="0"/>
    <n v="0"/>
    <n v="0"/>
    <n v="484971"/>
    <n v="494351"/>
    <m/>
    <m/>
    <n v="0"/>
    <m/>
    <m/>
    <n v="0"/>
    <m/>
    <m/>
    <m/>
    <m/>
    <m/>
    <m/>
    <n v="484971"/>
    <n v="494351"/>
  </r>
  <r>
    <x v="15"/>
    <x v="20"/>
    <s v="Mississippi State University (Veterinary)"/>
    <m/>
    <m/>
    <x v="12"/>
    <m/>
    <m/>
    <m/>
    <m/>
    <m/>
    <m/>
    <m/>
    <m/>
    <n v="0"/>
    <m/>
    <m/>
    <n v="0"/>
    <n v="0"/>
    <n v="0"/>
    <n v="565799"/>
    <n v="576743"/>
    <m/>
    <m/>
    <n v="0"/>
    <m/>
    <m/>
    <n v="0"/>
    <m/>
    <m/>
    <m/>
    <m/>
    <m/>
    <m/>
    <n v="565799"/>
    <n v="576743"/>
  </r>
  <r>
    <x v="15"/>
    <x v="20"/>
    <s v="University of Indiana (Optometry)"/>
    <m/>
    <m/>
    <x v="12"/>
    <m/>
    <m/>
    <m/>
    <m/>
    <m/>
    <m/>
    <m/>
    <m/>
    <n v="0"/>
    <m/>
    <m/>
    <n v="0"/>
    <n v="0"/>
    <n v="0"/>
    <n v="34870"/>
    <n v="59241"/>
    <m/>
    <m/>
    <n v="0"/>
    <m/>
    <m/>
    <n v="0"/>
    <m/>
    <m/>
    <m/>
    <m/>
    <m/>
    <m/>
    <n v="34870"/>
    <n v="59241"/>
  </r>
  <r>
    <x v="15"/>
    <x v="20"/>
    <s v="Salus University (Optometry)"/>
    <m/>
    <m/>
    <x v="12"/>
    <m/>
    <m/>
    <m/>
    <m/>
    <m/>
    <m/>
    <m/>
    <m/>
    <n v="0"/>
    <m/>
    <m/>
    <n v="0"/>
    <n v="0"/>
    <n v="0"/>
    <n v="34870"/>
    <n v="11848"/>
    <m/>
    <m/>
    <n v="0"/>
    <m/>
    <m/>
    <n v="0"/>
    <m/>
    <m/>
    <m/>
    <m/>
    <m/>
    <m/>
    <n v="34870"/>
    <n v="11848"/>
  </r>
  <r>
    <x v="15"/>
    <x v="20"/>
    <s v="Southern College of Optometry"/>
    <m/>
    <m/>
    <x v="12"/>
    <m/>
    <m/>
    <m/>
    <m/>
    <m/>
    <m/>
    <m/>
    <m/>
    <n v="0"/>
    <m/>
    <m/>
    <n v="0"/>
    <n v="0"/>
    <n v="0"/>
    <n v="104610"/>
    <n v="82937"/>
    <m/>
    <m/>
    <n v="0"/>
    <m/>
    <m/>
    <n v="0"/>
    <m/>
    <m/>
    <m/>
    <m/>
    <m/>
    <m/>
    <n v="104610"/>
    <n v="82937"/>
  </r>
  <r>
    <x v="15"/>
    <x v="20"/>
    <s v="Kent State (Podiatric)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1"/>
    <s v="Statewide Student Financial Aid Programs Administered Off Campu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2"/>
    <s v="Available to public &amp;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2"/>
    <s v="PROMISE Scholarship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n v="43719455"/>
    <n v="43951048"/>
    <m/>
    <m/>
    <n v="0"/>
    <m/>
    <m/>
    <n v="0"/>
    <m/>
    <m/>
    <m/>
    <m/>
    <m/>
    <m/>
    <n v="43719455"/>
    <n v="43951048"/>
  </r>
  <r>
    <x v="15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n v="3175330"/>
    <n v="2832076"/>
    <m/>
    <m/>
    <n v="0"/>
    <m/>
    <m/>
    <n v="0"/>
    <m/>
    <m/>
    <m/>
    <m/>
    <m/>
    <m/>
    <n v="3175330"/>
    <n v="2832076"/>
  </r>
  <r>
    <x v="15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2"/>
    <s v="Higher Education Grant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2"/>
    <m/>
    <m/>
    <m/>
    <m/>
    <m/>
    <m/>
    <m/>
    <m/>
    <n v="0"/>
    <m/>
    <m/>
    <n v="0"/>
    <n v="0"/>
    <n v="0"/>
    <n v="38411129"/>
    <n v="35201850"/>
    <m/>
    <m/>
    <n v="0"/>
    <m/>
    <m/>
    <n v="0"/>
    <m/>
    <m/>
    <m/>
    <m/>
    <m/>
    <m/>
    <n v="38411129"/>
    <n v="35201850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9"/>
    <s v="Non need-based"/>
    <m/>
    <m/>
    <x v="12"/>
    <m/>
    <m/>
    <m/>
    <m/>
    <m/>
    <m/>
    <m/>
    <m/>
    <n v="0"/>
    <m/>
    <m/>
    <n v="0"/>
    <n v="0"/>
    <n v="0"/>
    <n v="1316469"/>
    <n v="4426340"/>
    <m/>
    <m/>
    <n v="0"/>
    <m/>
    <m/>
    <n v="0"/>
    <m/>
    <m/>
    <m/>
    <m/>
    <m/>
    <m/>
    <n v="1316469"/>
    <n v="4426340"/>
  </r>
  <r>
    <x v="15"/>
    <x v="22"/>
    <s v="SREB Minority Doctoral Fellows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n v="129604"/>
    <n v="129604"/>
    <m/>
    <m/>
    <n v="0"/>
    <m/>
    <m/>
    <n v="0"/>
    <m/>
    <m/>
    <m/>
    <m/>
    <m/>
    <m/>
    <n v="129604"/>
    <n v="129604"/>
  </r>
  <r>
    <x v="15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9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2"/>
    <s v="Underwood-Smith Teacher Scholarship Fun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2"/>
    <m/>
    <m/>
    <m/>
    <m/>
    <m/>
    <m/>
    <m/>
    <m/>
    <n v="0"/>
    <m/>
    <m/>
    <n v="0"/>
    <n v="0"/>
    <n v="0"/>
    <n v="628349"/>
    <n v="557361"/>
    <m/>
    <m/>
    <n v="0"/>
    <m/>
    <m/>
    <n v="0"/>
    <m/>
    <m/>
    <m/>
    <m/>
    <m/>
    <m/>
    <n v="628349"/>
    <n v="557361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9"/>
    <s v="Non need-based"/>
    <m/>
    <m/>
    <x v="12"/>
    <m/>
    <m/>
    <m/>
    <m/>
    <m/>
    <m/>
    <m/>
    <m/>
    <n v="0"/>
    <m/>
    <m/>
    <n v="0"/>
    <n v="0"/>
    <n v="0"/>
    <n v="0"/>
    <n v="70988"/>
    <m/>
    <m/>
    <n v="0"/>
    <m/>
    <m/>
    <n v="0"/>
    <m/>
    <m/>
    <m/>
    <m/>
    <m/>
    <m/>
    <n v="0"/>
    <n v="70988"/>
  </r>
  <r>
    <x v="15"/>
    <x v="22"/>
    <s v="WV Engineering Science Technology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2"/>
    <m/>
    <m/>
    <m/>
    <m/>
    <m/>
    <m/>
    <m/>
    <m/>
    <n v="0"/>
    <m/>
    <m/>
    <n v="0"/>
    <n v="0"/>
    <n v="0"/>
    <n v="424647"/>
    <n v="429653"/>
    <m/>
    <m/>
    <n v="0"/>
    <m/>
    <m/>
    <n v="0"/>
    <m/>
    <m/>
    <m/>
    <m/>
    <m/>
    <m/>
    <n v="424647"/>
    <n v="429653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9"/>
    <s v="Non need-based"/>
    <m/>
    <m/>
    <x v="12"/>
    <m/>
    <m/>
    <m/>
    <m/>
    <m/>
    <m/>
    <m/>
    <m/>
    <n v="0"/>
    <m/>
    <m/>
    <n v="0"/>
    <n v="0"/>
    <n v="0"/>
    <n v="28184"/>
    <n v="23178"/>
    <m/>
    <m/>
    <n v="0"/>
    <m/>
    <m/>
    <n v="0"/>
    <m/>
    <m/>
    <m/>
    <m/>
    <m/>
    <m/>
    <n v="28184"/>
    <n v="23178"/>
  </r>
  <r>
    <x v="15"/>
    <x v="22"/>
    <s v="Health Sciences Scholarship Fun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2"/>
    <m/>
    <m/>
    <m/>
    <m/>
    <m/>
    <m/>
    <m/>
    <m/>
    <n v="0"/>
    <m/>
    <m/>
    <n v="0"/>
    <n v="0"/>
    <n v="0"/>
    <n v="225527"/>
    <n v="225527"/>
    <m/>
    <m/>
    <n v="0"/>
    <m/>
    <m/>
    <n v="0"/>
    <m/>
    <m/>
    <m/>
    <m/>
    <m/>
    <m/>
    <n v="225527"/>
    <n v="225527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9"/>
    <s v="Non need-based"/>
    <m/>
    <m/>
    <x v="12"/>
    <m/>
    <m/>
    <m/>
    <m/>
    <m/>
    <m/>
    <m/>
    <m/>
    <n v="0"/>
    <m/>
    <m/>
    <n v="0"/>
    <n v="0"/>
    <n v="0"/>
    <n v="0"/>
    <n v="0"/>
    <m/>
    <m/>
    <n v="0"/>
    <m/>
    <m/>
    <n v="0"/>
    <m/>
    <m/>
    <m/>
    <m/>
    <m/>
    <m/>
    <n v="0"/>
    <n v="0"/>
  </r>
  <r>
    <x v="15"/>
    <x v="22"/>
    <s v="HEAPS Grant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n v="4325749"/>
    <n v="4134090"/>
    <m/>
    <m/>
    <n v="0"/>
    <m/>
    <m/>
    <n v="0"/>
    <m/>
    <m/>
    <m/>
    <m/>
    <m/>
    <m/>
    <n v="4325749"/>
    <n v="4134090"/>
  </r>
  <r>
    <x v="15"/>
    <x v="27"/>
    <s v="Non 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n v="572590"/>
    <n v="592307"/>
    <m/>
    <m/>
    <n v="0"/>
    <m/>
    <m/>
    <n v="0"/>
    <m/>
    <m/>
    <m/>
    <m/>
    <m/>
    <m/>
    <n v="572590"/>
    <n v="592307"/>
  </r>
  <r>
    <x v="15"/>
    <x v="22"/>
    <s v="WV Invests Grant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2"/>
    <m/>
    <m/>
    <m/>
    <m/>
    <m/>
    <m/>
    <m/>
    <m/>
    <n v="0"/>
    <m/>
    <m/>
    <n v="0"/>
    <n v="0"/>
    <n v="0"/>
    <n v="10034748"/>
    <n v="7034748"/>
    <m/>
    <m/>
    <n v="0"/>
    <m/>
    <m/>
    <n v="0"/>
    <m/>
    <m/>
    <m/>
    <m/>
    <m/>
    <m/>
    <n v="10034748"/>
    <n v="7034748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2"/>
    <s v="Health Professionals' Student Loan Program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5"/>
    <s v="Amount to public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6"/>
    <s v="Need-based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27"/>
    <s v="Non need-based"/>
    <m/>
    <m/>
    <x v="12"/>
    <m/>
    <m/>
    <m/>
    <m/>
    <m/>
    <m/>
    <m/>
    <m/>
    <n v="0"/>
    <m/>
    <m/>
    <n v="0"/>
    <n v="0"/>
    <n v="0"/>
    <n v="182000"/>
    <n v="381818"/>
    <m/>
    <m/>
    <n v="0"/>
    <m/>
    <m/>
    <n v="0"/>
    <m/>
    <m/>
    <m/>
    <m/>
    <m/>
    <m/>
    <n v="182000"/>
    <n v="381818"/>
  </r>
  <r>
    <x v="15"/>
    <x v="28"/>
    <s v="Amount to private sector students"/>
    <m/>
    <m/>
    <x v="12"/>
    <m/>
    <m/>
    <m/>
    <m/>
    <m/>
    <m/>
    <m/>
    <m/>
    <n v="0"/>
    <m/>
    <m/>
    <n v="0"/>
    <n v="0"/>
    <n v="0"/>
    <m/>
    <m/>
    <m/>
    <m/>
    <n v="0"/>
    <m/>
    <m/>
    <n v="0"/>
    <m/>
    <m/>
    <m/>
    <m/>
    <m/>
    <m/>
    <n v="0"/>
    <n v="0"/>
  </r>
  <r>
    <x v="15"/>
    <x v="30"/>
    <s v="Need-based"/>
    <m/>
    <m/>
    <x v="12"/>
    <m/>
    <m/>
    <m/>
    <m/>
    <m/>
    <m/>
    <m/>
    <m/>
    <n v="0"/>
    <m/>
    <m/>
    <n v="0"/>
    <n v="0"/>
    <n v="0"/>
    <m/>
    <n v="18182"/>
    <m/>
    <m/>
    <n v="0"/>
    <m/>
    <m/>
    <n v="0"/>
    <m/>
    <m/>
    <m/>
    <m/>
    <m/>
    <m/>
    <n v="0"/>
    <n v="18182"/>
  </r>
  <r>
    <x v="15"/>
    <x v="0"/>
    <s v="Academy of Careers and Technology"/>
    <m/>
    <n v="237729"/>
    <x v="16"/>
    <n v="766458.64"/>
    <n v="779576"/>
    <m/>
    <m/>
    <m/>
    <m/>
    <m/>
    <m/>
    <n v="0"/>
    <m/>
    <m/>
    <n v="0"/>
    <n v="766458.64"/>
    <n v="779576"/>
    <m/>
    <m/>
    <m/>
    <m/>
    <n v="0"/>
    <m/>
    <m/>
    <n v="0"/>
    <m/>
    <m/>
    <m/>
    <m/>
    <m/>
    <m/>
    <n v="766458.64"/>
    <n v="779576"/>
  </r>
  <r>
    <x v="15"/>
    <x v="0"/>
    <s v="Ben Franklin Career Center"/>
    <m/>
    <n v="237172"/>
    <x v="16"/>
    <n v="267221.96000000002"/>
    <n v="271764"/>
    <m/>
    <m/>
    <m/>
    <m/>
    <m/>
    <m/>
    <n v="0"/>
    <m/>
    <m/>
    <n v="0"/>
    <n v="267221.96000000002"/>
    <n v="271764"/>
    <m/>
    <m/>
    <m/>
    <m/>
    <n v="0"/>
    <m/>
    <m/>
    <n v="0"/>
    <m/>
    <m/>
    <m/>
    <m/>
    <m/>
    <m/>
    <n v="267221.96000000002"/>
    <n v="271764"/>
  </r>
  <r>
    <x v="15"/>
    <x v="0"/>
    <s v="Boone Career and Technical Center"/>
    <m/>
    <n v="237224"/>
    <x v="16"/>
    <n v="375770.68"/>
    <n v="382039"/>
    <m/>
    <m/>
    <m/>
    <m/>
    <m/>
    <m/>
    <n v="0"/>
    <m/>
    <m/>
    <n v="0"/>
    <n v="375770.68"/>
    <n v="382039"/>
    <m/>
    <m/>
    <m/>
    <m/>
    <n v="0"/>
    <m/>
    <m/>
    <n v="0"/>
    <m/>
    <m/>
    <m/>
    <m/>
    <m/>
    <m/>
    <n v="375770.68"/>
    <n v="382039"/>
  </r>
  <r>
    <x v="15"/>
    <x v="0"/>
    <s v="Cabell County Vocational-Technical Center"/>
    <m/>
    <n v="237242"/>
    <x v="16"/>
    <n v="599894.56000000006"/>
    <n v="610166"/>
    <m/>
    <m/>
    <m/>
    <m/>
    <m/>
    <m/>
    <n v="0"/>
    <m/>
    <m/>
    <n v="0"/>
    <n v="599894.56000000006"/>
    <n v="610166"/>
    <m/>
    <m/>
    <m/>
    <m/>
    <n v="0"/>
    <m/>
    <m/>
    <n v="0"/>
    <m/>
    <m/>
    <m/>
    <m/>
    <m/>
    <m/>
    <n v="599894.56000000006"/>
    <n v="610166"/>
  </r>
  <r>
    <x v="15"/>
    <x v="0"/>
    <s v="Carver Career and Technical Education Center"/>
    <m/>
    <n v="430795"/>
    <x v="16"/>
    <n v="712412.6"/>
    <n v="864013"/>
    <m/>
    <m/>
    <m/>
    <m/>
    <m/>
    <m/>
    <n v="0"/>
    <m/>
    <m/>
    <n v="0"/>
    <n v="712412.6"/>
    <n v="864013"/>
    <m/>
    <m/>
    <m/>
    <m/>
    <n v="0"/>
    <m/>
    <m/>
    <n v="0"/>
    <m/>
    <m/>
    <m/>
    <m/>
    <m/>
    <m/>
    <n v="712412.6"/>
    <n v="864013"/>
  </r>
  <r>
    <x v="15"/>
    <x v="0"/>
    <s v="Fayette Institute of Technology"/>
    <m/>
    <n v="413176"/>
    <x v="16"/>
    <n v="439450.24"/>
    <n v="446973"/>
    <m/>
    <m/>
    <m/>
    <m/>
    <m/>
    <m/>
    <n v="0"/>
    <m/>
    <m/>
    <n v="0"/>
    <n v="439450.24"/>
    <n v="446973"/>
    <m/>
    <m/>
    <m/>
    <m/>
    <n v="0"/>
    <m/>
    <m/>
    <n v="0"/>
    <m/>
    <m/>
    <m/>
    <m/>
    <m/>
    <m/>
    <n v="439450.24"/>
    <n v="446973"/>
  </r>
  <r>
    <x v="15"/>
    <x v="0"/>
    <s v="Fred W. Eberle Technical Center "/>
    <m/>
    <n v="237844"/>
    <x v="16"/>
    <n v="438632.44"/>
    <n v="446116"/>
    <m/>
    <m/>
    <m/>
    <m/>
    <m/>
    <m/>
    <n v="0"/>
    <m/>
    <m/>
    <n v="0"/>
    <n v="438632.44"/>
    <n v="446116"/>
    <m/>
    <m/>
    <m/>
    <m/>
    <n v="0"/>
    <m/>
    <m/>
    <n v="0"/>
    <m/>
    <m/>
    <m/>
    <m/>
    <m/>
    <m/>
    <n v="438632.44"/>
    <n v="446116"/>
  </r>
  <r>
    <x v="15"/>
    <x v="0"/>
    <s v="Garnet Career Center "/>
    <m/>
    <n v="431169"/>
    <x v="16"/>
    <n v="618261.24"/>
    <n v="628839"/>
    <m/>
    <m/>
    <m/>
    <m/>
    <m/>
    <m/>
    <n v="0"/>
    <m/>
    <m/>
    <n v="0"/>
    <n v="618261.24"/>
    <n v="628839"/>
    <m/>
    <m/>
    <m/>
    <m/>
    <n v="0"/>
    <m/>
    <m/>
    <n v="0"/>
    <m/>
    <m/>
    <m/>
    <m/>
    <m/>
    <m/>
    <n v="618261.24"/>
    <n v="628839"/>
  </r>
  <r>
    <x v="15"/>
    <x v="0"/>
    <s v="James Rumsey Technical Institute"/>
    <m/>
    <n v="237473"/>
    <x v="16"/>
    <n v="997666.08"/>
    <n v="1014725"/>
    <m/>
    <m/>
    <m/>
    <m/>
    <m/>
    <m/>
    <n v="0"/>
    <m/>
    <m/>
    <n v="0"/>
    <n v="997666.08"/>
    <n v="1014725"/>
    <m/>
    <m/>
    <m/>
    <m/>
    <n v="0"/>
    <m/>
    <m/>
    <n v="0"/>
    <m/>
    <m/>
    <m/>
    <m/>
    <m/>
    <m/>
    <n v="997666.08"/>
    <n v="1014725"/>
  </r>
  <r>
    <x v="15"/>
    <x v="0"/>
    <s v="John D. Rockefeller IV Career Center"/>
    <m/>
    <n v="446349"/>
    <x v="16"/>
    <n v="406016.32"/>
    <n v="412899"/>
    <m/>
    <m/>
    <m/>
    <m/>
    <m/>
    <m/>
    <n v="0"/>
    <m/>
    <m/>
    <n v="0"/>
    <n v="406016.32"/>
    <n v="412899"/>
    <m/>
    <m/>
    <m/>
    <m/>
    <n v="0"/>
    <m/>
    <m/>
    <n v="0"/>
    <m/>
    <m/>
    <m/>
    <m/>
    <m/>
    <m/>
    <n v="406016.32"/>
    <n v="412899"/>
  </r>
  <r>
    <x v="15"/>
    <x v="0"/>
    <s v="Marion County Technical Center"/>
    <m/>
    <n v="237516"/>
    <x v="16"/>
    <n v="60000"/>
    <n v="55660"/>
    <m/>
    <m/>
    <m/>
    <m/>
    <m/>
    <m/>
    <n v="0"/>
    <m/>
    <m/>
    <n v="0"/>
    <n v="60000"/>
    <n v="55660"/>
    <m/>
    <m/>
    <m/>
    <m/>
    <n v="0"/>
    <m/>
    <m/>
    <n v="0"/>
    <m/>
    <m/>
    <m/>
    <m/>
    <m/>
    <m/>
    <n v="60000"/>
    <n v="55660"/>
  </r>
  <r>
    <x v="15"/>
    <x v="0"/>
    <s v="McDowell County Career and Technology Center"/>
    <m/>
    <n v="237534"/>
    <x v="16"/>
    <n v="177075.76"/>
    <n v="179949"/>
    <m/>
    <m/>
    <m/>
    <m/>
    <m/>
    <m/>
    <n v="0"/>
    <m/>
    <m/>
    <n v="0"/>
    <n v="177075.76"/>
    <n v="179949"/>
    <m/>
    <m/>
    <m/>
    <m/>
    <n v="0"/>
    <m/>
    <m/>
    <n v="0"/>
    <m/>
    <m/>
    <m/>
    <m/>
    <m/>
    <m/>
    <n v="177075.76"/>
    <n v="179949"/>
  </r>
  <r>
    <x v="15"/>
    <x v="0"/>
    <s v="Mercer County Vocational-Technical Center"/>
    <m/>
    <n v="237543"/>
    <x v="16"/>
    <n v="447194.12"/>
    <n v="454836"/>
    <m/>
    <m/>
    <m/>
    <m/>
    <m/>
    <m/>
    <n v="0"/>
    <m/>
    <m/>
    <n v="0"/>
    <n v="447194.12"/>
    <n v="454836"/>
    <m/>
    <m/>
    <m/>
    <m/>
    <n v="0"/>
    <m/>
    <m/>
    <n v="0"/>
    <m/>
    <m/>
    <m/>
    <m/>
    <m/>
    <m/>
    <n v="447194.12"/>
    <n v="454836"/>
  </r>
  <r>
    <x v="15"/>
    <x v="0"/>
    <s v="Mineral County Technical Center"/>
    <m/>
    <n v="368647"/>
    <x v="16"/>
    <n v="197510.12"/>
    <n v="200854"/>
    <m/>
    <m/>
    <m/>
    <m/>
    <m/>
    <m/>
    <n v="0"/>
    <m/>
    <m/>
    <n v="0"/>
    <n v="197510.12"/>
    <n v="200854"/>
    <m/>
    <m/>
    <m/>
    <m/>
    <n v="0"/>
    <m/>
    <m/>
    <n v="0"/>
    <m/>
    <m/>
    <m/>
    <m/>
    <m/>
    <m/>
    <n v="197510.12"/>
    <n v="200854"/>
  </r>
  <r>
    <x v="15"/>
    <x v="0"/>
    <s v="Monongalia County Technical Education Center "/>
    <m/>
    <n v="237561"/>
    <x v="16"/>
    <n v="706177.6"/>
    <n v="718279"/>
    <m/>
    <m/>
    <m/>
    <m/>
    <m/>
    <m/>
    <n v="0"/>
    <m/>
    <m/>
    <n v="0"/>
    <n v="706177.6"/>
    <n v="718279"/>
    <m/>
    <m/>
    <m/>
    <m/>
    <n v="0"/>
    <m/>
    <m/>
    <n v="0"/>
    <m/>
    <m/>
    <m/>
    <m/>
    <m/>
    <m/>
    <n v="706177.6"/>
    <n v="718279"/>
  </r>
  <r>
    <x v="15"/>
    <x v="0"/>
    <s v="Putnam County Vocational-Technical Center"/>
    <m/>
    <n v="419420"/>
    <x v="16"/>
    <n v="398210.16"/>
    <n v="412020"/>
    <m/>
    <m/>
    <m/>
    <m/>
    <m/>
    <m/>
    <n v="0"/>
    <m/>
    <m/>
    <n v="0"/>
    <n v="398210.16"/>
    <n v="412020"/>
    <m/>
    <m/>
    <m/>
    <m/>
    <n v="0"/>
    <m/>
    <m/>
    <n v="0"/>
    <m/>
    <m/>
    <m/>
    <m/>
    <m/>
    <m/>
    <n v="398210.16"/>
    <n v="412020"/>
  </r>
  <r>
    <x v="15"/>
    <x v="0"/>
    <s v="Ralph R. Willis Vocational-Technical Center"/>
    <m/>
    <n v="237491"/>
    <x v="16"/>
    <n v="190259.12"/>
    <n v="193468"/>
    <m/>
    <m/>
    <m/>
    <m/>
    <m/>
    <m/>
    <n v="0"/>
    <m/>
    <m/>
    <n v="0"/>
    <n v="190259.12"/>
    <n v="193468"/>
    <m/>
    <m/>
    <m/>
    <m/>
    <n v="0"/>
    <m/>
    <m/>
    <n v="0"/>
    <m/>
    <m/>
    <m/>
    <m/>
    <m/>
    <m/>
    <n v="190259.12"/>
    <n v="193468"/>
  </r>
  <r>
    <x v="15"/>
    <x v="0"/>
    <s v="Roane-Jackson Technical Center"/>
    <m/>
    <n v="364575"/>
    <x v="16"/>
    <n v="258681.76"/>
    <n v="262987"/>
    <m/>
    <m/>
    <m/>
    <m/>
    <m/>
    <m/>
    <n v="0"/>
    <m/>
    <m/>
    <n v="0"/>
    <n v="258681.76"/>
    <n v="262987"/>
    <m/>
    <m/>
    <m/>
    <m/>
    <n v="0"/>
    <m/>
    <m/>
    <n v="0"/>
    <m/>
    <m/>
    <m/>
    <m/>
    <m/>
    <m/>
    <n v="258681.76"/>
    <n v="262987"/>
  </r>
  <r>
    <x v="15"/>
    <x v="0"/>
    <s v="South Branch Career &amp; Technical Center"/>
    <m/>
    <n v="441894"/>
    <x v="16"/>
    <n v="200530.64"/>
    <n v="232431"/>
    <m/>
    <m/>
    <m/>
    <m/>
    <m/>
    <m/>
    <n v="0"/>
    <m/>
    <m/>
    <n v="0"/>
    <n v="200530.64"/>
    <n v="232431"/>
    <m/>
    <m/>
    <m/>
    <m/>
    <n v="0"/>
    <m/>
    <m/>
    <n v="0"/>
    <m/>
    <m/>
    <m/>
    <m/>
    <m/>
    <m/>
    <n v="200530.64"/>
    <n v="232431"/>
  </r>
  <r>
    <x v="15"/>
    <x v="0"/>
    <s v="United Technical Center"/>
    <m/>
    <n v="419031"/>
    <x v="16"/>
    <n v="351401.8"/>
    <n v="357388"/>
    <m/>
    <m/>
    <m/>
    <m/>
    <m/>
    <m/>
    <n v="0"/>
    <m/>
    <m/>
    <n v="0"/>
    <n v="351401.8"/>
    <n v="357388"/>
    <m/>
    <m/>
    <m/>
    <m/>
    <n v="0"/>
    <m/>
    <m/>
    <n v="0"/>
    <m/>
    <m/>
    <m/>
    <m/>
    <m/>
    <m/>
    <n v="351401.8"/>
    <n v="357388"/>
  </r>
  <r>
    <x v="15"/>
    <x v="0"/>
    <s v="Wyoming County Career &amp; Technical Center"/>
    <m/>
    <s v="N/A"/>
    <x v="16"/>
    <n v="172497.8"/>
    <n v="175421"/>
    <m/>
    <m/>
    <m/>
    <m/>
    <m/>
    <m/>
    <n v="0"/>
    <m/>
    <m/>
    <n v="0"/>
    <n v="172497.8"/>
    <n v="175421"/>
    <m/>
    <m/>
    <m/>
    <m/>
    <n v="0"/>
    <m/>
    <m/>
    <n v="0"/>
    <m/>
    <m/>
    <m/>
    <m/>
    <m/>
    <m/>
    <n v="172497.8"/>
    <n v="175421"/>
  </r>
  <r>
    <x v="15"/>
    <x v="0"/>
    <s v="Greenbrier School of Practical Nursing"/>
    <m/>
    <s v="N/A"/>
    <x v="11"/>
    <n v="195021.8"/>
    <n v="202773"/>
    <m/>
    <m/>
    <m/>
    <m/>
    <m/>
    <m/>
    <n v="0"/>
    <m/>
    <m/>
    <n v="0"/>
    <n v="195021.8"/>
    <n v="202773"/>
    <m/>
    <m/>
    <m/>
    <m/>
    <n v="0"/>
    <m/>
    <m/>
    <n v="0"/>
    <m/>
    <m/>
    <m/>
    <m/>
    <m/>
    <m/>
    <n v="195021.8"/>
    <n v="202773"/>
  </r>
  <r>
    <x v="15"/>
    <x v="0"/>
    <s v="Mingo County Extended Learning Center"/>
    <m/>
    <n v="486202"/>
    <x v="11"/>
    <n v="272079.35999999999"/>
    <n v="276702"/>
    <m/>
    <m/>
    <m/>
    <m/>
    <m/>
    <m/>
    <n v="0"/>
    <m/>
    <m/>
    <n v="0"/>
    <n v="272079.35999999999"/>
    <n v="276702"/>
    <m/>
    <m/>
    <m/>
    <m/>
    <n v="0"/>
    <m/>
    <m/>
    <n v="0"/>
    <m/>
    <m/>
    <m/>
    <m/>
    <m/>
    <m/>
    <n v="272079.35999999999"/>
    <n v="276702"/>
  </r>
  <r>
    <x v="15"/>
    <x v="0"/>
    <s v="Randolph County Career Technical Center"/>
    <m/>
    <n v="486406"/>
    <x v="11"/>
    <n v="196440.12"/>
    <n v="199769"/>
    <m/>
    <m/>
    <m/>
    <m/>
    <m/>
    <m/>
    <n v="0"/>
    <m/>
    <m/>
    <n v="0"/>
    <n v="196440.12"/>
    <n v="199769"/>
    <m/>
    <m/>
    <m/>
    <m/>
    <n v="0"/>
    <m/>
    <m/>
    <n v="0"/>
    <m/>
    <m/>
    <m/>
    <m/>
    <m/>
    <m/>
    <n v="196440.12"/>
    <n v="199769"/>
  </r>
  <r>
    <x v="15"/>
    <x v="0"/>
    <s v="Summers County School of Practical Nursing"/>
    <m/>
    <s v="N/A"/>
    <x v="11"/>
    <n v="166172.24"/>
    <n v="169979"/>
    <m/>
    <m/>
    <m/>
    <m/>
    <m/>
    <m/>
    <n v="0"/>
    <m/>
    <m/>
    <n v="0"/>
    <n v="166172.24"/>
    <n v="169979"/>
    <m/>
    <m/>
    <m/>
    <m/>
    <n v="0"/>
    <m/>
    <m/>
    <n v="0"/>
    <m/>
    <m/>
    <m/>
    <m/>
    <m/>
    <m/>
    <n v="166172.24"/>
    <n v="169979"/>
  </r>
  <r>
    <x v="15"/>
    <x v="0"/>
    <s v="Wood County School of Practical Nursing"/>
    <m/>
    <n v="238096"/>
    <x v="11"/>
    <n v="375964.36"/>
    <n v="382294"/>
    <m/>
    <m/>
    <m/>
    <m/>
    <m/>
    <m/>
    <n v="0"/>
    <m/>
    <m/>
    <n v="0"/>
    <n v="375964.36"/>
    <n v="382294"/>
    <m/>
    <m/>
    <m/>
    <m/>
    <n v="0"/>
    <m/>
    <m/>
    <n v="0"/>
    <m/>
    <m/>
    <m/>
    <m/>
    <m/>
    <m/>
    <n v="375964.36"/>
    <n v="3822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34684A-7B7B-4826-B49A-5766F5AA9CCD}" name="PivotTable1" cacheId="12" dataOnRows="1" applyNumberFormats="0" applyBorderFormats="0" applyFontFormats="0" applyPatternFormats="0" applyAlignmentFormats="0" applyWidthHeightFormats="1" dataCaption="Data" updatedVersion="8" minRefreshableVersion="3" useAutoFormatting="1" itemPrintTitles="1" createdVersion="6" indent="0" outline="1" outlineData="1" multipleFieldFilters="0" rowHeaderCaption="state">
  <location ref="A3:X668" firstHeaderRow="1" firstDataRow="3" firstDataCol="2"/>
  <pivotFields count="50">
    <pivotField axis="axisRow" outline="0" showAll="0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h="1" m="1" x="17"/>
      </items>
    </pivotField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17">
        <item x="0"/>
        <item x="1"/>
        <item x="2"/>
        <item x="3"/>
        <item x="4"/>
        <item x="5"/>
        <item x="14"/>
        <item x="6"/>
        <item x="7"/>
        <item x="8"/>
        <item x="15"/>
        <item x="9"/>
        <item x="10"/>
        <item x="16"/>
        <item x="11"/>
        <item x="12"/>
        <item x="13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3" showAll="0" defaultSubtotal="0"/>
    <pivotField dataField="1" showAll="0" defaultSubtotal="0"/>
    <pivotField dataField="1" showAll="0" defaultSubtotal="0"/>
    <pivotField dataField="1" showAll="0" defaultSubtotal="0"/>
    <pivotField dataField="1" numFmtId="3" showAll="0" defaultSubtotal="0"/>
    <pivotField dataField="1" numFmtId="3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3" showAll="0" defaultSubtotal="0"/>
    <pivotField dataField="1" showAll="0" defaultSubtotal="0"/>
    <pivotField dataField="1" showAll="0" defaultSubtotal="0"/>
    <pivotField dataField="1" numFmtId="3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dataField="1" showAll="0" defaultSubtotal="0"/>
    <pivotField showAll="0" defaultSubtotal="0"/>
    <pivotField numFmtId="3" showAll="0" defaultSubtotal="0"/>
    <pivotField numFmtId="3" showAll="0" defaultSubtotal="0"/>
    <pivotField axis="axisCol" showAll="0">
      <items count="7">
        <item n="Four-Year" x="3"/>
        <item n="Two-Year" x="4"/>
        <item n="Technical" x="5"/>
        <item n="Specialized" x="0"/>
        <item h="1" x="2"/>
        <item n="Other" x="1"/>
        <item t="default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0"/>
    <field x="-2"/>
  </rowFields>
  <rowItems count="663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  <i t="grand" i="15">
      <x/>
    </i>
    <i t="grand" i="16">
      <x/>
    </i>
    <i t="grand" i="17">
      <x/>
    </i>
    <i t="grand" i="18">
      <x/>
    </i>
    <i t="grand" i="19">
      <x/>
    </i>
    <i t="grand" i="20">
      <x/>
    </i>
    <i t="grand" i="21">
      <x/>
    </i>
    <i t="grand" i="22">
      <x/>
    </i>
    <i t="grand" i="23">
      <x/>
    </i>
    <i t="grand" i="24">
      <x/>
    </i>
    <i t="grand" i="25">
      <x/>
    </i>
    <i t="grand" i="26">
      <x/>
    </i>
    <i t="grand" i="27">
      <x/>
    </i>
    <i t="grand" i="28">
      <x/>
    </i>
    <i t="grand" i="29">
      <x/>
    </i>
    <i t="grand" i="30">
      <x/>
    </i>
    <i t="grand" i="31">
      <x/>
    </i>
    <i t="grand" i="32">
      <x/>
    </i>
    <i t="grand" i="33">
      <x/>
    </i>
    <i t="grand" i="34">
      <x/>
    </i>
    <i t="grand" i="35">
      <x/>
    </i>
    <i t="grand" i="36">
      <x/>
    </i>
    <i t="grand" i="37">
      <x/>
    </i>
    <i t="grand" i="38">
      <x/>
    </i>
  </rowItems>
  <colFields count="2">
    <field x="36"/>
    <field x="5"/>
  </colFields>
  <colItems count="22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r="1">
      <x v="10"/>
    </i>
    <i t="default">
      <x v="1"/>
    </i>
    <i>
      <x v="2"/>
      <x v="11"/>
    </i>
    <i r="1">
      <x v="12"/>
    </i>
    <i r="1">
      <x v="13"/>
    </i>
    <i t="default">
      <x v="2"/>
    </i>
    <i>
      <x v="3"/>
      <x v="14"/>
    </i>
    <i t="default">
      <x v="3"/>
    </i>
    <i>
      <x v="5"/>
      <x v="16"/>
    </i>
    <i t="default">
      <x v="5"/>
    </i>
    <i t="grand">
      <x/>
    </i>
  </colItems>
  <dataFields count="39">
    <dataField name="Sum of State Gen Purp-Old" fld="6" baseField="0" baseItem="0"/>
    <dataField name="Sum of State Gen Purp-New" fld="7" baseField="0" baseItem="0"/>
    <dataField name=" % change in state gen purp" fld="37" baseField="0" baseItem="0" numFmtId="1"/>
    <dataField name="Sum of State Ed Spec Purp-Old" fld="8" baseField="0" baseItem="0"/>
    <dataField name="Sum of State Ed Spec Purp-New" fld="9" baseField="0" baseItem="0"/>
    <dataField name=" % change in state ed spec purp" fld="38" baseField="0" baseItem="0" numFmtId="1"/>
    <dataField name="Sum of Local-Old" fld="10" baseField="0" baseItem="0"/>
    <dataField name="Sum of Local-New" fld="11" baseField="0" baseItem="0"/>
    <dataField name=" % change in local" fld="39" baseField="0" baseItem="0" numFmtId="1"/>
    <dataField name="Sum of Tuition Ops-Old" fld="12" baseField="0" baseItem="0"/>
    <dataField name="Sum of Tuition Ops-New" fld="15" baseField="0" baseItem="0"/>
    <dataField name=" % change in tuition ops" fld="40" baseField="0" baseItem="0" numFmtId="1"/>
    <dataField name="Sum of Tuition Debt-Old" fld="13" baseField="0" baseItem="0"/>
    <dataField name="Sum of Tuition Debt-New" fld="16" baseField="0" baseItem="0"/>
    <dataField name=" % change in tuition debt" fld="41" baseField="0" baseItem="0" numFmtId="1"/>
    <dataField name="Sum of Tuition Tot-Old" fld="14" baseField="0" baseItem="0"/>
    <dataField name="Sum of Tuition Tot-New" fld="17" baseField="0" baseItem="0"/>
    <dataField name=" % change in tuition total" fld="42" baseField="0" baseItem="0" numFmtId="1"/>
    <dataField name="Sum of Other Spec Purp State-Old" fld="20" baseField="0" baseItem="0"/>
    <dataField name="Sum of Other Spec Purp State-New" fld="21" baseField="0" baseItem="0"/>
    <dataField name=" % change in other spec purp state" fld="43" baseField="0" baseItem="0" numFmtId="1"/>
    <dataField name="Sum of Tuition SP Ops-Old" fld="22" baseField="0" baseItem="0"/>
    <dataField name="Sum of Tuition SP Ops-New" fld="25" baseField="0" baseItem="0"/>
    <dataField name=" % change in tuition sp ops" fld="44" baseField="0" baseItem="0" numFmtId="1"/>
    <dataField name="Sum of Tuition SP Debt-Old" fld="23" baseField="0" baseItem="0"/>
    <dataField name="Sum of Tuition SP Debt-New" fld="26" baseField="0" baseItem="0"/>
    <dataField name=" % change in tuition sp debt" fld="45" baseField="0" baseItem="0" numFmtId="1"/>
    <dataField name="Sum of Tuition SP Tot-Old" fld="24" baseField="0" baseItem="0"/>
    <dataField name="Sum of Tuition SP Tot-New" fld="27" baseField="0" baseItem="0"/>
    <dataField name=" % change in tuition sp total" fld="46" baseField="0" baseItem="0" numFmtId="3"/>
    <dataField name="Sum of Health State-Old" fld="28" baseField="0" baseItem="0"/>
    <dataField name="Sum of Health State-New" fld="29" baseField="0" baseItem="0"/>
    <dataField name=" % change in health state" fld="48" baseField="0" baseItem="0" numFmtId="1"/>
    <dataField name="Sum of Health Tuition-Old" fld="30" baseField="0" baseItem="0"/>
    <dataField name="Sum of Health Tuition-New" fld="32" baseField="0" baseItem="0"/>
    <dataField name=" % change in health tuition" fld="47" baseField="0" baseItem="0" numFmtId="1"/>
    <dataField name="Sum of Total E&amp;G-Old" fld="18" baseField="0" baseItem="0"/>
    <dataField name="Sum of Total E&amp;G-New" fld="19" baseField="0" baseItem="0"/>
    <dataField name=" % change in total E&amp;G funds" fld="49" baseField="0" baseItem="0" numFmtId="3"/>
  </dataFields>
  <formats count="103">
    <format dxfId="435">
      <pivotArea type="all" dataOnly="0" outline="0" fieldPosition="0"/>
    </format>
    <format dxfId="434">
      <pivotArea outline="0" collapsedLevelsAreSubtotals="1" fieldPosition="0"/>
    </format>
    <format dxfId="433">
      <pivotArea type="origin" dataOnly="0" labelOnly="1" outline="0" fieldPosition="0"/>
    </format>
    <format dxfId="432">
      <pivotArea field="36" type="button" dataOnly="0" labelOnly="1" outline="0" axis="axisCol" fieldPosition="0"/>
    </format>
    <format dxfId="431">
      <pivotArea field="5" type="button" dataOnly="0" labelOnly="1" outline="0" axis="axisCol" fieldPosition="1"/>
    </format>
    <format dxfId="430">
      <pivotArea type="topRight" dataOnly="0" labelOnly="1" outline="0" fieldPosition="0"/>
    </format>
    <format dxfId="429">
      <pivotArea field="0" type="button" dataOnly="0" labelOnly="1" outline="0" axis="axisRow" fieldPosition="0"/>
    </format>
    <format dxfId="428">
      <pivotArea dataOnly="0" labelOnly="1" fieldPosition="0">
        <references count="1">
          <reference field="0" count="0"/>
        </references>
      </pivotArea>
    </format>
    <format dxfId="42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42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42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42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423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422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421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420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419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418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417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416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415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414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41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41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411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410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409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408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407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406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40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40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403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0"/>
          </reference>
        </references>
      </pivotArea>
    </format>
    <format dxfId="402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"/>
          </reference>
        </references>
      </pivotArea>
    </format>
    <format dxfId="401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2"/>
          </reference>
        </references>
      </pivotArea>
    </format>
    <format dxfId="400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3"/>
          </reference>
        </references>
      </pivotArea>
    </format>
    <format dxfId="399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4"/>
          </reference>
        </references>
      </pivotArea>
    </format>
    <format dxfId="398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5"/>
          </reference>
        </references>
      </pivotArea>
    </format>
    <format dxfId="397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6"/>
          </reference>
        </references>
      </pivotArea>
    </format>
    <format dxfId="396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7"/>
          </reference>
        </references>
      </pivotArea>
    </format>
    <format dxfId="395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8"/>
          </reference>
        </references>
      </pivotArea>
    </format>
    <format dxfId="394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9"/>
          </reference>
        </references>
      </pivotArea>
    </format>
    <format dxfId="393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0"/>
          </reference>
        </references>
      </pivotArea>
    </format>
    <format dxfId="392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1"/>
          </reference>
        </references>
      </pivotArea>
    </format>
    <format dxfId="391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2"/>
          </reference>
        </references>
      </pivotArea>
    </format>
    <format dxfId="390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3"/>
          </reference>
        </references>
      </pivotArea>
    </format>
    <format dxfId="389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4"/>
          </reference>
        </references>
      </pivotArea>
    </format>
    <format dxfId="388">
      <pivotArea dataOnly="0" labelOnly="1" outline="0" fieldPosition="0">
        <references count="2">
          <reference field="4294967294" count="24">
            <x v="0"/>
            <x v="1"/>
            <x v="3"/>
            <x v="4"/>
            <x v="6"/>
            <x v="7"/>
            <x v="9"/>
            <x v="10"/>
            <x v="12"/>
            <x v="13"/>
            <x v="15"/>
            <x v="16"/>
            <x v="18"/>
            <x v="19"/>
            <x v="21"/>
            <x v="22"/>
            <x v="24"/>
            <x v="25"/>
            <x v="27"/>
            <x v="28"/>
            <x v="31"/>
            <x v="33"/>
            <x v="36"/>
            <x v="37"/>
          </reference>
          <reference field="0" count="1" selected="0">
            <x v="15"/>
          </reference>
        </references>
      </pivotArea>
    </format>
    <format dxfId="387">
      <pivotArea dataOnly="0" labelOnly="1" fieldPosition="0">
        <references count="1">
          <reference field="36" count="0"/>
        </references>
      </pivotArea>
    </format>
    <format dxfId="386">
      <pivotArea dataOnly="0" labelOnly="1" fieldPosition="0">
        <references count="1">
          <reference field="36" count="0" defaultSubtotal="1"/>
        </references>
      </pivotArea>
    </format>
    <format dxfId="385">
      <pivotArea dataOnly="0" labelOnly="1" fieldPosition="0">
        <references count="2">
          <reference field="5" count="6">
            <x v="0"/>
            <x v="1"/>
            <x v="2"/>
            <x v="3"/>
            <x v="4"/>
            <x v="5"/>
          </reference>
          <reference field="36" count="1" selected="0">
            <x v="0"/>
          </reference>
        </references>
      </pivotArea>
    </format>
    <format dxfId="384">
      <pivotArea dataOnly="0" labelOnly="1" fieldPosition="0">
        <references count="2">
          <reference field="5" count="5">
            <x v="6"/>
            <x v="7"/>
            <x v="8"/>
            <x v="9"/>
            <x v="10"/>
          </reference>
          <reference field="36" count="1" selected="0">
            <x v="1"/>
          </reference>
        </references>
      </pivotArea>
    </format>
    <format dxfId="383">
      <pivotArea dataOnly="0" labelOnly="1" fieldPosition="0">
        <references count="2">
          <reference field="5" count="3">
            <x v="11"/>
            <x v="12"/>
            <x v="13"/>
          </reference>
          <reference field="36" count="1" selected="0">
            <x v="2"/>
          </reference>
        </references>
      </pivotArea>
    </format>
    <format dxfId="382">
      <pivotArea dataOnly="0" labelOnly="1" fieldPosition="0">
        <references count="2">
          <reference field="5" count="1">
            <x v="14"/>
          </reference>
          <reference field="36" count="1" selected="0">
            <x v="3"/>
          </reference>
        </references>
      </pivotArea>
    </format>
    <format dxfId="381">
      <pivotArea collapsedLevelsAreSubtotals="1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380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379">
      <pivotArea outline="0" fieldPosition="0">
        <references count="1">
          <reference field="4294967294" count="1">
            <x v="5"/>
          </reference>
        </references>
      </pivotArea>
    </format>
    <format dxfId="378">
      <pivotArea outline="0" fieldPosition="0">
        <references count="1">
          <reference field="4294967294" count="1">
            <x v="2"/>
          </reference>
        </references>
      </pivotArea>
    </format>
    <format dxfId="377">
      <pivotArea outline="0" fieldPosition="0">
        <references count="1">
          <reference field="4294967294" count="1">
            <x v="8"/>
          </reference>
        </references>
      </pivotArea>
    </format>
    <format dxfId="376">
      <pivotArea outline="0" fieldPosition="0">
        <references count="1">
          <reference field="4294967294" count="1">
            <x v="11"/>
          </reference>
        </references>
      </pivotArea>
    </format>
    <format dxfId="375">
      <pivotArea outline="0" fieldPosition="0">
        <references count="1">
          <reference field="4294967294" count="1">
            <x v="14"/>
          </reference>
        </references>
      </pivotArea>
    </format>
    <format dxfId="374">
      <pivotArea outline="0" fieldPosition="0">
        <references count="1">
          <reference field="4294967294" count="1">
            <x v="17"/>
          </reference>
        </references>
      </pivotArea>
    </format>
    <format dxfId="373">
      <pivotArea outline="0" fieldPosition="0">
        <references count="1">
          <reference field="4294967294" count="1">
            <x v="20"/>
          </reference>
        </references>
      </pivotArea>
    </format>
    <format dxfId="372">
      <pivotArea outline="0" fieldPosition="0">
        <references count="1">
          <reference field="4294967294" count="1">
            <x v="23"/>
          </reference>
        </references>
      </pivotArea>
    </format>
    <format dxfId="371">
      <pivotArea outline="0" fieldPosition="0">
        <references count="1">
          <reference field="4294967294" count="1">
            <x v="26"/>
          </reference>
        </references>
      </pivotArea>
    </format>
    <format dxfId="370">
      <pivotArea outline="0" fieldPosition="0">
        <references count="1">
          <reference field="4294967294" count="1">
            <x v="35"/>
          </reference>
        </references>
      </pivotArea>
    </format>
    <format dxfId="369">
      <pivotArea outline="0" fieldPosition="0">
        <references count="1">
          <reference field="4294967294" count="1">
            <x v="32"/>
          </reference>
        </references>
      </pivotArea>
    </format>
    <format dxfId="368">
      <pivotArea collapsedLevelsAreSubtotals="1" fieldPosition="0">
        <references count="4">
          <reference field="4294967294" count="6">
            <x v="33"/>
            <x v="34"/>
            <x v="35"/>
            <x v="36"/>
            <x v="37"/>
            <x v="38"/>
          </reference>
          <reference field="0" count="1" selected="0">
            <x v="8"/>
          </reference>
          <reference field="5" count="1" selected="0">
            <x v="1"/>
          </reference>
          <reference field="36" count="1" selected="0">
            <x v="0"/>
          </reference>
        </references>
      </pivotArea>
    </format>
    <format dxfId="367">
      <pivotArea collapsedLevelsAreSubtotals="1" fieldPosition="0">
        <references count="4">
          <reference field="4294967294" count="5">
            <x v="8"/>
            <x v="9"/>
            <x v="10"/>
            <x v="11"/>
            <x v="12"/>
          </reference>
          <reference field="0" count="1" selected="0">
            <x v="9"/>
          </reference>
          <reference field="5" count="1" selected="0">
            <x v="4"/>
          </reference>
          <reference field="36" count="1" selected="0">
            <x v="0"/>
          </reference>
        </references>
      </pivotArea>
    </format>
    <format dxfId="366">
      <pivotArea collapsedLevelsAreSubtotals="1" fieldPosition="0">
        <references count="4">
          <reference field="4294967294" count="5">
            <x v="32"/>
            <x v="33"/>
            <x v="34"/>
            <x v="35"/>
            <x v="36"/>
          </reference>
          <reference field="0" count="1" selected="0">
            <x v="9"/>
          </reference>
          <reference field="5" count="2" selected="0">
            <x v="0"/>
            <x v="1"/>
          </reference>
          <reference field="36" count="1" selected="0">
            <x v="0"/>
          </reference>
        </references>
      </pivotArea>
    </format>
    <format dxfId="365">
      <pivotArea collapsedLevelsAreSubtotals="1" fieldPosition="0">
        <references count="4">
          <reference field="4294967294" count="7">
            <x v="1"/>
            <x v="2"/>
            <x v="3"/>
            <x v="4"/>
            <x v="5"/>
            <x v="6"/>
            <x v="7"/>
          </reference>
          <reference field="0" count="1" selected="0">
            <x v="11"/>
          </reference>
          <reference field="5" count="4" selected="0">
            <x v="2"/>
            <x v="3"/>
            <x v="4"/>
            <x v="5"/>
          </reference>
          <reference field="36" count="1" selected="0">
            <x v="0"/>
          </reference>
        </references>
      </pivotArea>
    </format>
    <format dxfId="364">
      <pivotArea collapsedLevelsAreSubtotals="1" fieldPosition="0">
        <references count="4">
          <reference field="4294967294" count="13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11"/>
          </reference>
          <reference field="5" count="3" selected="0">
            <x v="7"/>
            <x v="8"/>
            <x v="9"/>
          </reference>
          <reference field="36" count="1" selected="0">
            <x v="1"/>
          </reference>
        </references>
      </pivotArea>
    </format>
    <format dxfId="363">
      <pivotArea collapsedLevelsAreSubtotals="1" fieldPosition="0">
        <references count="4">
          <reference field="4294967294" count="13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  <reference field="5" count="2" selected="0">
            <x v="11"/>
            <x v="12"/>
          </reference>
          <reference field="36" count="1" selected="0">
            <x v="2"/>
          </reference>
        </references>
      </pivotArea>
    </format>
    <format dxfId="362">
      <pivotArea collapsedLevelsAreSubtotals="1" fieldPosition="0">
        <references count="4">
          <reference field="4294967294" count="7">
            <x v="3"/>
            <x v="4"/>
            <x v="5"/>
            <x v="6"/>
            <x v="7"/>
            <x v="8"/>
            <x v="9"/>
          </reference>
          <reference field="0" count="1" selected="0">
            <x v="0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361">
      <pivotArea collapsedLevelsAreSubtotals="1" fieldPosition="0">
        <references count="4">
          <reference field="4294967294" count="1">
            <x v="38"/>
          </reference>
          <reference field="0" count="1" selected="0">
            <x v="0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360">
      <pivotArea collapsedLevelsAreSubtotals="1" fieldPosition="0">
        <references count="4">
          <reference field="4294967294" count="1">
            <x v="35"/>
          </reference>
          <reference field="0" count="1" selected="0">
            <x v="1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359">
      <pivotArea collapsedLevelsAreSubtotals="1" fieldPosition="0">
        <references count="4">
          <reference field="4294967294" count="1">
            <x v="5"/>
          </reference>
          <reference field="0" count="1" selected="0">
            <x v="4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358">
      <pivotArea collapsedLevelsAreSubtotals="1" fieldPosition="0">
        <references count="4">
          <reference field="4294967294" count="1">
            <x v="2"/>
          </reference>
          <reference field="0" count="1" selected="0">
            <x v="6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357">
      <pivotArea collapsedLevelsAreSubtotals="1" fieldPosition="0">
        <references count="4">
          <reference field="4294967294" count="1">
            <x v="11"/>
          </reference>
          <reference field="0" count="1" selected="0">
            <x v="6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356">
      <pivotArea collapsedLevelsAreSubtotals="1" fieldPosition="0">
        <references count="4">
          <reference field="4294967294" count="1">
            <x v="11"/>
          </reference>
          <reference field="0" count="1" selected="0">
            <x v="6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355">
      <pivotArea collapsedLevelsAreSubtotals="1" fieldPosition="0">
        <references count="4">
          <reference field="4294967294" count="1">
            <x v="38"/>
          </reference>
          <reference field="0" count="1" selected="0">
            <x v="6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354">
      <pivotArea collapsedLevelsAreSubtotals="1" fieldPosition="0">
        <references count="4">
          <reference field="4294967294" count="1">
            <x v="11"/>
          </reference>
          <reference field="0" count="1" selected="0">
            <x v="10"/>
          </reference>
          <reference field="5" count="1" selected="0">
            <x v="11"/>
          </reference>
          <reference field="36" count="1" selected="0">
            <x v="2"/>
          </reference>
        </references>
      </pivotArea>
    </format>
    <format dxfId="353">
      <pivotArea collapsedLevelsAreSubtotals="1" fieldPosition="0">
        <references count="4">
          <reference field="4294967294" count="12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  <reference field="0" count="1" selected="0">
            <x v="12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352">
      <pivotArea collapsedLevelsAreSubtotals="1" fieldPosition="0">
        <references count="4">
          <reference field="4294967294" count="1">
            <x v="3"/>
          </reference>
          <reference field="0" count="1" selected="0">
            <x v="15"/>
          </reference>
          <reference field="5" count="1" selected="0">
            <x v="4"/>
          </reference>
          <reference field="36" count="1" selected="0">
            <x v="0"/>
          </reference>
        </references>
      </pivotArea>
    </format>
    <format dxfId="351">
      <pivotArea collapsedLevelsAreSubtotals="1" fieldPosition="0">
        <references count="4">
          <reference field="4294967294" count="1">
            <x v="14"/>
          </reference>
          <reference field="0" count="1" selected="0">
            <x v="14"/>
          </reference>
          <reference field="5" count="1" selected="0">
            <x v="2"/>
          </reference>
          <reference field="36" count="1" selected="0">
            <x v="0"/>
          </reference>
        </references>
      </pivotArea>
    </format>
    <format dxfId="350">
      <pivotArea collapsedLevelsAreSubtotals="1" fieldPosition="0">
        <references count="4">
          <reference field="4294967294" count="12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  <reference field="0" count="1" selected="0">
            <x v="13"/>
          </reference>
          <reference field="5" count="5" selected="0">
            <x v="1"/>
            <x v="2"/>
            <x v="3"/>
            <x v="4"/>
            <x v="5"/>
          </reference>
          <reference field="36" count="1" selected="0">
            <x v="0"/>
          </reference>
        </references>
      </pivotArea>
    </format>
    <format dxfId="349">
      <pivotArea collapsedLevelsAreSubtotals="1" fieldPosition="0">
        <references count="4">
          <reference field="4294967294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0" count="1" selected="0">
            <x v="13"/>
          </reference>
          <reference field="5" count="4" selected="0">
            <x v="6"/>
            <x v="7"/>
            <x v="8"/>
            <x v="9"/>
          </reference>
          <reference field="36" count="1" selected="0">
            <x v="1"/>
          </reference>
        </references>
      </pivotArea>
    </format>
    <format dxfId="348">
      <pivotArea collapsedLevelsAreSubtotals="1" fieldPosition="0">
        <references count="4">
          <reference field="4294967294" count="12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</reference>
          <reference field="0" count="1" selected="0">
            <x v="13"/>
          </reference>
          <reference field="5" count="1" selected="0">
            <x v="0"/>
          </reference>
          <reference field="36" count="1" selected="0">
            <x v="0"/>
          </reference>
        </references>
      </pivotArea>
    </format>
    <format dxfId="347">
      <pivotArea collapsedLevelsAreSubtotals="1" fieldPosition="0">
        <references count="4">
          <reference field="4294967294" count="1">
            <x v="3"/>
          </reference>
          <reference field="0" count="1" selected="0">
            <x v="15"/>
          </reference>
          <reference field="5" count="1" selected="0">
            <x v="5"/>
          </reference>
          <reference field="36" count="1" selected="0">
            <x v="0"/>
          </reference>
        </references>
      </pivotArea>
    </format>
    <format dxfId="346">
      <pivotArea collapsedLevelsAreSubtotals="1" fieldPosition="0">
        <references count="4">
          <reference field="4294967294" count="1">
            <x v="38"/>
          </reference>
          <reference field="0" count="1" selected="0">
            <x v="15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345">
      <pivotArea collapsedLevelsAreSubtotals="1" fieldPosition="0">
        <references count="4">
          <reference field="4294967294" count="1">
            <x v="2"/>
          </reference>
          <reference field="0" count="1" selected="0">
            <x v="15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344">
      <pivotArea collapsedLevelsAreSubtotals="1" fieldPosition="0">
        <references count="4">
          <reference field="4294967294" count="1">
            <x v="20"/>
          </reference>
          <reference field="0" count="1" selected="0">
            <x v="13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343">
      <pivotArea collapsedLevelsAreSubtotals="1" fieldPosition="0">
        <references count="4">
          <reference field="4294967294" count="8">
            <x v="23"/>
            <x v="24"/>
            <x v="25"/>
            <x v="26"/>
            <x v="27"/>
            <x v="28"/>
            <x v="29"/>
            <x v="30"/>
          </reference>
          <reference field="0" count="1" selected="0">
            <x v="12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342">
      <pivotArea collapsedLevelsAreSubtotals="1" fieldPosition="0">
        <references count="4">
          <reference field="4294967294" count="1">
            <x v="32"/>
          </reference>
          <reference field="0" count="1" selected="0">
            <x v="11"/>
          </reference>
          <reference field="5" count="1" selected="0">
            <x v="14"/>
          </reference>
          <reference field="36" count="1" selected="0">
            <x v="3"/>
          </reference>
        </references>
      </pivotArea>
    </format>
    <format dxfId="341">
      <pivotArea collapsedLevelsAreSubtotals="1" fieldPosition="0">
        <references count="4">
          <reference field="4294967294" count="1">
            <x v="5"/>
          </reference>
          <reference field="0" count="1" selected="0">
            <x v="9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340">
      <pivotArea collapsedLevelsAreSubtotals="1" fieldPosition="0">
        <references count="4">
          <reference field="4294967294" count="4">
            <x v="4"/>
            <x v="5"/>
            <x v="6"/>
            <x v="7"/>
          </reference>
          <reference field="0" count="1" selected="0">
            <x v="3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339">
      <pivotArea collapsedLevelsAreSubtotals="1" fieldPosition="0">
        <references count="4">
          <reference field="4294967294" count="1">
            <x v="5"/>
          </reference>
          <reference field="0" count="1" selected="0">
            <x v="0"/>
          </reference>
          <reference field="5" count="1" selected="0">
            <x v="16"/>
          </reference>
          <reference field="36" count="1" selected="0">
            <x v="5"/>
          </reference>
        </references>
      </pivotArea>
    </format>
    <format dxfId="338">
      <pivotArea collapsedLevelsAreSubtotals="1" fieldPosition="0">
        <references count="4">
          <reference field="4294967294" count="1">
            <x v="8"/>
          </reference>
          <reference field="0" count="1" selected="0">
            <x v="0"/>
          </reference>
          <reference field="5" count="1" selected="0">
            <x v="7"/>
          </reference>
          <reference field="36" count="1" selected="0">
            <x v="1"/>
          </reference>
        </references>
      </pivotArea>
    </format>
    <format dxfId="337">
      <pivotArea collapsedLevelsAreSubtotals="1" fieldPosition="0">
        <references count="4">
          <reference field="4294967294" count="1">
            <x v="2"/>
          </reference>
          <reference field="0" count="1" selected="0">
            <x v="4"/>
          </reference>
          <reference field="5" count="1" selected="0">
            <x v="7"/>
          </reference>
          <reference field="36" count="1" selected="0">
            <x v="1"/>
          </reference>
        </references>
      </pivotArea>
    </format>
    <format dxfId="336">
      <pivotArea collapsedLevelsAreSubtotals="1" fieldPosition="0">
        <references count="4">
          <reference field="4294967294" count="1">
            <x v="11"/>
          </reference>
          <reference field="0" count="1" selected="0">
            <x v="4"/>
          </reference>
          <reference field="5" count="1" selected="0">
            <x v="7"/>
          </reference>
          <reference field="36" count="1" selected="0">
            <x v="1"/>
          </reference>
        </references>
      </pivotArea>
    </format>
    <format dxfId="335">
      <pivotArea collapsedLevelsAreSubtotals="1" fieldPosition="0">
        <references count="4">
          <reference field="4294967294" count="1">
            <x v="38"/>
          </reference>
          <reference field="0" count="1" selected="0">
            <x v="4"/>
          </reference>
          <reference field="5" count="1" selected="0">
            <x v="7"/>
          </reference>
          <reference field="36" count="1" selected="0">
            <x v="1"/>
          </reference>
        </references>
      </pivotArea>
    </format>
    <format dxfId="334">
      <pivotArea collapsedLevelsAreSubtotals="1" fieldPosition="0">
        <references count="4">
          <reference field="4294967294" count="1">
            <x v="8"/>
          </reference>
          <reference field="0" count="1" selected="0">
            <x v="11"/>
          </reference>
          <reference field="5" count="1" selected="0">
            <x v="4"/>
          </reference>
          <reference field="36" count="1" selected="0">
            <x v="0"/>
          </reference>
        </references>
      </pivotArea>
    </format>
    <format dxfId="333">
      <pivotArea field="36" grandRow="1" outline="0" collapsedLevelsAreSubtotals="1" axis="axisCol" fieldPosition="0">
        <references count="3">
          <reference field="4294967294" count="1" selected="0">
            <x v="8"/>
          </reference>
          <reference field="5" count="1" selected="0">
            <x v="4"/>
          </reference>
          <reference field="36" count="1" selected="0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C082D9-E099-4378-A8C4-38B46FBAA627}" name="PivotTable2" cacheId="12" dataOnRows="1" applyNumberFormats="0" applyBorderFormats="0" applyFontFormats="0" applyPatternFormats="0" applyAlignmentFormats="0" applyWidthHeightFormats="1" dataCaption="Data" updatedVersion="8" minRefreshableVersion="3" asteriskTotals="1" showMultipleLabel="0" showMemberPropertyTips="0" useAutoFormatting="1" itemPrintTitles="1" createdVersion="3" indent="0" compact="0" compactData="0" gridDropZones="1">
  <location ref="C2:V99" firstHeaderRow="1" firstDataRow="2" firstDataCol="2"/>
  <pivotFields count="50">
    <pivotField axis="axisCol" compact="0" outline="0" subtotalTop="0" showAll="0" includeNewItemsInFilter="1" sortType="ascending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h="1" m="1" x="17"/>
        <item t="default"/>
      </items>
    </pivotField>
    <pivotField axis="axisRow" compact="0" outline="0" subtotalTop="0" showAll="0" includeNewItemsInFilter="1" sortType="ascending">
      <items count="48">
        <item n="1A" x="0"/>
        <item x="2"/>
        <item x="3"/>
        <item x="4"/>
        <item n="1B3" x="5"/>
        <item n="1B4" x="6"/>
        <item x="43"/>
        <item x="7"/>
        <item x="8"/>
        <item n="1C" x="10"/>
        <item n="1C1" x="44"/>
        <item x="45"/>
        <item x="37"/>
        <item x="46"/>
        <item n="1C6" x="11"/>
        <item x="12"/>
        <item n="1D" x="1"/>
        <item x="38"/>
        <item n="1F" x="9"/>
        <item n="1G" x="13"/>
        <item n="2A" x="14"/>
        <item n="2A1" x="15"/>
        <item x="16"/>
        <item n="2A3" x="17"/>
        <item n="2A4" x="18"/>
        <item n="2B" x="19"/>
        <item n="2C" x="39"/>
        <item n="2C1" x="40"/>
        <item n="2C2" x="41"/>
        <item n="2C3" x="20"/>
        <item n="2D" x="21"/>
        <item n="2D1" x="22"/>
        <item n="2D1a" x="23"/>
        <item n="2D1b" x="24"/>
        <item n="2D1c" x="25"/>
        <item n="2D1c1" x="26"/>
        <item x="27"/>
        <item n="2D1d" x="28"/>
        <item n="2D1d1" x="30"/>
        <item x="29"/>
        <item n="2D2" x="31"/>
        <item n="2D2a" x="32"/>
        <item n="2D2b" x="33"/>
        <item n="2D3" x="34"/>
        <item n="2D3a" x="35"/>
        <item n="2D3b" x="36"/>
        <item x="42"/>
        <item t="default"/>
      </items>
    </pivotField>
    <pivotField compact="0" outline="0" subtotalTop="0" showAll="0" includeNewItemsInFilter="1"/>
    <pivotField compact="0" outline="0" showAll="0"/>
    <pivotField compact="0" outline="0" subtotalTop="0" showAll="0" includeNewItemsInFilter="1"/>
    <pivotField compact="0" outline="0" subtotalTop="0" showAll="0" includeNewItemsInFilter="1">
      <items count="18">
        <item x="0"/>
        <item x="1"/>
        <item x="2"/>
        <item x="3"/>
        <item x="4"/>
        <item x="5"/>
        <item x="14"/>
        <item x="6"/>
        <item x="7"/>
        <item x="8"/>
        <item x="15"/>
        <item x="9"/>
        <item x="10"/>
        <item x="16"/>
        <item x="11"/>
        <item x="13"/>
        <item x="12"/>
        <item t="default"/>
      </items>
    </pivotField>
    <pivotField compact="0" numFmtId="37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37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37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howAll="0" defaultSubtotal="0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>
      <items count="6">
        <item x="1"/>
        <item x="0"/>
        <item x="3"/>
        <item x="4"/>
        <item x="5"/>
        <item x="2"/>
      </items>
    </pivotField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2">
    <field x="1"/>
    <field x="-2"/>
  </rowFields>
  <rowItems count="9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>
      <x v="23"/>
      <x/>
    </i>
    <i r="1" i="1">
      <x v="1"/>
    </i>
    <i>
      <x v="24"/>
      <x/>
    </i>
    <i r="1" i="1">
      <x v="1"/>
    </i>
    <i>
      <x v="25"/>
      <x/>
    </i>
    <i r="1" i="1">
      <x v="1"/>
    </i>
    <i>
      <x v="26"/>
      <x/>
    </i>
    <i r="1" i="1">
      <x v="1"/>
    </i>
    <i>
      <x v="27"/>
      <x/>
    </i>
    <i r="1" i="1">
      <x v="1"/>
    </i>
    <i>
      <x v="28"/>
      <x/>
    </i>
    <i r="1" i="1">
      <x v="1"/>
    </i>
    <i>
      <x v="29"/>
      <x/>
    </i>
    <i r="1" i="1">
      <x v="1"/>
    </i>
    <i>
      <x v="30"/>
      <x/>
    </i>
    <i r="1" i="1">
      <x v="1"/>
    </i>
    <i>
      <x v="31"/>
      <x/>
    </i>
    <i r="1" i="1">
      <x v="1"/>
    </i>
    <i>
      <x v="32"/>
      <x/>
    </i>
    <i r="1" i="1">
      <x v="1"/>
    </i>
    <i>
      <x v="33"/>
      <x/>
    </i>
    <i r="1" i="1">
      <x v="1"/>
    </i>
    <i>
      <x v="34"/>
      <x/>
    </i>
    <i r="1" i="1">
      <x v="1"/>
    </i>
    <i>
      <x v="35"/>
      <x/>
    </i>
    <i r="1" i="1">
      <x v="1"/>
    </i>
    <i>
      <x v="36"/>
      <x/>
    </i>
    <i r="1" i="1">
      <x v="1"/>
    </i>
    <i>
      <x v="37"/>
      <x/>
    </i>
    <i r="1" i="1">
      <x v="1"/>
    </i>
    <i>
      <x v="38"/>
      <x/>
    </i>
    <i r="1" i="1">
      <x v="1"/>
    </i>
    <i>
      <x v="39"/>
      <x/>
    </i>
    <i r="1" i="1">
      <x v="1"/>
    </i>
    <i>
      <x v="40"/>
      <x/>
    </i>
    <i r="1" i="1">
      <x v="1"/>
    </i>
    <i>
      <x v="41"/>
      <x/>
    </i>
    <i r="1" i="1">
      <x v="1"/>
    </i>
    <i>
      <x v="42"/>
      <x/>
    </i>
    <i r="1" i="1">
      <x v="1"/>
    </i>
    <i>
      <x v="43"/>
      <x/>
    </i>
    <i r="1" i="1">
      <x v="1"/>
    </i>
    <i>
      <x v="44"/>
      <x/>
    </i>
    <i r="1" i="1">
      <x v="1"/>
    </i>
    <i>
      <x v="45"/>
      <x/>
    </i>
    <i r="1" i="1">
      <x v="1"/>
    </i>
    <i>
      <x v="46"/>
      <x/>
    </i>
    <i r="1" i="1">
      <x v="1"/>
    </i>
    <i t="grand">
      <x/>
    </i>
    <i t="grand" i="1">
      <x/>
    </i>
  </rowItems>
  <colFields count="1">
    <field x="0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dataFields count="2">
    <dataField name="Total-Old" fld="34" baseField="0" baseItem="0" numFmtId="37"/>
    <dataField name="Total-New" fld="35" baseField="0" baseItem="0" numFmtId="37"/>
  </dataFields>
  <formats count="211">
    <format dxfId="332">
      <pivotArea type="origin" dataOnly="0" labelOnly="1" outline="0" fieldPosition="0"/>
    </format>
    <format dxfId="331">
      <pivotArea type="all" dataOnly="0" labelOnly="1" outline="0" fieldPosition="0"/>
    </format>
    <format dxfId="330">
      <pivotArea dataOnly="0" labelOnly="1" outline="0" offset="IV1" fieldPosition="0">
        <references count="1">
          <reference field="1" count="1">
            <x v="34"/>
          </reference>
        </references>
      </pivotArea>
    </format>
    <format dxfId="329">
      <pivotArea dataOnly="0" labelOnly="1" outline="0" fieldPosition="0">
        <references count="1">
          <reference field="1" count="2">
            <x v="34"/>
            <x v="35"/>
          </reference>
        </references>
      </pivotArea>
    </format>
    <format dxfId="328">
      <pivotArea dataOnly="0" labelOnly="1" outline="0" fieldPosition="0">
        <references count="1">
          <reference field="1" count="3">
            <x v="40"/>
            <x v="41"/>
            <x v="42"/>
          </reference>
        </references>
      </pivotArea>
    </format>
    <format dxfId="327">
      <pivotArea dataOnly="0" labelOnly="1" outline="0" fieldPosition="0">
        <references count="1">
          <reference field="0" count="0"/>
        </references>
      </pivotArea>
    </format>
    <format dxfId="326">
      <pivotArea dataOnly="0" labelOnly="1" grandCol="1" outline="0" fieldPosition="0"/>
    </format>
    <format dxfId="325">
      <pivotArea type="topRight" dataOnly="0" labelOnly="1" outline="0" offset="F1" fieldPosition="0"/>
    </format>
    <format dxfId="324">
      <pivotArea type="topRight" dataOnly="0" labelOnly="1" outline="0" offset="C1" fieldPosition="0"/>
    </format>
    <format dxfId="323">
      <pivotArea type="topRight" dataOnly="0" labelOnly="1" outline="0" offset="C1" fieldPosition="0"/>
    </format>
    <format dxfId="322">
      <pivotArea type="topRight" dataOnly="0" labelOnly="1" outline="0" offset="F1" fieldPosition="0"/>
    </format>
    <format dxfId="321">
      <pivotArea type="all" dataOnly="0" outline="0" fieldPosition="0"/>
    </format>
    <format dxfId="320">
      <pivotArea outline="0" fieldPosition="0">
        <references count="1">
          <reference field="1" count="7" selected="0">
            <x v="34"/>
            <x v="35"/>
            <x v="37"/>
            <x v="38"/>
            <x v="40"/>
            <x v="41"/>
            <x v="42"/>
          </reference>
        </references>
      </pivotArea>
    </format>
    <format dxfId="319">
      <pivotArea outline="0" fieldPosition="0">
        <references count="2">
          <reference field="4294967294" count="1" selected="0">
            <x v="0"/>
          </reference>
          <reference field="1" count="1" selected="0">
            <x v="43"/>
          </reference>
        </references>
      </pivotArea>
    </format>
    <format dxfId="318">
      <pivotArea dataOnly="0" labelOnly="1" outline="0" fieldPosition="0">
        <references count="1">
          <reference field="1" count="7">
            <x v="34"/>
            <x v="35"/>
            <x v="37"/>
            <x v="38"/>
            <x v="40"/>
            <x v="41"/>
            <x v="42"/>
          </reference>
        </references>
      </pivotArea>
    </format>
    <format dxfId="317">
      <pivotArea dataOnly="0" labelOnly="1" outline="0" offset="IV1" fieldPosition="0">
        <references count="1">
          <reference field="1" count="1">
            <x v="43"/>
          </reference>
        </references>
      </pivotArea>
    </format>
    <format dxfId="316">
      <pivotArea dataOnly="0" labelOnly="1" outline="0" fieldPosition="0">
        <references count="2">
          <reference field="4294967294" count="0"/>
          <reference field="1" count="1" selected="0">
            <x v="34"/>
          </reference>
        </references>
      </pivotArea>
    </format>
    <format dxfId="315">
      <pivotArea dataOnly="0" labelOnly="1" outline="0" fieldPosition="0">
        <references count="2">
          <reference field="4294967294" count="0"/>
          <reference field="1" count="1" selected="0">
            <x v="35"/>
          </reference>
        </references>
      </pivotArea>
    </format>
    <format dxfId="314">
      <pivotArea dataOnly="0" labelOnly="1" outline="0" fieldPosition="0">
        <references count="2">
          <reference field="4294967294" count="0"/>
          <reference field="1" count="1" selected="0">
            <x v="37"/>
          </reference>
        </references>
      </pivotArea>
    </format>
    <format dxfId="313">
      <pivotArea dataOnly="0" labelOnly="1" outline="0" fieldPosition="0">
        <references count="2">
          <reference field="4294967294" count="0"/>
          <reference field="1" count="1" selected="0">
            <x v="38"/>
          </reference>
        </references>
      </pivotArea>
    </format>
    <format dxfId="312">
      <pivotArea dataOnly="0" labelOnly="1" outline="0" fieldPosition="0">
        <references count="2">
          <reference field="4294967294" count="0"/>
          <reference field="1" count="1" selected="0">
            <x v="40"/>
          </reference>
        </references>
      </pivotArea>
    </format>
    <format dxfId="311">
      <pivotArea dataOnly="0" labelOnly="1" outline="0" fieldPosition="0">
        <references count="2">
          <reference field="4294967294" count="0"/>
          <reference field="1" count="1" selected="0">
            <x v="41"/>
          </reference>
        </references>
      </pivotArea>
    </format>
    <format dxfId="310">
      <pivotArea dataOnly="0" labelOnly="1" outline="0" fieldPosition="0">
        <references count="2">
          <reference field="4294967294" count="0"/>
          <reference field="1" count="1" selected="0">
            <x v="42"/>
          </reference>
        </references>
      </pivotArea>
    </format>
    <format dxfId="30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3"/>
          </reference>
        </references>
      </pivotArea>
    </format>
    <format dxfId="308">
      <pivotArea dataOnly="0" labelOnly="1" outline="0" fieldPosition="0">
        <references count="2">
          <reference field="4294967294" count="2">
            <x v="0"/>
            <x v="1"/>
          </reference>
          <reference field="1" count="1" selected="0">
            <x v="0"/>
          </reference>
        </references>
      </pivotArea>
    </format>
    <format dxfId="307">
      <pivotArea type="all" dataOnly="0" outline="0" fieldPosition="0"/>
    </format>
    <format dxfId="306">
      <pivotArea field="1" grandRow="1" outline="0" axis="axisRow" fieldPosition="0">
        <references count="1">
          <reference field="4294967294" count="0" selected="0"/>
        </references>
      </pivotArea>
    </format>
    <format dxfId="305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304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03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302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301">
      <pivotArea grandRow="1" grandCol="1" outline="0" fieldPosition="0">
        <references count="1">
          <reference field="4294967294" count="0" selected="0"/>
        </references>
      </pivotArea>
    </format>
    <format dxfId="300">
      <pivotArea outline="0" fieldPosition="0">
        <references count="2">
          <reference field="4294967294" count="1" selected="0">
            <x v="1"/>
          </reference>
          <reference field="1" count="1" selected="0">
            <x v="23"/>
          </reference>
        </references>
      </pivotArea>
    </format>
    <format dxfId="299">
      <pivotArea outline="0" fieldPosition="0">
        <references count="2">
          <reference field="0" count="1" selected="0">
            <x v="9"/>
          </reference>
          <reference field="1" count="1" selected="0">
            <x v="19"/>
          </reference>
        </references>
      </pivotArea>
    </format>
    <format dxfId="298">
      <pivotArea outline="0" fieldPosition="0">
        <references count="1">
          <reference field="1" count="31" selected="0">
            <x v="4"/>
            <x v="5"/>
            <x v="9"/>
            <x v="10"/>
            <x v="14"/>
            <x v="16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7"/>
            <x v="38"/>
            <x v="40"/>
            <x v="41"/>
            <x v="42"/>
            <x v="43"/>
            <x v="44"/>
            <x v="45"/>
          </reference>
        </references>
      </pivotArea>
    </format>
    <format dxfId="297">
      <pivotArea field="1" grandRow="1" outline="0" axis="axisRow" fieldPosition="0">
        <references count="1">
          <reference field="4294967294" count="0" selected="0"/>
        </references>
      </pivotArea>
    </format>
    <format dxfId="296">
      <pivotArea dataOnly="0" labelOnly="1" outline="0" fieldPosition="0">
        <references count="1">
          <reference field="1" count="31">
            <x v="4"/>
            <x v="5"/>
            <x v="9"/>
            <x v="10"/>
            <x v="14"/>
            <x v="16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7"/>
            <x v="38"/>
            <x v="40"/>
            <x v="41"/>
            <x v="42"/>
            <x v="43"/>
            <x v="44"/>
            <x v="45"/>
          </reference>
        </references>
      </pivotArea>
    </format>
    <format dxfId="295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94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93">
      <pivotArea dataOnly="0" labelOnly="1" outline="0" fieldPosition="0">
        <references count="2">
          <reference field="4294967294" count="0"/>
          <reference field="1" count="1" selected="0">
            <x v="4"/>
          </reference>
        </references>
      </pivotArea>
    </format>
    <format dxfId="292">
      <pivotArea dataOnly="0" labelOnly="1" outline="0" fieldPosition="0">
        <references count="2">
          <reference field="4294967294" count="0"/>
          <reference field="1" count="1" selected="0">
            <x v="5"/>
          </reference>
        </references>
      </pivotArea>
    </format>
    <format dxfId="291">
      <pivotArea dataOnly="0" labelOnly="1" outline="0" fieldPosition="0">
        <references count="2">
          <reference field="4294967294" count="0"/>
          <reference field="1" count="1" selected="0">
            <x v="9"/>
          </reference>
        </references>
      </pivotArea>
    </format>
    <format dxfId="290">
      <pivotArea dataOnly="0" labelOnly="1" outline="0" fieldPosition="0">
        <references count="2">
          <reference field="4294967294" count="0"/>
          <reference field="1" count="1" selected="0">
            <x v="10"/>
          </reference>
        </references>
      </pivotArea>
    </format>
    <format dxfId="289">
      <pivotArea dataOnly="0" labelOnly="1" outline="0" fieldPosition="0">
        <references count="2">
          <reference field="4294967294" count="0"/>
          <reference field="1" count="1" selected="0">
            <x v="14"/>
          </reference>
        </references>
      </pivotArea>
    </format>
    <format dxfId="288">
      <pivotArea dataOnly="0" labelOnly="1" outline="0" fieldPosition="0">
        <references count="2">
          <reference field="4294967294" count="0"/>
          <reference field="1" count="1" selected="0">
            <x v="19"/>
          </reference>
        </references>
      </pivotArea>
    </format>
    <format dxfId="287">
      <pivotArea dataOnly="0" labelOnly="1" outline="0" fieldPosition="0">
        <references count="2">
          <reference field="4294967294" count="0"/>
          <reference field="1" count="1" selected="0">
            <x v="16"/>
          </reference>
        </references>
      </pivotArea>
    </format>
    <format dxfId="286">
      <pivotArea dataOnly="0" labelOnly="1" outline="0" fieldPosition="0">
        <references count="2">
          <reference field="4294967294" count="0"/>
          <reference field="1" count="1" selected="0">
            <x v="18"/>
          </reference>
        </references>
      </pivotArea>
    </format>
    <format dxfId="285">
      <pivotArea dataOnly="0" labelOnly="1" outline="0" fieldPosition="0">
        <references count="2">
          <reference field="4294967294" count="0"/>
          <reference field="1" count="1" selected="0">
            <x v="20"/>
          </reference>
        </references>
      </pivotArea>
    </format>
    <format dxfId="284">
      <pivotArea dataOnly="0" labelOnly="1" outline="0" fieldPosition="0">
        <references count="2">
          <reference field="4294967294" count="0"/>
          <reference field="1" count="1" selected="0">
            <x v="21"/>
          </reference>
        </references>
      </pivotArea>
    </format>
    <format dxfId="283">
      <pivotArea dataOnly="0" labelOnly="1" outline="0" fieldPosition="0">
        <references count="2">
          <reference field="4294967294" count="0"/>
          <reference field="1" count="1" selected="0">
            <x v="23"/>
          </reference>
        </references>
      </pivotArea>
    </format>
    <format dxfId="282">
      <pivotArea dataOnly="0" labelOnly="1" outline="0" fieldPosition="0">
        <references count="2">
          <reference field="4294967294" count="0"/>
          <reference field="1" count="1" selected="0">
            <x v="24"/>
          </reference>
        </references>
      </pivotArea>
    </format>
    <format dxfId="281">
      <pivotArea dataOnly="0" labelOnly="1" outline="0" fieldPosition="0">
        <references count="2">
          <reference field="4294967294" count="0"/>
          <reference field="1" count="1" selected="0">
            <x v="25"/>
          </reference>
        </references>
      </pivotArea>
    </format>
    <format dxfId="280">
      <pivotArea dataOnly="0" labelOnly="1" outline="0" fieldPosition="0">
        <references count="2">
          <reference field="4294967294" count="0"/>
          <reference field="1" count="1" selected="0">
            <x v="26"/>
          </reference>
        </references>
      </pivotArea>
    </format>
    <format dxfId="279">
      <pivotArea dataOnly="0" labelOnly="1" outline="0" fieldPosition="0">
        <references count="2">
          <reference field="4294967294" count="0"/>
          <reference field="1" count="1" selected="0">
            <x v="27"/>
          </reference>
        </references>
      </pivotArea>
    </format>
    <format dxfId="278">
      <pivotArea dataOnly="0" labelOnly="1" outline="0" fieldPosition="0">
        <references count="2">
          <reference field="4294967294" count="0"/>
          <reference field="1" count="1" selected="0">
            <x v="28"/>
          </reference>
        </references>
      </pivotArea>
    </format>
    <format dxfId="277">
      <pivotArea dataOnly="0" labelOnly="1" outline="0" fieldPosition="0">
        <references count="2">
          <reference field="4294967294" count="0"/>
          <reference field="1" count="1" selected="0">
            <x v="29"/>
          </reference>
        </references>
      </pivotArea>
    </format>
    <format dxfId="276">
      <pivotArea dataOnly="0" labelOnly="1" outline="0" fieldPosition="0">
        <references count="2">
          <reference field="4294967294" count="0"/>
          <reference field="1" count="1" selected="0">
            <x v="30"/>
          </reference>
        </references>
      </pivotArea>
    </format>
    <format dxfId="275">
      <pivotArea dataOnly="0" labelOnly="1" outline="0" fieldPosition="0">
        <references count="2">
          <reference field="4294967294" count="0"/>
          <reference field="1" count="1" selected="0">
            <x v="31"/>
          </reference>
        </references>
      </pivotArea>
    </format>
    <format dxfId="274">
      <pivotArea dataOnly="0" labelOnly="1" outline="0" fieldPosition="0">
        <references count="2">
          <reference field="4294967294" count="0"/>
          <reference field="1" count="1" selected="0">
            <x v="32"/>
          </reference>
        </references>
      </pivotArea>
    </format>
    <format dxfId="273">
      <pivotArea dataOnly="0" labelOnly="1" outline="0" fieldPosition="0">
        <references count="2">
          <reference field="4294967294" count="0"/>
          <reference field="1" count="1" selected="0">
            <x v="33"/>
          </reference>
        </references>
      </pivotArea>
    </format>
    <format dxfId="272">
      <pivotArea dataOnly="0" labelOnly="1" outline="0" fieldPosition="0">
        <references count="2">
          <reference field="4294967294" count="0"/>
          <reference field="1" count="1" selected="0">
            <x v="34"/>
          </reference>
        </references>
      </pivotArea>
    </format>
    <format dxfId="271">
      <pivotArea dataOnly="0" labelOnly="1" outline="0" fieldPosition="0">
        <references count="2">
          <reference field="4294967294" count="0"/>
          <reference field="1" count="1" selected="0">
            <x v="35"/>
          </reference>
        </references>
      </pivotArea>
    </format>
    <format dxfId="270">
      <pivotArea dataOnly="0" labelOnly="1" outline="0" fieldPosition="0">
        <references count="2">
          <reference field="4294967294" count="0"/>
          <reference field="1" count="1" selected="0">
            <x v="37"/>
          </reference>
        </references>
      </pivotArea>
    </format>
    <format dxfId="269">
      <pivotArea dataOnly="0" labelOnly="1" outline="0" fieldPosition="0">
        <references count="2">
          <reference field="4294967294" count="0"/>
          <reference field="1" count="1" selected="0">
            <x v="38"/>
          </reference>
        </references>
      </pivotArea>
    </format>
    <format dxfId="268">
      <pivotArea dataOnly="0" labelOnly="1" outline="0" fieldPosition="0">
        <references count="2">
          <reference field="4294967294" count="0"/>
          <reference field="1" count="1" selected="0">
            <x v="40"/>
          </reference>
        </references>
      </pivotArea>
    </format>
    <format dxfId="267">
      <pivotArea dataOnly="0" labelOnly="1" outline="0" fieldPosition="0">
        <references count="2">
          <reference field="4294967294" count="0"/>
          <reference field="1" count="1" selected="0">
            <x v="41"/>
          </reference>
        </references>
      </pivotArea>
    </format>
    <format dxfId="266">
      <pivotArea dataOnly="0" labelOnly="1" outline="0" fieldPosition="0">
        <references count="2">
          <reference field="4294967294" count="0"/>
          <reference field="1" count="1" selected="0">
            <x v="42"/>
          </reference>
        </references>
      </pivotArea>
    </format>
    <format dxfId="265">
      <pivotArea dataOnly="0" labelOnly="1" outline="0" fieldPosition="0">
        <references count="2">
          <reference field="4294967294" count="0"/>
          <reference field="1" count="1" selected="0">
            <x v="43"/>
          </reference>
        </references>
      </pivotArea>
    </format>
    <format dxfId="264">
      <pivotArea dataOnly="0" labelOnly="1" outline="0" fieldPosition="0">
        <references count="2">
          <reference field="4294967294" count="0"/>
          <reference field="1" count="1" selected="0">
            <x v="44"/>
          </reference>
        </references>
      </pivotArea>
    </format>
    <format dxfId="263">
      <pivotArea dataOnly="0" labelOnly="1" outline="0" fieldPosition="0">
        <references count="2">
          <reference field="4294967294" count="0"/>
          <reference field="1" count="1" selected="0">
            <x v="45"/>
          </reference>
        </references>
      </pivotArea>
    </format>
    <format dxfId="262">
      <pivotArea grandRow="1" grandCol="1" outline="0" fieldPosition="0">
        <references count="1">
          <reference field="4294967294" count="0" selected="0"/>
        </references>
      </pivotArea>
    </format>
    <format dxfId="261">
      <pivotArea dataOnly="0" labelOnly="1" outline="0" fieldPosition="0">
        <references count="1">
          <reference field="1" count="1">
            <x v="0"/>
          </reference>
        </references>
      </pivotArea>
    </format>
    <format dxfId="260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25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  <format dxfId="258">
      <pivotArea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format>
    <format dxfId="257">
      <pivotArea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format>
    <format dxfId="256">
      <pivotArea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format>
    <format dxfId="255">
      <pivotArea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format>
    <format dxfId="254">
      <pivotArea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format>
    <format dxfId="253">
      <pivotArea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format>
    <format dxfId="252">
      <pivotArea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format>
    <format dxfId="251">
      <pivotArea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format>
    <format dxfId="250">
      <pivotArea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format>
    <format dxfId="249">
      <pivotArea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format>
    <format dxfId="248">
      <pivotArea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format>
    <format dxfId="247">
      <pivotArea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format>
    <format dxfId="246">
      <pivotArea outline="0" fieldPosition="0">
        <references count="2">
          <reference field="4294967294" count="1" selected="0">
            <x v="0"/>
          </reference>
          <reference field="1" count="1" selected="0">
            <x v="25"/>
          </reference>
        </references>
      </pivotArea>
    </format>
    <format dxfId="245">
      <pivotArea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format>
    <format dxfId="244">
      <pivotArea outline="0" fieldPosition="0">
        <references count="2">
          <reference field="4294967294" count="1" selected="0">
            <x v="0"/>
          </reference>
          <reference field="1" count="1" selected="0">
            <x v="27"/>
          </reference>
        </references>
      </pivotArea>
    </format>
    <format dxfId="243">
      <pivotArea outline="0" fieldPosition="0">
        <references count="2">
          <reference field="4294967294" count="1" selected="0">
            <x v="0"/>
          </reference>
          <reference field="1" count="1" selected="0">
            <x v="28"/>
          </reference>
        </references>
      </pivotArea>
    </format>
    <format dxfId="242">
      <pivotArea outline="0" fieldPosition="0">
        <references count="2">
          <reference field="4294967294" count="1" selected="0">
            <x v="0"/>
          </reference>
          <reference field="1" count="1" selected="0">
            <x v="29"/>
          </reference>
        </references>
      </pivotArea>
    </format>
    <format dxfId="241">
      <pivotArea outline="0" fieldPosition="0">
        <references count="2">
          <reference field="4294967294" count="1" selected="0">
            <x v="0"/>
          </reference>
          <reference field="1" count="1" selected="0">
            <x v="30"/>
          </reference>
        </references>
      </pivotArea>
    </format>
    <format dxfId="240">
      <pivotArea outline="0" fieldPosition="0">
        <references count="2">
          <reference field="4294967294" count="1" selected="0">
            <x v="0"/>
          </reference>
          <reference field="1" count="1" selected="0">
            <x v="31"/>
          </reference>
        </references>
      </pivotArea>
    </format>
    <format dxfId="239">
      <pivotArea outline="0" fieldPosition="0">
        <references count="2">
          <reference field="4294967294" count="1" selected="0">
            <x v="0"/>
          </reference>
          <reference field="1" count="1" selected="0">
            <x v="32"/>
          </reference>
        </references>
      </pivotArea>
    </format>
    <format dxfId="238">
      <pivotArea outline="0" fieldPosition="0">
        <references count="2">
          <reference field="4294967294" count="1" selected="0">
            <x v="0"/>
          </reference>
          <reference field="1" count="1" selected="0">
            <x v="33"/>
          </reference>
        </references>
      </pivotArea>
    </format>
    <format dxfId="237">
      <pivotArea outline="0" fieldPosition="0">
        <references count="2">
          <reference field="4294967294" count="1" selected="0">
            <x v="0"/>
          </reference>
          <reference field="1" count="1" selected="0">
            <x v="34"/>
          </reference>
        </references>
      </pivotArea>
    </format>
    <format dxfId="236">
      <pivotArea outline="0" fieldPosition="0">
        <references count="2">
          <reference field="4294967294" count="1" selected="0">
            <x v="0"/>
          </reference>
          <reference field="1" count="1" selected="0">
            <x v="35"/>
          </reference>
        </references>
      </pivotArea>
    </format>
    <format dxfId="235">
      <pivotArea outline="0" fieldPosition="0">
        <references count="2">
          <reference field="4294967294" count="1" selected="0">
            <x v="0"/>
          </reference>
          <reference field="1" count="1" selected="0">
            <x v="37"/>
          </reference>
        </references>
      </pivotArea>
    </format>
    <format dxfId="234">
      <pivotArea outline="0" fieldPosition="0">
        <references count="2">
          <reference field="4294967294" count="1" selected="0">
            <x v="0"/>
          </reference>
          <reference field="1" count="1" selected="0">
            <x v="38"/>
          </reference>
        </references>
      </pivotArea>
    </format>
    <format dxfId="233">
      <pivotArea outline="0" fieldPosition="0">
        <references count="2">
          <reference field="4294967294" count="1" selected="0">
            <x v="0"/>
          </reference>
          <reference field="1" count="1" selected="0">
            <x v="40"/>
          </reference>
        </references>
      </pivotArea>
    </format>
    <format dxfId="232">
      <pivotArea outline="0" fieldPosition="0">
        <references count="2">
          <reference field="4294967294" count="1" selected="0">
            <x v="0"/>
          </reference>
          <reference field="1" count="1" selected="0">
            <x v="41"/>
          </reference>
        </references>
      </pivotArea>
    </format>
    <format dxfId="231">
      <pivotArea outline="0" fieldPosition="0">
        <references count="2">
          <reference field="4294967294" count="1" selected="0">
            <x v="0"/>
          </reference>
          <reference field="1" count="1" selected="0">
            <x v="42"/>
          </reference>
        </references>
      </pivotArea>
    </format>
    <format dxfId="230">
      <pivotArea outline="0" fieldPosition="0">
        <references count="2">
          <reference field="4294967294" count="1" selected="0">
            <x v="0"/>
          </reference>
          <reference field="1" count="1" selected="0">
            <x v="43"/>
          </reference>
        </references>
      </pivotArea>
    </format>
    <format dxfId="229">
      <pivotArea outline="0" fieldPosition="0">
        <references count="2">
          <reference field="4294967294" count="1" selected="0">
            <x v="0"/>
          </reference>
          <reference field="1" count="1" selected="0">
            <x v="44"/>
          </reference>
        </references>
      </pivotArea>
    </format>
    <format dxfId="228">
      <pivotArea outline="0" fieldPosition="0">
        <references count="2">
          <reference field="4294967294" count="1" selected="0">
            <x v="0"/>
          </reference>
          <reference field="1" count="1" selected="0">
            <x v="45"/>
          </reference>
        </references>
      </pivotArea>
    </format>
    <format dxfId="227">
      <pivotArea outline="0" fieldPosition="0">
        <references count="1">
          <reference field="1" count="1" selected="0">
            <x v="0"/>
          </reference>
        </references>
      </pivotArea>
    </format>
    <format dxfId="226">
      <pivotArea dataOnly="0" labelOnly="1" outline="0" fieldPosition="0">
        <references count="2">
          <reference field="4294967294" count="0"/>
          <reference field="1" count="1" selected="0">
            <x v="0"/>
          </reference>
        </references>
      </pivotArea>
    </format>
    <format dxfId="22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"/>
          </reference>
        </references>
      </pivotArea>
    </format>
    <format dxfId="22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"/>
          </reference>
        </references>
      </pivotArea>
    </format>
    <format dxfId="22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"/>
          </reference>
        </references>
      </pivotArea>
    </format>
    <format dxfId="22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"/>
          </reference>
        </references>
      </pivotArea>
    </format>
    <format dxfId="22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4"/>
          </reference>
        </references>
      </pivotArea>
    </format>
    <format dxfId="22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9"/>
          </reference>
        </references>
      </pivotArea>
    </format>
    <format dxfId="21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6"/>
          </reference>
        </references>
      </pivotArea>
    </format>
    <format dxfId="21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8"/>
          </reference>
        </references>
      </pivotArea>
    </format>
    <format dxfId="21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0"/>
          </reference>
        </references>
      </pivotArea>
    </format>
    <format dxfId="21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1"/>
          </reference>
        </references>
      </pivotArea>
    </format>
    <format dxfId="21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3"/>
          </reference>
        </references>
      </pivotArea>
    </format>
    <format dxfId="21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4"/>
          </reference>
        </references>
      </pivotArea>
    </format>
    <format dxfId="21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5"/>
          </reference>
        </references>
      </pivotArea>
    </format>
    <format dxfId="21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6"/>
          </reference>
        </references>
      </pivotArea>
    </format>
    <format dxfId="21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7"/>
          </reference>
        </references>
      </pivotArea>
    </format>
    <format dxfId="21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8"/>
          </reference>
        </references>
      </pivotArea>
    </format>
    <format dxfId="20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9"/>
          </reference>
        </references>
      </pivotArea>
    </format>
    <format dxfId="20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0"/>
          </reference>
        </references>
      </pivotArea>
    </format>
    <format dxfId="20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1"/>
          </reference>
        </references>
      </pivotArea>
    </format>
    <format dxfId="20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2"/>
          </reference>
        </references>
      </pivotArea>
    </format>
    <format dxfId="20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3"/>
          </reference>
        </references>
      </pivotArea>
    </format>
    <format dxfId="20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4"/>
          </reference>
        </references>
      </pivotArea>
    </format>
    <format dxfId="20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5"/>
          </reference>
        </references>
      </pivotArea>
    </format>
    <format dxfId="20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7"/>
          </reference>
        </references>
      </pivotArea>
    </format>
    <format dxfId="20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8"/>
          </reference>
        </references>
      </pivotArea>
    </format>
    <format dxfId="20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0"/>
          </reference>
        </references>
      </pivotArea>
    </format>
    <format dxfId="19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1"/>
          </reference>
        </references>
      </pivotArea>
    </format>
    <format dxfId="19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2"/>
          </reference>
        </references>
      </pivotArea>
    </format>
    <format dxfId="19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3"/>
          </reference>
        </references>
      </pivotArea>
    </format>
    <format dxfId="19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4"/>
          </reference>
        </references>
      </pivotArea>
    </format>
    <format dxfId="19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5"/>
          </reference>
        </references>
      </pivotArea>
    </format>
    <format dxfId="194">
      <pivotArea type="topRight" dataOnly="0" labelOnly="1" outline="0" offset="P1" fieldPosition="0"/>
    </format>
    <format dxfId="193">
      <pivotArea outline="0" fieldPosition="0">
        <references count="3">
          <reference field="4294967294" count="1" selected="0">
            <x v="0"/>
          </reference>
          <reference field="0" count="1" selected="0">
            <x v="9"/>
          </reference>
          <reference field="1" count="1" selected="0">
            <x v="0"/>
          </reference>
        </references>
      </pivotArea>
    </format>
    <format dxfId="192">
      <pivotArea field="1" grandCol="1" outline="0" axis="axisRow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191">
      <pivotArea dataOnly="0" labelOnly="1" outline="0" fieldPosition="0">
        <references count="1">
          <reference field="1" count="9">
            <x v="20"/>
            <x v="21"/>
            <x v="23"/>
            <x v="24"/>
            <x v="25"/>
            <x v="26"/>
            <x v="27"/>
            <x v="28"/>
            <x v="29"/>
          </reference>
        </references>
      </pivotArea>
    </format>
    <format dxfId="190">
      <pivotArea dataOnly="0" labelOnly="1" outline="0" fieldPosition="0">
        <references count="2">
          <reference field="4294967294" count="0"/>
          <reference field="1" count="1" selected="0">
            <x v="20"/>
          </reference>
        </references>
      </pivotArea>
    </format>
    <format dxfId="189">
      <pivotArea dataOnly="0" labelOnly="1" outline="0" fieldPosition="0">
        <references count="2">
          <reference field="4294967294" count="0"/>
          <reference field="1" count="1" selected="0">
            <x v="21"/>
          </reference>
        </references>
      </pivotArea>
    </format>
    <format dxfId="188">
      <pivotArea dataOnly="0" labelOnly="1" outline="0" fieldPosition="0">
        <references count="2">
          <reference field="4294967294" count="0"/>
          <reference field="1" count="1" selected="0">
            <x v="23"/>
          </reference>
        </references>
      </pivotArea>
    </format>
    <format dxfId="187">
      <pivotArea dataOnly="0" labelOnly="1" outline="0" fieldPosition="0">
        <references count="2">
          <reference field="4294967294" count="0"/>
          <reference field="1" count="1" selected="0">
            <x v="24"/>
          </reference>
        </references>
      </pivotArea>
    </format>
    <format dxfId="186">
      <pivotArea dataOnly="0" labelOnly="1" outline="0" fieldPosition="0">
        <references count="2">
          <reference field="4294967294" count="0"/>
          <reference field="1" count="1" selected="0">
            <x v="25"/>
          </reference>
        </references>
      </pivotArea>
    </format>
    <format dxfId="185">
      <pivotArea dataOnly="0" labelOnly="1" outline="0" fieldPosition="0">
        <references count="2">
          <reference field="4294967294" count="0"/>
          <reference field="1" count="1" selected="0">
            <x v="26"/>
          </reference>
        </references>
      </pivotArea>
    </format>
    <format dxfId="184">
      <pivotArea dataOnly="0" labelOnly="1" outline="0" fieldPosition="0">
        <references count="2">
          <reference field="4294967294" count="0"/>
          <reference field="1" count="1" selected="0">
            <x v="27"/>
          </reference>
        </references>
      </pivotArea>
    </format>
    <format dxfId="183">
      <pivotArea dataOnly="0" labelOnly="1" outline="0" fieldPosition="0">
        <references count="2">
          <reference field="4294967294" count="0"/>
          <reference field="1" count="1" selected="0">
            <x v="28"/>
          </reference>
        </references>
      </pivotArea>
    </format>
    <format dxfId="182">
      <pivotArea dataOnly="0" labelOnly="1" outline="0" fieldPosition="0">
        <references count="2">
          <reference field="4294967294" count="0"/>
          <reference field="1" count="1" selected="0">
            <x v="29"/>
          </reference>
        </references>
      </pivotArea>
    </format>
    <format dxfId="181">
      <pivotArea dataOnly="0" labelOnly="1" outline="0" fieldPosition="0">
        <references count="1">
          <reference field="1" count="7">
            <x v="0"/>
            <x v="4"/>
            <x v="5"/>
            <x v="9"/>
            <x v="10"/>
            <x v="14"/>
            <x v="19"/>
          </reference>
        </references>
      </pivotArea>
    </format>
    <format dxfId="180">
      <pivotArea dataOnly="0" labelOnly="1" outline="0" fieldPosition="0">
        <references count="2">
          <reference field="4294967294" count="0"/>
          <reference field="1" count="1" selected="0">
            <x v="0"/>
          </reference>
        </references>
      </pivotArea>
    </format>
    <format dxfId="179">
      <pivotArea dataOnly="0" labelOnly="1" outline="0" fieldPosition="0">
        <references count="2">
          <reference field="4294967294" count="0"/>
          <reference field="1" count="1" selected="0">
            <x v="4"/>
          </reference>
        </references>
      </pivotArea>
    </format>
    <format dxfId="178">
      <pivotArea dataOnly="0" labelOnly="1" outline="0" fieldPosition="0">
        <references count="2">
          <reference field="4294967294" count="0"/>
          <reference field="1" count="1" selected="0">
            <x v="5"/>
          </reference>
        </references>
      </pivotArea>
    </format>
    <format dxfId="177">
      <pivotArea dataOnly="0" labelOnly="1" outline="0" fieldPosition="0">
        <references count="2">
          <reference field="4294967294" count="0"/>
          <reference field="1" count="1" selected="0">
            <x v="9"/>
          </reference>
        </references>
      </pivotArea>
    </format>
    <format dxfId="176">
      <pivotArea dataOnly="0" labelOnly="1" outline="0" fieldPosition="0">
        <references count="2">
          <reference field="4294967294" count="0"/>
          <reference field="1" count="1" selected="0">
            <x v="10"/>
          </reference>
        </references>
      </pivotArea>
    </format>
    <format dxfId="175">
      <pivotArea dataOnly="0" labelOnly="1" outline="0" fieldPosition="0">
        <references count="2">
          <reference field="4294967294" count="0"/>
          <reference field="1" count="1" selected="0">
            <x v="14"/>
          </reference>
        </references>
      </pivotArea>
    </format>
    <format dxfId="174">
      <pivotArea dataOnly="0" labelOnly="1" outline="0" fieldPosition="0">
        <references count="2">
          <reference field="4294967294" count="0"/>
          <reference field="1" count="1" selected="0">
            <x v="19"/>
          </reference>
        </references>
      </pivotArea>
    </format>
    <format dxfId="173">
      <pivotArea dataOnly="0" labelOnly="1" outline="0" fieldPosition="0">
        <references count="1">
          <reference field="1" count="2">
            <x v="16"/>
            <x v="18"/>
          </reference>
        </references>
      </pivotArea>
    </format>
    <format dxfId="172">
      <pivotArea dataOnly="0" labelOnly="1" outline="0" fieldPosition="0">
        <references count="2">
          <reference field="4294967294" count="0"/>
          <reference field="1" count="1" selected="0">
            <x v="16"/>
          </reference>
        </references>
      </pivotArea>
    </format>
    <format dxfId="171">
      <pivotArea dataOnly="0" labelOnly="1" outline="0" fieldPosition="0">
        <references count="2">
          <reference field="4294967294" count="0"/>
          <reference field="1" count="1" selected="0">
            <x v="18"/>
          </reference>
        </references>
      </pivotArea>
    </format>
    <format dxfId="170">
      <pivotArea dataOnly="0" labelOnly="1" outline="0" fieldPosition="0">
        <references count="1">
          <reference field="1" count="14">
            <x v="30"/>
            <x v="31"/>
            <x v="32"/>
            <x v="33"/>
            <x v="34"/>
            <x v="35"/>
            <x v="37"/>
            <x v="38"/>
            <x v="40"/>
            <x v="41"/>
            <x v="42"/>
            <x v="43"/>
            <x v="44"/>
            <x v="45"/>
          </reference>
        </references>
      </pivotArea>
    </format>
    <format dxfId="169">
      <pivotArea dataOnly="0" labelOnly="1" outline="0" fieldPosition="0">
        <references count="2">
          <reference field="4294967294" count="0"/>
          <reference field="1" count="1" selected="0">
            <x v="30"/>
          </reference>
        </references>
      </pivotArea>
    </format>
    <format dxfId="168">
      <pivotArea dataOnly="0" labelOnly="1" outline="0" fieldPosition="0">
        <references count="2">
          <reference field="4294967294" count="0"/>
          <reference field="1" count="1" selected="0">
            <x v="31"/>
          </reference>
        </references>
      </pivotArea>
    </format>
    <format dxfId="167">
      <pivotArea dataOnly="0" labelOnly="1" outline="0" fieldPosition="0">
        <references count="2">
          <reference field="4294967294" count="0"/>
          <reference field="1" count="1" selected="0">
            <x v="32"/>
          </reference>
        </references>
      </pivotArea>
    </format>
    <format dxfId="166">
      <pivotArea dataOnly="0" labelOnly="1" outline="0" fieldPosition="0">
        <references count="2">
          <reference field="4294967294" count="0"/>
          <reference field="1" count="1" selected="0">
            <x v="33"/>
          </reference>
        </references>
      </pivotArea>
    </format>
    <format dxfId="165">
      <pivotArea dataOnly="0" labelOnly="1" outline="0" fieldPosition="0">
        <references count="2">
          <reference field="4294967294" count="0"/>
          <reference field="1" count="1" selected="0">
            <x v="34"/>
          </reference>
        </references>
      </pivotArea>
    </format>
    <format dxfId="164">
      <pivotArea dataOnly="0" labelOnly="1" outline="0" fieldPosition="0">
        <references count="2">
          <reference field="4294967294" count="0"/>
          <reference field="1" count="1" selected="0">
            <x v="35"/>
          </reference>
        </references>
      </pivotArea>
    </format>
    <format dxfId="163">
      <pivotArea dataOnly="0" labelOnly="1" outline="0" fieldPosition="0">
        <references count="2">
          <reference field="4294967294" count="0"/>
          <reference field="1" count="1" selected="0">
            <x v="37"/>
          </reference>
        </references>
      </pivotArea>
    </format>
    <format dxfId="162">
      <pivotArea dataOnly="0" labelOnly="1" outline="0" fieldPosition="0">
        <references count="2">
          <reference field="4294967294" count="0"/>
          <reference field="1" count="1" selected="0">
            <x v="38"/>
          </reference>
        </references>
      </pivotArea>
    </format>
    <format dxfId="161">
      <pivotArea dataOnly="0" labelOnly="1" outline="0" fieldPosition="0">
        <references count="2">
          <reference field="4294967294" count="0"/>
          <reference field="1" count="1" selected="0">
            <x v="40"/>
          </reference>
        </references>
      </pivotArea>
    </format>
    <format dxfId="160">
      <pivotArea dataOnly="0" labelOnly="1" outline="0" fieldPosition="0">
        <references count="2">
          <reference field="4294967294" count="0"/>
          <reference field="1" count="1" selected="0">
            <x v="41"/>
          </reference>
        </references>
      </pivotArea>
    </format>
    <format dxfId="159">
      <pivotArea dataOnly="0" labelOnly="1" outline="0" fieldPosition="0">
        <references count="2">
          <reference field="4294967294" count="0"/>
          <reference field="1" count="1" selected="0">
            <x v="42"/>
          </reference>
        </references>
      </pivotArea>
    </format>
    <format dxfId="158">
      <pivotArea dataOnly="0" labelOnly="1" outline="0" fieldPosition="0">
        <references count="2">
          <reference field="4294967294" count="0"/>
          <reference field="1" count="1" selected="0">
            <x v="43"/>
          </reference>
        </references>
      </pivotArea>
    </format>
    <format dxfId="157">
      <pivotArea dataOnly="0" labelOnly="1" outline="0" fieldPosition="0">
        <references count="2">
          <reference field="4294967294" count="0"/>
          <reference field="1" count="1" selected="0">
            <x v="44"/>
          </reference>
        </references>
      </pivotArea>
    </format>
    <format dxfId="156">
      <pivotArea dataOnly="0" labelOnly="1" outline="0" fieldPosition="0">
        <references count="2">
          <reference field="4294967294" count="0"/>
          <reference field="1" count="1" selected="0">
            <x v="45"/>
          </reference>
        </references>
      </pivotArea>
    </format>
    <format dxfId="155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32"/>
          </reference>
        </references>
      </pivotArea>
    </format>
    <format dxfId="154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33"/>
          </reference>
        </references>
      </pivotArea>
    </format>
    <format dxfId="153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41"/>
          </reference>
        </references>
      </pivotArea>
    </format>
    <format dxfId="152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42"/>
          </reference>
        </references>
      </pivotArea>
    </format>
    <format dxfId="151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44"/>
          </reference>
        </references>
      </pivotArea>
    </format>
    <format dxfId="150">
      <pivotArea outline="0" fieldPosition="0">
        <references count="3">
          <reference field="4294967294" count="1" selected="0">
            <x v="1"/>
          </reference>
          <reference field="0" count="1" selected="0">
            <x v="9"/>
          </reference>
          <reference field="1" count="1" selected="0">
            <x v="45"/>
          </reference>
        </references>
      </pivotArea>
    </format>
    <format dxfId="149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1"/>
          </reference>
        </references>
      </pivotArea>
    </format>
    <format dxfId="148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2"/>
          </reference>
        </references>
      </pivotArea>
    </format>
    <format dxfId="147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3"/>
          </reference>
        </references>
      </pivotArea>
    </format>
    <format dxfId="146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4"/>
          </reference>
        </references>
      </pivotArea>
    </format>
    <format dxfId="145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5"/>
          </reference>
        </references>
      </pivotArea>
    </format>
    <format dxfId="144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7"/>
          </reference>
        </references>
      </pivotArea>
    </format>
    <format dxfId="143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38"/>
          </reference>
        </references>
      </pivotArea>
    </format>
    <format dxfId="142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41"/>
          </reference>
        </references>
      </pivotArea>
    </format>
    <format dxfId="141">
      <pivotArea field="1" grandCol="1" outline="0" axis="axisRow" fieldPosition="0">
        <references count="2">
          <reference field="4294967294" count="2" selected="0">
            <x v="0"/>
            <x v="1"/>
          </reference>
          <reference field="1" count="1" selected="0">
            <x v="42"/>
          </reference>
        </references>
      </pivotArea>
    </format>
    <format dxfId="140">
      <pivotArea field="1" grandCol="1" outline="0" axis="axisRow" fieldPosition="0">
        <references count="2">
          <reference field="4294967294" count="1" selected="0">
            <x v="1"/>
          </reference>
          <reference field="1" count="1" selected="0">
            <x v="45"/>
          </reference>
        </references>
      </pivotArea>
    </format>
    <format dxfId="139">
      <pivotArea type="all" dataOnly="0" outline="0" fieldPosition="0"/>
    </format>
    <format dxfId="138">
      <pivotArea type="all" dataOnly="0" outline="0" fieldPosition="0"/>
    </format>
    <format dxfId="137">
      <pivotArea outline="0" collapsedLevelsAreSubtotals="1" fieldPosition="0">
        <references count="2">
          <reference field="4294967294" count="2" selected="0">
            <x v="0"/>
            <x v="1"/>
          </reference>
          <reference field="1" count="1" selected="0">
            <x v="0"/>
          </reference>
        </references>
      </pivotArea>
    </format>
    <format dxfId="136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35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34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33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32">
      <pivotArea field="1" dataOnly="0" labelOnly="1" grandRow="1" outline="0" offset="A256" axis="axisRow" fieldPosition="0">
        <references count="1">
          <reference field="4294967294" count="1" selected="0">
            <x v="0"/>
          </reference>
        </references>
      </pivotArea>
    </format>
    <format dxfId="131">
      <pivotArea field="1" dataOnly="0" labelOnly="1" grandRow="1" outline="0" offset="A256" axis="axisRow" fieldPosition="0">
        <references count="1">
          <reference field="4294967294" count="1" selected="0">
            <x v="1"/>
          </reference>
        </references>
      </pivotArea>
    </format>
    <format dxfId="130">
      <pivotArea dataOnly="0" labelOnly="1" outline="0" fieldPosition="0">
        <references count="1">
          <reference field="1" count="14">
            <x v="30"/>
            <x v="31"/>
            <x v="32"/>
            <x v="33"/>
            <x v="34"/>
            <x v="35"/>
            <x v="37"/>
            <x v="38"/>
            <x v="40"/>
            <x v="41"/>
            <x v="42"/>
            <x v="43"/>
            <x v="44"/>
            <x v="45"/>
          </reference>
        </references>
      </pivotArea>
    </format>
    <format dxfId="129">
      <pivotArea grandCol="1" outline="0" collapsedLevelsAreSubtotals="1" fieldPosition="0"/>
    </format>
    <format dxfId="128">
      <pivotArea dataOnly="0" labelOnly="1" grandCol="1" outline="0" fieldPosition="0"/>
    </format>
    <format dxfId="127">
      <pivotArea type="all" dataOnly="0" outline="0" fieldPosition="0"/>
    </format>
    <format dxfId="126">
      <pivotArea outline="0" collapsedLevelsAreSubtotals="1" fieldPosition="0">
        <references count="1">
          <reference field="0" count="1" selected="0">
            <x v="9"/>
          </reference>
        </references>
      </pivotArea>
    </format>
    <format dxfId="125">
      <pivotArea dataOnly="0" labelOnly="1" outline="0" fieldPosition="0">
        <references count="1">
          <reference field="0" count="1">
            <x v="9"/>
          </reference>
        </references>
      </pivotArea>
    </format>
    <format dxfId="124">
      <pivotArea outline="0" collapsedLevelsAreSubtotals="1" fieldPosition="0">
        <references count="3">
          <reference field="4294967294" count="2" selected="0">
            <x v="0"/>
            <x v="1"/>
          </reference>
          <reference field="0" count="1" selected="0">
            <x v="9"/>
          </reference>
          <reference field="1" count="1" selected="0">
            <x v="19"/>
          </reference>
        </references>
      </pivotArea>
    </format>
    <format dxfId="123">
      <pivotArea outline="0" collapsedLevelsAreSubtotals="1" fieldPosition="0">
        <references count="3">
          <reference field="4294967294" count="2" selected="0">
            <x v="0"/>
            <x v="1"/>
          </reference>
          <reference field="0" count="1" selected="0">
            <x v="9"/>
          </reference>
          <reference field="1" count="1" selected="0">
            <x v="19"/>
          </reference>
        </references>
      </pivotArea>
    </format>
    <format dxfId="122">
      <pivotArea outline="0" collapsedLevelsAreSubtotals="1" fieldPosition="0">
        <references count="3">
          <reference field="4294967294" count="2" selected="0">
            <x v="0"/>
            <x v="1"/>
          </reference>
          <reference field="0" count="1" selected="0">
            <x v="9"/>
          </reference>
          <reference field="1" count="1" selected="0">
            <x v="19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A83DB5-1367-40CD-8D37-C073D47C536A}" name="PivotTable1" cacheId="12" applyNumberFormats="0" applyBorderFormats="0" applyFontFormats="0" applyPatternFormats="0" applyAlignmentFormats="0" applyWidthHeightFormats="1" dataCaption="Data" grandTotalCaption="Grand Total" updatedVersion="8" minRefreshableVersion="3" showMemberPropertyTips="0" colGrandTotals="0" itemPrintTitles="1" createdVersion="3" indent="0" compact="0" compactData="0" gridDropZones="1">
  <location ref="A3:I20" firstHeaderRow="1" firstDataRow="2" firstDataCol="1" rowPageCount="1" colPageCount="1"/>
  <pivotFields count="50">
    <pivotField axis="axisRow" compact="0" outline="0" subtotalTop="0" showAll="0" includeNewItemsInFilter="1" sortType="ascending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1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howAll="0"/>
    <pivotField compact="0" outline="0" subtotalTop="0" showAll="0" includeNewItemsInFilter="1"/>
    <pivotField axis="axisPage" compact="0" outline="0" subtotalTop="0" multipleItemSelectionAllowed="1" showAll="0" includeNewItemsInFilter="1">
      <items count="18">
        <item x="0"/>
        <item x="1"/>
        <item x="2"/>
        <item x="3"/>
        <item x="4"/>
        <item x="5"/>
        <item h="1" x="14"/>
        <item h="1" x="6"/>
        <item h="1" x="7"/>
        <item h="1" x="8"/>
        <item h="1" x="15"/>
        <item h="1" x="9"/>
        <item x="10"/>
        <item h="1" x="16"/>
        <item h="1" x="11"/>
        <item h="1" x="13"/>
        <item h="1" x="12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7">
        <item n="Four-Year" x="3"/>
        <item n="Two-Year" x="4"/>
        <item n="Technical" x="5"/>
        <item n="Specialized" x="0"/>
        <item x="1"/>
        <item x="2"/>
        <item t="default"/>
      </items>
    </pivotField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  <pivotField compact="0" outline="0" subtotalTop="0" dragToRow="0" dragToCol="0" dragToPage="0" showAll="0" includeNewItemsInFilter="1" defaultSubtotal="0"/>
  </pivotFields>
  <rowFields count="1">
    <field x="0"/>
  </rowFields>
  <rowItems count="16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5" hier="-1"/>
  </pageFields>
  <dataFields count="8">
    <dataField name="Sum of State Gen Purp-Old" fld="6" baseField="0" baseItem="0" numFmtId="37"/>
    <dataField name="Sum of State Gen Purp-New" fld="7" baseField="0" baseItem="0" numFmtId="37"/>
    <dataField name="Sum of State Ed Spec Purp-Old" fld="8" baseField="0" baseItem="0" numFmtId="37"/>
    <dataField name="Sum of State Ed Spec Purp-New" fld="9" baseField="0" baseItem="0" numFmtId="37"/>
    <dataField name="Sum of Local-Old" fld="10" baseField="0" baseItem="0" numFmtId="37"/>
    <dataField name="Sum of Local-New" fld="11" baseField="0" baseItem="0" numFmtId="37"/>
    <dataField name="Sum of Tuition Ops-Old" fld="12" baseField="0" baseItem="0" numFmtId="37"/>
    <dataField name="Sum of Tuition Ops-New" fld="15" baseField="0" baseItem="0" numFmtId="37"/>
  </dataFields>
  <formats count="61">
    <format dxfId="121">
      <pivotArea outline="0" fieldPosition="0"/>
    </format>
    <format dxfId="120">
      <pivotArea type="all" dataOnly="0" outline="0" fieldPosition="0"/>
    </format>
    <format dxfId="119">
      <pivotArea type="topRight" dataOnly="0" labelOnly="1" outline="0" offset="R1" fieldPosition="0"/>
    </format>
    <format dxfId="118">
      <pivotArea field="36" type="button" dataOnly="0" labelOnly="1" outline="0"/>
    </format>
    <format dxfId="117">
      <pivotArea field="5" type="button" dataOnly="0" labelOnly="1" outline="0" axis="axisPage" fieldPosition="0"/>
    </format>
    <format dxfId="116">
      <pivotArea type="topRight" dataOnly="0" labelOnly="1" outline="0" fieldPosition="0"/>
    </format>
    <format dxfId="115">
      <pivotArea type="topRight" dataOnly="0" labelOnly="1" outline="0" offset="F1" fieldPosition="0"/>
    </format>
    <format dxfId="114">
      <pivotArea type="topRight" dataOnly="0" labelOnly="1" outline="0" offset="G1" fieldPosition="0"/>
    </format>
    <format dxfId="113">
      <pivotArea type="topRight" dataOnly="0" labelOnly="1" outline="0" offset="H1" fieldPosition="0"/>
    </format>
    <format dxfId="112">
      <pivotArea type="topRight" dataOnly="0" labelOnly="1" outline="0" offset="I1" fieldPosition="0"/>
    </format>
    <format dxfId="111">
      <pivotArea type="topRight" dataOnly="0" labelOnly="1" outline="0" offset="J1" fieldPosition="0"/>
    </format>
    <format dxfId="110">
      <pivotArea type="topRight" dataOnly="0" labelOnly="1" outline="0" offset="K1" fieldPosition="0"/>
    </format>
    <format dxfId="109">
      <pivotArea dataOnly="0" labelOnly="1" outline="0" offset="IV256" fieldPosition="0">
        <references count="1">
          <reference field="0" count="1">
            <x v="9"/>
          </reference>
        </references>
      </pivotArea>
    </format>
    <format dxfId="108">
      <pivotArea type="all" dataOnly="0" outline="0" fieldPosition="0"/>
    </format>
    <format dxfId="107">
      <pivotArea type="topRight" dataOnly="0" labelOnly="1" outline="0" offset="V1" fieldPosition="0"/>
    </format>
    <format dxfId="106">
      <pivotArea dataOnly="0" labelOnly="1" grandCol="1" outline="0" fieldPosition="0"/>
    </format>
    <format dxfId="105">
      <pivotArea type="origin" dataOnly="0" labelOnly="1" outline="0" fieldPosition="0"/>
    </format>
    <format dxfId="104">
      <pivotArea field="0" type="button" dataOnly="0" labelOnly="1" outline="0" axis="axisRow" fieldPosition="0"/>
    </format>
    <format dxfId="103">
      <pivotArea field="-2" type="button" dataOnly="0" labelOnly="1" outline="0" axis="axisCol" fieldPosition="0"/>
    </format>
    <format dxfId="102">
      <pivotArea field="36" type="button" dataOnly="0" labelOnly="1" outline="0"/>
    </format>
    <format dxfId="101">
      <pivotArea field="5" type="button" dataOnly="0" labelOnly="1" outline="0" axis="axisPage" fieldPosition="0"/>
    </format>
    <format dxfId="100">
      <pivotArea type="topRight" dataOnly="0" labelOnly="1" outline="0" fieldPosition="0"/>
    </format>
    <format dxfId="99">
      <pivotArea dataOnly="0" labelOnly="1" grandCol="1" outline="0" fieldPosition="0"/>
    </format>
    <format dxfId="98">
      <pivotArea field="0" type="button" dataOnly="0" labelOnly="1" outline="0" axis="axisRow" fieldPosition="0"/>
    </format>
    <format dxfId="97">
      <pivotArea field="-2" type="button" dataOnly="0" labelOnly="1" outline="0" axis="axisCol" fieldPosition="0"/>
    </format>
    <format dxfId="96">
      <pivotArea dataOnly="0" labelOnly="1" grandCol="1" outline="0" offset="IV256" fieldPosition="0"/>
    </format>
    <format dxfId="95">
      <pivotArea field="0" type="button" dataOnly="0" labelOnly="1" outline="0" axis="axisRow" fieldPosition="0"/>
    </format>
    <format dxfId="94">
      <pivotArea field="-2" type="button" dataOnly="0" labelOnly="1" outline="0" axis="axisCol" fieldPosition="0"/>
    </format>
    <format dxfId="93">
      <pivotArea dataOnly="0" labelOnly="1" grandCol="1" outline="0" offset="IV256" fieldPosition="0"/>
    </format>
    <format dxfId="92">
      <pivotArea type="origin" dataOnly="0" labelOnly="1" outline="0" offset="A2:B2" fieldPosition="0"/>
    </format>
    <format dxfId="91">
      <pivotArea type="origin" dataOnly="0" labelOnly="1" outline="0" fieldPosition="0"/>
    </format>
    <format dxfId="90">
      <pivotArea field="36" type="button" dataOnly="0" labelOnly="1" outline="0"/>
    </format>
    <format dxfId="89">
      <pivotArea field="5" type="button" dataOnly="0" labelOnly="1" outline="0" axis="axisPage" fieldPosition="0"/>
    </format>
    <format dxfId="88">
      <pivotArea type="topRight" dataOnly="0" labelOnly="1" outline="0" fieldPosition="0"/>
    </format>
    <format dxfId="87">
      <pivotArea dataOnly="0" labelOnly="1" grandCol="1" outline="0" offset="IV1" fieldPosition="0"/>
    </format>
    <format dxfId="86">
      <pivotArea dataOnly="0" labelOnly="1" outline="0" fieldPosition="0">
        <references count="1">
          <reference field="0" count="1">
            <x v="9"/>
          </reference>
        </references>
      </pivotArea>
    </format>
    <format dxfId="8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83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82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81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80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79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78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77">
      <pivotArea type="topRight" dataOnly="0" labelOnly="1" outline="0" offset="E1" fieldPosition="0"/>
    </format>
    <format dxfId="76">
      <pivotArea type="topRight" dataOnly="0" labelOnly="1" outline="0" offset="K1" fieldPosition="0"/>
    </format>
    <format dxfId="75">
      <pivotArea type="topRight" dataOnly="0" labelOnly="1" outline="0" offset="O1" fieldPosition="0"/>
    </format>
    <format dxfId="74">
      <pivotArea type="all" dataOnly="0" outline="0" fieldPosition="0"/>
    </format>
    <format dxfId="73">
      <pivotArea type="all" dataOnly="0" outline="0" fieldPosition="0"/>
    </format>
    <format dxfId="7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1">
      <pivotArea type="all" dataOnly="0" outline="0" fieldPosition="0"/>
    </format>
    <format dxfId="70">
      <pivotArea type="all" dataOnly="0" outline="0" fieldPosition="0"/>
    </format>
    <format dxfId="69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68">
      <pivotArea grandRow="1" outline="0" collapsedLevelsAreSubtotals="1" fieldPosition="0"/>
    </format>
    <format dxfId="67">
      <pivotArea dataOnly="0" labelOnly="1" grandRow="1" outline="0" fieldPosition="0"/>
    </format>
    <format dxfId="66">
      <pivotArea dataOnly="0" labelOnly="1" outline="0" fieldPosition="0">
        <references count="1">
          <reference field="0" count="1">
            <x v="9"/>
          </reference>
        </references>
      </pivotArea>
    </format>
    <format dxfId="65">
      <pivotArea dataOnly="0" labelOnly="1" outline="0" fieldPosition="0">
        <references count="1">
          <reference field="0" count="1">
            <x v="9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7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B3BC6-8A1A-4B1B-BDD3-68694548DB20}">
  <sheetPr codeName="Sheet1">
    <tabColor indexed="16"/>
    <pageSetUpPr fitToPage="1"/>
  </sheetPr>
  <dimension ref="A1:T26"/>
  <sheetViews>
    <sheetView view="pageBreakPreview" topLeftCell="B1" zoomScaleNormal="100" zoomScaleSheetLayoutView="100" workbookViewId="0">
      <selection activeCell="T25" sqref="T25"/>
    </sheetView>
  </sheetViews>
  <sheetFormatPr defaultColWidth="8.84375" defaultRowHeight="12.5"/>
  <cols>
    <col min="1" max="1" width="9.4609375" style="53" customWidth="1"/>
    <col min="2" max="2" width="15.69140625" style="53" customWidth="1"/>
    <col min="3" max="3" width="3" style="566" hidden="1" customWidth="1"/>
    <col min="4" max="4" width="5.69140625" style="53" bestFit="1" customWidth="1"/>
    <col min="5" max="5" width="6" style="53" customWidth="1"/>
    <col min="6" max="6" width="5.53515625" style="53" customWidth="1"/>
    <col min="7" max="7" width="5.69140625" style="53" bestFit="1" customWidth="1"/>
    <col min="8" max="8" width="4.69140625" style="53" bestFit="1" customWidth="1"/>
    <col min="9" max="11" width="5.69140625" style="53" bestFit="1" customWidth="1"/>
    <col min="12" max="12" width="6.4609375" style="53" bestFit="1" customWidth="1"/>
    <col min="13" max="13" width="5.69140625" style="662" bestFit="1" customWidth="1"/>
    <col min="14" max="15" width="6.4609375" style="53" bestFit="1" customWidth="1"/>
    <col min="16" max="19" width="5.69140625" style="53" bestFit="1" customWidth="1"/>
    <col min="20" max="20" width="5.84375" style="53" customWidth="1"/>
    <col min="21" max="16384" width="8.84375" style="53"/>
  </cols>
  <sheetData>
    <row r="1" spans="1:20" ht="18">
      <c r="A1" s="611" t="s">
        <v>1033</v>
      </c>
      <c r="B1" s="349"/>
      <c r="C1" s="612"/>
      <c r="D1" s="349"/>
      <c r="E1" s="349"/>
      <c r="F1" s="349"/>
      <c r="G1" s="349"/>
      <c r="H1" s="349"/>
      <c r="I1" s="349"/>
      <c r="J1" s="349"/>
      <c r="K1" s="349"/>
      <c r="L1" s="349"/>
      <c r="M1" s="613"/>
      <c r="N1" s="349"/>
      <c r="O1" s="349"/>
      <c r="P1" s="349"/>
      <c r="Q1" s="349"/>
      <c r="R1" s="349"/>
      <c r="S1" s="349"/>
      <c r="T1" s="349"/>
    </row>
    <row r="2" spans="1:20" ht="18">
      <c r="A2" s="611"/>
      <c r="B2" s="349"/>
      <c r="C2" s="612"/>
      <c r="D2" s="349"/>
      <c r="E2" s="349"/>
      <c r="F2" s="349"/>
      <c r="G2" s="349"/>
      <c r="H2" s="349"/>
      <c r="I2" s="349"/>
      <c r="J2" s="349"/>
      <c r="K2" s="349"/>
      <c r="L2" s="349"/>
      <c r="M2" s="613"/>
      <c r="N2" s="349"/>
      <c r="O2" s="349"/>
      <c r="P2" s="349"/>
      <c r="Q2" s="349"/>
      <c r="R2" s="349"/>
      <c r="S2" s="349"/>
      <c r="T2" s="349"/>
    </row>
    <row r="3" spans="1:20" s="56" customFormat="1" ht="15.5">
      <c r="A3" s="1215" t="s">
        <v>1034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5"/>
      <c r="P3" s="1215"/>
      <c r="Q3" s="1215"/>
      <c r="R3" s="1215"/>
      <c r="S3" s="1215"/>
      <c r="T3" s="1215"/>
    </row>
    <row r="4" spans="1:20" s="56" customFormat="1" ht="15.5">
      <c r="A4" s="1215" t="s">
        <v>1780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</row>
    <row r="5" spans="1:20" s="56" customFormat="1" ht="15.5">
      <c r="A5" s="614"/>
      <c r="B5" s="614"/>
      <c r="C5" s="614"/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  <c r="S5" s="614"/>
      <c r="T5" s="614"/>
    </row>
    <row r="6" spans="1:20" ht="29.25" customHeight="1">
      <c r="A6" s="663"/>
      <c r="B6" s="616"/>
      <c r="C6" s="617" t="s">
        <v>1017</v>
      </c>
      <c r="D6" s="606" t="s">
        <v>1042</v>
      </c>
      <c r="E6" s="607" t="s">
        <v>61</v>
      </c>
      <c r="F6" s="416" t="s">
        <v>197</v>
      </c>
      <c r="G6" s="416" t="s">
        <v>283</v>
      </c>
      <c r="H6" s="416" t="s">
        <v>333</v>
      </c>
      <c r="I6" s="416" t="s">
        <v>365</v>
      </c>
      <c r="J6" s="416" t="s">
        <v>432</v>
      </c>
      <c r="K6" s="416" t="s">
        <v>492</v>
      </c>
      <c r="L6" s="416" t="s">
        <v>549</v>
      </c>
      <c r="M6" s="664" t="s">
        <v>599</v>
      </c>
      <c r="N6" s="416" t="s">
        <v>636</v>
      </c>
      <c r="O6" s="416" t="s">
        <v>745</v>
      </c>
      <c r="P6" s="416" t="s">
        <v>746</v>
      </c>
      <c r="Q6" s="416" t="s">
        <v>747</v>
      </c>
      <c r="R6" s="416" t="s">
        <v>748</v>
      </c>
      <c r="S6" s="416" t="s">
        <v>750</v>
      </c>
      <c r="T6" s="416" t="s">
        <v>751</v>
      </c>
    </row>
    <row r="7" spans="1:20" ht="33" customHeight="1">
      <c r="A7" s="1216" t="s">
        <v>1019</v>
      </c>
      <c r="B7" s="622" t="s">
        <v>1036</v>
      </c>
      <c r="C7" s="623" t="s">
        <v>62</v>
      </c>
      <c r="D7" s="624">
        <f>IF('114. NEW Distrib by purpose'!D7&gt;0.0005=0,,IF('114. NEW Distrib by purpose'!D7&gt;0.0005,'114. NEW Distrib by purpose'!D7,"*"))</f>
        <v>0.79847456770367342</v>
      </c>
      <c r="E7" s="625">
        <f>IF('114. NEW Distrib by purpose'!E7&gt;0.0005=0,,IF('114. NEW Distrib by purpose'!E7&gt;0.0005,'114. NEW Distrib by purpose'!E7,"*"))</f>
        <v>0.78702078985404877</v>
      </c>
      <c r="F7" s="626">
        <f>IF('114. NEW Distrib by purpose'!F7&gt;0.0005=0,,IF('114. NEW Distrib by purpose'!F7&gt;0.0005,'114. NEW Distrib by purpose'!F7,"*"))</f>
        <v>0.80408614296573644</v>
      </c>
      <c r="G7" s="626">
        <f>IF('114. NEW Distrib by purpose'!G7&gt;0.0005=0,,IF('114. NEW Distrib by purpose'!G7&gt;0.0005,'114. NEW Distrib by purpose'!G7,"*"))</f>
        <v>0.96982346648014017</v>
      </c>
      <c r="H7" s="626">
        <f>IF('114. NEW Distrib by purpose'!H7&gt;0.0005=0,,IF('114. NEW Distrib by purpose'!H7&gt;0.0005,'114. NEW Distrib by purpose'!H7,"*"))</f>
        <v>0.99876456895718901</v>
      </c>
      <c r="I7" s="626">
        <f>IF('114. NEW Distrib by purpose'!I7&gt;0.0005=0,,IF('114. NEW Distrib by purpose'!I7&gt;0.0005,'114. NEW Distrib by purpose'!I7,"*"))</f>
        <v>0.750245183247645</v>
      </c>
      <c r="J7" s="626">
        <f>IF('114. NEW Distrib by purpose'!J7&gt;0.0005=0,,IF('114. NEW Distrib by purpose'!J7&gt;0.0005,'114. NEW Distrib by purpose'!J7,"*"))</f>
        <v>0.79504173840751291</v>
      </c>
      <c r="K7" s="626">
        <f>IF('114. NEW Distrib by purpose'!K7&gt;0.0005=0,,IF('114. NEW Distrib by purpose'!K7&gt;0.0005,'114. NEW Distrib by purpose'!K7,"*"))</f>
        <v>0.71531394425355999</v>
      </c>
      <c r="L7" s="626">
        <f>IF('114. NEW Distrib by purpose'!L7&gt;0.0005=0,,IF('114. NEW Distrib by purpose'!L7&gt;0.0005,'114. NEW Distrib by purpose'!L7,"*"))</f>
        <v>0.75915552583201318</v>
      </c>
      <c r="M7" s="626">
        <f>IF('114. NEW Distrib by purpose'!M7&gt;0.0005=0,,IF('114. NEW Distrib by purpose'!M7&gt;0.0005,'114. NEW Distrib by purpose'!M7,"*"))</f>
        <v>0.88842455874471438</v>
      </c>
      <c r="N7" s="626">
        <f>IF('114. NEW Distrib by purpose'!N7&gt;0.0005=0,,IF('114. NEW Distrib by purpose'!N7&gt;0.0005,'114. NEW Distrib by purpose'!N7,"*"))</f>
        <v>0.8211238444941461</v>
      </c>
      <c r="O7" s="626">
        <f>IF('114. NEW Distrib by purpose'!O7&gt;0.0005=0,,IF('114. NEW Distrib by purpose'!O7&gt;0.0005,'114. NEW Distrib by purpose'!O7,"*"))</f>
        <v>0.50013595065176419</v>
      </c>
      <c r="P7" s="626">
        <f>IF('114. NEW Distrib by purpose'!P7&gt;0.0005=0,,IF('114. NEW Distrib by purpose'!P7&gt;0.0005,'114. NEW Distrib by purpose'!P7,"*"))</f>
        <v>0.79287783425034797</v>
      </c>
      <c r="Q7" s="626">
        <f>IF('114. NEW Distrib by purpose'!Q7&gt;0.0005=0,,IF('114. NEW Distrib by purpose'!Q7&gt;0.0005,'114. NEW Distrib by purpose'!Q7,"*"))</f>
        <v>0.7381916740427944</v>
      </c>
      <c r="R7" s="626">
        <f>IF('114. NEW Distrib by purpose'!R7&gt;0.0005=0,,IF('114. NEW Distrib by purpose'!R7&gt;0.0005,'114. NEW Distrib by purpose'!R7,"*"))</f>
        <v>0.79747721251246872</v>
      </c>
      <c r="S7" s="626">
        <f>IF('114. NEW Distrib by purpose'!S7&gt;0.0005=0,,IF('114. NEW Distrib by purpose'!S7&gt;0.0005,'114. NEW Distrib by purpose'!S7,"*"))</f>
        <v>0.85166728718018414</v>
      </c>
      <c r="T7" s="626">
        <f>IF('114. NEW Distrib by purpose'!T7&gt;0.0005=0,,IF('114. NEW Distrib by purpose'!T7&gt;0.0005,'114. NEW Distrib by purpose'!T7,"*"))</f>
        <v>0.70885792783825796</v>
      </c>
    </row>
    <row r="8" spans="1:20" ht="37.5" customHeight="1">
      <c r="A8" s="1217"/>
      <c r="B8" s="622" t="s">
        <v>1037</v>
      </c>
      <c r="C8" s="623" t="s">
        <v>67</v>
      </c>
      <c r="D8" s="624">
        <f>IF('114. NEW Distrib by purpose'!D8&gt;0.0005=0,,IF('114. NEW Distrib by purpose'!D8&gt;0.0005,'114. NEW Distrib by purpose'!D8,"*"))</f>
        <v>1.9160697021095463E-2</v>
      </c>
      <c r="E8" s="632">
        <f>IF('114. NEW Distrib by purpose'!E8&gt;0.0005=0,,IF('114. NEW Distrib by purpose'!E8&gt;0.0005,'114. NEW Distrib by purpose'!E8,"*"))</f>
        <v>2.1709918895149699E-2</v>
      </c>
      <c r="F8" s="628">
        <f>IF('114. NEW Distrib by purpose'!F8&gt;0.0005=0,,IF('114. NEW Distrib by purpose'!F8&gt;0.0005,'114. NEW Distrib by purpose'!F8,"*"))</f>
        <v>1.516695684970757E-2</v>
      </c>
      <c r="G8" s="628">
        <f>IF('114. NEW Distrib by purpose'!G8&gt;0.0005=0,,IF('114. NEW Distrib by purpose'!G8&gt;0.0005,'114. NEW Distrib by purpose'!G8,"*"))</f>
        <v>7.4126359350329147E-3</v>
      </c>
      <c r="H8" s="628" t="str">
        <f>IF('114. NEW Distrib by purpose'!H8&gt;0.0005=0,,IF('114. NEW Distrib by purpose'!H8&gt;0.0005,'114. NEW Distrib by purpose'!H8,"*"))</f>
        <v>*</v>
      </c>
      <c r="I8" s="628">
        <f>IF('114. NEW Distrib by purpose'!I8&gt;0.0005=0,,IF('114. NEW Distrib by purpose'!I8&gt;0.0005,'114. NEW Distrib by purpose'!I8,"*"))</f>
        <v>1.8694187424143402E-2</v>
      </c>
      <c r="J8" s="628">
        <f>IF('114. NEW Distrib by purpose'!J8&gt;0.0005=0,,IF('114. NEW Distrib by purpose'!J8&gt;0.0005,'114. NEW Distrib by purpose'!J8,"*"))</f>
        <v>3.7007262221089479E-2</v>
      </c>
      <c r="K8" s="628">
        <f>IF('114. NEW Distrib by purpose'!K8&gt;0.0005=0,,IF('114. NEW Distrib by purpose'!K8&gt;0.0005,'114. NEW Distrib by purpose'!K8,"*"))</f>
        <v>3.3047983049273852E-2</v>
      </c>
      <c r="L8" s="628">
        <f>IF('114. NEW Distrib by purpose'!L8&gt;0.0005=0,,IF('114. NEW Distrib by purpose'!L8&gt;0.0005,'114. NEW Distrib by purpose'!L8,"*"))</f>
        <v>1.2896717151648258E-2</v>
      </c>
      <c r="M8" s="628">
        <f>IF('114. NEW Distrib by purpose'!M8&gt;0.0005=0,,IF('114. NEW Distrib by purpose'!M8&gt;0.0005,'114. NEW Distrib by purpose'!M8,"*"))</f>
        <v>5.7088444436954586E-2</v>
      </c>
      <c r="N8" s="628">
        <f>IF('114. NEW Distrib by purpose'!N8&gt;0.0005=0,,IF('114. NEW Distrib by purpose'!N8&gt;0.0005,'114. NEW Distrib by purpose'!N8,"*"))</f>
        <v>1.6025689959872552E-2</v>
      </c>
      <c r="O8" s="628" t="str">
        <f>IF('114. NEW Distrib by purpose'!O8&gt;0.0005=0,,IF('114. NEW Distrib by purpose'!O8&gt;0.0005,'114. NEW Distrib by purpose'!O8,"*"))</f>
        <v>*</v>
      </c>
      <c r="P8" s="628">
        <f>IF('114. NEW Distrib by purpose'!P8&gt;0.0005=0,,IF('114. NEW Distrib by purpose'!P8&gt;0.0005,'114. NEW Distrib by purpose'!P8,"*"))</f>
        <v>2.4393487342989635E-2</v>
      </c>
      <c r="Q8" s="628">
        <f>IF('114. NEW Distrib by purpose'!Q8&gt;0.0005=0,,IF('114. NEW Distrib by purpose'!Q8&gt;0.0005,'114. NEW Distrib by purpose'!Q8,"*"))</f>
        <v>2.5203589805899027E-2</v>
      </c>
      <c r="R8" s="628">
        <f>IF('114. NEW Distrib by purpose'!R8&gt;0.0005=0,,IF('114. NEW Distrib by purpose'!R8&gt;0.0005,'114. NEW Distrib by purpose'!R8,"*"))</f>
        <v>1.4400310002093304E-2</v>
      </c>
      <c r="S8" s="628">
        <f>IF('114. NEW Distrib by purpose'!S8&gt;0.0005=0,,IF('114. NEW Distrib by purpose'!S8&gt;0.0005,'114. NEW Distrib by purpose'!S8,"*"))</f>
        <v>1.6255292510758652E-2</v>
      </c>
      <c r="T8" s="628">
        <f>IF('114. NEW Distrib by purpose'!T8&gt;0.0005=0,,IF('114. NEW Distrib by purpose'!T8&gt;0.0005,'114. NEW Distrib by purpose'!T8,"*"))</f>
        <v>2.7725909556931917E-2</v>
      </c>
    </row>
    <row r="9" spans="1:20" ht="21">
      <c r="A9" s="1217"/>
      <c r="B9" s="665" t="s">
        <v>1022</v>
      </c>
      <c r="C9" s="630">
        <f>+D8+D7</f>
        <v>0.81763526472476888</v>
      </c>
      <c r="D9" s="624">
        <f>+D8+D7</f>
        <v>0.81763526472476888</v>
      </c>
      <c r="E9" s="632">
        <f t="shared" ref="E9:T9" si="0">+E8+E7</f>
        <v>0.8087307087491985</v>
      </c>
      <c r="F9" s="628">
        <f t="shared" si="0"/>
        <v>0.81925309981544403</v>
      </c>
      <c r="G9" s="628">
        <f t="shared" si="0"/>
        <v>0.97723610241517311</v>
      </c>
      <c r="H9" s="628">
        <f>H7</f>
        <v>0.99876456895718901</v>
      </c>
      <c r="I9" s="628">
        <f t="shared" si="0"/>
        <v>0.76893937067178841</v>
      </c>
      <c r="J9" s="628">
        <f t="shared" si="0"/>
        <v>0.83204900062860243</v>
      </c>
      <c r="K9" s="628">
        <f t="shared" si="0"/>
        <v>0.7483619273028338</v>
      </c>
      <c r="L9" s="628">
        <f t="shared" si="0"/>
        <v>0.77205224298366149</v>
      </c>
      <c r="M9" s="628">
        <f>+M8+M7</f>
        <v>0.94551300318166898</v>
      </c>
      <c r="N9" s="628">
        <f t="shared" si="0"/>
        <v>0.83714953445401863</v>
      </c>
      <c r="O9" s="628">
        <f>O7</f>
        <v>0.50013595065176419</v>
      </c>
      <c r="P9" s="628">
        <f>+P8+P7</f>
        <v>0.8172713215933376</v>
      </c>
      <c r="Q9" s="628">
        <f t="shared" si="0"/>
        <v>0.76339526384869338</v>
      </c>
      <c r="R9" s="628">
        <f t="shared" si="0"/>
        <v>0.81187752251456202</v>
      </c>
      <c r="S9" s="628">
        <f t="shared" si="0"/>
        <v>0.86792257969094277</v>
      </c>
      <c r="T9" s="628">
        <f t="shared" si="0"/>
        <v>0.73658383739518984</v>
      </c>
    </row>
    <row r="10" spans="1:20" ht="35.25" customHeight="1">
      <c r="A10" s="1217"/>
      <c r="B10" s="622" t="s">
        <v>741</v>
      </c>
      <c r="C10" s="634" t="s">
        <v>118</v>
      </c>
      <c r="D10" s="649">
        <f>IF('114. NEW Distrib by purpose'!D17&gt;0.0005=0,,IF('114. NEW Distrib by purpose'!D17&gt;0.0005,'114. NEW Distrib by purpose'!D17,"*"))</f>
        <v>9.3703600148504016E-3</v>
      </c>
      <c r="E10" s="636">
        <f>IF('114. NEW Distrib by purpose'!E17&gt;0.0005=0,,IF('114. NEW Distrib by purpose'!E17&gt;0.0005,'114. NEW Distrib by purpose'!E17,"*"))</f>
        <v>1.7788696105473081E-2</v>
      </c>
      <c r="F10" s="637">
        <f>IF('114. NEW Distrib by purpose'!F17&gt;0.0005=0,,IF('114. NEW Distrib by purpose'!F17&gt;0.0005,'114. NEW Distrib by purpose'!F17,"*"))</f>
        <v>3.7965596542941446E-2</v>
      </c>
      <c r="G10" s="637" t="str">
        <f>IF('114. NEW Distrib by purpose'!G17&gt;0.0005=0,,IF('114. NEW Distrib by purpose'!G17&gt;0.0005,'114. NEW Distrib by purpose'!G17,"*"))</f>
        <v>*</v>
      </c>
      <c r="H10" s="637" t="str">
        <f>IF('114. NEW Distrib by purpose'!H17&gt;0.0005=0,,IF('114. NEW Distrib by purpose'!H17&gt;0.0005,'114. NEW Distrib by purpose'!H17,"*"))</f>
        <v>*</v>
      </c>
      <c r="I10" s="637">
        <f>IF('114. NEW Distrib by purpose'!I17&gt;0.0005=0,,IF('114. NEW Distrib by purpose'!I17&gt;0.0005,'114. NEW Distrib by purpose'!I17,"*"))</f>
        <v>7.1060561529951516E-3</v>
      </c>
      <c r="J10" s="637">
        <f>IF('114. NEW Distrib by purpose'!J17&gt;0.0005=0,,IF('114. NEW Distrib by purpose'!J17&gt;0.0005,'114. NEW Distrib by purpose'!J17,"*"))</f>
        <v>2.9969388259617254E-3</v>
      </c>
      <c r="K10" s="637">
        <f>IF('114. NEW Distrib by purpose'!K17&gt;0.0005=0,,IF('114. NEW Distrib by purpose'!K17&gt;0.0005,'114. NEW Distrib by purpose'!K17,"*"))</f>
        <v>8.484213747256204E-3</v>
      </c>
      <c r="L10" s="637" t="str">
        <f>IF('114. NEW Distrib by purpose'!L17&gt;0.0005=0,,IF('114. NEW Distrib by purpose'!L17&gt;0.0005,'114. NEW Distrib by purpose'!L17,"*"))</f>
        <v>*</v>
      </c>
      <c r="M10" s="637" t="str">
        <f>IF('114. NEW Distrib by purpose'!M17&gt;0.0005=0,,IF('114. NEW Distrib by purpose'!M17&gt;0.0005,'114. NEW Distrib by purpose'!M17,"*"))</f>
        <v>*</v>
      </c>
      <c r="N10" s="637">
        <f>IF('114. NEW Distrib by purpose'!N17&gt;0.0005=0,,IF('114. NEW Distrib by purpose'!N17&gt;0.0005,'114. NEW Distrib by purpose'!N17,"*"))</f>
        <v>3.6942811028657346E-2</v>
      </c>
      <c r="O10" s="637" t="str">
        <f>IF('114. NEW Distrib by purpose'!O17&gt;0.0005=0,,IF('114. NEW Distrib by purpose'!O17&gt;0.0005,'114. NEW Distrib by purpose'!O17,"*"))</f>
        <v>*</v>
      </c>
      <c r="P10" s="637" t="str">
        <f>IF('114. NEW Distrib by purpose'!P17&gt;0.0005=0,,IF('114. NEW Distrib by purpose'!P17&gt;0.0005,'114. NEW Distrib by purpose'!P17,"*"))</f>
        <v>*</v>
      </c>
      <c r="Q10" s="637" t="str">
        <f>IF('114. NEW Distrib by purpose'!Q17&gt;0.0005=0,,IF('114. NEW Distrib by purpose'!Q17&gt;0.0005,'114. NEW Distrib by purpose'!Q17,"*"))</f>
        <v>*</v>
      </c>
      <c r="R10" s="637">
        <f>IF('114. NEW Distrib by purpose'!R17&gt;0.0005=0,,IF('114. NEW Distrib by purpose'!R17&gt;0.0005,'114. NEW Distrib by purpose'!R17,"*"))</f>
        <v>5.2802925134233826E-3</v>
      </c>
      <c r="S10" s="637">
        <f>IF('114. NEW Distrib by purpose'!S17&gt;0.0005=0,,IF('114. NEW Distrib by purpose'!S17&gt;0.0005,'114. NEW Distrib by purpose'!S17,"*"))</f>
        <v>9.2187933693611557E-3</v>
      </c>
      <c r="T10" s="637">
        <f>IF('114. NEW Distrib by purpose'!T17&gt;0.0005=0,,IF('114. NEW Distrib by purpose'!T17&gt;0.0005,'114. NEW Distrib by purpose'!T17,"*"))</f>
        <v>3.4178231488249363E-3</v>
      </c>
    </row>
    <row r="11" spans="1:20" ht="33" customHeight="1">
      <c r="A11" s="1218"/>
      <c r="B11" s="638" t="s">
        <v>297</v>
      </c>
      <c r="C11" s="639" t="s">
        <v>132</v>
      </c>
      <c r="D11" s="640">
        <f>IF('114. NEW Distrib by purpose'!D24&gt;0.0005=0,,IF('114. NEW Distrib by purpose'!D24&gt;0.0005,'114. NEW Distrib by purpose'!D24,"*"))</f>
        <v>4.6206284671252403E-3</v>
      </c>
      <c r="E11" s="641" t="str">
        <f>IF('114. NEW Distrib by purpose'!E24&gt;0.0005=0,,IF('114. NEW Distrib by purpose'!E24&gt;0.0005,'114. NEW Distrib by purpose'!E24,"*"))</f>
        <v>*</v>
      </c>
      <c r="F11" s="642" t="str">
        <f>IF('114. NEW Distrib by purpose'!F24&gt;0.0005=0,,IF('114. NEW Distrib by purpose'!F24&gt;0.0005,'114. NEW Distrib by purpose'!F24,"*"))</f>
        <v>*</v>
      </c>
      <c r="G11" s="642">
        <f>IF('114. NEW Distrib by purpose'!G24&gt;0.0005=0,,IF('114. NEW Distrib by purpose'!G24&gt;0.0005,'114. NEW Distrib by purpose'!G24,"*"))</f>
        <v>1.7616114068361153E-3</v>
      </c>
      <c r="H11" s="642" t="str">
        <f>IF('114. NEW Distrib by purpose'!H24&gt;0.0005=0,,IF('114. NEW Distrib by purpose'!H24&gt;0.0005,'114. NEW Distrib by purpose'!H24,"*"))</f>
        <v>*</v>
      </c>
      <c r="I11" s="642">
        <f>IF('114. NEW Distrib by purpose'!I24&gt;0.0005=0,,IF('114. NEW Distrib by purpose'!I24&gt;0.0005,'114. NEW Distrib by purpose'!I24,"*"))</f>
        <v>1.1301208780252302E-2</v>
      </c>
      <c r="J11" s="642">
        <f>IF('114. NEW Distrib by purpose'!J24&gt;0.0005=0,,IF('114. NEW Distrib by purpose'!J24&gt;0.0005,'114. NEW Distrib by purpose'!J24,"*"))</f>
        <v>9.0165501102564775E-3</v>
      </c>
      <c r="K11" s="642">
        <f>IF('114. NEW Distrib by purpose'!K24&gt;0.0005=0,,IF('114. NEW Distrib by purpose'!K24&gt;0.0005,'114. NEW Distrib by purpose'!K24,"*"))</f>
        <v>3.9720773422987302E-3</v>
      </c>
      <c r="L11" s="642">
        <f>IF('114. NEW Distrib by purpose'!L24&gt;0.0005=0,,IF('114. NEW Distrib by purpose'!L24&gt;0.0005,'114. NEW Distrib by purpose'!L24,"*"))</f>
        <v>1.2176767019308355E-3</v>
      </c>
      <c r="M11" s="642" t="str">
        <f>IF('114. NEW Distrib by purpose'!M24&gt;0.0005=0,,IF('114. NEW Distrib by purpose'!M24&gt;0.0005,'114. NEW Distrib by purpose'!M24,"*"))</f>
        <v>*</v>
      </c>
      <c r="N11" s="642">
        <f>IF('114. NEW Distrib by purpose'!N24&gt;0.0005=0,,IF('114. NEW Distrib by purpose'!N24&gt;0.0005,'114. NEW Distrib by purpose'!N24,"*"))</f>
        <v>4.5806584759798081E-3</v>
      </c>
      <c r="O11" s="642" t="str">
        <f>IF('114. NEW Distrib by purpose'!O24&gt;0.0005=0,,IF('114. NEW Distrib by purpose'!O24&gt;0.0005,'114. NEW Distrib by purpose'!O24,"*"))</f>
        <v>*</v>
      </c>
      <c r="P11" s="642">
        <f>IF('114. NEW Distrib by purpose'!P24&gt;0.0005=0,,IF('114. NEW Distrib by purpose'!P24&gt;0.0005,'114. NEW Distrib by purpose'!P24,"*"))</f>
        <v>1.2006376477595279E-3</v>
      </c>
      <c r="Q11" s="642" t="str">
        <f>IF('114. NEW Distrib by purpose'!Q24&gt;0.0005=0,,IF('114. NEW Distrib by purpose'!Q24&gt;0.0005,'114. NEW Distrib by purpose'!Q24,"*"))</f>
        <v>*</v>
      </c>
      <c r="R11" s="642" t="str">
        <f>IF('114. NEW Distrib by purpose'!R24&gt;0.0005=0,,IF('114. NEW Distrib by purpose'!R24&gt;0.0005,'114. NEW Distrib by purpose'!R24,"*"))</f>
        <v>*</v>
      </c>
      <c r="S11" s="642">
        <f>IF('114. NEW Distrib by purpose'!S24&gt;0.0005=0,,IF('114. NEW Distrib by purpose'!S24&gt;0.0005,'114. NEW Distrib by purpose'!S24,"*"))</f>
        <v>2.1768936824952748E-2</v>
      </c>
      <c r="T11" s="642">
        <f>IF('114. NEW Distrib by purpose'!T24&gt;0.0005=0,,IF('114. NEW Distrib by purpose'!T24&gt;0.0005,'114. NEW Distrib by purpose'!T24,"*"))</f>
        <v>5.7919412394650946E-3</v>
      </c>
    </row>
    <row r="12" spans="1:20" ht="24.75" customHeight="1">
      <c r="A12" s="1216" t="s">
        <v>825</v>
      </c>
      <c r="B12" s="643" t="s">
        <v>301</v>
      </c>
      <c r="C12" s="666" t="s">
        <v>138</v>
      </c>
      <c r="D12" s="645">
        <f>IF('114. NEW Distrib by purpose'!D29&gt;0.0005=0,,IF('114. NEW Distrib by purpose'!D29&gt;0.0005,'114. NEW Distrib by purpose'!D29,"*"))</f>
        <v>9.069666315743909E-3</v>
      </c>
      <c r="E12" s="646">
        <f>IF('114. NEW Distrib by purpose'!E29&gt;0.0005=0,,IF('114. NEW Distrib by purpose'!E29&gt;0.0005,'114. NEW Distrib by purpose'!E29,"*"))</f>
        <v>6.5431016773445537E-3</v>
      </c>
      <c r="F12" s="647">
        <f>IF('114. NEW Distrib by purpose'!F29&gt;0.0005=0,,IF('114. NEW Distrib by purpose'!F29&gt;0.0005,'114. NEW Distrib by purpose'!F29,"*"))</f>
        <v>5.0439791126924123E-3</v>
      </c>
      <c r="G12" s="647">
        <f>IF('114. NEW Distrib by purpose'!G29&gt;0.0005=0,,IF('114. NEW Distrib by purpose'!G29&gt;0.0005,'114. NEW Distrib by purpose'!G29,"*"))</f>
        <v>1.2800527828345364E-2</v>
      </c>
      <c r="H12" s="647">
        <f>IF('114. NEW Distrib by purpose'!H29&gt;0.0005=0,,IF('114. NEW Distrib by purpose'!H29&gt;0.0005,'114. NEW Distrib by purpose'!H29,"*"))</f>
        <v>1.2354310428109815E-3</v>
      </c>
      <c r="I12" s="647">
        <f>IF('114. NEW Distrib by purpose'!I29&gt;0.0005=0,,IF('114. NEW Distrib by purpose'!I29&gt;0.0005,'114. NEW Distrib by purpose'!I29,"*"))</f>
        <v>1.7459183297722923E-3</v>
      </c>
      <c r="J12" s="647">
        <f>IF('114. NEW Distrib by purpose'!J29&gt;0.0005=0,,IF('114. NEW Distrib by purpose'!J29&gt;0.0005,'114. NEW Distrib by purpose'!J29,"*"))</f>
        <v>1.0414435332175381E-2</v>
      </c>
      <c r="K12" s="647">
        <f>IF('114. NEW Distrib by purpose'!K29&gt;0.0005=0,,IF('114. NEW Distrib by purpose'!K29&gt;0.0005,'114. NEW Distrib by purpose'!K29,"*"))</f>
        <v>1.6082335554263794E-2</v>
      </c>
      <c r="L12" s="647">
        <f>IF('114. NEW Distrib by purpose'!L29&gt;0.0005=0,,IF('114. NEW Distrib by purpose'!L29&gt;0.0005,'114. NEW Distrib by purpose'!L29,"*"))</f>
        <v>4.0692228699372021E-3</v>
      </c>
      <c r="M12" s="647">
        <f>IF('114. NEW Distrib by purpose'!M29&gt;0.0005=0,,IF('114. NEW Distrib by purpose'!M29&gt;0.0005,'114. NEW Distrib by purpose'!M29,"*"))</f>
        <v>5.2614582279120851E-3</v>
      </c>
      <c r="N12" s="647">
        <f>IF('114. NEW Distrib by purpose'!N29&gt;0.0005=0,,IF('114. NEW Distrib by purpose'!N29&gt;0.0005,'114. NEW Distrib by purpose'!N29,"*"))</f>
        <v>4.5622614703195912E-3</v>
      </c>
      <c r="O12" s="647">
        <f>IF('114. NEW Distrib by purpose'!O29&gt;0.0005=0,,IF('114. NEW Distrib by purpose'!O29&gt;0.0005,'114. NEW Distrib by purpose'!O29,"*"))</f>
        <v>0.49986404934823575</v>
      </c>
      <c r="P12" s="647">
        <f>IF('114. NEW Distrib by purpose'!P29&gt;0.0005=0,,IF('114. NEW Distrib by purpose'!P29&gt;0.0005,'114. NEW Distrib by purpose'!P29,"*"))</f>
        <v>6.7439057477732059E-3</v>
      </c>
      <c r="Q12" s="647">
        <f>IF('114. NEW Distrib by purpose'!Q29&gt;0.0005=0,,IF('114. NEW Distrib by purpose'!Q29&gt;0.0005,'114. NEW Distrib by purpose'!Q29,"*"))</f>
        <v>7.8536260627661818E-3</v>
      </c>
      <c r="R12" s="647">
        <f>IF('114. NEW Distrib by purpose'!R29&gt;0.0005=0,,IF('114. NEW Distrib by purpose'!R29&gt;0.0005,'114. NEW Distrib by purpose'!R29,"*"))</f>
        <v>1.9328525099341624E-2</v>
      </c>
      <c r="S12" s="647">
        <f>IF('114. NEW Distrib by purpose'!S29&gt;0.0005=0,,IF('114. NEW Distrib by purpose'!S29&gt;0.0005,'114. NEW Distrib by purpose'!S29,"*"))</f>
        <v>7.3325112818232235E-3</v>
      </c>
      <c r="T12" s="647">
        <f>IF('114. NEW Distrib by purpose'!T29&gt;0.0005=0,,IF('114. NEW Distrib by purpose'!T29&gt;0.0005,'114. NEW Distrib by purpose'!T29,"*"))</f>
        <v>9.1112179560564888E-3</v>
      </c>
    </row>
    <row r="13" spans="1:20" ht="39" customHeight="1">
      <c r="A13" s="1217"/>
      <c r="B13" s="648" t="s">
        <v>1038</v>
      </c>
      <c r="C13" s="634" t="s">
        <v>151</v>
      </c>
      <c r="D13" s="649">
        <f>IF('114. NEW Distrib by purpose'!D34&gt;0.0005=0,,IF('114. NEW Distrib by purpose'!D34&gt;0.0005,'114. NEW Distrib by purpose'!D34,"*"))</f>
        <v>2.8945326983273994E-3</v>
      </c>
      <c r="E13" s="636">
        <f>IF('114. NEW Distrib by purpose'!E34&gt;0.0005=0,,IF('114. NEW Distrib by purpose'!E34&gt;0.0005,'114. NEW Distrib by purpose'!E34,"*"))</f>
        <v>3.7773221000072634E-3</v>
      </c>
      <c r="F13" s="637" t="str">
        <f>IF('114. NEW Distrib by purpose'!F34&gt;0.0005=0,,IF('114. NEW Distrib by purpose'!F34&gt;0.0005,'114. NEW Distrib by purpose'!F34,"*"))</f>
        <v>*</v>
      </c>
      <c r="G13" s="637" t="str">
        <f>IF('114. NEW Distrib by purpose'!G34&gt;0.0005=0,,IF('114. NEW Distrib by purpose'!G34&gt;0.0005,'114. NEW Distrib by purpose'!G34,"*"))</f>
        <v>*</v>
      </c>
      <c r="H13" s="637" t="str">
        <f>IF('114. NEW Distrib by purpose'!H34&gt;0.0005=0,,IF('114. NEW Distrib by purpose'!H34&gt;0.0005,'114. NEW Distrib by purpose'!H34,"*"))</f>
        <v>*</v>
      </c>
      <c r="I13" s="637">
        <f>IF('114. NEW Distrib by purpose'!I34&gt;0.0005=0,,IF('114. NEW Distrib by purpose'!I34&gt;0.0005,'114. NEW Distrib by purpose'!I34,"*"))</f>
        <v>9.854986675782388E-3</v>
      </c>
      <c r="J13" s="637" t="str">
        <f>IF('114. NEW Distrib by purpose'!J34&gt;0.0005=0,,IF('114. NEW Distrib by purpose'!J34&gt;0.0005,'114. NEW Distrib by purpose'!J34,"*"))</f>
        <v>*</v>
      </c>
      <c r="K13" s="637" t="str">
        <f>IF('114. NEW Distrib by purpose'!K34&gt;0.0005=0,,IF('114. NEW Distrib by purpose'!K34&gt;0.0005,'114. NEW Distrib by purpose'!K34,"*"))</f>
        <v>*</v>
      </c>
      <c r="L13" s="637">
        <f>IF('114. NEW Distrib by purpose'!L34&gt;0.0005=0,,IF('114. NEW Distrib by purpose'!L34&gt;0.0005,'114. NEW Distrib by purpose'!L34,"*"))</f>
        <v>1.1978875275363482E-2</v>
      </c>
      <c r="M13" s="637" t="str">
        <f>IF('114. NEW Distrib by purpose'!M34&gt;0.0005=0,,IF('114. NEW Distrib by purpose'!M34&gt;0.0005,'114. NEW Distrib by purpose'!M34,"*"))</f>
        <v>*</v>
      </c>
      <c r="N13" s="637" t="str">
        <f>IF('114. NEW Distrib by purpose'!N34&gt;0.0005=0,,IF('114. NEW Distrib by purpose'!N34&gt;0.0005,'114. NEW Distrib by purpose'!N34,"*"))</f>
        <v>*</v>
      </c>
      <c r="O13" s="637" t="str">
        <f>IF('114. NEW Distrib by purpose'!O34&gt;0.0005=0,,IF('114. NEW Distrib by purpose'!O34&gt;0.0005,'114. NEW Distrib by purpose'!O34,"*"))</f>
        <v>*</v>
      </c>
      <c r="P13" s="637">
        <f>IF('114. NEW Distrib by purpose'!P34&gt;0.0005=0,,IF('114. NEW Distrib by purpose'!P34&gt;0.0005,'114. NEW Distrib by purpose'!P34,"*"))</f>
        <v>1.5235958971162422E-3</v>
      </c>
      <c r="Q13" s="637" t="str">
        <f>IF('114. NEW Distrib by purpose'!Q34&gt;0.0005=0,,IF('114. NEW Distrib by purpose'!Q34&gt;0.0005,'114. NEW Distrib by purpose'!Q34,"*"))</f>
        <v>*</v>
      </c>
      <c r="R13" s="637">
        <f>IF('114. NEW Distrib by purpose'!R34&gt;0.0005=0,,IF('114. NEW Distrib by purpose'!R34&gt;0.0005,'114. NEW Distrib by purpose'!R34,"*"))</f>
        <v>3.0188511218695114E-3</v>
      </c>
      <c r="S13" s="637" t="str">
        <f>IF('114. NEW Distrib by purpose'!S34&gt;0.0005=0,,IF('114. NEW Distrib by purpose'!S34&gt;0.0005,'114. NEW Distrib by purpose'!S34,"*"))</f>
        <v>*</v>
      </c>
      <c r="T13" s="637" t="str">
        <f>IF('114. NEW Distrib by purpose'!T34&gt;0.0005=0,,IF('114. NEW Distrib by purpose'!T34&gt;0.0005,'114. NEW Distrib by purpose'!T34,"*"))</f>
        <v>*</v>
      </c>
    </row>
    <row r="14" spans="1:20" ht="25.5" customHeight="1">
      <c r="A14" s="1217"/>
      <c r="B14" s="648" t="s">
        <v>307</v>
      </c>
      <c r="C14" s="634" t="s">
        <v>248</v>
      </c>
      <c r="D14" s="650" t="str">
        <f>IF('114. NEW Distrib by purpose'!D35&gt;0.0005=0,,IF('114. NEW Distrib by purpose'!D35&gt;0.0005,'114. NEW Distrib by purpose'!D35,"*"))</f>
        <v>*</v>
      </c>
      <c r="E14" s="595" t="str">
        <f>IF('114. NEW Distrib by purpose'!E35&gt;0.0005=0,,IF('114. NEW Distrib by purpose'!E35&gt;0.0005,'114. NEW Distrib by purpose'!E35,"*"))</f>
        <v>*</v>
      </c>
      <c r="F14" s="651">
        <f>IF('114. NEW Distrib by purpose'!F35&gt;0.0005=0,,IF('114. NEW Distrib by purpose'!F35&gt;0.0005,'114. NEW Distrib by purpose'!F35,"*"))</f>
        <v>1.9195724261109267E-3</v>
      </c>
      <c r="G14" s="651">
        <f>IF('114. NEW Distrib by purpose'!G35&gt;0.0005=0,,IF('114. NEW Distrib by purpose'!G35&gt;0.0005,'114. NEW Distrib by purpose'!G35,"*"))</f>
        <v>2.6549717301828624E-3</v>
      </c>
      <c r="H14" s="651" t="str">
        <f>IF('114. NEW Distrib by purpose'!H35&gt;0.0005=0,,IF('114. NEW Distrib by purpose'!H35&gt;0.0005,'114. NEW Distrib by purpose'!H35,"*"))</f>
        <v>*</v>
      </c>
      <c r="I14" s="651">
        <f>IF('114. NEW Distrib by purpose'!I35&gt;0.0005=0,,IF('114. NEW Distrib by purpose'!I35&gt;0.0005,'114. NEW Distrib by purpose'!I35,"*"))</f>
        <v>6.1645889614395414E-4</v>
      </c>
      <c r="J14" s="651">
        <f>IF('114. NEW Distrib by purpose'!J35&gt;0.0005=0,,IF('114. NEW Distrib by purpose'!J35&gt;0.0005,'114. NEW Distrib by purpose'!J35,"*"))</f>
        <v>1.6842833944565707E-3</v>
      </c>
      <c r="K14" s="651" t="str">
        <f>IF('114. NEW Distrib by purpose'!K35&gt;0.0005=0,,IF('114. NEW Distrib by purpose'!K35&gt;0.0005,'114. NEW Distrib by purpose'!K35,"*"))</f>
        <v>*</v>
      </c>
      <c r="L14" s="651" t="str">
        <f>IF('114. NEW Distrib by purpose'!L35&gt;0.0005=0,,IF('114. NEW Distrib by purpose'!L35&gt;0.0005,'114. NEW Distrib by purpose'!L35,"*"))</f>
        <v>*</v>
      </c>
      <c r="M14" s="651" t="str">
        <f>IF('114. NEW Distrib by purpose'!M35&gt;0.0005=0,,IF('114. NEW Distrib by purpose'!M35&gt;0.0005,'114. NEW Distrib by purpose'!M35,"*"))</f>
        <v>*</v>
      </c>
      <c r="N14" s="651" t="str">
        <f>IF('114. NEW Distrib by purpose'!N35&gt;0.0005=0,,IF('114. NEW Distrib by purpose'!N35&gt;0.0005,'114. NEW Distrib by purpose'!N35,"*"))</f>
        <v>*</v>
      </c>
      <c r="O14" s="651" t="str">
        <f>IF('114. NEW Distrib by purpose'!O35&gt;0.0005=0,,IF('114. NEW Distrib by purpose'!O35&gt;0.0005,'114. NEW Distrib by purpose'!O35,"*"))</f>
        <v>*</v>
      </c>
      <c r="P14" s="651">
        <f>IF('114. NEW Distrib by purpose'!P35&gt;0.0005=0,,IF('114. NEW Distrib by purpose'!P35&gt;0.0005,'114. NEW Distrib by purpose'!P35,"*"))</f>
        <v>8.3205083853513139E-4</v>
      </c>
      <c r="Q14" s="651">
        <f>IF('114. NEW Distrib by purpose'!Q35&gt;0.0005=0,,IF('114. NEW Distrib by purpose'!Q35&gt;0.0005,'114. NEW Distrib by purpose'!Q35,"*"))</f>
        <v>5.4702474027059863E-4</v>
      </c>
      <c r="R14" s="651" t="str">
        <f>IF('114. NEW Distrib by purpose'!R35&gt;0.0005=0,,IF('114. NEW Distrib by purpose'!R35&gt;0.0005,'114. NEW Distrib by purpose'!R35,"*"))</f>
        <v>*</v>
      </c>
      <c r="S14" s="651" t="str">
        <f>IF('114. NEW Distrib by purpose'!S35&gt;0.0005=0,,IF('114. NEW Distrib by purpose'!S35&gt;0.0005,'114. NEW Distrib by purpose'!S35,"*"))</f>
        <v>*</v>
      </c>
      <c r="T14" s="651">
        <f>IF('114. NEW Distrib by purpose'!T35&gt;0.0005=0,,IF('114. NEW Distrib by purpose'!T35&gt;0.0005,'114. NEW Distrib by purpose'!T35,"*"))</f>
        <v>8.8692078588609321E-4</v>
      </c>
    </row>
    <row r="15" spans="1:20" ht="48.75" customHeight="1">
      <c r="A15" s="1217"/>
      <c r="B15" s="648" t="s">
        <v>311</v>
      </c>
      <c r="C15" s="634" t="s">
        <v>159</v>
      </c>
      <c r="D15" s="649">
        <f>IF('114. NEW Distrib by purpose'!D39&gt;0.0005=0,,IF('114. NEW Distrib by purpose'!D39&gt;0.0005,'114. NEW Distrib by purpose'!D39,"*"))</f>
        <v>6.1206706102036518E-2</v>
      </c>
      <c r="E15" s="636">
        <f>IF('114. NEW Distrib by purpose'!E39&gt;0.0005=0,,IF('114. NEW Distrib by purpose'!E39&gt;0.0005,'114. NEW Distrib by purpose'!E39,"*"))</f>
        <v>2.3343019986258214E-2</v>
      </c>
      <c r="F15" s="637">
        <f>IF('114. NEW Distrib by purpose'!F39&gt;0.0005=0,,IF('114. NEW Distrib by purpose'!F39&gt;0.0005,'114. NEW Distrib by purpose'!F39,"*"))</f>
        <v>5.7268479986820373E-2</v>
      </c>
      <c r="G15" s="637">
        <f>IF('114. NEW Distrib by purpose'!G39&gt;0.0005=0,,IF('114. NEW Distrib by purpose'!G39&gt;0.0005,'114. NEW Distrib by purpose'!G39,"*"))</f>
        <v>4.6130146519032435E-3</v>
      </c>
      <c r="H15" s="637" t="str">
        <f>IF('114. NEW Distrib by purpose'!H39&gt;0.0005=0,,IF('114. NEW Distrib by purpose'!H39&gt;0.0005,'114. NEW Distrib by purpose'!H39,"*"))</f>
        <v>*</v>
      </c>
      <c r="I15" s="637">
        <f>IF('114. NEW Distrib by purpose'!I39&gt;0.0005=0,,IF('114. NEW Distrib by purpose'!I39&gt;0.0005,'114. NEW Distrib by purpose'!I39,"*"))</f>
        <v>0.13241241356028144</v>
      </c>
      <c r="J15" s="637">
        <f>IF('114. NEW Distrib by purpose'!J39&gt;0.0005=0,,IF('114. NEW Distrib by purpose'!J39&gt;0.0005,'114. NEW Distrib by purpose'!J39,"*"))</f>
        <v>8.3742592331746996E-2</v>
      </c>
      <c r="K15" s="637">
        <f>IF('114. NEW Distrib by purpose'!K39&gt;0.0005=0,,IF('114. NEW Distrib by purpose'!K39&gt;0.0005,'114. NEW Distrib by purpose'!K39,"*"))</f>
        <v>0.13630581919684626</v>
      </c>
      <c r="L15" s="637">
        <f>IF('114. NEW Distrib by purpose'!L39&gt;0.0005=0,,IF('114. NEW Distrib by purpose'!L39&gt;0.0005,'114. NEW Distrib by purpose'!L39,"*"))</f>
        <v>4.0076088550063477E-2</v>
      </c>
      <c r="M15" s="637">
        <f>IF('114. NEW Distrib by purpose'!M39&gt;0.0005=0,,IF('114. NEW Distrib by purpose'!M39&gt;0.0005,'114. NEW Distrib by purpose'!M39,"*"))</f>
        <v>2.8124151714267985E-2</v>
      </c>
      <c r="N15" s="637">
        <f>IF('114. NEW Distrib by purpose'!N39&gt;0.0005=0,,IF('114. NEW Distrib by purpose'!N39&gt;0.0005,'114. NEW Distrib by purpose'!N39,"*"))</f>
        <v>3.6111282239815953E-2</v>
      </c>
      <c r="O15" s="637" t="str">
        <f>IF('114. NEW Distrib by purpose'!O39&gt;0.0005=0,,IF('114. NEW Distrib by purpose'!O39&gt;0.0005,'114. NEW Distrib by purpose'!O39,"*"))</f>
        <v>*</v>
      </c>
      <c r="P15" s="637">
        <f>IF('114. NEW Distrib by purpose'!P39&gt;0.0005=0,,IF('114. NEW Distrib by purpose'!P39&gt;0.0005,'114. NEW Distrib by purpose'!P39,"*"))</f>
        <v>0.11685868227015023</v>
      </c>
      <c r="Q15" s="637">
        <f>IF('114. NEW Distrib by purpose'!Q39&gt;0.0005=0,,IF('114. NEW Distrib by purpose'!Q39&gt;0.0005,'114. NEW Distrib by purpose'!Q39,"*"))</f>
        <v>0.13018935520672958</v>
      </c>
      <c r="R15" s="637">
        <f>IF('114. NEW Distrib by purpose'!R39&gt;0.0005=0,,IF('114. NEW Distrib by purpose'!R39&gt;0.0005,'114. NEW Distrib by purpose'!R39,"*"))</f>
        <v>3.424349172555842E-2</v>
      </c>
      <c r="S15" s="637">
        <f>IF('114. NEW Distrib by purpose'!S39&gt;0.0005=0,,IF('114. NEW Distrib by purpose'!S39&gt;0.0005,'114. NEW Distrib by purpose'!S39,"*"))</f>
        <v>5.1036163890081657E-2</v>
      </c>
      <c r="T15" s="637">
        <f>IF('114. NEW Distrib by purpose'!T39&gt;0.0005=0,,IF('114. NEW Distrib by purpose'!T39&gt;0.0005,'114. NEW Distrib by purpose'!T39,"*"))</f>
        <v>7.2400954097477419E-2</v>
      </c>
    </row>
    <row r="16" spans="1:20" ht="36" customHeight="1">
      <c r="A16" s="1219"/>
      <c r="B16" s="622" t="s">
        <v>1030</v>
      </c>
      <c r="C16" s="634" t="s">
        <v>64</v>
      </c>
      <c r="D16" s="649">
        <f>IF('114. NEW Distrib by purpose'!D55&gt;0.0005=0,,IF('114. NEW Distrib by purpose'!D55&gt;0.0005,'114. NEW Distrib by purpose'!D55,"*"))</f>
        <v>6.1562098509867283E-2</v>
      </c>
      <c r="E16" s="636">
        <f>IF('114. NEW Distrib by purpose'!E55&gt;0.0005=0,,IF('114. NEW Distrib by purpose'!E55&gt;0.0005,'114. NEW Distrib by purpose'!E55,"*"))</f>
        <v>0.13587954405775346</v>
      </c>
      <c r="F16" s="637" t="str">
        <f>IF('114. NEW Distrib by purpose'!F55&gt;0.0005=0,,IF('114. NEW Distrib by purpose'!F55&gt;0.0005,'114. NEW Distrib by purpose'!F55,"*"))</f>
        <v>*</v>
      </c>
      <c r="G16" s="637" t="str">
        <f>IF('114. NEW Distrib by purpose'!G55&gt;0.0005=0,,IF('114. NEW Distrib by purpose'!G55&gt;0.0005,'114. NEW Distrib by purpose'!G55,"*"))</f>
        <v>*</v>
      </c>
      <c r="H16" s="637" t="str">
        <f>IF('114. NEW Distrib by purpose'!H55&gt;0.0005=0,,IF('114. NEW Distrib by purpose'!H55&gt;0.0005,'114. NEW Distrib by purpose'!H55,"*"))</f>
        <v>*</v>
      </c>
      <c r="I16" s="637">
        <f>IF('114. NEW Distrib by purpose'!I55&gt;0.0005=0,,IF('114. NEW Distrib by purpose'!I55&gt;0.0005,'114. NEW Distrib by purpose'!I55,"*"))</f>
        <v>5.1129995009201436E-2</v>
      </c>
      <c r="J16" s="637">
        <f>IF('114. NEW Distrib by purpose'!J55&gt;0.0005=0,,IF('114. NEW Distrib by purpose'!J55&gt;0.0005,'114. NEW Distrib by purpose'!J55,"*"))</f>
        <v>5.9602447143147073E-2</v>
      </c>
      <c r="K16" s="637" t="str">
        <f>IF('114. NEW Distrib by purpose'!K55&gt;0.0005=0,,IF('114. NEW Distrib by purpose'!K55&gt;0.0005,'114. NEW Distrib by purpose'!K55,"*"))</f>
        <v>*</v>
      </c>
      <c r="L16" s="637" t="str">
        <f>IF('114. NEW Distrib by purpose'!L55&gt;0.0005=0,,IF('114. NEW Distrib by purpose'!L55&gt;0.0005,'114. NEW Distrib by purpose'!L55,"*"))</f>
        <v>*</v>
      </c>
      <c r="M16" s="637">
        <f>IF('114. NEW Distrib by purpose'!M55&gt;0.0005=0,,IF('114. NEW Distrib by purpose'!M55&gt;0.0005,'114. NEW Distrib by purpose'!M55,"*"))</f>
        <v>2.0160727771542517E-2</v>
      </c>
      <c r="N16" s="637">
        <f>IF('114. NEW Distrib by purpose'!N55&gt;0.0005=0,,IF('114. NEW Distrib by purpose'!N55&gt;0.0005,'114. NEW Distrib by purpose'!N55,"*"))</f>
        <v>7.2528655596161298E-2</v>
      </c>
      <c r="O16" s="637" t="str">
        <f>IF('114. NEW Distrib by purpose'!O55&gt;0.0005=0,,IF('114. NEW Distrib by purpose'!O55&gt;0.0005,'114. NEW Distrib by purpose'!O55,"*"))</f>
        <v>*</v>
      </c>
      <c r="P16" s="637">
        <f>IF('114. NEW Distrib by purpose'!P55&gt;0.0005=0,,IF('114. NEW Distrib by purpose'!P55&gt;0.0005,'114. NEW Distrib by purpose'!P55,"*"))</f>
        <v>5.1052113564798475E-3</v>
      </c>
      <c r="Q16" s="637">
        <f>IF('114. NEW Distrib by purpose'!Q55&gt;0.0005=0,,IF('114. NEW Distrib by purpose'!Q55&gt;0.0005,'114. NEW Distrib by purpose'!Q55,"*"))</f>
        <v>1.752708444329848E-2</v>
      </c>
      <c r="R16" s="637">
        <f>IF('114. NEW Distrib by purpose'!R55&gt;0.0005=0,,IF('114. NEW Distrib by purpose'!R55&gt;0.0005,'114. NEW Distrib by purpose'!R55,"*"))</f>
        <v>0.12271640842816584</v>
      </c>
      <c r="S16" s="637">
        <f>IF('114. NEW Distrib by purpose'!S55&gt;0.0005=0,,IF('114. NEW Distrib by purpose'!S55&gt;0.0005,'114. NEW Distrib by purpose'!S55,"*"))</f>
        <v>3.1375200043899876E-2</v>
      </c>
      <c r="T16" s="637">
        <f>IF('114. NEW Distrib by purpose'!T55&gt;0.0005=0,,IF('114. NEW Distrib by purpose'!T55&gt;0.0005,'114. NEW Distrib by purpose'!T55,"*"))</f>
        <v>0.13867383590826984</v>
      </c>
    </row>
    <row r="17" spans="1:20" ht="37.5" customHeight="1">
      <c r="A17" s="1219"/>
      <c r="B17" s="622" t="s">
        <v>1031</v>
      </c>
      <c r="C17" s="634" t="s">
        <v>238</v>
      </c>
      <c r="D17" s="649">
        <f>IF('114. NEW Distrib by purpose'!D56&gt;0.0005=0,,IF('114. NEW Distrib by purpose'!D56&gt;0.0005,'114. NEW Distrib by purpose'!D56,"*"))</f>
        <v>1.9816848416737649E-2</v>
      </c>
      <c r="E17" s="636" t="str">
        <f>IF('114. NEW Distrib by purpose'!E56&gt;0.0005=0,,IF('114. NEW Distrib by purpose'!E56&gt;0.0005,'114. NEW Distrib by purpose'!E56,"*"))</f>
        <v>*</v>
      </c>
      <c r="F17" s="637">
        <f>IF('114. NEW Distrib by purpose'!F56&gt;0.0005=0,,IF('114. NEW Distrib by purpose'!F56&gt;0.0005,'114. NEW Distrib by purpose'!F56,"*"))</f>
        <v>7.7829041389942608E-2</v>
      </c>
      <c r="G17" s="637" t="str">
        <f>IF('114. NEW Distrib by purpose'!G56&gt;0.0005=0,,IF('114. NEW Distrib by purpose'!G56&gt;0.0005,'114. NEW Distrib by purpose'!G56,"*"))</f>
        <v>*</v>
      </c>
      <c r="H17" s="637" t="str">
        <f>IF('114. NEW Distrib by purpose'!H56&gt;0.0005=0,,IF('114. NEW Distrib by purpose'!H56&gt;0.0005,'114. NEW Distrib by purpose'!H56,"*"))</f>
        <v>*</v>
      </c>
      <c r="I17" s="637" t="str">
        <f>IF('114. NEW Distrib by purpose'!I56&gt;0.0005=0,,IF('114. NEW Distrib by purpose'!I56&gt;0.0005,'114. NEW Distrib by purpose'!I56,"*"))</f>
        <v>*</v>
      </c>
      <c r="J17" s="637" t="str">
        <f>IF('114. NEW Distrib by purpose'!J56&gt;0.0005=0,,IF('114. NEW Distrib by purpose'!J56&gt;0.0005,'114. NEW Distrib by purpose'!J56,"*"))</f>
        <v>*</v>
      </c>
      <c r="K17" s="637">
        <f>IF('114. NEW Distrib by purpose'!K56&gt;0.0005=0,,IF('114. NEW Distrib by purpose'!K56&gt;0.0005,'114. NEW Distrib by purpose'!K56,"*"))</f>
        <v>8.6268423962109028E-2</v>
      </c>
      <c r="L17" s="637">
        <f>IF('114. NEW Distrib by purpose'!L56&gt;0.0005=0,,IF('114. NEW Distrib by purpose'!L56&gt;0.0005,'114. NEW Distrib by purpose'!L56,"*"))</f>
        <v>8.3159064111513678E-2</v>
      </c>
      <c r="M17" s="637" t="str">
        <f>IF('114. NEW Distrib by purpose'!M56&gt;0.0005=0,,IF('114. NEW Distrib by purpose'!M56&gt;0.0005,'114. NEW Distrib by purpose'!M56,"*"))</f>
        <v>*</v>
      </c>
      <c r="N17" s="637" t="str">
        <f>IF('114. NEW Distrib by purpose'!N56&gt;0.0005=0,,IF('114. NEW Distrib by purpose'!N56&gt;0.0005,'114. NEW Distrib by purpose'!N56,"*"))</f>
        <v>*</v>
      </c>
      <c r="O17" s="637" t="str">
        <f>IF('114. NEW Distrib by purpose'!O56&gt;0.0005=0,,IF('114. NEW Distrib by purpose'!O56&gt;0.0005,'114. NEW Distrib by purpose'!O56,"*"))</f>
        <v>*</v>
      </c>
      <c r="P17" s="637">
        <f>IF('114. NEW Distrib by purpose'!P56&gt;0.0005=0,,IF('114. NEW Distrib by purpose'!P56&gt;0.0005,'114. NEW Distrib by purpose'!P56,"*"))</f>
        <v>4.9800615886993506E-2</v>
      </c>
      <c r="Q17" s="637">
        <f>IF('114. NEW Distrib by purpose'!Q56&gt;0.0005=0,,IF('114. NEW Distrib by purpose'!Q56&gt;0.0005,'114. NEW Distrib by purpose'!Q56,"*"))</f>
        <v>7.7090820964607273E-2</v>
      </c>
      <c r="R17" s="637" t="str">
        <f>IF('114. NEW Distrib by purpose'!R56&gt;0.0005=0,,IF('114. NEW Distrib by purpose'!R56&gt;0.0005,'114. NEW Distrib by purpose'!R56,"*"))</f>
        <v>*</v>
      </c>
      <c r="S17" s="637" t="str">
        <f>IF('114. NEW Distrib by purpose'!S56&gt;0.0005=0,,IF('114. NEW Distrib by purpose'!S56&gt;0.0005,'114. NEW Distrib by purpose'!S56,"*"))</f>
        <v>*</v>
      </c>
      <c r="T17" s="637">
        <f>IF('114. NEW Distrib by purpose'!T56&gt;0.0005=0,,IF('114. NEW Distrib by purpose'!T56&gt;0.0005,'114. NEW Distrib by purpose'!T56,"*"))</f>
        <v>3.2964003833557853E-2</v>
      </c>
    </row>
    <row r="18" spans="1:20" ht="45.75" customHeight="1">
      <c r="A18" s="1218"/>
      <c r="B18" s="652" t="s">
        <v>826</v>
      </c>
      <c r="C18" s="653" t="s">
        <v>116</v>
      </c>
      <c r="D18" s="654">
        <f>IF('114. NEW Distrib by purpose'!D57&gt;0.0005=0,,IF('114. NEW Distrib by purpose'!D57&gt;0.0005,'114. NEW Distrib by purpose'!D57,"*"))</f>
        <v>9.7190337740695482E-3</v>
      </c>
      <c r="E18" s="655">
        <f>IF('114. NEW Distrib by purpose'!E57&gt;0.0005=0,,IF('114. NEW Distrib by purpose'!E57&gt;0.0005,'114. NEW Distrib by purpose'!E57,"*"))</f>
        <v>2.785992182097533E-3</v>
      </c>
      <c r="F18" s="656" t="str">
        <f>IF('114. NEW Distrib by purpose'!F57&gt;0.0005=0,,IF('114. NEW Distrib by purpose'!F57&gt;0.0005,'114. NEW Distrib by purpose'!F57,"*"))</f>
        <v>*</v>
      </c>
      <c r="G18" s="656" t="str">
        <f>IF('114. NEW Distrib by purpose'!G57&gt;0.0005=0,,IF('114. NEW Distrib by purpose'!G57&gt;0.0005,'114. NEW Distrib by purpose'!G57,"*"))</f>
        <v>*</v>
      </c>
      <c r="H18" s="656" t="str">
        <f>IF('114. NEW Distrib by purpose'!H57&gt;0.0005=0,,IF('114. NEW Distrib by purpose'!H57&gt;0.0005,'114. NEW Distrib by purpose'!H57,"*"))</f>
        <v>*</v>
      </c>
      <c r="I18" s="656">
        <f>IF('114. NEW Distrib by purpose'!I57&gt;0.0005=0,,IF('114. NEW Distrib by purpose'!I57&gt;0.0005,'114. NEW Distrib by purpose'!I57,"*"))</f>
        <v>1.6223762015803021E-2</v>
      </c>
      <c r="J18" s="656" t="str">
        <f>IF('114. NEW Distrib by purpose'!J57&gt;0.0005=0,,IF('114. NEW Distrib by purpose'!J57&gt;0.0005,'114. NEW Distrib by purpose'!J57,"*"))</f>
        <v>*</v>
      </c>
      <c r="K18" s="656" t="str">
        <f>IF('114. NEW Distrib by purpose'!K57&gt;0.0005=0,,IF('114. NEW Distrib by purpose'!K57&gt;0.0005,'114. NEW Distrib by purpose'!K57,"*"))</f>
        <v>*</v>
      </c>
      <c r="L18" s="656">
        <f>IF('114. NEW Distrib by purpose'!L57&gt;0.0005=0,,IF('114. NEW Distrib by purpose'!L57&gt;0.0005,'114. NEW Distrib by purpose'!L57,"*"))</f>
        <v>8.3886158758956053E-2</v>
      </c>
      <c r="M18" s="656" t="str">
        <f>IF('114. NEW Distrib by purpose'!M57&gt;0.0005=0,,IF('114. NEW Distrib by purpose'!M57&gt;0.0005,'114. NEW Distrib by purpose'!M57,"*"))</f>
        <v>*</v>
      </c>
      <c r="N18" s="656">
        <f>IF('114. NEW Distrib by purpose'!N57&gt;0.0005=0,,IF('114. NEW Distrib by purpose'!N57&gt;0.0005,'114. NEW Distrib by purpose'!N57,"*"))</f>
        <v>7.6044617458257118E-3</v>
      </c>
      <c r="O18" s="656" t="str">
        <f>IF('114. NEW Distrib by purpose'!O57&gt;0.0005=0,,IF('114. NEW Distrib by purpose'!O57&gt;0.0005,'114. NEW Distrib by purpose'!O57,"*"))</f>
        <v>*</v>
      </c>
      <c r="P18" s="656" t="str">
        <f>IF('114. NEW Distrib by purpose'!P57&gt;0.0005=0,,IF('114. NEW Distrib by purpose'!P57&gt;0.0005,'114. NEW Distrib by purpose'!P57,"*"))</f>
        <v>*</v>
      </c>
      <c r="Q18" s="656">
        <f>IF('114. NEW Distrib by purpose'!Q57&gt;0.0005=0,,IF('114. NEW Distrib by purpose'!Q57&gt;0.0005,'114. NEW Distrib by purpose'!Q57,"*"))</f>
        <v>3.1977065471028572E-3</v>
      </c>
      <c r="R18" s="656" t="str">
        <f>IF('114. NEW Distrib by purpose'!R57&gt;0.0005=0,,IF('114. NEW Distrib by purpose'!R57&gt;0.0005,'114. NEW Distrib by purpose'!R57,"*"))</f>
        <v>*</v>
      </c>
      <c r="S18" s="656">
        <f>IF('114. NEW Distrib by purpose'!S57&gt;0.0005=0,,IF('114. NEW Distrib by purpose'!S57&gt;0.0005,'114. NEW Distrib by purpose'!S57,"*"))</f>
        <v>8.0332180171549718E-3</v>
      </c>
      <c r="T18" s="656" t="str">
        <f>IF('114. NEW Distrib by purpose'!T57&gt;0.0005=0,,IF('114. NEW Distrib by purpose'!T57&gt;0.0005,'114. NEW Distrib by purpose'!T57,"*"))</f>
        <v>*</v>
      </c>
    </row>
    <row r="19" spans="1:20" s="77" customFormat="1" ht="16.5" customHeight="1">
      <c r="B19" s="657" t="s">
        <v>1039</v>
      </c>
      <c r="C19" s="658"/>
      <c r="D19" s="659">
        <f>SUM(D9:D18)</f>
        <v>0.99589513902352678</v>
      </c>
      <c r="E19" s="659">
        <f t="shared" ref="E19:T19" si="1">SUM(E9:E18)</f>
        <v>0.99884838485813254</v>
      </c>
      <c r="F19" s="659">
        <f t="shared" si="1"/>
        <v>0.99927976927395179</v>
      </c>
      <c r="G19" s="659">
        <f t="shared" si="1"/>
        <v>0.99906622803244061</v>
      </c>
      <c r="H19" s="659">
        <f t="shared" si="1"/>
        <v>1</v>
      </c>
      <c r="I19" s="659">
        <f t="shared" si="1"/>
        <v>0.99933017009202052</v>
      </c>
      <c r="J19" s="659">
        <f t="shared" si="1"/>
        <v>0.99950624776634667</v>
      </c>
      <c r="K19" s="659">
        <f t="shared" si="1"/>
        <v>0.99947479710560772</v>
      </c>
      <c r="L19" s="659">
        <f t="shared" si="1"/>
        <v>0.9964393292514262</v>
      </c>
      <c r="M19" s="659">
        <f t="shared" si="1"/>
        <v>0.99905934089539161</v>
      </c>
      <c r="N19" s="659">
        <f t="shared" si="1"/>
        <v>0.99947966501077834</v>
      </c>
      <c r="O19" s="659">
        <f>SUM(O9:O18)</f>
        <v>1</v>
      </c>
      <c r="P19" s="659">
        <f>SUM(P9:P18)</f>
        <v>0.99933602123814536</v>
      </c>
      <c r="Q19" s="659">
        <f t="shared" si="1"/>
        <v>0.99980088181346838</v>
      </c>
      <c r="R19" s="659">
        <f t="shared" si="1"/>
        <v>0.99646509140292072</v>
      </c>
      <c r="S19" s="659">
        <f t="shared" si="1"/>
        <v>0.99668740311821646</v>
      </c>
      <c r="T19" s="659">
        <f t="shared" si="1"/>
        <v>0.99983053436472757</v>
      </c>
    </row>
    <row r="20" spans="1:20" ht="39.75" customHeight="1">
      <c r="A20" s="1220" t="s">
        <v>1040</v>
      </c>
      <c r="B20" s="1221"/>
      <c r="C20" s="1221"/>
      <c r="D20" s="1221"/>
      <c r="E20" s="1221"/>
      <c r="F20" s="1221"/>
      <c r="G20" s="1221"/>
      <c r="H20" s="1221"/>
      <c r="I20" s="1221"/>
      <c r="J20" s="1221"/>
      <c r="K20" s="1221"/>
      <c r="L20" s="1221"/>
      <c r="M20" s="1221"/>
      <c r="N20" s="1221"/>
      <c r="O20" s="1221"/>
      <c r="P20" s="1221"/>
      <c r="Q20" s="1221"/>
      <c r="R20" s="1221"/>
      <c r="S20" s="1221"/>
      <c r="T20" s="1221"/>
    </row>
    <row r="21" spans="1:20" ht="14.25" customHeight="1">
      <c r="A21" s="660" t="s">
        <v>1024</v>
      </c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661"/>
      <c r="N21" s="405"/>
      <c r="O21" s="405"/>
      <c r="P21" s="405"/>
      <c r="Q21" s="405"/>
      <c r="R21" s="405"/>
      <c r="S21" s="405"/>
      <c r="T21" s="405"/>
    </row>
    <row r="22" spans="1:20" ht="15" customHeight="1">
      <c r="A22" s="660" t="s">
        <v>1041</v>
      </c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661"/>
      <c r="N22" s="405"/>
      <c r="O22" s="405"/>
      <c r="P22" s="405"/>
      <c r="Q22" s="405"/>
      <c r="R22" s="405"/>
      <c r="S22" s="405"/>
      <c r="T22" s="405"/>
    </row>
    <row r="23" spans="1:20" ht="12" customHeight="1">
      <c r="A23" s="405" t="s">
        <v>1011</v>
      </c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661"/>
      <c r="N23" s="405"/>
      <c r="O23" s="405"/>
      <c r="P23" s="405"/>
      <c r="Q23" s="405"/>
      <c r="R23" s="405"/>
      <c r="S23" s="405"/>
      <c r="T23" s="405"/>
    </row>
    <row r="24" spans="1:20">
      <c r="T24" s="370" t="s">
        <v>1814</v>
      </c>
    </row>
    <row r="26" spans="1:20" ht="13.5">
      <c r="H26" s="439"/>
    </row>
  </sheetData>
  <mergeCells count="5">
    <mergeCell ref="A3:T3"/>
    <mergeCell ref="A4:T4"/>
    <mergeCell ref="A7:A11"/>
    <mergeCell ref="A12:A18"/>
    <mergeCell ref="A20:T20"/>
  </mergeCells>
  <pageMargins left="0.98666666666666702" right="0.3" top="0.75" bottom="0.5" header="0.75" footer="0.5"/>
  <pageSetup scale="84" firstPageNumber="124" orientation="landscape" useFirstPageNumber="1" r:id="rId1"/>
  <headerFooter alignWithMargins="0">
    <oddHeader>&amp;R&amp;"Arial,Regular"&amp;8SREB-State Data Exchange</oddHeader>
    <oddFooter>&amp;C&amp;"Arial,Regular"&amp;P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788D2-91C2-4F9C-B5AC-CE50EF2E012C}">
  <sheetPr codeName="Sheet10">
    <tabColor rgb="FF008000"/>
  </sheetPr>
  <dimension ref="A1:AB707"/>
  <sheetViews>
    <sheetView tabSelected="1" workbookViewId="0">
      <pane xSplit="2" ySplit="5" topLeftCell="F6" activePane="bottomRight" state="frozen"/>
      <selection pane="topRight" activeCell="C1" sqref="C1"/>
      <selection pane="bottomLeft" activeCell="A6" sqref="A6"/>
      <selection pane="bottomRight" sqref="A1:XFD1048576"/>
    </sheetView>
  </sheetViews>
  <sheetFormatPr defaultColWidth="11.3046875" defaultRowHeight="12.5"/>
  <cols>
    <col min="1" max="1" width="4.765625" style="144" customWidth="1"/>
    <col min="2" max="2" width="24.53515625" style="144" customWidth="1"/>
    <col min="3" max="3" width="11.3046875" style="217"/>
    <col min="4" max="9" width="11.3046875" style="144"/>
    <col min="10" max="14" width="10.84375" style="144" customWidth="1"/>
    <col min="15" max="15" width="11.3046875" style="144"/>
    <col min="16" max="18" width="9.765625" style="144" customWidth="1"/>
    <col min="19" max="19" width="10.4609375" style="144" customWidth="1"/>
    <col min="20" max="20" width="10.765625" style="144" customWidth="1"/>
    <col min="21" max="21" width="10.3046875" style="144" customWidth="1"/>
    <col min="22" max="22" width="11.69140625" style="218" customWidth="1"/>
    <col min="23" max="23" width="11.3046875" style="144"/>
    <col min="24" max="24" width="11.3046875" style="218"/>
    <col min="25" max="25" width="11.3046875" style="144"/>
    <col min="26" max="28" width="11.3046875" style="218"/>
    <col min="29" max="16384" width="11.3046875" style="144"/>
  </cols>
  <sheetData>
    <row r="1" spans="1:28" ht="13">
      <c r="A1" s="55"/>
      <c r="B1" s="53"/>
      <c r="C1" s="144"/>
      <c r="D1" s="107"/>
      <c r="V1" s="144"/>
      <c r="X1" s="144"/>
      <c r="Z1" s="144"/>
      <c r="AA1" s="144"/>
      <c r="AB1" s="144"/>
    </row>
    <row r="2" spans="1:28">
      <c r="C2" s="144"/>
      <c r="V2" s="144"/>
      <c r="X2" s="144"/>
      <c r="Z2" s="144"/>
      <c r="AA2" s="144"/>
      <c r="AB2" s="144"/>
    </row>
    <row r="3" spans="1:28" s="152" customFormat="1" ht="13">
      <c r="A3" s="145"/>
      <c r="B3" s="146"/>
      <c r="C3" s="147" t="s">
        <v>838</v>
      </c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9"/>
      <c r="W3" s="150"/>
      <c r="X3" s="53"/>
      <c r="Y3" s="151"/>
      <c r="Z3" s="151"/>
      <c r="AA3" s="151"/>
      <c r="AB3" s="151"/>
    </row>
    <row r="4" spans="1:28" s="152" customFormat="1" ht="13">
      <c r="A4" s="153"/>
      <c r="B4" s="154"/>
      <c r="C4" s="147" t="s">
        <v>839</v>
      </c>
      <c r="D4" s="148"/>
      <c r="E4" s="148"/>
      <c r="F4" s="148"/>
      <c r="G4" s="148"/>
      <c r="H4" s="148"/>
      <c r="I4" s="155" t="s">
        <v>840</v>
      </c>
      <c r="J4" s="156" t="s">
        <v>841</v>
      </c>
      <c r="K4" s="148"/>
      <c r="L4" s="148"/>
      <c r="M4" s="148"/>
      <c r="N4" s="148"/>
      <c r="O4" s="155" t="s">
        <v>842</v>
      </c>
      <c r="P4" s="59" t="s">
        <v>843</v>
      </c>
      <c r="Q4" s="60"/>
      <c r="R4" s="60"/>
      <c r="S4" s="157" t="s">
        <v>844</v>
      </c>
      <c r="T4" s="156" t="s">
        <v>845</v>
      </c>
      <c r="U4" s="157" t="s">
        <v>846</v>
      </c>
      <c r="V4" s="147" t="s">
        <v>847</v>
      </c>
      <c r="W4" s="155" t="s">
        <v>848</v>
      </c>
      <c r="X4" s="53" t="s">
        <v>762</v>
      </c>
      <c r="Y4" s="151"/>
      <c r="Z4" s="151"/>
      <c r="AA4" s="151"/>
      <c r="AB4" s="151"/>
    </row>
    <row r="5" spans="1:28" s="152" customFormat="1" ht="13.5" thickBot="1">
      <c r="A5" s="158" t="s">
        <v>25</v>
      </c>
      <c r="B5" s="156" t="s">
        <v>753</v>
      </c>
      <c r="C5" s="147">
        <v>1</v>
      </c>
      <c r="D5" s="159">
        <v>2</v>
      </c>
      <c r="E5" s="159">
        <v>3</v>
      </c>
      <c r="F5" s="159">
        <v>4</v>
      </c>
      <c r="G5" s="159">
        <v>5</v>
      </c>
      <c r="H5" s="160">
        <v>6</v>
      </c>
      <c r="I5" s="161"/>
      <c r="J5" s="147">
        <v>7</v>
      </c>
      <c r="K5" s="159">
        <v>8</v>
      </c>
      <c r="L5" s="159">
        <v>9</v>
      </c>
      <c r="M5" s="162">
        <v>10</v>
      </c>
      <c r="N5" s="163">
        <v>11</v>
      </c>
      <c r="O5" s="161"/>
      <c r="P5" s="59">
        <v>12</v>
      </c>
      <c r="Q5" s="90">
        <v>13</v>
      </c>
      <c r="R5" s="90">
        <v>14</v>
      </c>
      <c r="S5" s="164"/>
      <c r="T5" s="165">
        <v>15</v>
      </c>
      <c r="U5" s="166"/>
      <c r="V5" s="165" t="s">
        <v>835</v>
      </c>
      <c r="W5" s="155"/>
      <c r="X5" s="53"/>
      <c r="Y5" s="151"/>
      <c r="Z5" s="151"/>
      <c r="AA5" s="151"/>
      <c r="AB5" s="151"/>
    </row>
    <row r="6" spans="1:28" ht="13.5" thickTop="1">
      <c r="A6" s="147" t="s">
        <v>61</v>
      </c>
      <c r="B6" s="167" t="s">
        <v>754</v>
      </c>
      <c r="C6" s="168">
        <v>365034161</v>
      </c>
      <c r="D6" s="168">
        <v>113899954</v>
      </c>
      <c r="E6" s="168">
        <v>193107162</v>
      </c>
      <c r="F6" s="168">
        <v>66754880</v>
      </c>
      <c r="G6" s="168">
        <v>22229240</v>
      </c>
      <c r="H6" s="168">
        <v>15042919</v>
      </c>
      <c r="I6" s="169">
        <v>776068316</v>
      </c>
      <c r="J6" s="168"/>
      <c r="K6" s="168">
        <v>83098635</v>
      </c>
      <c r="L6" s="168">
        <v>158075157</v>
      </c>
      <c r="M6" s="168">
        <v>62974561</v>
      </c>
      <c r="N6" s="168"/>
      <c r="O6" s="169">
        <v>304148353</v>
      </c>
      <c r="P6" s="168">
        <v>9003953</v>
      </c>
      <c r="Q6" s="168">
        <v>18280225</v>
      </c>
      <c r="R6" s="168"/>
      <c r="S6" s="169">
        <v>27284178</v>
      </c>
      <c r="T6" s="168"/>
      <c r="U6" s="169"/>
      <c r="V6" s="168"/>
      <c r="W6" s="169"/>
      <c r="X6" s="53">
        <v>1107500847</v>
      </c>
      <c r="Y6" s="151"/>
      <c r="Z6" s="151"/>
      <c r="AA6" s="151"/>
      <c r="AB6" s="151"/>
    </row>
    <row r="7" spans="1:28" s="173" customFormat="1" ht="13">
      <c r="A7" s="170"/>
      <c r="B7" s="94" t="s">
        <v>755</v>
      </c>
      <c r="C7" s="171">
        <v>379023119</v>
      </c>
      <c r="D7" s="171">
        <v>117407048</v>
      </c>
      <c r="E7" s="171">
        <v>197841229</v>
      </c>
      <c r="F7" s="171">
        <v>68850372</v>
      </c>
      <c r="G7" s="171">
        <v>22863165</v>
      </c>
      <c r="H7" s="171">
        <v>15629039</v>
      </c>
      <c r="I7" s="172">
        <v>801613972</v>
      </c>
      <c r="J7" s="171"/>
      <c r="K7" s="171">
        <v>84162148</v>
      </c>
      <c r="L7" s="171">
        <v>159384985</v>
      </c>
      <c r="M7" s="171">
        <v>63452655</v>
      </c>
      <c r="N7" s="171"/>
      <c r="O7" s="172">
        <v>306999788</v>
      </c>
      <c r="P7" s="171">
        <v>9149336</v>
      </c>
      <c r="Q7" s="171">
        <v>18259644</v>
      </c>
      <c r="R7" s="171"/>
      <c r="S7" s="172">
        <v>27408980</v>
      </c>
      <c r="T7" s="171"/>
      <c r="U7" s="172"/>
      <c r="V7" s="171"/>
      <c r="W7" s="172"/>
      <c r="X7" s="53">
        <v>1136022740</v>
      </c>
      <c r="Y7" s="151"/>
      <c r="Z7" s="151"/>
      <c r="AA7" s="151"/>
      <c r="AB7" s="151"/>
    </row>
    <row r="8" spans="1:28" s="178" customFormat="1" ht="13">
      <c r="A8" s="174"/>
      <c r="B8" s="175" t="s">
        <v>849</v>
      </c>
      <c r="C8" s="176">
        <v>3.8322325674062054</v>
      </c>
      <c r="D8" s="176">
        <v>3.0791004533680497</v>
      </c>
      <c r="E8" s="176">
        <v>2.4515232635442077</v>
      </c>
      <c r="F8" s="176">
        <v>3.1390843635701242</v>
      </c>
      <c r="G8" s="176">
        <v>2.8517619135876893</v>
      </c>
      <c r="H8" s="176">
        <v>3.8963182611034464</v>
      </c>
      <c r="I8" s="177">
        <v>3.2916761931046286</v>
      </c>
      <c r="J8" s="176">
        <v>0</v>
      </c>
      <c r="K8" s="176">
        <v>1.2798200596195111</v>
      </c>
      <c r="L8" s="176">
        <v>0.82861091196006209</v>
      </c>
      <c r="M8" s="176">
        <v>0.75918591953344461</v>
      </c>
      <c r="N8" s="176">
        <v>0</v>
      </c>
      <c r="O8" s="177">
        <v>0.93751452929945678</v>
      </c>
      <c r="P8" s="176">
        <v>1.6146574732231498</v>
      </c>
      <c r="Q8" s="176">
        <v>-0.11258614158195536</v>
      </c>
      <c r="R8" s="176">
        <v>0</v>
      </c>
      <c r="S8" s="177">
        <v>0.45741528295263284</v>
      </c>
      <c r="T8" s="176">
        <v>0</v>
      </c>
      <c r="U8" s="177">
        <v>0</v>
      </c>
      <c r="V8" s="176">
        <v>0</v>
      </c>
      <c r="W8" s="177">
        <v>0</v>
      </c>
      <c r="X8" s="53">
        <v>2.5753382561521416</v>
      </c>
      <c r="Y8" s="151"/>
      <c r="Z8" s="151"/>
      <c r="AA8" s="151"/>
      <c r="AB8" s="151"/>
    </row>
    <row r="9" spans="1:28" ht="13">
      <c r="A9" s="170"/>
      <c r="B9" s="59" t="s">
        <v>756</v>
      </c>
      <c r="C9" s="179">
        <v>78842150</v>
      </c>
      <c r="D9" s="179">
        <v>3872811</v>
      </c>
      <c r="E9" s="179">
        <v>11313133</v>
      </c>
      <c r="F9" s="179">
        <v>736454</v>
      </c>
      <c r="G9" s="179">
        <v>245558</v>
      </c>
      <c r="H9" s="179">
        <v>560459</v>
      </c>
      <c r="I9" s="180">
        <v>95570565</v>
      </c>
      <c r="J9" s="179"/>
      <c r="K9" s="179"/>
      <c r="L9" s="179"/>
      <c r="M9" s="179"/>
      <c r="N9" s="179"/>
      <c r="O9" s="180"/>
      <c r="P9" s="179"/>
      <c r="Q9" s="179"/>
      <c r="R9" s="179"/>
      <c r="S9" s="180"/>
      <c r="T9" s="179"/>
      <c r="U9" s="180"/>
      <c r="V9" s="179"/>
      <c r="W9" s="180"/>
      <c r="X9" s="53">
        <v>95570565</v>
      </c>
      <c r="Y9" s="151"/>
      <c r="Z9" s="151"/>
      <c r="AA9" s="151"/>
      <c r="AB9" s="151"/>
    </row>
    <row r="10" spans="1:28" s="173" customFormat="1" ht="13">
      <c r="A10" s="170"/>
      <c r="B10" s="94" t="s">
        <v>757</v>
      </c>
      <c r="C10" s="171">
        <v>80223122</v>
      </c>
      <c r="D10" s="171">
        <v>3872811</v>
      </c>
      <c r="E10" s="171">
        <v>11493788</v>
      </c>
      <c r="F10" s="171">
        <v>936454</v>
      </c>
      <c r="G10" s="171">
        <v>245558</v>
      </c>
      <c r="H10" s="171">
        <v>535459</v>
      </c>
      <c r="I10" s="172">
        <v>97307192</v>
      </c>
      <c r="J10" s="171"/>
      <c r="K10" s="171"/>
      <c r="L10" s="171"/>
      <c r="M10" s="171"/>
      <c r="N10" s="171"/>
      <c r="O10" s="172"/>
      <c r="P10" s="171"/>
      <c r="Q10" s="171"/>
      <c r="R10" s="171"/>
      <c r="S10" s="172"/>
      <c r="T10" s="171"/>
      <c r="U10" s="172"/>
      <c r="V10" s="171"/>
      <c r="W10" s="172"/>
      <c r="X10" s="53">
        <v>97307192</v>
      </c>
      <c r="Y10" s="151"/>
      <c r="Z10" s="151"/>
      <c r="AA10" s="151"/>
      <c r="AB10" s="151"/>
    </row>
    <row r="11" spans="1:28" s="178" customFormat="1" ht="13">
      <c r="A11" s="170"/>
      <c r="B11" s="175" t="s">
        <v>850</v>
      </c>
      <c r="C11" s="176">
        <v>1.7515656282838559</v>
      </c>
      <c r="D11" s="176">
        <v>0</v>
      </c>
      <c r="E11" s="176">
        <v>1.5968609226109161</v>
      </c>
      <c r="F11" s="176">
        <v>27.157161207624647</v>
      </c>
      <c r="G11" s="176">
        <v>0</v>
      </c>
      <c r="H11" s="176">
        <v>-4.4606295911030065</v>
      </c>
      <c r="I11" s="177">
        <v>1.8171149244539886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7">
        <v>0</v>
      </c>
      <c r="P11" s="176">
        <v>0</v>
      </c>
      <c r="Q11" s="176">
        <v>0</v>
      </c>
      <c r="R11" s="176">
        <v>0</v>
      </c>
      <c r="S11" s="177">
        <v>0</v>
      </c>
      <c r="T11" s="176">
        <v>0</v>
      </c>
      <c r="U11" s="177">
        <v>0</v>
      </c>
      <c r="V11" s="181">
        <v>0</v>
      </c>
      <c r="W11" s="177">
        <v>0</v>
      </c>
      <c r="X11" s="53">
        <v>1.8171149244539886</v>
      </c>
      <c r="Y11" s="151"/>
      <c r="Z11" s="151"/>
      <c r="AA11" s="151"/>
      <c r="AB11" s="151"/>
    </row>
    <row r="12" spans="1:28" ht="13">
      <c r="A12" s="170"/>
      <c r="B12" s="59" t="s">
        <v>758</v>
      </c>
      <c r="C12" s="179"/>
      <c r="D12" s="179"/>
      <c r="E12" s="179"/>
      <c r="F12" s="179"/>
      <c r="G12" s="179"/>
      <c r="H12" s="179"/>
      <c r="I12" s="180"/>
      <c r="J12" s="179"/>
      <c r="K12" s="179">
        <v>1639252</v>
      </c>
      <c r="L12" s="179">
        <v>360000</v>
      </c>
      <c r="M12" s="179"/>
      <c r="N12" s="179"/>
      <c r="O12" s="180">
        <v>1999252</v>
      </c>
      <c r="P12" s="179"/>
      <c r="Q12" s="179"/>
      <c r="R12" s="179"/>
      <c r="S12" s="180"/>
      <c r="T12" s="179"/>
      <c r="U12" s="180"/>
      <c r="V12" s="179"/>
      <c r="W12" s="180"/>
      <c r="X12" s="53">
        <v>1999252</v>
      </c>
      <c r="Y12" s="151"/>
      <c r="Z12" s="151"/>
      <c r="AA12" s="151"/>
      <c r="AB12" s="151"/>
    </row>
    <row r="13" spans="1:28" s="173" customFormat="1" ht="13">
      <c r="A13" s="170"/>
      <c r="B13" s="94" t="s">
        <v>759</v>
      </c>
      <c r="C13" s="171"/>
      <c r="D13" s="171"/>
      <c r="E13" s="171"/>
      <c r="F13" s="171"/>
      <c r="G13" s="171"/>
      <c r="H13" s="171"/>
      <c r="I13" s="172"/>
      <c r="J13" s="171"/>
      <c r="K13" s="171">
        <v>800000</v>
      </c>
      <c r="L13" s="171">
        <v>245000</v>
      </c>
      <c r="M13" s="171">
        <v>125000</v>
      </c>
      <c r="N13" s="171"/>
      <c r="O13" s="172">
        <v>1170000</v>
      </c>
      <c r="P13" s="171"/>
      <c r="Q13" s="171"/>
      <c r="R13" s="171"/>
      <c r="S13" s="172"/>
      <c r="T13" s="171"/>
      <c r="U13" s="172"/>
      <c r="V13" s="171"/>
      <c r="W13" s="172"/>
      <c r="X13" s="53">
        <v>1170000</v>
      </c>
      <c r="Y13" s="151"/>
      <c r="Z13" s="151"/>
      <c r="AA13" s="151"/>
      <c r="AB13" s="151"/>
    </row>
    <row r="14" spans="1:28" s="178" customFormat="1" ht="13">
      <c r="A14" s="170"/>
      <c r="B14" s="175" t="s">
        <v>851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7">
        <v>0</v>
      </c>
      <c r="J14" s="176">
        <v>0</v>
      </c>
      <c r="K14" s="176">
        <v>-51.197253381420303</v>
      </c>
      <c r="L14" s="176">
        <v>-31.944444444444443</v>
      </c>
      <c r="M14" s="176">
        <v>0</v>
      </c>
      <c r="N14" s="176">
        <v>0</v>
      </c>
      <c r="O14" s="177">
        <v>-41.478112814192507</v>
      </c>
      <c r="P14" s="176">
        <v>0</v>
      </c>
      <c r="Q14" s="176">
        <v>0</v>
      </c>
      <c r="R14" s="176">
        <v>0</v>
      </c>
      <c r="S14" s="177">
        <v>0</v>
      </c>
      <c r="T14" s="176">
        <v>0</v>
      </c>
      <c r="U14" s="177">
        <v>0</v>
      </c>
      <c r="V14" s="176">
        <v>0</v>
      </c>
      <c r="W14" s="177">
        <v>0</v>
      </c>
      <c r="X14" s="53">
        <v>-41.478112814192507</v>
      </c>
      <c r="Y14" s="151"/>
      <c r="Z14" s="151"/>
      <c r="AA14" s="151"/>
      <c r="AB14" s="151"/>
    </row>
    <row r="15" spans="1:28" ht="13">
      <c r="A15" s="170"/>
      <c r="B15" s="59" t="s">
        <v>760</v>
      </c>
      <c r="C15" s="179">
        <v>1479398276</v>
      </c>
      <c r="D15" s="179">
        <v>191243541</v>
      </c>
      <c r="E15" s="179">
        <v>398487131</v>
      </c>
      <c r="F15" s="179">
        <v>78640630</v>
      </c>
      <c r="G15" s="179">
        <v>36200238</v>
      </c>
      <c r="H15" s="179">
        <v>18054501</v>
      </c>
      <c r="I15" s="180">
        <v>2202024317</v>
      </c>
      <c r="J15" s="179"/>
      <c r="K15" s="179">
        <v>75035257</v>
      </c>
      <c r="L15" s="179">
        <v>121385719</v>
      </c>
      <c r="M15" s="179">
        <v>46842579</v>
      </c>
      <c r="N15" s="179"/>
      <c r="O15" s="180">
        <v>243263555</v>
      </c>
      <c r="P15" s="179">
        <v>6886551</v>
      </c>
      <c r="Q15" s="179">
        <v>7854274</v>
      </c>
      <c r="R15" s="179"/>
      <c r="S15" s="180">
        <v>14740825</v>
      </c>
      <c r="T15" s="179"/>
      <c r="U15" s="180"/>
      <c r="V15" s="179"/>
      <c r="W15" s="180"/>
      <c r="X15" s="53">
        <v>2460028697</v>
      </c>
      <c r="Y15" s="151"/>
      <c r="Z15" s="151"/>
      <c r="AA15" s="151"/>
      <c r="AB15" s="151"/>
    </row>
    <row r="16" spans="1:28" s="182" customFormat="1" ht="13">
      <c r="A16" s="170"/>
      <c r="B16" s="94" t="s">
        <v>761</v>
      </c>
      <c r="C16" s="171">
        <v>1428988809</v>
      </c>
      <c r="D16" s="171">
        <v>188179697</v>
      </c>
      <c r="E16" s="171">
        <v>385175482</v>
      </c>
      <c r="F16" s="171">
        <v>82397266</v>
      </c>
      <c r="G16" s="171">
        <v>36872073</v>
      </c>
      <c r="H16" s="171">
        <v>18946120</v>
      </c>
      <c r="I16" s="172">
        <v>2140559447</v>
      </c>
      <c r="J16" s="171"/>
      <c r="K16" s="171">
        <v>73147792</v>
      </c>
      <c r="L16" s="171">
        <v>116035904</v>
      </c>
      <c r="M16" s="171">
        <v>46224053</v>
      </c>
      <c r="N16" s="171"/>
      <c r="O16" s="172">
        <v>235407749</v>
      </c>
      <c r="P16" s="171">
        <v>6568734</v>
      </c>
      <c r="Q16" s="171">
        <v>7819428</v>
      </c>
      <c r="R16" s="171"/>
      <c r="S16" s="172">
        <v>14388162</v>
      </c>
      <c r="T16" s="171"/>
      <c r="U16" s="172"/>
      <c r="V16" s="171"/>
      <c r="W16" s="172"/>
      <c r="X16" s="53">
        <v>2390355358</v>
      </c>
      <c r="Y16" s="151"/>
      <c r="Z16" s="151"/>
      <c r="AA16" s="151"/>
      <c r="AB16" s="151"/>
    </row>
    <row r="17" spans="1:28" s="178" customFormat="1" ht="13">
      <c r="A17" s="170"/>
      <c r="B17" s="175" t="s">
        <v>852</v>
      </c>
      <c r="C17" s="176">
        <v>-3.4074304274773941</v>
      </c>
      <c r="D17" s="176">
        <v>-1.6020640404268607</v>
      </c>
      <c r="E17" s="176">
        <v>-3.3405467741441317</v>
      </c>
      <c r="F17" s="176">
        <v>4.776965799994227</v>
      </c>
      <c r="G17" s="176">
        <v>1.8558855883765184</v>
      </c>
      <c r="H17" s="176">
        <v>4.9384859764332445</v>
      </c>
      <c r="I17" s="177">
        <v>-2.7912893388815379</v>
      </c>
      <c r="J17" s="176">
        <v>0</v>
      </c>
      <c r="K17" s="176">
        <v>-2.5154375095963224</v>
      </c>
      <c r="L17" s="176">
        <v>-4.4072853413670519</v>
      </c>
      <c r="M17" s="176">
        <v>-1.3204354098436808</v>
      </c>
      <c r="N17" s="176">
        <v>0</v>
      </c>
      <c r="O17" s="177">
        <v>-3.2293394709289687</v>
      </c>
      <c r="P17" s="176">
        <v>-4.6150387908257704</v>
      </c>
      <c r="Q17" s="176">
        <v>-0.4436565365557657</v>
      </c>
      <c r="R17" s="176">
        <v>0</v>
      </c>
      <c r="S17" s="177">
        <v>-2.3924237618993511</v>
      </c>
      <c r="T17" s="176">
        <v>0</v>
      </c>
      <c r="U17" s="177">
        <v>0</v>
      </c>
      <c r="V17" s="176">
        <v>0</v>
      </c>
      <c r="W17" s="177">
        <v>0</v>
      </c>
      <c r="X17" s="53">
        <v>-2.832216513773457</v>
      </c>
      <c r="Y17" s="151"/>
      <c r="Z17" s="151"/>
      <c r="AA17" s="151"/>
      <c r="AB17" s="151"/>
    </row>
    <row r="18" spans="1:28" ht="13">
      <c r="A18" s="170"/>
      <c r="B18" s="59" t="s">
        <v>853</v>
      </c>
      <c r="C18" s="179">
        <v>65847216</v>
      </c>
      <c r="D18" s="179">
        <v>21432631</v>
      </c>
      <c r="E18" s="179">
        <v>34967278</v>
      </c>
      <c r="F18" s="179">
        <v>14688815</v>
      </c>
      <c r="G18" s="179">
        <v>1140858</v>
      </c>
      <c r="H18" s="179">
        <v>1700841</v>
      </c>
      <c r="I18" s="180">
        <v>139777639</v>
      </c>
      <c r="J18" s="179"/>
      <c r="K18" s="179">
        <v>7462929</v>
      </c>
      <c r="L18" s="179">
        <v>8996246</v>
      </c>
      <c r="M18" s="179">
        <v>3207362</v>
      </c>
      <c r="N18" s="179"/>
      <c r="O18" s="180">
        <v>19666537</v>
      </c>
      <c r="P18" s="179">
        <v>180000</v>
      </c>
      <c r="Q18" s="179">
        <v>441000</v>
      </c>
      <c r="R18" s="179"/>
      <c r="S18" s="180">
        <v>621000</v>
      </c>
      <c r="T18" s="179"/>
      <c r="U18" s="180"/>
      <c r="V18" s="179"/>
      <c r="W18" s="180"/>
      <c r="X18" s="53">
        <v>160065176</v>
      </c>
      <c r="Y18" s="151"/>
      <c r="Z18" s="151"/>
      <c r="AA18" s="151"/>
      <c r="AB18" s="151"/>
    </row>
    <row r="19" spans="1:28" s="182" customFormat="1" ht="13">
      <c r="A19" s="170"/>
      <c r="B19" s="94" t="s">
        <v>854</v>
      </c>
      <c r="C19" s="171">
        <v>76264558</v>
      </c>
      <c r="D19" s="171">
        <v>21542717</v>
      </c>
      <c r="E19" s="171">
        <v>30938719</v>
      </c>
      <c r="F19" s="171">
        <v>17345626</v>
      </c>
      <c r="G19" s="171"/>
      <c r="H19" s="171">
        <v>1696610</v>
      </c>
      <c r="I19" s="172">
        <v>147788230</v>
      </c>
      <c r="J19" s="171"/>
      <c r="K19" s="171">
        <v>9350394</v>
      </c>
      <c r="L19" s="171">
        <v>13362267</v>
      </c>
      <c r="M19" s="171">
        <v>3825889</v>
      </c>
      <c r="N19" s="171"/>
      <c r="O19" s="172">
        <v>26538550</v>
      </c>
      <c r="P19" s="171">
        <v>497818</v>
      </c>
      <c r="Q19" s="171">
        <v>475846</v>
      </c>
      <c r="R19" s="171"/>
      <c r="S19" s="172">
        <v>973664</v>
      </c>
      <c r="T19" s="171"/>
      <c r="U19" s="172"/>
      <c r="V19" s="171"/>
      <c r="W19" s="172"/>
      <c r="X19" s="53">
        <v>175300444</v>
      </c>
      <c r="Y19" s="151"/>
      <c r="Z19" s="151"/>
      <c r="AA19" s="151"/>
      <c r="AB19" s="151"/>
    </row>
    <row r="20" spans="1:28" s="178" customFormat="1" ht="13">
      <c r="A20" s="170"/>
      <c r="B20" s="175" t="s">
        <v>855</v>
      </c>
      <c r="C20" s="176">
        <v>15.820474475336969</v>
      </c>
      <c r="D20" s="176">
        <v>0.51363735978098068</v>
      </c>
      <c r="E20" s="176">
        <v>-11.520939662503899</v>
      </c>
      <c r="F20" s="176">
        <v>18.087306566254664</v>
      </c>
      <c r="G20" s="176">
        <v>-100</v>
      </c>
      <c r="H20" s="176">
        <v>-0.24875929025699639</v>
      </c>
      <c r="I20" s="177">
        <v>5.7309531462324959</v>
      </c>
      <c r="J20" s="176">
        <v>0</v>
      </c>
      <c r="K20" s="176">
        <v>25.291209389771762</v>
      </c>
      <c r="L20" s="176">
        <v>48.531587508834242</v>
      </c>
      <c r="M20" s="176">
        <v>19.284602112265471</v>
      </c>
      <c r="N20" s="176">
        <v>0</v>
      </c>
      <c r="O20" s="177">
        <v>34.94266936776922</v>
      </c>
      <c r="P20" s="176">
        <v>176.56555555555556</v>
      </c>
      <c r="Q20" s="176">
        <v>7.901587301587301</v>
      </c>
      <c r="R20" s="176">
        <v>0</v>
      </c>
      <c r="S20" s="177">
        <v>56.789694041867953</v>
      </c>
      <c r="T20" s="176">
        <v>0</v>
      </c>
      <c r="U20" s="177">
        <v>0</v>
      </c>
      <c r="V20" s="176">
        <v>0</v>
      </c>
      <c r="W20" s="177">
        <v>0</v>
      </c>
      <c r="X20" s="53">
        <v>9.5181652753750754</v>
      </c>
      <c r="Y20" s="151"/>
      <c r="Z20" s="151"/>
      <c r="AA20" s="151"/>
      <c r="AB20" s="151"/>
    </row>
    <row r="21" spans="1:28" ht="13">
      <c r="A21" s="170"/>
      <c r="B21" s="183" t="s">
        <v>856</v>
      </c>
      <c r="C21" s="180">
        <v>1545245492</v>
      </c>
      <c r="D21" s="180">
        <v>212676172</v>
      </c>
      <c r="E21" s="180">
        <v>433454409</v>
      </c>
      <c r="F21" s="180">
        <v>93329445</v>
      </c>
      <c r="G21" s="180">
        <v>37341096</v>
      </c>
      <c r="H21" s="180">
        <v>19755342</v>
      </c>
      <c r="I21" s="180">
        <v>2341801956</v>
      </c>
      <c r="J21" s="180"/>
      <c r="K21" s="180">
        <v>82498186</v>
      </c>
      <c r="L21" s="180">
        <v>130381965</v>
      </c>
      <c r="M21" s="180">
        <v>50049941</v>
      </c>
      <c r="N21" s="180"/>
      <c r="O21" s="180">
        <v>262930092</v>
      </c>
      <c r="P21" s="180">
        <v>7066551</v>
      </c>
      <c r="Q21" s="180">
        <v>8295274</v>
      </c>
      <c r="R21" s="180"/>
      <c r="S21" s="180">
        <v>15361825</v>
      </c>
      <c r="T21" s="180">
        <v>0</v>
      </c>
      <c r="U21" s="180">
        <v>0</v>
      </c>
      <c r="V21" s="180"/>
      <c r="W21" s="180"/>
      <c r="X21" s="53">
        <v>2620093873</v>
      </c>
      <c r="Y21" s="151"/>
      <c r="Z21" s="151"/>
      <c r="AA21" s="151"/>
      <c r="AB21" s="151"/>
    </row>
    <row r="22" spans="1:28" s="173" customFormat="1" ht="13">
      <c r="A22" s="170"/>
      <c r="B22" s="184" t="s">
        <v>857</v>
      </c>
      <c r="C22" s="172">
        <v>1505253367</v>
      </c>
      <c r="D22" s="172">
        <v>209722414</v>
      </c>
      <c r="E22" s="172">
        <v>416114201</v>
      </c>
      <c r="F22" s="172">
        <v>99742892</v>
      </c>
      <c r="G22" s="172">
        <v>36872073</v>
      </c>
      <c r="H22" s="172">
        <v>20642730</v>
      </c>
      <c r="I22" s="172">
        <v>2288347677</v>
      </c>
      <c r="J22" s="172"/>
      <c r="K22" s="172">
        <v>82498186</v>
      </c>
      <c r="L22" s="172">
        <v>129398171</v>
      </c>
      <c r="M22" s="172">
        <v>50049942</v>
      </c>
      <c r="N22" s="172"/>
      <c r="O22" s="172">
        <v>261946299</v>
      </c>
      <c r="P22" s="172">
        <v>7066552</v>
      </c>
      <c r="Q22" s="172">
        <v>8295274</v>
      </c>
      <c r="R22" s="172"/>
      <c r="S22" s="172">
        <v>15361826</v>
      </c>
      <c r="T22" s="172">
        <v>0</v>
      </c>
      <c r="U22" s="172">
        <v>0</v>
      </c>
      <c r="V22" s="172"/>
      <c r="W22" s="172"/>
      <c r="X22" s="53">
        <v>2565655802</v>
      </c>
      <c r="Y22" s="151"/>
      <c r="Z22" s="151"/>
      <c r="AA22" s="151"/>
      <c r="AB22" s="151"/>
    </row>
    <row r="23" spans="1:28" s="178" customFormat="1" ht="13">
      <c r="A23" s="170"/>
      <c r="B23" s="185" t="s">
        <v>858</v>
      </c>
      <c r="C23" s="177">
        <v>-2.5880758240063515</v>
      </c>
      <c r="D23" s="177">
        <v>-1.388852344022818</v>
      </c>
      <c r="E23" s="177">
        <v>-4.0004687090401703</v>
      </c>
      <c r="F23" s="177">
        <v>6.8718366427658495</v>
      </c>
      <c r="G23" s="177">
        <v>-1.2560504383695648</v>
      </c>
      <c r="H23" s="177">
        <v>4.4918888268297259</v>
      </c>
      <c r="I23" s="177">
        <v>-2.2826131331491637</v>
      </c>
      <c r="J23" s="177">
        <v>0</v>
      </c>
      <c r="K23" s="177">
        <v>0</v>
      </c>
      <c r="L23" s="177">
        <v>-0.75454760940288024</v>
      </c>
      <c r="M23" s="177">
        <v>1.998004353291845E-6</v>
      </c>
      <c r="N23" s="177">
        <v>0</v>
      </c>
      <c r="O23" s="177">
        <v>-0.37416523628645748</v>
      </c>
      <c r="P23" s="177">
        <v>1.4151175021591155E-5</v>
      </c>
      <c r="Q23" s="177">
        <v>0</v>
      </c>
      <c r="R23" s="177">
        <v>0</v>
      </c>
      <c r="S23" s="177">
        <v>6.5096432227290698E-6</v>
      </c>
      <c r="T23" s="177">
        <v>0</v>
      </c>
      <c r="U23" s="177">
        <v>0</v>
      </c>
      <c r="V23" s="177">
        <v>0</v>
      </c>
      <c r="W23" s="177">
        <v>0</v>
      </c>
      <c r="X23" s="53">
        <v>-2.0777145262230077</v>
      </c>
      <c r="Y23" s="151"/>
      <c r="Z23" s="151"/>
      <c r="AA23" s="151"/>
      <c r="AB23" s="151"/>
    </row>
    <row r="24" spans="1:28" ht="13">
      <c r="A24" s="170"/>
      <c r="B24" s="59" t="s">
        <v>859</v>
      </c>
      <c r="C24" s="179"/>
      <c r="D24" s="179"/>
      <c r="E24" s="179"/>
      <c r="F24" s="179"/>
      <c r="G24" s="179"/>
      <c r="H24" s="179"/>
      <c r="I24" s="180"/>
      <c r="J24" s="179"/>
      <c r="K24" s="179"/>
      <c r="L24" s="179"/>
      <c r="M24" s="179"/>
      <c r="N24" s="179"/>
      <c r="O24" s="180"/>
      <c r="P24" s="179"/>
      <c r="Q24" s="179"/>
      <c r="R24" s="179"/>
      <c r="S24" s="180"/>
      <c r="T24" s="179">
        <v>8994438</v>
      </c>
      <c r="U24" s="180">
        <v>8994438</v>
      </c>
      <c r="V24" s="179"/>
      <c r="W24" s="180"/>
      <c r="X24" s="53">
        <v>8994438</v>
      </c>
      <c r="Y24" s="151"/>
      <c r="Z24" s="151"/>
      <c r="AA24" s="151"/>
      <c r="AB24" s="151"/>
    </row>
    <row r="25" spans="1:28" s="173" customFormat="1" ht="13">
      <c r="A25" s="170"/>
      <c r="B25" s="94" t="s">
        <v>860</v>
      </c>
      <c r="C25" s="171"/>
      <c r="D25" s="171"/>
      <c r="E25" s="171"/>
      <c r="F25" s="171"/>
      <c r="G25" s="171"/>
      <c r="H25" s="171"/>
      <c r="I25" s="172"/>
      <c r="J25" s="171"/>
      <c r="K25" s="171"/>
      <c r="L25" s="171"/>
      <c r="M25" s="171"/>
      <c r="N25" s="171"/>
      <c r="O25" s="172"/>
      <c r="P25" s="171"/>
      <c r="Q25" s="171"/>
      <c r="R25" s="171"/>
      <c r="S25" s="172"/>
      <c r="T25" s="171">
        <v>8994438</v>
      </c>
      <c r="U25" s="172">
        <v>8994438</v>
      </c>
      <c r="V25" s="171"/>
      <c r="W25" s="172"/>
      <c r="X25" s="53">
        <v>8994438</v>
      </c>
      <c r="Y25" s="151"/>
      <c r="Z25" s="151"/>
      <c r="AA25" s="151"/>
      <c r="AB25" s="151"/>
    </row>
    <row r="26" spans="1:28" s="178" customFormat="1" ht="13">
      <c r="A26" s="170"/>
      <c r="B26" s="175" t="s">
        <v>861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7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7">
        <v>0</v>
      </c>
      <c r="P26" s="176">
        <v>0</v>
      </c>
      <c r="Q26" s="176">
        <v>0</v>
      </c>
      <c r="R26" s="176">
        <v>0</v>
      </c>
      <c r="S26" s="177">
        <v>0</v>
      </c>
      <c r="T26" s="176">
        <v>0</v>
      </c>
      <c r="U26" s="177">
        <v>0</v>
      </c>
      <c r="V26" s="176">
        <v>0</v>
      </c>
      <c r="W26" s="177">
        <v>0</v>
      </c>
      <c r="X26" s="53">
        <v>0</v>
      </c>
      <c r="Y26" s="151"/>
      <c r="Z26" s="151"/>
      <c r="AA26" s="151"/>
      <c r="AB26" s="151"/>
    </row>
    <row r="27" spans="1:28" ht="13">
      <c r="A27" s="170"/>
      <c r="B27" s="59" t="s">
        <v>862</v>
      </c>
      <c r="C27" s="179"/>
      <c r="D27" s="179"/>
      <c r="E27" s="179"/>
      <c r="F27" s="179"/>
      <c r="G27" s="179"/>
      <c r="H27" s="179"/>
      <c r="I27" s="180"/>
      <c r="J27" s="179"/>
      <c r="K27" s="179"/>
      <c r="L27" s="179"/>
      <c r="M27" s="179"/>
      <c r="N27" s="179"/>
      <c r="O27" s="180"/>
      <c r="P27" s="179"/>
      <c r="Q27" s="179"/>
      <c r="R27" s="179"/>
      <c r="S27" s="180"/>
      <c r="T27" s="179">
        <v>3549264</v>
      </c>
      <c r="U27" s="180">
        <v>3549264</v>
      </c>
      <c r="V27" s="179"/>
      <c r="W27" s="180"/>
      <c r="X27" s="53">
        <v>3549264</v>
      </c>
      <c r="Y27" s="151"/>
      <c r="Z27" s="151"/>
      <c r="AA27" s="151"/>
      <c r="AB27" s="151"/>
    </row>
    <row r="28" spans="1:28" s="173" customFormat="1" ht="13">
      <c r="A28" s="170"/>
      <c r="B28" s="94" t="s">
        <v>863</v>
      </c>
      <c r="C28" s="171"/>
      <c r="D28" s="171"/>
      <c r="E28" s="171"/>
      <c r="F28" s="171"/>
      <c r="G28" s="171"/>
      <c r="H28" s="171"/>
      <c r="I28" s="172"/>
      <c r="J28" s="171"/>
      <c r="K28" s="171"/>
      <c r="L28" s="171"/>
      <c r="M28" s="171"/>
      <c r="N28" s="171"/>
      <c r="O28" s="172"/>
      <c r="P28" s="171"/>
      <c r="Q28" s="171"/>
      <c r="R28" s="171"/>
      <c r="S28" s="172"/>
      <c r="T28" s="171">
        <v>3492807</v>
      </c>
      <c r="U28" s="172">
        <v>3492807</v>
      </c>
      <c r="V28" s="171"/>
      <c r="W28" s="172"/>
      <c r="X28" s="53">
        <v>3492807</v>
      </c>
      <c r="Y28" s="151"/>
      <c r="Z28" s="151"/>
      <c r="AA28" s="151"/>
      <c r="AB28" s="151"/>
    </row>
    <row r="29" spans="1:28" s="178" customFormat="1" ht="13">
      <c r="A29" s="170"/>
      <c r="B29" s="175" t="s">
        <v>864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7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7">
        <v>0</v>
      </c>
      <c r="P29" s="176">
        <v>0</v>
      </c>
      <c r="Q29" s="176">
        <v>0</v>
      </c>
      <c r="R29" s="176">
        <v>0</v>
      </c>
      <c r="S29" s="177">
        <v>0</v>
      </c>
      <c r="T29" s="176">
        <v>-1.5906678116927906</v>
      </c>
      <c r="U29" s="177">
        <v>-1.5906678116927906</v>
      </c>
      <c r="V29" s="176">
        <v>0</v>
      </c>
      <c r="W29" s="177">
        <v>0</v>
      </c>
      <c r="X29" s="53">
        <v>-1.5906678116927906</v>
      </c>
      <c r="Y29" s="151"/>
      <c r="Z29" s="151"/>
      <c r="AA29" s="151"/>
      <c r="AB29" s="151"/>
    </row>
    <row r="30" spans="1:28" ht="13">
      <c r="A30" s="170"/>
      <c r="B30" s="59" t="s">
        <v>865</v>
      </c>
      <c r="C30" s="179"/>
      <c r="D30" s="179"/>
      <c r="E30" s="179"/>
      <c r="F30" s="179"/>
      <c r="G30" s="179"/>
      <c r="H30" s="179"/>
      <c r="I30" s="180"/>
      <c r="J30" s="179"/>
      <c r="K30" s="179"/>
      <c r="L30" s="179"/>
      <c r="M30" s="179"/>
      <c r="N30" s="179"/>
      <c r="O30" s="180"/>
      <c r="P30" s="179"/>
      <c r="Q30" s="179"/>
      <c r="R30" s="179"/>
      <c r="S30" s="180"/>
      <c r="T30" s="179">
        <v>120543</v>
      </c>
      <c r="U30" s="180">
        <v>120543</v>
      </c>
      <c r="V30" s="179"/>
      <c r="W30" s="180"/>
      <c r="X30" s="53">
        <v>120543</v>
      </c>
      <c r="Y30" s="151"/>
      <c r="Z30" s="151"/>
      <c r="AA30" s="151"/>
      <c r="AB30" s="151"/>
    </row>
    <row r="31" spans="1:28" s="173" customFormat="1" ht="13">
      <c r="A31" s="170"/>
      <c r="B31" s="94" t="s">
        <v>866</v>
      </c>
      <c r="C31" s="171"/>
      <c r="D31" s="171"/>
      <c r="E31" s="171"/>
      <c r="F31" s="171"/>
      <c r="G31" s="171"/>
      <c r="H31" s="171"/>
      <c r="I31" s="172"/>
      <c r="J31" s="171"/>
      <c r="K31" s="171"/>
      <c r="L31" s="171"/>
      <c r="M31" s="171"/>
      <c r="N31" s="171"/>
      <c r="O31" s="172"/>
      <c r="P31" s="171"/>
      <c r="Q31" s="171"/>
      <c r="R31" s="171"/>
      <c r="S31" s="172"/>
      <c r="T31" s="171">
        <v>177000</v>
      </c>
      <c r="U31" s="172">
        <v>177000</v>
      </c>
      <c r="V31" s="171"/>
      <c r="W31" s="172"/>
      <c r="X31" s="53">
        <v>177000</v>
      </c>
      <c r="Y31" s="151"/>
      <c r="Z31" s="151"/>
      <c r="AA31" s="151"/>
      <c r="AB31" s="151"/>
    </row>
    <row r="32" spans="1:28" s="178" customFormat="1" ht="13">
      <c r="A32" s="170"/>
      <c r="B32" s="175" t="s">
        <v>867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7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7">
        <v>0</v>
      </c>
      <c r="P32" s="176">
        <v>0</v>
      </c>
      <c r="Q32" s="176">
        <v>0</v>
      </c>
      <c r="R32" s="176">
        <v>0</v>
      </c>
      <c r="S32" s="177">
        <v>0</v>
      </c>
      <c r="T32" s="176">
        <v>46.835569050048534</v>
      </c>
      <c r="U32" s="177">
        <v>46.835569050048534</v>
      </c>
      <c r="V32" s="176">
        <v>0</v>
      </c>
      <c r="W32" s="177">
        <v>0</v>
      </c>
      <c r="X32" s="53">
        <v>46.835569050048534</v>
      </c>
      <c r="Y32" s="151"/>
      <c r="Z32" s="151"/>
      <c r="AA32" s="151"/>
      <c r="AB32" s="151"/>
    </row>
    <row r="33" spans="1:28" ht="13">
      <c r="A33" s="170"/>
      <c r="B33" s="59" t="s">
        <v>868</v>
      </c>
      <c r="C33" s="179">
        <v>0</v>
      </c>
      <c r="D33" s="179">
        <v>0</v>
      </c>
      <c r="E33" s="179">
        <v>0</v>
      </c>
      <c r="F33" s="179">
        <v>0</v>
      </c>
      <c r="G33" s="179">
        <v>0</v>
      </c>
      <c r="H33" s="179">
        <v>0</v>
      </c>
      <c r="I33" s="180">
        <v>0</v>
      </c>
      <c r="J33" s="179"/>
      <c r="K33" s="179">
        <v>0</v>
      </c>
      <c r="L33" s="179">
        <v>0</v>
      </c>
      <c r="M33" s="179">
        <v>0</v>
      </c>
      <c r="N33" s="179"/>
      <c r="O33" s="180">
        <v>0</v>
      </c>
      <c r="P33" s="179">
        <v>0</v>
      </c>
      <c r="Q33" s="179">
        <v>0</v>
      </c>
      <c r="R33" s="179"/>
      <c r="S33" s="180">
        <v>0</v>
      </c>
      <c r="T33" s="179">
        <v>3669807</v>
      </c>
      <c r="U33" s="180">
        <v>3669807</v>
      </c>
      <c r="V33" s="179"/>
      <c r="W33" s="180"/>
      <c r="X33" s="53">
        <v>3669807</v>
      </c>
      <c r="Y33" s="151"/>
      <c r="Z33" s="151"/>
      <c r="AA33" s="151"/>
      <c r="AB33" s="151"/>
    </row>
    <row r="34" spans="1:28" s="173" customFormat="1" ht="13">
      <c r="A34" s="170"/>
      <c r="B34" s="94" t="s">
        <v>869</v>
      </c>
      <c r="C34" s="171">
        <v>0</v>
      </c>
      <c r="D34" s="171">
        <v>0</v>
      </c>
      <c r="E34" s="171">
        <v>0</v>
      </c>
      <c r="F34" s="171">
        <v>0</v>
      </c>
      <c r="G34" s="171">
        <v>0</v>
      </c>
      <c r="H34" s="171">
        <v>0</v>
      </c>
      <c r="I34" s="172">
        <v>0</v>
      </c>
      <c r="J34" s="171"/>
      <c r="K34" s="171">
        <v>0</v>
      </c>
      <c r="L34" s="171">
        <v>0</v>
      </c>
      <c r="M34" s="171">
        <v>0</v>
      </c>
      <c r="N34" s="171"/>
      <c r="O34" s="172">
        <v>0</v>
      </c>
      <c r="P34" s="171">
        <v>0</v>
      </c>
      <c r="Q34" s="171">
        <v>0</v>
      </c>
      <c r="R34" s="171"/>
      <c r="S34" s="172">
        <v>0</v>
      </c>
      <c r="T34" s="171">
        <v>3669807</v>
      </c>
      <c r="U34" s="172">
        <v>3669807</v>
      </c>
      <c r="V34" s="171"/>
      <c r="W34" s="172"/>
      <c r="X34" s="53">
        <v>3669807</v>
      </c>
      <c r="Y34" s="151"/>
      <c r="Z34" s="151"/>
      <c r="AA34" s="151"/>
      <c r="AB34" s="151"/>
    </row>
    <row r="35" spans="1:28" s="178" customFormat="1" ht="13">
      <c r="A35" s="170"/>
      <c r="B35" s="175" t="s">
        <v>870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7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7">
        <v>0</v>
      </c>
      <c r="P35" s="176">
        <v>0</v>
      </c>
      <c r="Q35" s="176">
        <v>0</v>
      </c>
      <c r="R35" s="176">
        <v>0</v>
      </c>
      <c r="S35" s="177">
        <v>0</v>
      </c>
      <c r="T35" s="176">
        <v>0</v>
      </c>
      <c r="U35" s="177">
        <v>0</v>
      </c>
      <c r="V35" s="176">
        <v>0</v>
      </c>
      <c r="W35" s="177">
        <v>0</v>
      </c>
      <c r="X35" s="53">
        <v>0</v>
      </c>
      <c r="Y35" s="151"/>
      <c r="Z35" s="151"/>
      <c r="AA35" s="151"/>
      <c r="AB35" s="151"/>
    </row>
    <row r="36" spans="1:28" ht="13">
      <c r="A36" s="170"/>
      <c r="B36" s="59" t="s">
        <v>871</v>
      </c>
      <c r="C36" s="179">
        <v>288543694</v>
      </c>
      <c r="D36" s="179">
        <v>54894386</v>
      </c>
      <c r="E36" s="179"/>
      <c r="F36" s="179"/>
      <c r="G36" s="179"/>
      <c r="H36" s="179"/>
      <c r="I36" s="180">
        <v>343438080</v>
      </c>
      <c r="J36" s="179"/>
      <c r="K36" s="179"/>
      <c r="L36" s="179"/>
      <c r="M36" s="179"/>
      <c r="N36" s="179"/>
      <c r="O36" s="180"/>
      <c r="P36" s="179"/>
      <c r="Q36" s="179"/>
      <c r="R36" s="179"/>
      <c r="S36" s="180"/>
      <c r="T36" s="179"/>
      <c r="U36" s="180"/>
      <c r="V36" s="179"/>
      <c r="W36" s="180"/>
      <c r="X36" s="53">
        <v>343438080</v>
      </c>
      <c r="Y36" s="151"/>
      <c r="Z36" s="151"/>
      <c r="AA36" s="151"/>
      <c r="AB36" s="151"/>
    </row>
    <row r="37" spans="1:28" s="173" customFormat="1" ht="13">
      <c r="A37" s="170"/>
      <c r="B37" s="94" t="s">
        <v>872</v>
      </c>
      <c r="C37" s="171">
        <v>294418048</v>
      </c>
      <c r="D37" s="171">
        <v>55895671</v>
      </c>
      <c r="E37" s="171"/>
      <c r="F37" s="171"/>
      <c r="G37" s="171"/>
      <c r="H37" s="171"/>
      <c r="I37" s="172">
        <v>350313719</v>
      </c>
      <c r="J37" s="171"/>
      <c r="K37" s="171"/>
      <c r="L37" s="171"/>
      <c r="M37" s="171"/>
      <c r="N37" s="171"/>
      <c r="O37" s="172"/>
      <c r="P37" s="171"/>
      <c r="Q37" s="171"/>
      <c r="R37" s="171"/>
      <c r="S37" s="172"/>
      <c r="T37" s="171"/>
      <c r="U37" s="172"/>
      <c r="V37" s="171"/>
      <c r="W37" s="172"/>
      <c r="X37" s="53">
        <v>350313719</v>
      </c>
      <c r="Y37" s="151"/>
      <c r="Z37" s="151"/>
      <c r="AA37" s="151"/>
      <c r="AB37" s="151"/>
    </row>
    <row r="38" spans="1:28" s="178" customFormat="1" ht="13">
      <c r="A38" s="170"/>
      <c r="B38" s="175" t="s">
        <v>873</v>
      </c>
      <c r="C38" s="176">
        <v>2.0358628943039734</v>
      </c>
      <c r="D38" s="176">
        <v>1.8240207659850682</v>
      </c>
      <c r="E38" s="176">
        <v>0</v>
      </c>
      <c r="F38" s="176">
        <v>0</v>
      </c>
      <c r="G38" s="176">
        <v>0</v>
      </c>
      <c r="H38" s="176">
        <v>0</v>
      </c>
      <c r="I38" s="177">
        <v>2.0020025152714576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7">
        <v>0</v>
      </c>
      <c r="P38" s="176">
        <v>0</v>
      </c>
      <c r="Q38" s="176">
        <v>0</v>
      </c>
      <c r="R38" s="176">
        <v>0</v>
      </c>
      <c r="S38" s="177">
        <v>0</v>
      </c>
      <c r="T38" s="176">
        <v>0</v>
      </c>
      <c r="U38" s="177">
        <v>0</v>
      </c>
      <c r="V38" s="176">
        <v>0</v>
      </c>
      <c r="W38" s="177">
        <v>0</v>
      </c>
      <c r="X38" s="53">
        <v>2.0020025152714576</v>
      </c>
      <c r="Y38" s="151"/>
      <c r="Z38" s="151"/>
      <c r="AA38" s="151"/>
      <c r="AB38" s="151"/>
    </row>
    <row r="39" spans="1:28" ht="13">
      <c r="A39" s="170"/>
      <c r="B39" s="59" t="s">
        <v>874</v>
      </c>
      <c r="C39" s="179">
        <v>166157192</v>
      </c>
      <c r="D39" s="179">
        <v>80351105</v>
      </c>
      <c r="E39" s="179"/>
      <c r="F39" s="179"/>
      <c r="G39" s="179"/>
      <c r="H39" s="179"/>
      <c r="I39" s="180">
        <v>246508297</v>
      </c>
      <c r="J39" s="179"/>
      <c r="K39" s="179"/>
      <c r="L39" s="179"/>
      <c r="M39" s="179"/>
      <c r="N39" s="179"/>
      <c r="O39" s="180"/>
      <c r="P39" s="179"/>
      <c r="Q39" s="179"/>
      <c r="R39" s="179"/>
      <c r="S39" s="180"/>
      <c r="T39" s="179"/>
      <c r="U39" s="180"/>
      <c r="V39" s="179"/>
      <c r="W39" s="180"/>
      <c r="X39" s="53">
        <v>246508297</v>
      </c>
      <c r="Y39" s="151"/>
      <c r="Z39" s="151"/>
      <c r="AA39" s="151"/>
      <c r="AB39" s="151"/>
    </row>
    <row r="40" spans="1:28" s="173" customFormat="1" ht="13">
      <c r="A40" s="170"/>
      <c r="B40" s="94" t="s">
        <v>875</v>
      </c>
      <c r="C40" s="171">
        <v>180407390</v>
      </c>
      <c r="D40" s="171">
        <v>78311884</v>
      </c>
      <c r="E40" s="171"/>
      <c r="F40" s="171"/>
      <c r="G40" s="171"/>
      <c r="H40" s="171"/>
      <c r="I40" s="172">
        <v>258719274</v>
      </c>
      <c r="J40" s="171"/>
      <c r="K40" s="171"/>
      <c r="L40" s="171"/>
      <c r="M40" s="171"/>
      <c r="N40" s="171"/>
      <c r="O40" s="172"/>
      <c r="P40" s="171"/>
      <c r="Q40" s="171"/>
      <c r="R40" s="171"/>
      <c r="S40" s="172"/>
      <c r="T40" s="171"/>
      <c r="U40" s="172"/>
      <c r="V40" s="171"/>
      <c r="W40" s="172"/>
      <c r="X40" s="53">
        <v>258719274</v>
      </c>
      <c r="Y40" s="151"/>
      <c r="Z40" s="151"/>
      <c r="AA40" s="151"/>
      <c r="AB40" s="151"/>
    </row>
    <row r="41" spans="1:28" s="178" customFormat="1" ht="13">
      <c r="A41" s="170"/>
      <c r="B41" s="175" t="s">
        <v>876</v>
      </c>
      <c r="C41" s="176">
        <v>8.5763353535728992</v>
      </c>
      <c r="D41" s="176">
        <v>-2.5378879357041821</v>
      </c>
      <c r="E41" s="176">
        <v>0</v>
      </c>
      <c r="F41" s="176">
        <v>0</v>
      </c>
      <c r="G41" s="176">
        <v>0</v>
      </c>
      <c r="H41" s="176">
        <v>0</v>
      </c>
      <c r="I41" s="177">
        <v>4.9535764713023029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7">
        <v>0</v>
      </c>
      <c r="P41" s="176">
        <v>0</v>
      </c>
      <c r="Q41" s="176">
        <v>0</v>
      </c>
      <c r="R41" s="176">
        <v>0</v>
      </c>
      <c r="S41" s="177">
        <v>0</v>
      </c>
      <c r="T41" s="176">
        <v>0</v>
      </c>
      <c r="U41" s="177">
        <v>0</v>
      </c>
      <c r="V41" s="176">
        <v>0</v>
      </c>
      <c r="W41" s="177">
        <v>0</v>
      </c>
      <c r="X41" s="53">
        <v>4.9535764713023029</v>
      </c>
      <c r="Y41" s="151"/>
      <c r="Z41" s="151"/>
      <c r="AA41" s="151"/>
      <c r="AB41" s="151"/>
    </row>
    <row r="42" spans="1:28" ht="13">
      <c r="A42" s="170"/>
      <c r="B42" s="59" t="s">
        <v>877</v>
      </c>
      <c r="C42" s="179">
        <v>1923274587</v>
      </c>
      <c r="D42" s="179">
        <v>309016306</v>
      </c>
      <c r="E42" s="179">
        <v>602907426</v>
      </c>
      <c r="F42" s="179">
        <v>146131964</v>
      </c>
      <c r="G42" s="179">
        <v>58675036</v>
      </c>
      <c r="H42" s="179">
        <v>33657879</v>
      </c>
      <c r="I42" s="180">
        <v>3073663198</v>
      </c>
      <c r="J42" s="179"/>
      <c r="K42" s="179">
        <v>159773144</v>
      </c>
      <c r="L42" s="179">
        <v>279820876</v>
      </c>
      <c r="M42" s="179">
        <v>109817140</v>
      </c>
      <c r="N42" s="179"/>
      <c r="O42" s="180">
        <v>549411160</v>
      </c>
      <c r="P42" s="179">
        <v>15890504</v>
      </c>
      <c r="Q42" s="179">
        <v>26134499</v>
      </c>
      <c r="R42" s="179"/>
      <c r="S42" s="180">
        <v>42025003</v>
      </c>
      <c r="T42" s="179">
        <v>0</v>
      </c>
      <c r="U42" s="180">
        <v>0</v>
      </c>
      <c r="V42" s="179"/>
      <c r="W42" s="180"/>
      <c r="X42" s="53">
        <v>3665099361</v>
      </c>
      <c r="Y42" s="151"/>
      <c r="Z42" s="151"/>
      <c r="AA42" s="151"/>
      <c r="AB42" s="151"/>
    </row>
    <row r="43" spans="1:28" s="173" customFormat="1" ht="13">
      <c r="A43" s="170"/>
      <c r="B43" s="94" t="s">
        <v>878</v>
      </c>
      <c r="C43" s="171">
        <v>1888235050</v>
      </c>
      <c r="D43" s="171">
        <v>309459556</v>
      </c>
      <c r="E43" s="171">
        <v>594510499</v>
      </c>
      <c r="F43" s="171">
        <v>152184092</v>
      </c>
      <c r="G43" s="171">
        <v>59980796</v>
      </c>
      <c r="H43" s="171">
        <v>35110618</v>
      </c>
      <c r="I43" s="172">
        <v>3039480611</v>
      </c>
      <c r="J43" s="171"/>
      <c r="K43" s="171">
        <v>158109940</v>
      </c>
      <c r="L43" s="171">
        <v>275665889</v>
      </c>
      <c r="M43" s="171">
        <v>109801708</v>
      </c>
      <c r="N43" s="171"/>
      <c r="O43" s="172">
        <v>543577537</v>
      </c>
      <c r="P43" s="171">
        <v>15718070</v>
      </c>
      <c r="Q43" s="171">
        <v>26079072</v>
      </c>
      <c r="R43" s="171"/>
      <c r="S43" s="172">
        <v>41797142</v>
      </c>
      <c r="T43" s="171">
        <v>0</v>
      </c>
      <c r="U43" s="172">
        <v>0</v>
      </c>
      <c r="V43" s="171"/>
      <c r="W43" s="172"/>
      <c r="X43" s="53">
        <v>3624855290</v>
      </c>
      <c r="Y43" s="151"/>
      <c r="Z43" s="151"/>
      <c r="AA43" s="151"/>
      <c r="AB43" s="151"/>
    </row>
    <row r="44" spans="1:28" s="191" customFormat="1" ht="13.5" thickBot="1">
      <c r="A44" s="186"/>
      <c r="B44" s="187" t="s">
        <v>879</v>
      </c>
      <c r="C44" s="188">
        <v>-1.8218686627922465</v>
      </c>
      <c r="D44" s="188">
        <v>0.14343903263150132</v>
      </c>
      <c r="E44" s="188">
        <v>-1.3927390239177448</v>
      </c>
      <c r="F44" s="188">
        <v>4.1415497570401509</v>
      </c>
      <c r="G44" s="188">
        <v>2.22540979778862</v>
      </c>
      <c r="H44" s="188">
        <v>4.3161929484623798</v>
      </c>
      <c r="I44" s="189">
        <v>-1.1121123167379641</v>
      </c>
      <c r="J44" s="188">
        <v>0</v>
      </c>
      <c r="K44" s="188">
        <v>-1.0409784512971718</v>
      </c>
      <c r="L44" s="188">
        <v>-1.4848738447949108</v>
      </c>
      <c r="M44" s="188">
        <v>-1.4052451192955853E-2</v>
      </c>
      <c r="N44" s="188">
        <v>0</v>
      </c>
      <c r="O44" s="189">
        <v>-1.0617955048455878</v>
      </c>
      <c r="P44" s="188">
        <v>-1.085138646326133</v>
      </c>
      <c r="Q44" s="188">
        <v>-0.21208365234015011</v>
      </c>
      <c r="R44" s="188">
        <v>0</v>
      </c>
      <c r="S44" s="189">
        <v>-0.54220341162141028</v>
      </c>
      <c r="T44" s="188">
        <v>0</v>
      </c>
      <c r="U44" s="189">
        <v>0</v>
      </c>
      <c r="V44" s="190">
        <v>0</v>
      </c>
      <c r="W44" s="189">
        <v>0</v>
      </c>
      <c r="X44" s="53">
        <v>-1.0980349244616292</v>
      </c>
      <c r="Y44" s="151"/>
      <c r="Z44" s="151"/>
      <c r="AA44" s="151"/>
      <c r="AB44" s="151"/>
    </row>
    <row r="45" spans="1:28" ht="13.5" thickTop="1">
      <c r="A45" s="147" t="s">
        <v>197</v>
      </c>
      <c r="B45" s="167" t="s">
        <v>754</v>
      </c>
      <c r="C45" s="168">
        <v>132493798</v>
      </c>
      <c r="D45" s="168">
        <v>62805132</v>
      </c>
      <c r="E45" s="168">
        <v>155561237</v>
      </c>
      <c r="F45" s="168">
        <v>54691597</v>
      </c>
      <c r="G45" s="168"/>
      <c r="H45" s="168">
        <v>48425418</v>
      </c>
      <c r="I45" s="169">
        <v>453977182</v>
      </c>
      <c r="J45" s="168"/>
      <c r="K45" s="168">
        <v>12559563</v>
      </c>
      <c r="L45" s="168">
        <v>31827192</v>
      </c>
      <c r="M45" s="168">
        <v>135035805</v>
      </c>
      <c r="N45" s="168"/>
      <c r="O45" s="169">
        <v>179422560</v>
      </c>
      <c r="P45" s="168"/>
      <c r="Q45" s="168"/>
      <c r="R45" s="168"/>
      <c r="S45" s="169"/>
      <c r="T45" s="168"/>
      <c r="U45" s="169"/>
      <c r="V45" s="168"/>
      <c r="W45" s="169"/>
      <c r="X45" s="53">
        <v>633399742</v>
      </c>
      <c r="Y45" s="151"/>
      <c r="Z45" s="151"/>
      <c r="AA45" s="151"/>
      <c r="AB45" s="151"/>
    </row>
    <row r="46" spans="1:28" s="173" customFormat="1" ht="13">
      <c r="A46" s="170"/>
      <c r="B46" s="94" t="s">
        <v>755</v>
      </c>
      <c r="C46" s="171">
        <v>133641316</v>
      </c>
      <c r="D46" s="171">
        <v>63093365</v>
      </c>
      <c r="E46" s="171">
        <v>158685715</v>
      </c>
      <c r="F46" s="171">
        <v>54633674</v>
      </c>
      <c r="G46" s="171"/>
      <c r="H46" s="171">
        <v>52458304</v>
      </c>
      <c r="I46" s="172">
        <v>462512374</v>
      </c>
      <c r="J46" s="171"/>
      <c r="K46" s="171">
        <v>13362899</v>
      </c>
      <c r="L46" s="171">
        <v>31484047</v>
      </c>
      <c r="M46" s="171">
        <v>136370540</v>
      </c>
      <c r="N46" s="171"/>
      <c r="O46" s="172">
        <v>181217486</v>
      </c>
      <c r="P46" s="171"/>
      <c r="Q46" s="171"/>
      <c r="R46" s="171"/>
      <c r="S46" s="172"/>
      <c r="T46" s="171"/>
      <c r="U46" s="172"/>
      <c r="V46" s="171"/>
      <c r="W46" s="172"/>
      <c r="X46" s="53">
        <v>643729860</v>
      </c>
      <c r="Y46" s="151"/>
      <c r="Z46" s="151"/>
      <c r="AA46" s="151"/>
      <c r="AB46" s="151"/>
    </row>
    <row r="47" spans="1:28" s="178" customFormat="1" ht="13">
      <c r="A47" s="174"/>
      <c r="B47" s="175" t="s">
        <v>849</v>
      </c>
      <c r="C47" s="176">
        <v>0.8660918603903256</v>
      </c>
      <c r="D47" s="176">
        <v>0.45893224139708833</v>
      </c>
      <c r="E47" s="176">
        <v>2.0085196416894013</v>
      </c>
      <c r="F47" s="176">
        <v>-0.10590840856228791</v>
      </c>
      <c r="G47" s="176">
        <v>0</v>
      </c>
      <c r="H47" s="176">
        <v>8.3280354957390355</v>
      </c>
      <c r="I47" s="177">
        <v>1.8800927311804847</v>
      </c>
      <c r="J47" s="176">
        <v>0</v>
      </c>
      <c r="K47" s="176">
        <v>6.3962098044334823</v>
      </c>
      <c r="L47" s="176">
        <v>-1.0781504067339651</v>
      </c>
      <c r="M47" s="176">
        <v>0.98843043887508197</v>
      </c>
      <c r="N47" s="176">
        <v>0</v>
      </c>
      <c r="O47" s="177">
        <v>1.0003903633968885</v>
      </c>
      <c r="P47" s="176">
        <v>0</v>
      </c>
      <c r="Q47" s="176">
        <v>0</v>
      </c>
      <c r="R47" s="176">
        <v>0</v>
      </c>
      <c r="S47" s="177">
        <v>0</v>
      </c>
      <c r="T47" s="176">
        <v>0</v>
      </c>
      <c r="U47" s="177">
        <v>0</v>
      </c>
      <c r="V47" s="176">
        <v>0</v>
      </c>
      <c r="W47" s="177">
        <v>0</v>
      </c>
      <c r="X47" s="53">
        <v>1.6309002538242274</v>
      </c>
      <c r="Y47" s="151"/>
      <c r="Z47" s="151"/>
      <c r="AA47" s="151"/>
      <c r="AB47" s="151"/>
    </row>
    <row r="48" spans="1:28" ht="13">
      <c r="A48" s="170"/>
      <c r="B48" s="59" t="s">
        <v>756</v>
      </c>
      <c r="C48" s="179">
        <v>86247594</v>
      </c>
      <c r="D48" s="179">
        <v>4161417</v>
      </c>
      <c r="E48" s="179">
        <v>3213029</v>
      </c>
      <c r="F48" s="179">
        <v>4293789</v>
      </c>
      <c r="G48" s="179"/>
      <c r="H48" s="179"/>
      <c r="I48" s="180">
        <v>97915829</v>
      </c>
      <c r="J48" s="179"/>
      <c r="K48" s="179"/>
      <c r="L48" s="179"/>
      <c r="M48" s="179">
        <v>2194790</v>
      </c>
      <c r="N48" s="179"/>
      <c r="O48" s="180">
        <v>2194790</v>
      </c>
      <c r="P48" s="179"/>
      <c r="Q48" s="179"/>
      <c r="R48" s="179"/>
      <c r="S48" s="180"/>
      <c r="T48" s="179"/>
      <c r="U48" s="180"/>
      <c r="V48" s="179"/>
      <c r="W48" s="180"/>
      <c r="X48" s="53">
        <v>100110619</v>
      </c>
      <c r="Y48" s="151"/>
      <c r="Z48" s="151"/>
      <c r="AA48" s="151"/>
      <c r="AB48" s="151"/>
    </row>
    <row r="49" spans="1:28" s="173" customFormat="1" ht="13">
      <c r="A49" s="170"/>
      <c r="B49" s="94" t="s">
        <v>757</v>
      </c>
      <c r="C49" s="171">
        <v>88983848</v>
      </c>
      <c r="D49" s="171">
        <v>4161417</v>
      </c>
      <c r="E49" s="171">
        <v>3276109</v>
      </c>
      <c r="F49" s="171">
        <v>4356046</v>
      </c>
      <c r="G49" s="171"/>
      <c r="H49" s="171"/>
      <c r="I49" s="172">
        <v>100777420</v>
      </c>
      <c r="J49" s="171"/>
      <c r="K49" s="171"/>
      <c r="L49" s="171"/>
      <c r="M49" s="171">
        <v>2199221</v>
      </c>
      <c r="N49" s="171"/>
      <c r="O49" s="172">
        <v>2199221</v>
      </c>
      <c r="P49" s="171"/>
      <c r="Q49" s="171"/>
      <c r="R49" s="171"/>
      <c r="S49" s="172"/>
      <c r="T49" s="171"/>
      <c r="U49" s="172"/>
      <c r="V49" s="171"/>
      <c r="W49" s="172"/>
      <c r="X49" s="53">
        <v>102976641</v>
      </c>
      <c r="Y49" s="151"/>
      <c r="Z49" s="151"/>
      <c r="AA49" s="151"/>
      <c r="AB49" s="151"/>
    </row>
    <row r="50" spans="1:28" s="178" customFormat="1" ht="13">
      <c r="A50" s="170"/>
      <c r="B50" s="175" t="s">
        <v>850</v>
      </c>
      <c r="C50" s="176">
        <v>3.1725569063410628</v>
      </c>
      <c r="D50" s="176">
        <v>0</v>
      </c>
      <c r="E50" s="176">
        <v>1.963256478544078</v>
      </c>
      <c r="F50" s="176">
        <v>1.4499315173614726</v>
      </c>
      <c r="G50" s="176">
        <v>0</v>
      </c>
      <c r="H50" s="176">
        <v>0</v>
      </c>
      <c r="I50" s="177">
        <v>2.9225009165780538</v>
      </c>
      <c r="J50" s="176">
        <v>0</v>
      </c>
      <c r="K50" s="176">
        <v>0</v>
      </c>
      <c r="L50" s="176">
        <v>0</v>
      </c>
      <c r="M50" s="176">
        <v>0.20188719649715919</v>
      </c>
      <c r="N50" s="176">
        <v>0</v>
      </c>
      <c r="O50" s="177">
        <v>0.20188719649715919</v>
      </c>
      <c r="P50" s="176">
        <v>0</v>
      </c>
      <c r="Q50" s="176">
        <v>0</v>
      </c>
      <c r="R50" s="176">
        <v>0</v>
      </c>
      <c r="S50" s="177">
        <v>0</v>
      </c>
      <c r="T50" s="176">
        <v>0</v>
      </c>
      <c r="U50" s="177">
        <v>0</v>
      </c>
      <c r="V50" s="176">
        <v>0</v>
      </c>
      <c r="W50" s="177">
        <v>0</v>
      </c>
      <c r="X50" s="53">
        <v>2.8628551382745919</v>
      </c>
      <c r="Y50" s="151"/>
      <c r="Z50" s="151"/>
      <c r="AA50" s="151"/>
      <c r="AB50" s="151"/>
    </row>
    <row r="51" spans="1:28" ht="13">
      <c r="A51" s="170"/>
      <c r="B51" s="59" t="s">
        <v>758</v>
      </c>
      <c r="C51" s="179"/>
      <c r="D51" s="179"/>
      <c r="E51" s="179"/>
      <c r="F51" s="179"/>
      <c r="G51" s="179"/>
      <c r="H51" s="179">
        <v>6247185</v>
      </c>
      <c r="I51" s="180">
        <v>6247185</v>
      </c>
      <c r="J51" s="179"/>
      <c r="K51" s="179">
        <v>11003333</v>
      </c>
      <c r="L51" s="179">
        <v>1791708</v>
      </c>
      <c r="M51" s="179">
        <v>17747006</v>
      </c>
      <c r="N51" s="179"/>
      <c r="O51" s="180">
        <v>30542047</v>
      </c>
      <c r="P51" s="179"/>
      <c r="Q51" s="179"/>
      <c r="R51" s="179"/>
      <c r="S51" s="180"/>
      <c r="T51" s="179"/>
      <c r="U51" s="180"/>
      <c r="V51" s="179"/>
      <c r="W51" s="180"/>
      <c r="X51" s="53">
        <v>36789232</v>
      </c>
      <c r="Y51" s="151"/>
      <c r="Z51" s="151"/>
      <c r="AA51" s="151"/>
      <c r="AB51" s="151"/>
    </row>
    <row r="52" spans="1:28" s="173" customFormat="1" ht="13">
      <c r="A52" s="170"/>
      <c r="B52" s="94" t="s">
        <v>759</v>
      </c>
      <c r="C52" s="171"/>
      <c r="D52" s="171"/>
      <c r="E52" s="171"/>
      <c r="F52" s="171"/>
      <c r="G52" s="171"/>
      <c r="H52" s="171">
        <v>7246839</v>
      </c>
      <c r="I52" s="172">
        <v>7246839</v>
      </c>
      <c r="J52" s="171"/>
      <c r="K52" s="171">
        <v>11984504</v>
      </c>
      <c r="L52" s="171">
        <v>2292974</v>
      </c>
      <c r="M52" s="171">
        <v>18934930</v>
      </c>
      <c r="N52" s="171"/>
      <c r="O52" s="172">
        <v>33212408</v>
      </c>
      <c r="P52" s="171"/>
      <c r="Q52" s="171"/>
      <c r="R52" s="171"/>
      <c r="S52" s="172"/>
      <c r="T52" s="171"/>
      <c r="U52" s="172"/>
      <c r="V52" s="171"/>
      <c r="W52" s="172"/>
      <c r="X52" s="53">
        <v>40459247</v>
      </c>
      <c r="Y52" s="151"/>
      <c r="Z52" s="151"/>
      <c r="AA52" s="151"/>
      <c r="AB52" s="151"/>
    </row>
    <row r="53" spans="1:28" s="178" customFormat="1" ht="13">
      <c r="A53" s="170"/>
      <c r="B53" s="175" t="s">
        <v>851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16.00167115268717</v>
      </c>
      <c r="I53" s="177">
        <v>16.00167115268717</v>
      </c>
      <c r="J53" s="176">
        <v>0</v>
      </c>
      <c r="K53" s="176">
        <v>8.9170345021822026</v>
      </c>
      <c r="L53" s="176">
        <v>27.976991786608085</v>
      </c>
      <c r="M53" s="176">
        <v>6.6936586374062195</v>
      </c>
      <c r="N53" s="176">
        <v>0</v>
      </c>
      <c r="O53" s="177">
        <v>8.7432286382114466</v>
      </c>
      <c r="P53" s="176">
        <v>0</v>
      </c>
      <c r="Q53" s="176">
        <v>0</v>
      </c>
      <c r="R53" s="176">
        <v>0</v>
      </c>
      <c r="S53" s="177">
        <v>0</v>
      </c>
      <c r="T53" s="176">
        <v>0</v>
      </c>
      <c r="U53" s="177">
        <v>0</v>
      </c>
      <c r="V53" s="176">
        <v>0</v>
      </c>
      <c r="W53" s="177">
        <v>0</v>
      </c>
      <c r="X53" s="53">
        <v>9.9757858495116167</v>
      </c>
      <c r="Y53" s="151"/>
      <c r="Z53" s="151"/>
      <c r="AA53" s="151"/>
      <c r="AB53" s="151"/>
    </row>
    <row r="54" spans="1:28" ht="13">
      <c r="A54" s="170"/>
      <c r="B54" s="59" t="s">
        <v>760</v>
      </c>
      <c r="C54" s="179">
        <v>251387036</v>
      </c>
      <c r="D54" s="179">
        <v>71918687</v>
      </c>
      <c r="E54" s="179">
        <v>266055599</v>
      </c>
      <c r="F54" s="179">
        <v>83705054</v>
      </c>
      <c r="G54" s="179"/>
      <c r="H54" s="179">
        <v>54514313</v>
      </c>
      <c r="I54" s="180">
        <v>727580689</v>
      </c>
      <c r="J54" s="179"/>
      <c r="K54" s="179">
        <v>23408921</v>
      </c>
      <c r="L54" s="179">
        <v>33238663</v>
      </c>
      <c r="M54" s="179">
        <v>81577271</v>
      </c>
      <c r="N54" s="179"/>
      <c r="O54" s="180">
        <v>138224855</v>
      </c>
      <c r="P54" s="179"/>
      <c r="Q54" s="179"/>
      <c r="R54" s="179"/>
      <c r="S54" s="180"/>
      <c r="T54" s="179"/>
      <c r="U54" s="180"/>
      <c r="V54" s="179"/>
      <c r="W54" s="180"/>
      <c r="X54" s="53">
        <v>865805544</v>
      </c>
      <c r="Y54" s="151"/>
      <c r="Z54" s="151"/>
      <c r="AA54" s="151"/>
      <c r="AB54" s="151"/>
    </row>
    <row r="55" spans="1:28" s="173" customFormat="1" ht="13">
      <c r="A55" s="170"/>
      <c r="B55" s="94" t="s">
        <v>761</v>
      </c>
      <c r="C55" s="171">
        <v>331497527</v>
      </c>
      <c r="D55" s="171">
        <v>65571181</v>
      </c>
      <c r="E55" s="171">
        <v>271821574</v>
      </c>
      <c r="F55" s="171">
        <v>91086167</v>
      </c>
      <c r="G55" s="171"/>
      <c r="H55" s="171">
        <v>60437302</v>
      </c>
      <c r="I55" s="172">
        <v>820413751</v>
      </c>
      <c r="J55" s="171"/>
      <c r="K55" s="171">
        <v>23171155</v>
      </c>
      <c r="L55" s="171">
        <v>31122921</v>
      </c>
      <c r="M55" s="171">
        <v>76111389</v>
      </c>
      <c r="N55" s="171"/>
      <c r="O55" s="172">
        <v>130405465</v>
      </c>
      <c r="P55" s="171"/>
      <c r="Q55" s="171"/>
      <c r="R55" s="171"/>
      <c r="S55" s="172"/>
      <c r="T55" s="171"/>
      <c r="U55" s="172"/>
      <c r="V55" s="171"/>
      <c r="W55" s="172"/>
      <c r="X55" s="53">
        <v>950819216</v>
      </c>
      <c r="Y55" s="151"/>
      <c r="Z55" s="151"/>
      <c r="AA55" s="151"/>
      <c r="AB55" s="151"/>
    </row>
    <row r="56" spans="1:28" s="178" customFormat="1" ht="13">
      <c r="A56" s="170"/>
      <c r="B56" s="175" t="s">
        <v>852</v>
      </c>
      <c r="C56" s="176">
        <v>31.867391522926425</v>
      </c>
      <c r="D56" s="176">
        <v>-8.8259481155433228</v>
      </c>
      <c r="E56" s="176">
        <v>2.167206787480537</v>
      </c>
      <c r="F56" s="176">
        <v>8.8180015988042975</v>
      </c>
      <c r="G56" s="176">
        <v>0</v>
      </c>
      <c r="H56" s="176">
        <v>10.865016312321501</v>
      </c>
      <c r="I56" s="177">
        <v>12.759143199305006</v>
      </c>
      <c r="J56" s="176">
        <v>0</v>
      </c>
      <c r="K56" s="176">
        <v>-1.015706789732</v>
      </c>
      <c r="L56" s="176">
        <v>-6.3653041640092445</v>
      </c>
      <c r="M56" s="176">
        <v>-6.700251103030892</v>
      </c>
      <c r="N56" s="176">
        <v>0</v>
      </c>
      <c r="O56" s="177">
        <v>-5.6570072003331093</v>
      </c>
      <c r="P56" s="176">
        <v>0</v>
      </c>
      <c r="Q56" s="176">
        <v>0</v>
      </c>
      <c r="R56" s="176">
        <v>0</v>
      </c>
      <c r="S56" s="177">
        <v>0</v>
      </c>
      <c r="T56" s="176">
        <v>0</v>
      </c>
      <c r="U56" s="177">
        <v>0</v>
      </c>
      <c r="V56" s="176">
        <v>0</v>
      </c>
      <c r="W56" s="177">
        <v>0</v>
      </c>
      <c r="X56" s="53">
        <v>9.8190260606601054</v>
      </c>
      <c r="Y56" s="151"/>
      <c r="Z56" s="151"/>
      <c r="AA56" s="151"/>
      <c r="AB56" s="151"/>
    </row>
    <row r="57" spans="1:28" ht="13">
      <c r="A57" s="170"/>
      <c r="B57" s="59" t="s">
        <v>853</v>
      </c>
      <c r="C57" s="179"/>
      <c r="D57" s="179"/>
      <c r="E57" s="179"/>
      <c r="F57" s="179"/>
      <c r="G57" s="179"/>
      <c r="H57" s="179"/>
      <c r="I57" s="180"/>
      <c r="J57" s="179"/>
      <c r="K57" s="179"/>
      <c r="L57" s="179"/>
      <c r="M57" s="179"/>
      <c r="N57" s="179"/>
      <c r="O57" s="180"/>
      <c r="P57" s="179"/>
      <c r="Q57" s="179"/>
      <c r="R57" s="179"/>
      <c r="S57" s="180"/>
      <c r="T57" s="179"/>
      <c r="U57" s="180"/>
      <c r="V57" s="179"/>
      <c r="W57" s="180"/>
      <c r="X57" s="53"/>
      <c r="Y57" s="151"/>
      <c r="Z57" s="151"/>
      <c r="AA57" s="151"/>
      <c r="AB57" s="151"/>
    </row>
    <row r="58" spans="1:28" s="173" customFormat="1" ht="13">
      <c r="A58" s="170"/>
      <c r="B58" s="94" t="s">
        <v>854</v>
      </c>
      <c r="C58" s="171"/>
      <c r="D58" s="171"/>
      <c r="E58" s="171"/>
      <c r="F58" s="171"/>
      <c r="G58" s="171"/>
      <c r="H58" s="171"/>
      <c r="I58" s="172"/>
      <c r="J58" s="171"/>
      <c r="K58" s="171"/>
      <c r="L58" s="171"/>
      <c r="M58" s="171"/>
      <c r="N58" s="171"/>
      <c r="O58" s="172"/>
      <c r="P58" s="171"/>
      <c r="Q58" s="171"/>
      <c r="R58" s="171"/>
      <c r="S58" s="172"/>
      <c r="T58" s="171"/>
      <c r="U58" s="172"/>
      <c r="V58" s="171"/>
      <c r="W58" s="172"/>
      <c r="X58" s="53"/>
      <c r="Y58" s="151"/>
      <c r="Z58" s="151"/>
      <c r="AA58" s="151"/>
      <c r="AB58" s="151"/>
    </row>
    <row r="59" spans="1:28" s="178" customFormat="1" ht="13">
      <c r="A59" s="170"/>
      <c r="B59" s="175" t="s">
        <v>855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7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7">
        <v>0</v>
      </c>
      <c r="P59" s="176">
        <v>0</v>
      </c>
      <c r="Q59" s="176">
        <v>0</v>
      </c>
      <c r="R59" s="176">
        <v>0</v>
      </c>
      <c r="S59" s="177">
        <v>0</v>
      </c>
      <c r="T59" s="176">
        <v>0</v>
      </c>
      <c r="U59" s="177">
        <v>0</v>
      </c>
      <c r="V59" s="176">
        <v>0</v>
      </c>
      <c r="W59" s="177">
        <v>0</v>
      </c>
      <c r="X59" s="53">
        <v>0</v>
      </c>
      <c r="Y59" s="151"/>
      <c r="Z59" s="151"/>
      <c r="AA59" s="151"/>
      <c r="AB59" s="151"/>
    </row>
    <row r="60" spans="1:28" ht="13">
      <c r="A60" s="170"/>
      <c r="B60" s="183" t="s">
        <v>856</v>
      </c>
      <c r="C60" s="180">
        <v>251387036</v>
      </c>
      <c r="D60" s="180">
        <v>71918687</v>
      </c>
      <c r="E60" s="180">
        <v>266055599</v>
      </c>
      <c r="F60" s="180">
        <v>83705054</v>
      </c>
      <c r="G60" s="180"/>
      <c r="H60" s="180">
        <v>54514313</v>
      </c>
      <c r="I60" s="180">
        <v>727580689</v>
      </c>
      <c r="J60" s="180"/>
      <c r="K60" s="180">
        <v>23408921</v>
      </c>
      <c r="L60" s="180">
        <v>33238663</v>
      </c>
      <c r="M60" s="180">
        <v>81577271</v>
      </c>
      <c r="N60" s="180"/>
      <c r="O60" s="180">
        <v>138224855</v>
      </c>
      <c r="P60" s="180"/>
      <c r="Q60" s="180"/>
      <c r="R60" s="180"/>
      <c r="S60" s="180"/>
      <c r="T60" s="180">
        <v>0</v>
      </c>
      <c r="U60" s="180">
        <v>0</v>
      </c>
      <c r="V60" s="180"/>
      <c r="W60" s="180"/>
      <c r="X60" s="53">
        <v>865805544</v>
      </c>
      <c r="Y60" s="151"/>
      <c r="Z60" s="151"/>
      <c r="AA60" s="151"/>
      <c r="AB60" s="151"/>
    </row>
    <row r="61" spans="1:28" s="173" customFormat="1" ht="13">
      <c r="A61" s="170"/>
      <c r="B61" s="184" t="s">
        <v>857</v>
      </c>
      <c r="C61" s="172">
        <v>331497527</v>
      </c>
      <c r="D61" s="172">
        <v>65571181</v>
      </c>
      <c r="E61" s="172">
        <v>271821574</v>
      </c>
      <c r="F61" s="172">
        <v>91086167</v>
      </c>
      <c r="G61" s="172"/>
      <c r="H61" s="172">
        <v>60437302</v>
      </c>
      <c r="I61" s="172">
        <v>820413751</v>
      </c>
      <c r="J61" s="172"/>
      <c r="K61" s="172">
        <v>23171155</v>
      </c>
      <c r="L61" s="172">
        <v>31122921</v>
      </c>
      <c r="M61" s="172">
        <v>76111389</v>
      </c>
      <c r="N61" s="172"/>
      <c r="O61" s="172">
        <v>130405465</v>
      </c>
      <c r="P61" s="172"/>
      <c r="Q61" s="172"/>
      <c r="R61" s="172"/>
      <c r="S61" s="172"/>
      <c r="T61" s="172">
        <v>0</v>
      </c>
      <c r="U61" s="172">
        <v>0</v>
      </c>
      <c r="V61" s="172"/>
      <c r="W61" s="172"/>
      <c r="X61" s="53">
        <v>950819216</v>
      </c>
      <c r="Y61" s="151"/>
      <c r="Z61" s="151"/>
      <c r="AA61" s="151"/>
      <c r="AB61" s="151"/>
    </row>
    <row r="62" spans="1:28" s="178" customFormat="1" ht="13">
      <c r="A62" s="170"/>
      <c r="B62" s="185" t="s">
        <v>858</v>
      </c>
      <c r="C62" s="177">
        <v>31.867391522926425</v>
      </c>
      <c r="D62" s="177">
        <v>-8.8259481155433228</v>
      </c>
      <c r="E62" s="177">
        <v>2.167206787480537</v>
      </c>
      <c r="F62" s="177">
        <v>8.8180015988042975</v>
      </c>
      <c r="G62" s="177">
        <v>0</v>
      </c>
      <c r="H62" s="177">
        <v>10.865016312321501</v>
      </c>
      <c r="I62" s="177">
        <v>12.759143199305006</v>
      </c>
      <c r="J62" s="177">
        <v>0</v>
      </c>
      <c r="K62" s="177">
        <v>-1.015706789732</v>
      </c>
      <c r="L62" s="177">
        <v>-6.3653041640092445</v>
      </c>
      <c r="M62" s="177">
        <v>-6.700251103030892</v>
      </c>
      <c r="N62" s="177">
        <v>0</v>
      </c>
      <c r="O62" s="177">
        <v>-5.6570072003331093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53">
        <v>9.8190260606601054</v>
      </c>
      <c r="Y62" s="151"/>
      <c r="Z62" s="151"/>
      <c r="AA62" s="151"/>
      <c r="AB62" s="151"/>
    </row>
    <row r="63" spans="1:28" ht="13">
      <c r="A63" s="170"/>
      <c r="B63" s="59" t="s">
        <v>859</v>
      </c>
      <c r="C63" s="179"/>
      <c r="D63" s="179"/>
      <c r="E63" s="179"/>
      <c r="F63" s="179"/>
      <c r="G63" s="179"/>
      <c r="H63" s="179"/>
      <c r="I63" s="180"/>
      <c r="J63" s="179"/>
      <c r="K63" s="179"/>
      <c r="L63" s="179"/>
      <c r="M63" s="179"/>
      <c r="N63" s="179"/>
      <c r="O63" s="180"/>
      <c r="P63" s="179"/>
      <c r="Q63" s="179"/>
      <c r="R63" s="179"/>
      <c r="S63" s="180"/>
      <c r="T63" s="179"/>
      <c r="U63" s="180"/>
      <c r="V63" s="179"/>
      <c r="W63" s="180"/>
      <c r="X63" s="53"/>
      <c r="Y63" s="151"/>
      <c r="Z63" s="151"/>
      <c r="AA63" s="151"/>
      <c r="AB63" s="151"/>
    </row>
    <row r="64" spans="1:28" s="173" customFormat="1" ht="13">
      <c r="A64" s="170"/>
      <c r="B64" s="94" t="s">
        <v>860</v>
      </c>
      <c r="C64" s="171"/>
      <c r="D64" s="171"/>
      <c r="E64" s="171"/>
      <c r="F64" s="171"/>
      <c r="G64" s="171"/>
      <c r="H64" s="171"/>
      <c r="I64" s="172"/>
      <c r="J64" s="171"/>
      <c r="K64" s="171"/>
      <c r="L64" s="171"/>
      <c r="M64" s="171"/>
      <c r="N64" s="171"/>
      <c r="O64" s="172"/>
      <c r="P64" s="171"/>
      <c r="Q64" s="171"/>
      <c r="R64" s="171"/>
      <c r="S64" s="172"/>
      <c r="T64" s="171"/>
      <c r="U64" s="172"/>
      <c r="V64" s="171"/>
      <c r="W64" s="172"/>
      <c r="X64" s="53"/>
      <c r="Y64" s="151"/>
      <c r="Z64" s="151"/>
      <c r="AA64" s="151"/>
      <c r="AB64" s="151"/>
    </row>
    <row r="65" spans="1:28" s="178" customFormat="1" ht="13">
      <c r="A65" s="170"/>
      <c r="B65" s="175" t="s">
        <v>861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7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7">
        <v>0</v>
      </c>
      <c r="P65" s="176">
        <v>0</v>
      </c>
      <c r="Q65" s="176">
        <v>0</v>
      </c>
      <c r="R65" s="176">
        <v>0</v>
      </c>
      <c r="S65" s="177">
        <v>0</v>
      </c>
      <c r="T65" s="176">
        <v>0</v>
      </c>
      <c r="U65" s="177">
        <v>0</v>
      </c>
      <c r="V65" s="176">
        <v>0</v>
      </c>
      <c r="W65" s="177">
        <v>0</v>
      </c>
      <c r="X65" s="53">
        <v>0</v>
      </c>
      <c r="Y65" s="151"/>
      <c r="Z65" s="151"/>
      <c r="AA65" s="151"/>
      <c r="AB65" s="151"/>
    </row>
    <row r="66" spans="1:28" ht="13">
      <c r="A66" s="170"/>
      <c r="B66" s="59" t="s">
        <v>862</v>
      </c>
      <c r="C66" s="179"/>
      <c r="D66" s="179"/>
      <c r="E66" s="179"/>
      <c r="F66" s="179"/>
      <c r="G66" s="179"/>
      <c r="H66" s="179"/>
      <c r="I66" s="180"/>
      <c r="J66" s="179"/>
      <c r="K66" s="179"/>
      <c r="L66" s="179"/>
      <c r="M66" s="179"/>
      <c r="N66" s="179"/>
      <c r="O66" s="180"/>
      <c r="P66" s="179"/>
      <c r="Q66" s="179"/>
      <c r="R66" s="179"/>
      <c r="S66" s="180"/>
      <c r="T66" s="179"/>
      <c r="U66" s="180"/>
      <c r="V66" s="179"/>
      <c r="W66" s="180"/>
      <c r="X66" s="53"/>
      <c r="Y66" s="151"/>
      <c r="Z66" s="151"/>
      <c r="AA66" s="151"/>
      <c r="AB66" s="151"/>
    </row>
    <row r="67" spans="1:28" s="173" customFormat="1" ht="13">
      <c r="A67" s="170"/>
      <c r="B67" s="94" t="s">
        <v>863</v>
      </c>
      <c r="C67" s="171"/>
      <c r="D67" s="171"/>
      <c r="E67" s="171"/>
      <c r="F67" s="171"/>
      <c r="G67" s="171"/>
      <c r="H67" s="171"/>
      <c r="I67" s="172"/>
      <c r="J67" s="171"/>
      <c r="K67" s="171"/>
      <c r="L67" s="171"/>
      <c r="M67" s="171"/>
      <c r="N67" s="171"/>
      <c r="O67" s="172"/>
      <c r="P67" s="171"/>
      <c r="Q67" s="171"/>
      <c r="R67" s="171"/>
      <c r="S67" s="172"/>
      <c r="T67" s="171"/>
      <c r="U67" s="172"/>
      <c r="V67" s="171"/>
      <c r="W67" s="172"/>
      <c r="X67" s="53"/>
      <c r="Y67" s="151"/>
      <c r="Z67" s="151"/>
      <c r="AA67" s="151"/>
      <c r="AB67" s="151"/>
    </row>
    <row r="68" spans="1:28" s="178" customFormat="1" ht="13">
      <c r="A68" s="170"/>
      <c r="B68" s="175" t="s">
        <v>864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7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7">
        <v>0</v>
      </c>
      <c r="P68" s="176">
        <v>0</v>
      </c>
      <c r="Q68" s="176">
        <v>0</v>
      </c>
      <c r="R68" s="176">
        <v>0</v>
      </c>
      <c r="S68" s="177">
        <v>0</v>
      </c>
      <c r="T68" s="176">
        <v>0</v>
      </c>
      <c r="U68" s="177">
        <v>0</v>
      </c>
      <c r="V68" s="176">
        <v>0</v>
      </c>
      <c r="W68" s="177">
        <v>0</v>
      </c>
      <c r="X68" s="53">
        <v>0</v>
      </c>
      <c r="Y68" s="151"/>
      <c r="Z68" s="151"/>
      <c r="AA68" s="151"/>
      <c r="AB68" s="151"/>
    </row>
    <row r="69" spans="1:28" ht="13">
      <c r="A69" s="170"/>
      <c r="B69" s="59" t="s">
        <v>865</v>
      </c>
      <c r="C69" s="179"/>
      <c r="D69" s="179"/>
      <c r="E69" s="179"/>
      <c r="F69" s="179"/>
      <c r="G69" s="179"/>
      <c r="H69" s="179"/>
      <c r="I69" s="180"/>
      <c r="J69" s="179"/>
      <c r="K69" s="179"/>
      <c r="L69" s="179"/>
      <c r="M69" s="179"/>
      <c r="N69" s="179"/>
      <c r="O69" s="180"/>
      <c r="P69" s="179"/>
      <c r="Q69" s="179"/>
      <c r="R69" s="179"/>
      <c r="S69" s="180"/>
      <c r="T69" s="179"/>
      <c r="U69" s="180"/>
      <c r="V69" s="179"/>
      <c r="W69" s="180"/>
      <c r="X69" s="53"/>
      <c r="Y69" s="151"/>
      <c r="Z69" s="151"/>
      <c r="AA69" s="151"/>
      <c r="AB69" s="151"/>
    </row>
    <row r="70" spans="1:28" s="173" customFormat="1" ht="13">
      <c r="A70" s="170"/>
      <c r="B70" s="94" t="s">
        <v>866</v>
      </c>
      <c r="C70" s="171"/>
      <c r="D70" s="171"/>
      <c r="E70" s="171"/>
      <c r="F70" s="171"/>
      <c r="G70" s="171"/>
      <c r="H70" s="171"/>
      <c r="I70" s="172"/>
      <c r="J70" s="171"/>
      <c r="K70" s="171"/>
      <c r="L70" s="171"/>
      <c r="M70" s="171"/>
      <c r="N70" s="171"/>
      <c r="O70" s="172"/>
      <c r="P70" s="171"/>
      <c r="Q70" s="171"/>
      <c r="R70" s="171"/>
      <c r="S70" s="172"/>
      <c r="T70" s="171"/>
      <c r="U70" s="172"/>
      <c r="V70" s="171"/>
      <c r="W70" s="172"/>
      <c r="X70" s="53"/>
      <c r="Y70" s="151"/>
      <c r="Z70" s="151"/>
      <c r="AA70" s="151"/>
      <c r="AB70" s="151"/>
    </row>
    <row r="71" spans="1:28" s="178" customFormat="1" ht="13">
      <c r="A71" s="170"/>
      <c r="B71" s="175" t="s">
        <v>867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7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7">
        <v>0</v>
      </c>
      <c r="P71" s="176">
        <v>0</v>
      </c>
      <c r="Q71" s="176">
        <v>0</v>
      </c>
      <c r="R71" s="176">
        <v>0</v>
      </c>
      <c r="S71" s="177">
        <v>0</v>
      </c>
      <c r="T71" s="176">
        <v>0</v>
      </c>
      <c r="U71" s="177">
        <v>0</v>
      </c>
      <c r="V71" s="176">
        <v>0</v>
      </c>
      <c r="W71" s="177">
        <v>0</v>
      </c>
      <c r="X71" s="53">
        <v>0</v>
      </c>
      <c r="Y71" s="151"/>
      <c r="Z71" s="151"/>
      <c r="AA71" s="151"/>
      <c r="AB71" s="151"/>
    </row>
    <row r="72" spans="1:28" ht="13">
      <c r="A72" s="170"/>
      <c r="B72" s="59" t="s">
        <v>868</v>
      </c>
      <c r="C72" s="179">
        <v>0</v>
      </c>
      <c r="D72" s="179">
        <v>0</v>
      </c>
      <c r="E72" s="179">
        <v>0</v>
      </c>
      <c r="F72" s="179">
        <v>0</v>
      </c>
      <c r="G72" s="179"/>
      <c r="H72" s="179">
        <v>0</v>
      </c>
      <c r="I72" s="180">
        <v>0</v>
      </c>
      <c r="J72" s="179"/>
      <c r="K72" s="179">
        <v>0</v>
      </c>
      <c r="L72" s="179">
        <v>0</v>
      </c>
      <c r="M72" s="179">
        <v>0</v>
      </c>
      <c r="N72" s="179"/>
      <c r="O72" s="180">
        <v>0</v>
      </c>
      <c r="P72" s="179"/>
      <c r="Q72" s="179"/>
      <c r="R72" s="179"/>
      <c r="S72" s="180"/>
      <c r="T72" s="179">
        <v>0</v>
      </c>
      <c r="U72" s="180">
        <v>0</v>
      </c>
      <c r="V72" s="179"/>
      <c r="W72" s="180"/>
      <c r="X72" s="53">
        <v>0</v>
      </c>
      <c r="Y72" s="151"/>
      <c r="Z72" s="151"/>
      <c r="AA72" s="151"/>
      <c r="AB72" s="151"/>
    </row>
    <row r="73" spans="1:28" s="173" customFormat="1" ht="13">
      <c r="A73" s="170"/>
      <c r="B73" s="94" t="s">
        <v>869</v>
      </c>
      <c r="C73" s="171">
        <v>0</v>
      </c>
      <c r="D73" s="171">
        <v>0</v>
      </c>
      <c r="E73" s="171">
        <v>0</v>
      </c>
      <c r="F73" s="171">
        <v>0</v>
      </c>
      <c r="G73" s="171"/>
      <c r="H73" s="171">
        <v>0</v>
      </c>
      <c r="I73" s="172">
        <v>0</v>
      </c>
      <c r="J73" s="171"/>
      <c r="K73" s="171">
        <v>0</v>
      </c>
      <c r="L73" s="171">
        <v>0</v>
      </c>
      <c r="M73" s="171">
        <v>0</v>
      </c>
      <c r="N73" s="171"/>
      <c r="O73" s="172">
        <v>0</v>
      </c>
      <c r="P73" s="171"/>
      <c r="Q73" s="171"/>
      <c r="R73" s="171"/>
      <c r="S73" s="172"/>
      <c r="T73" s="171">
        <v>0</v>
      </c>
      <c r="U73" s="172">
        <v>0</v>
      </c>
      <c r="V73" s="171"/>
      <c r="W73" s="172"/>
      <c r="X73" s="53">
        <v>0</v>
      </c>
      <c r="Y73" s="151"/>
      <c r="Z73" s="151"/>
      <c r="AA73" s="151"/>
      <c r="AB73" s="151"/>
    </row>
    <row r="74" spans="1:28" s="178" customFormat="1" ht="13">
      <c r="A74" s="170"/>
      <c r="B74" s="175" t="s">
        <v>870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7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7">
        <v>0</v>
      </c>
      <c r="P74" s="176">
        <v>0</v>
      </c>
      <c r="Q74" s="176">
        <v>0</v>
      </c>
      <c r="R74" s="176">
        <v>0</v>
      </c>
      <c r="S74" s="177">
        <v>0</v>
      </c>
      <c r="T74" s="176">
        <v>0</v>
      </c>
      <c r="U74" s="177">
        <v>0</v>
      </c>
      <c r="V74" s="176">
        <v>0</v>
      </c>
      <c r="W74" s="177">
        <v>0</v>
      </c>
      <c r="X74" s="53">
        <v>0</v>
      </c>
      <c r="Y74" s="151"/>
      <c r="Z74" s="151"/>
      <c r="AA74" s="151"/>
      <c r="AB74" s="151"/>
    </row>
    <row r="75" spans="1:28" ht="13">
      <c r="A75" s="170"/>
      <c r="B75" s="59" t="s">
        <v>871</v>
      </c>
      <c r="C75" s="179"/>
      <c r="D75" s="179"/>
      <c r="E75" s="179"/>
      <c r="F75" s="179"/>
      <c r="G75" s="179"/>
      <c r="H75" s="179"/>
      <c r="I75" s="180"/>
      <c r="J75" s="179"/>
      <c r="K75" s="179"/>
      <c r="L75" s="179"/>
      <c r="M75" s="179"/>
      <c r="N75" s="179"/>
      <c r="O75" s="180"/>
      <c r="P75" s="179"/>
      <c r="Q75" s="179"/>
      <c r="R75" s="179"/>
      <c r="S75" s="180"/>
      <c r="T75" s="179">
        <v>107777725</v>
      </c>
      <c r="U75" s="180">
        <v>107777725</v>
      </c>
      <c r="V75" s="179"/>
      <c r="W75" s="180"/>
      <c r="X75" s="53">
        <v>107777725</v>
      </c>
      <c r="Y75" s="151"/>
      <c r="Z75" s="151"/>
      <c r="AA75" s="151"/>
      <c r="AB75" s="151"/>
    </row>
    <row r="76" spans="1:28" s="173" customFormat="1" ht="13">
      <c r="A76" s="170"/>
      <c r="B76" s="94" t="s">
        <v>872</v>
      </c>
      <c r="C76" s="171"/>
      <c r="D76" s="171"/>
      <c r="E76" s="171"/>
      <c r="F76" s="171"/>
      <c r="G76" s="171"/>
      <c r="H76" s="171"/>
      <c r="I76" s="172"/>
      <c r="J76" s="171"/>
      <c r="K76" s="171"/>
      <c r="L76" s="171"/>
      <c r="M76" s="171"/>
      <c r="N76" s="171"/>
      <c r="O76" s="172"/>
      <c r="P76" s="171"/>
      <c r="Q76" s="171"/>
      <c r="R76" s="171"/>
      <c r="S76" s="172"/>
      <c r="T76" s="171">
        <v>108124376</v>
      </c>
      <c r="U76" s="172">
        <v>108124376</v>
      </c>
      <c r="V76" s="171"/>
      <c r="W76" s="172"/>
      <c r="X76" s="53">
        <v>108124376</v>
      </c>
      <c r="Y76" s="151"/>
      <c r="Z76" s="151"/>
      <c r="AA76" s="151"/>
      <c r="AB76" s="151"/>
    </row>
    <row r="77" spans="1:28" s="178" customFormat="1" ht="13">
      <c r="A77" s="170"/>
      <c r="B77" s="175" t="s">
        <v>873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7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7">
        <v>0</v>
      </c>
      <c r="P77" s="176">
        <v>0</v>
      </c>
      <c r="Q77" s="176">
        <v>0</v>
      </c>
      <c r="R77" s="176">
        <v>0</v>
      </c>
      <c r="S77" s="177">
        <v>0</v>
      </c>
      <c r="T77" s="176">
        <v>0.3216351059553354</v>
      </c>
      <c r="U77" s="177">
        <v>0.3216351059553354</v>
      </c>
      <c r="V77" s="176">
        <v>0</v>
      </c>
      <c r="W77" s="177">
        <v>0</v>
      </c>
      <c r="X77" s="53">
        <v>0.3216351059553354</v>
      </c>
      <c r="Y77" s="151"/>
      <c r="Z77" s="151"/>
      <c r="AA77" s="151"/>
      <c r="AB77" s="151"/>
    </row>
    <row r="78" spans="1:28" ht="13">
      <c r="A78" s="170"/>
      <c r="B78" s="59" t="s">
        <v>874</v>
      </c>
      <c r="C78" s="179"/>
      <c r="D78" s="179"/>
      <c r="E78" s="179"/>
      <c r="F78" s="179"/>
      <c r="G78" s="179"/>
      <c r="H78" s="179"/>
      <c r="I78" s="180"/>
      <c r="J78" s="179"/>
      <c r="K78" s="179"/>
      <c r="L78" s="179"/>
      <c r="M78" s="179"/>
      <c r="N78" s="179"/>
      <c r="O78" s="180"/>
      <c r="P78" s="179"/>
      <c r="Q78" s="179"/>
      <c r="R78" s="179"/>
      <c r="S78" s="180"/>
      <c r="T78" s="179">
        <v>47840199</v>
      </c>
      <c r="U78" s="180">
        <v>47840199</v>
      </c>
      <c r="V78" s="179"/>
      <c r="W78" s="180"/>
      <c r="X78" s="53">
        <v>47840199</v>
      </c>
      <c r="Y78" s="151"/>
      <c r="Z78" s="151"/>
      <c r="AA78" s="151"/>
      <c r="AB78" s="151"/>
    </row>
    <row r="79" spans="1:28" s="173" customFormat="1" ht="13">
      <c r="A79" s="170"/>
      <c r="B79" s="94" t="s">
        <v>875</v>
      </c>
      <c r="C79" s="171"/>
      <c r="D79" s="171"/>
      <c r="E79" s="171"/>
      <c r="F79" s="171"/>
      <c r="G79" s="171"/>
      <c r="H79" s="171"/>
      <c r="I79" s="172"/>
      <c r="J79" s="171"/>
      <c r="K79" s="171"/>
      <c r="L79" s="171"/>
      <c r="M79" s="171"/>
      <c r="N79" s="171"/>
      <c r="O79" s="172"/>
      <c r="P79" s="171"/>
      <c r="Q79" s="171"/>
      <c r="R79" s="171"/>
      <c r="S79" s="172"/>
      <c r="T79" s="171">
        <v>49671650</v>
      </c>
      <c r="U79" s="172">
        <v>49671650</v>
      </c>
      <c r="V79" s="171"/>
      <c r="W79" s="172"/>
      <c r="X79" s="53">
        <v>49671650</v>
      </c>
      <c r="Y79" s="151"/>
      <c r="Z79" s="151"/>
      <c r="AA79" s="151"/>
      <c r="AB79" s="151"/>
    </row>
    <row r="80" spans="1:28" s="178" customFormat="1" ht="13">
      <c r="A80" s="170"/>
      <c r="B80" s="175" t="s">
        <v>876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7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7">
        <v>0</v>
      </c>
      <c r="P80" s="176">
        <v>0</v>
      </c>
      <c r="Q80" s="176">
        <v>0</v>
      </c>
      <c r="R80" s="176">
        <v>0</v>
      </c>
      <c r="S80" s="177">
        <v>0</v>
      </c>
      <c r="T80" s="181">
        <v>3.8282679384339517</v>
      </c>
      <c r="U80" s="177">
        <v>3.8282679384339517</v>
      </c>
      <c r="V80" s="176">
        <v>0</v>
      </c>
      <c r="W80" s="177">
        <v>0</v>
      </c>
      <c r="X80" s="53">
        <v>3.8282679384339517</v>
      </c>
      <c r="Y80" s="151"/>
      <c r="Z80" s="151"/>
      <c r="AA80" s="151"/>
      <c r="AB80" s="151"/>
    </row>
    <row r="81" spans="1:28" ht="13">
      <c r="A81" s="170"/>
      <c r="B81" s="59" t="s">
        <v>877</v>
      </c>
      <c r="C81" s="179">
        <v>470128428</v>
      </c>
      <c r="D81" s="179">
        <v>138885236</v>
      </c>
      <c r="E81" s="179">
        <v>424829865</v>
      </c>
      <c r="F81" s="179">
        <v>142690440</v>
      </c>
      <c r="G81" s="179"/>
      <c r="H81" s="179">
        <v>109186916</v>
      </c>
      <c r="I81" s="180">
        <v>1285720885</v>
      </c>
      <c r="J81" s="179"/>
      <c r="K81" s="179">
        <v>46971817</v>
      </c>
      <c r="L81" s="179">
        <v>66857563</v>
      </c>
      <c r="M81" s="179">
        <v>236554872</v>
      </c>
      <c r="N81" s="179"/>
      <c r="O81" s="180">
        <v>350384252</v>
      </c>
      <c r="P81" s="179"/>
      <c r="Q81" s="179"/>
      <c r="R81" s="179"/>
      <c r="S81" s="180"/>
      <c r="T81" s="179">
        <v>0</v>
      </c>
      <c r="U81" s="180">
        <v>0</v>
      </c>
      <c r="V81" s="179"/>
      <c r="W81" s="180"/>
      <c r="X81" s="53">
        <v>1636105137</v>
      </c>
      <c r="Y81" s="151"/>
      <c r="Z81" s="151"/>
      <c r="AA81" s="151"/>
      <c r="AB81" s="151"/>
    </row>
    <row r="82" spans="1:28" s="173" customFormat="1" ht="13">
      <c r="A82" s="170"/>
      <c r="B82" s="94" t="s">
        <v>878</v>
      </c>
      <c r="C82" s="171">
        <v>554122691</v>
      </c>
      <c r="D82" s="171">
        <v>132825963</v>
      </c>
      <c r="E82" s="171">
        <v>433783398</v>
      </c>
      <c r="F82" s="171">
        <v>150075887</v>
      </c>
      <c r="G82" s="171"/>
      <c r="H82" s="171">
        <v>120142445</v>
      </c>
      <c r="I82" s="172">
        <v>1390950384</v>
      </c>
      <c r="J82" s="171"/>
      <c r="K82" s="171">
        <v>48518558</v>
      </c>
      <c r="L82" s="171">
        <v>64899942</v>
      </c>
      <c r="M82" s="171">
        <v>233616080</v>
      </c>
      <c r="N82" s="171"/>
      <c r="O82" s="172">
        <v>347034580</v>
      </c>
      <c r="P82" s="171"/>
      <c r="Q82" s="171"/>
      <c r="R82" s="171"/>
      <c r="S82" s="172"/>
      <c r="T82" s="171">
        <v>0</v>
      </c>
      <c r="U82" s="172">
        <v>0</v>
      </c>
      <c r="V82" s="171"/>
      <c r="W82" s="172"/>
      <c r="X82" s="53">
        <v>1737984964</v>
      </c>
      <c r="Y82" s="151"/>
      <c r="Z82" s="151"/>
      <c r="AA82" s="151"/>
      <c r="AB82" s="151"/>
    </row>
    <row r="83" spans="1:28" s="192" customFormat="1" ht="13.5" thickBot="1">
      <c r="A83" s="186"/>
      <c r="B83" s="187" t="s">
        <v>879</v>
      </c>
      <c r="C83" s="188">
        <v>17.866237818743436</v>
      </c>
      <c r="D83" s="188">
        <v>-4.3627913049015516</v>
      </c>
      <c r="E83" s="188">
        <v>2.1075573394539955</v>
      </c>
      <c r="F83" s="188">
        <v>5.1758527060397315</v>
      </c>
      <c r="G83" s="188">
        <v>0</v>
      </c>
      <c r="H83" s="188">
        <v>10.033737925155794</v>
      </c>
      <c r="I83" s="189">
        <v>8.1844745797996428</v>
      </c>
      <c r="J83" s="188">
        <v>0</v>
      </c>
      <c r="K83" s="188">
        <v>3.2929128545314734</v>
      </c>
      <c r="L83" s="188">
        <v>-2.9280471978914338</v>
      </c>
      <c r="M83" s="188">
        <v>-1.2423299402601184</v>
      </c>
      <c r="N83" s="188">
        <v>0</v>
      </c>
      <c r="O83" s="189">
        <v>-0.95599958641976879</v>
      </c>
      <c r="P83" s="188">
        <v>0</v>
      </c>
      <c r="Q83" s="188">
        <v>0</v>
      </c>
      <c r="R83" s="188">
        <v>0</v>
      </c>
      <c r="S83" s="189">
        <v>0</v>
      </c>
      <c r="T83" s="188">
        <v>0</v>
      </c>
      <c r="U83" s="189">
        <v>0</v>
      </c>
      <c r="V83" s="188">
        <v>0</v>
      </c>
      <c r="W83" s="189">
        <v>0</v>
      </c>
      <c r="X83" s="53">
        <v>6.2269731141367348</v>
      </c>
      <c r="Y83" s="151"/>
      <c r="Z83" s="151"/>
      <c r="AA83" s="151"/>
      <c r="AB83" s="151"/>
    </row>
    <row r="84" spans="1:28" ht="13.5" thickTop="1">
      <c r="A84" s="147" t="s">
        <v>283</v>
      </c>
      <c r="B84" s="167" t="s">
        <v>754</v>
      </c>
      <c r="C84" s="168">
        <v>123247100</v>
      </c>
      <c r="D84" s="168"/>
      <c r="E84" s="168">
        <v>36507700</v>
      </c>
      <c r="F84" s="168"/>
      <c r="G84" s="168"/>
      <c r="H84" s="168"/>
      <c r="I84" s="169">
        <v>159754800</v>
      </c>
      <c r="J84" s="168"/>
      <c r="K84" s="168"/>
      <c r="L84" s="168">
        <v>72167400</v>
      </c>
      <c r="M84" s="168"/>
      <c r="N84" s="168"/>
      <c r="O84" s="169">
        <v>72167400</v>
      </c>
      <c r="P84" s="168"/>
      <c r="Q84" s="168"/>
      <c r="R84" s="168"/>
      <c r="S84" s="169"/>
      <c r="T84" s="168"/>
      <c r="U84" s="169"/>
      <c r="V84" s="168"/>
      <c r="W84" s="169"/>
      <c r="X84" s="53">
        <v>231922200</v>
      </c>
      <c r="Y84" s="151"/>
      <c r="Z84" s="151"/>
      <c r="AA84" s="151"/>
      <c r="AB84" s="151"/>
    </row>
    <row r="85" spans="1:28" s="173" customFormat="1" ht="13">
      <c r="A85" s="170"/>
      <c r="B85" s="94" t="s">
        <v>755</v>
      </c>
      <c r="C85" s="171">
        <v>125167500</v>
      </c>
      <c r="D85" s="171"/>
      <c r="E85" s="171">
        <v>38383200</v>
      </c>
      <c r="F85" s="171"/>
      <c r="G85" s="171"/>
      <c r="H85" s="171"/>
      <c r="I85" s="172">
        <v>163550700</v>
      </c>
      <c r="J85" s="171"/>
      <c r="K85" s="171"/>
      <c r="L85" s="171">
        <v>74091500</v>
      </c>
      <c r="M85" s="171"/>
      <c r="N85" s="171"/>
      <c r="O85" s="172">
        <v>74091500</v>
      </c>
      <c r="P85" s="171"/>
      <c r="Q85" s="171"/>
      <c r="R85" s="171"/>
      <c r="S85" s="172"/>
      <c r="T85" s="171"/>
      <c r="U85" s="172"/>
      <c r="V85" s="171"/>
      <c r="W85" s="172"/>
      <c r="X85" s="53">
        <v>237642200</v>
      </c>
      <c r="Y85" s="151"/>
      <c r="Z85" s="151"/>
      <c r="AA85" s="151"/>
      <c r="AB85" s="151"/>
    </row>
    <row r="86" spans="1:28" s="178" customFormat="1" ht="13">
      <c r="A86" s="174"/>
      <c r="B86" s="175" t="s">
        <v>849</v>
      </c>
      <c r="C86" s="176">
        <v>1.5581705370755174</v>
      </c>
      <c r="D86" s="176">
        <v>0</v>
      </c>
      <c r="E86" s="176">
        <v>5.1372724110256192</v>
      </c>
      <c r="F86" s="176">
        <v>0</v>
      </c>
      <c r="G86" s="176">
        <v>0</v>
      </c>
      <c r="H86" s="176">
        <v>0</v>
      </c>
      <c r="I86" s="177">
        <v>2.376078840823562</v>
      </c>
      <c r="J86" s="176">
        <v>0</v>
      </c>
      <c r="K86" s="176">
        <v>0</v>
      </c>
      <c r="L86" s="176">
        <v>2.6661622838012731</v>
      </c>
      <c r="M86" s="176">
        <v>0</v>
      </c>
      <c r="N86" s="176">
        <v>0</v>
      </c>
      <c r="O86" s="177">
        <v>2.6661622838012731</v>
      </c>
      <c r="P86" s="176">
        <v>0</v>
      </c>
      <c r="Q86" s="176">
        <v>0</v>
      </c>
      <c r="R86" s="176">
        <v>0</v>
      </c>
      <c r="S86" s="177">
        <v>0</v>
      </c>
      <c r="T86" s="176">
        <v>0</v>
      </c>
      <c r="U86" s="177">
        <v>0</v>
      </c>
      <c r="V86" s="176">
        <v>0</v>
      </c>
      <c r="W86" s="177">
        <v>0</v>
      </c>
      <c r="X86" s="53">
        <v>2.4663443171891264</v>
      </c>
      <c r="Y86" s="151"/>
      <c r="Z86" s="151"/>
      <c r="AA86" s="151"/>
      <c r="AB86" s="151"/>
    </row>
    <row r="87" spans="1:28" ht="13">
      <c r="A87" s="170"/>
      <c r="B87" s="59" t="s">
        <v>756</v>
      </c>
      <c r="C87" s="179">
        <v>7325222</v>
      </c>
      <c r="D87" s="179"/>
      <c r="E87" s="179"/>
      <c r="F87" s="179"/>
      <c r="G87" s="179"/>
      <c r="H87" s="179"/>
      <c r="I87" s="180">
        <v>7325222</v>
      </c>
      <c r="J87" s="179"/>
      <c r="K87" s="179"/>
      <c r="L87" s="179"/>
      <c r="M87" s="179"/>
      <c r="N87" s="179"/>
      <c r="O87" s="180"/>
      <c r="P87" s="179"/>
      <c r="Q87" s="179"/>
      <c r="R87" s="179"/>
      <c r="S87" s="180"/>
      <c r="T87" s="179"/>
      <c r="U87" s="180"/>
      <c r="V87" s="179"/>
      <c r="W87" s="180"/>
      <c r="X87" s="53">
        <v>7325222</v>
      </c>
      <c r="Y87" s="151"/>
      <c r="Z87" s="151"/>
      <c r="AA87" s="151"/>
      <c r="AB87" s="151"/>
    </row>
    <row r="88" spans="1:28" s="173" customFormat="1" ht="13">
      <c r="A88" s="170"/>
      <c r="B88" s="94" t="s">
        <v>757</v>
      </c>
      <c r="C88" s="171">
        <v>7413167</v>
      </c>
      <c r="D88" s="171"/>
      <c r="E88" s="171"/>
      <c r="F88" s="171"/>
      <c r="G88" s="171"/>
      <c r="H88" s="171"/>
      <c r="I88" s="172">
        <v>7413167</v>
      </c>
      <c r="J88" s="171"/>
      <c r="K88" s="171"/>
      <c r="L88" s="171"/>
      <c r="M88" s="171"/>
      <c r="N88" s="171"/>
      <c r="O88" s="172"/>
      <c r="P88" s="171"/>
      <c r="Q88" s="171"/>
      <c r="R88" s="171"/>
      <c r="S88" s="172"/>
      <c r="T88" s="171"/>
      <c r="U88" s="172"/>
      <c r="V88" s="171"/>
      <c r="W88" s="172"/>
      <c r="X88" s="53">
        <v>7413167</v>
      </c>
      <c r="Y88" s="151"/>
      <c r="Z88" s="151"/>
      <c r="AA88" s="151"/>
      <c r="AB88" s="151"/>
    </row>
    <row r="89" spans="1:28" s="178" customFormat="1" ht="13">
      <c r="A89" s="170"/>
      <c r="B89" s="175" t="s">
        <v>850</v>
      </c>
      <c r="C89" s="176">
        <v>1.2005779483543297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7">
        <v>1.2005779483543297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7">
        <v>0</v>
      </c>
      <c r="P89" s="176">
        <v>0</v>
      </c>
      <c r="Q89" s="176">
        <v>0</v>
      </c>
      <c r="R89" s="176">
        <v>0</v>
      </c>
      <c r="S89" s="177">
        <v>0</v>
      </c>
      <c r="T89" s="176">
        <v>0</v>
      </c>
      <c r="U89" s="177">
        <v>0</v>
      </c>
      <c r="V89" s="176">
        <v>0</v>
      </c>
      <c r="W89" s="177">
        <v>0</v>
      </c>
      <c r="X89" s="53">
        <v>1.2005779483543297</v>
      </c>
      <c r="Y89" s="151"/>
      <c r="Z89" s="151"/>
      <c r="AA89" s="151"/>
      <c r="AB89" s="151"/>
    </row>
    <row r="90" spans="1:28" ht="13">
      <c r="A90" s="170"/>
      <c r="B90" s="59" t="s">
        <v>758</v>
      </c>
      <c r="C90" s="179"/>
      <c r="D90" s="179"/>
      <c r="E90" s="179"/>
      <c r="F90" s="179"/>
      <c r="G90" s="179"/>
      <c r="H90" s="179"/>
      <c r="I90" s="180"/>
      <c r="J90" s="179"/>
      <c r="K90" s="179"/>
      <c r="L90" s="179"/>
      <c r="M90" s="179"/>
      <c r="N90" s="179"/>
      <c r="O90" s="180"/>
      <c r="P90" s="179"/>
      <c r="Q90" s="179"/>
      <c r="R90" s="179"/>
      <c r="S90" s="180"/>
      <c r="T90" s="179"/>
      <c r="U90" s="180"/>
      <c r="V90" s="179"/>
      <c r="W90" s="180"/>
      <c r="X90" s="53"/>
      <c r="Y90" s="151"/>
      <c r="Z90" s="151"/>
      <c r="AA90" s="151"/>
      <c r="AB90" s="151"/>
    </row>
    <row r="91" spans="1:28" s="173" customFormat="1" ht="13">
      <c r="A91" s="170"/>
      <c r="B91" s="94" t="s">
        <v>759</v>
      </c>
      <c r="C91" s="171"/>
      <c r="D91" s="171"/>
      <c r="E91" s="171"/>
      <c r="F91" s="171"/>
      <c r="G91" s="171"/>
      <c r="H91" s="171"/>
      <c r="I91" s="172"/>
      <c r="J91" s="171"/>
      <c r="K91" s="171"/>
      <c r="L91" s="171"/>
      <c r="M91" s="171"/>
      <c r="N91" s="171"/>
      <c r="O91" s="172"/>
      <c r="P91" s="171"/>
      <c r="Q91" s="171"/>
      <c r="R91" s="171"/>
      <c r="S91" s="172"/>
      <c r="T91" s="171"/>
      <c r="U91" s="172"/>
      <c r="V91" s="171"/>
      <c r="W91" s="172"/>
      <c r="X91" s="53"/>
      <c r="Y91" s="151"/>
      <c r="Z91" s="151"/>
      <c r="AA91" s="151"/>
      <c r="AB91" s="151"/>
    </row>
    <row r="92" spans="1:28" s="178" customFormat="1" ht="13">
      <c r="A92" s="170"/>
      <c r="B92" s="175" t="s">
        <v>851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7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7">
        <v>0</v>
      </c>
      <c r="P92" s="176">
        <v>0</v>
      </c>
      <c r="Q92" s="176">
        <v>0</v>
      </c>
      <c r="R92" s="176">
        <v>0</v>
      </c>
      <c r="S92" s="177">
        <v>0</v>
      </c>
      <c r="T92" s="176">
        <v>0</v>
      </c>
      <c r="U92" s="177">
        <v>0</v>
      </c>
      <c r="V92" s="176">
        <v>0</v>
      </c>
      <c r="W92" s="177">
        <v>0</v>
      </c>
      <c r="X92" s="53">
        <v>0</v>
      </c>
      <c r="Y92" s="151"/>
      <c r="Z92" s="151"/>
      <c r="AA92" s="151"/>
      <c r="AB92" s="151"/>
    </row>
    <row r="93" spans="1:28" ht="13">
      <c r="A93" s="170"/>
      <c r="B93" s="59" t="s">
        <v>760</v>
      </c>
      <c r="C93" s="179">
        <v>685702649</v>
      </c>
      <c r="D93" s="179"/>
      <c r="E93" s="179">
        <v>32312437</v>
      </c>
      <c r="F93" s="179"/>
      <c r="G93" s="179"/>
      <c r="H93" s="179"/>
      <c r="I93" s="180">
        <v>718015086</v>
      </c>
      <c r="J93" s="179"/>
      <c r="K93" s="179"/>
      <c r="L93" s="179">
        <v>51008900</v>
      </c>
      <c r="M93" s="179"/>
      <c r="N93" s="179"/>
      <c r="O93" s="180">
        <v>51008900</v>
      </c>
      <c r="P93" s="179"/>
      <c r="Q93" s="179"/>
      <c r="R93" s="179"/>
      <c r="S93" s="180"/>
      <c r="T93" s="179"/>
      <c r="U93" s="180"/>
      <c r="V93" s="179"/>
      <c r="W93" s="180"/>
      <c r="X93" s="53">
        <v>769023986</v>
      </c>
      <c r="Y93" s="151"/>
      <c r="Z93" s="151"/>
      <c r="AA93" s="151"/>
      <c r="AB93" s="151"/>
    </row>
    <row r="94" spans="1:28" s="173" customFormat="1" ht="13">
      <c r="A94" s="170"/>
      <c r="B94" s="94" t="s">
        <v>761</v>
      </c>
      <c r="C94" s="171">
        <v>634953901</v>
      </c>
      <c r="D94" s="171"/>
      <c r="E94" s="171">
        <v>34660317</v>
      </c>
      <c r="F94" s="171"/>
      <c r="G94" s="171"/>
      <c r="H94" s="171"/>
      <c r="I94" s="172">
        <v>669614218</v>
      </c>
      <c r="J94" s="171"/>
      <c r="K94" s="171"/>
      <c r="L94" s="171">
        <v>46760500</v>
      </c>
      <c r="M94" s="171"/>
      <c r="N94" s="171"/>
      <c r="O94" s="172">
        <v>46760500</v>
      </c>
      <c r="P94" s="171"/>
      <c r="Q94" s="171"/>
      <c r="R94" s="171"/>
      <c r="S94" s="172"/>
      <c r="T94" s="171"/>
      <c r="U94" s="172"/>
      <c r="V94" s="171"/>
      <c r="W94" s="172"/>
      <c r="X94" s="53">
        <v>716374718</v>
      </c>
      <c r="Y94" s="151"/>
      <c r="Z94" s="151"/>
      <c r="AA94" s="151"/>
      <c r="AB94" s="151"/>
    </row>
    <row r="95" spans="1:28" s="178" customFormat="1" ht="13">
      <c r="A95" s="170"/>
      <c r="B95" s="175" t="s">
        <v>852</v>
      </c>
      <c r="C95" s="176">
        <v>-7.4009846795852177</v>
      </c>
      <c r="D95" s="176">
        <v>0</v>
      </c>
      <c r="E95" s="176">
        <v>7.2661805112378239</v>
      </c>
      <c r="F95" s="176">
        <v>0</v>
      </c>
      <c r="G95" s="176">
        <v>0</v>
      </c>
      <c r="H95" s="176">
        <v>0</v>
      </c>
      <c r="I95" s="177">
        <v>-6.7409263320130295</v>
      </c>
      <c r="J95" s="176">
        <v>0</v>
      </c>
      <c r="K95" s="176">
        <v>0</v>
      </c>
      <c r="L95" s="176">
        <v>-8.3287426311878914</v>
      </c>
      <c r="M95" s="176">
        <v>0</v>
      </c>
      <c r="N95" s="176">
        <v>0</v>
      </c>
      <c r="O95" s="177">
        <v>-8.3287426311878914</v>
      </c>
      <c r="P95" s="176">
        <v>0</v>
      </c>
      <c r="Q95" s="176">
        <v>0</v>
      </c>
      <c r="R95" s="176">
        <v>0</v>
      </c>
      <c r="S95" s="177">
        <v>0</v>
      </c>
      <c r="T95" s="176">
        <v>0</v>
      </c>
      <c r="U95" s="177">
        <v>0</v>
      </c>
      <c r="V95" s="176">
        <v>0</v>
      </c>
      <c r="W95" s="177">
        <v>0</v>
      </c>
      <c r="X95" s="53">
        <v>-6.846245235320918</v>
      </c>
      <c r="Y95" s="151"/>
      <c r="Z95" s="151"/>
      <c r="AA95" s="151"/>
      <c r="AB95" s="151"/>
    </row>
    <row r="96" spans="1:28" ht="13">
      <c r="A96" s="170"/>
      <c r="B96" s="59" t="s">
        <v>853</v>
      </c>
      <c r="C96" s="179">
        <v>0</v>
      </c>
      <c r="D96" s="179"/>
      <c r="E96" s="179">
        <v>7923700</v>
      </c>
      <c r="F96" s="179"/>
      <c r="G96" s="179"/>
      <c r="H96" s="179"/>
      <c r="I96" s="180">
        <v>7923700</v>
      </c>
      <c r="J96" s="179"/>
      <c r="K96" s="179"/>
      <c r="L96" s="179">
        <v>0</v>
      </c>
      <c r="M96" s="179"/>
      <c r="N96" s="179"/>
      <c r="O96" s="180">
        <v>0</v>
      </c>
      <c r="P96" s="179"/>
      <c r="Q96" s="179"/>
      <c r="R96" s="179"/>
      <c r="S96" s="180"/>
      <c r="T96" s="179"/>
      <c r="U96" s="180"/>
      <c r="V96" s="179"/>
      <c r="W96" s="180"/>
      <c r="X96" s="53">
        <v>7923700</v>
      </c>
      <c r="Y96" s="151"/>
      <c r="Z96" s="151"/>
      <c r="AA96" s="151"/>
      <c r="AB96" s="151"/>
    </row>
    <row r="97" spans="1:28" s="173" customFormat="1" ht="13">
      <c r="A97" s="170"/>
      <c r="B97" s="94" t="s">
        <v>854</v>
      </c>
      <c r="C97" s="171">
        <v>0</v>
      </c>
      <c r="D97" s="171"/>
      <c r="E97" s="171">
        <v>7977161</v>
      </c>
      <c r="F97" s="171"/>
      <c r="G97" s="171"/>
      <c r="H97" s="171"/>
      <c r="I97" s="172">
        <v>7977161</v>
      </c>
      <c r="J97" s="171"/>
      <c r="K97" s="171"/>
      <c r="L97" s="171">
        <v>0</v>
      </c>
      <c r="M97" s="171"/>
      <c r="N97" s="171"/>
      <c r="O97" s="172">
        <v>0</v>
      </c>
      <c r="P97" s="171"/>
      <c r="Q97" s="171"/>
      <c r="R97" s="171"/>
      <c r="S97" s="172"/>
      <c r="T97" s="171"/>
      <c r="U97" s="172"/>
      <c r="V97" s="171"/>
      <c r="W97" s="172"/>
      <c r="X97" s="53">
        <v>7977161</v>
      </c>
      <c r="Y97" s="151"/>
      <c r="Z97" s="151"/>
      <c r="AA97" s="151"/>
      <c r="AB97" s="151"/>
    </row>
    <row r="98" spans="1:28" s="178" customFormat="1" ht="13">
      <c r="A98" s="170"/>
      <c r="B98" s="175" t="s">
        <v>855</v>
      </c>
      <c r="C98" s="176">
        <v>0</v>
      </c>
      <c r="D98" s="176">
        <v>0</v>
      </c>
      <c r="E98" s="176">
        <v>0.6746974267072201</v>
      </c>
      <c r="F98" s="176">
        <v>0</v>
      </c>
      <c r="G98" s="176">
        <v>0</v>
      </c>
      <c r="H98" s="176">
        <v>0</v>
      </c>
      <c r="I98" s="177">
        <v>0.6746974267072201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7">
        <v>0</v>
      </c>
      <c r="P98" s="176">
        <v>0</v>
      </c>
      <c r="Q98" s="176">
        <v>0</v>
      </c>
      <c r="R98" s="176">
        <v>0</v>
      </c>
      <c r="S98" s="177">
        <v>0</v>
      </c>
      <c r="T98" s="176">
        <v>0</v>
      </c>
      <c r="U98" s="177">
        <v>0</v>
      </c>
      <c r="V98" s="176">
        <v>0</v>
      </c>
      <c r="W98" s="177">
        <v>0</v>
      </c>
      <c r="X98" s="53">
        <v>0.6746974267072201</v>
      </c>
      <c r="Y98" s="151"/>
      <c r="Z98" s="151"/>
      <c r="AA98" s="151"/>
      <c r="AB98" s="151"/>
    </row>
    <row r="99" spans="1:28" ht="13">
      <c r="A99" s="170"/>
      <c r="B99" s="183" t="s">
        <v>856</v>
      </c>
      <c r="C99" s="180">
        <v>685702649</v>
      </c>
      <c r="D99" s="180"/>
      <c r="E99" s="180">
        <v>40236137</v>
      </c>
      <c r="F99" s="180"/>
      <c r="G99" s="180"/>
      <c r="H99" s="180"/>
      <c r="I99" s="180">
        <v>725938786</v>
      </c>
      <c r="J99" s="180"/>
      <c r="K99" s="180"/>
      <c r="L99" s="180">
        <v>51008900</v>
      </c>
      <c r="M99" s="180"/>
      <c r="N99" s="180"/>
      <c r="O99" s="180">
        <v>51008900</v>
      </c>
      <c r="P99" s="180"/>
      <c r="Q99" s="180"/>
      <c r="R99" s="180"/>
      <c r="S99" s="180"/>
      <c r="T99" s="180"/>
      <c r="U99" s="180"/>
      <c r="V99" s="180"/>
      <c r="W99" s="180"/>
      <c r="X99" s="53">
        <v>776947686</v>
      </c>
      <c r="Y99" s="151"/>
      <c r="Z99" s="151"/>
      <c r="AA99" s="151"/>
      <c r="AB99" s="151"/>
    </row>
    <row r="100" spans="1:28" s="173" customFormat="1" ht="13">
      <c r="A100" s="170"/>
      <c r="B100" s="184" t="s">
        <v>857</v>
      </c>
      <c r="C100" s="172">
        <v>634953901</v>
      </c>
      <c r="D100" s="172"/>
      <c r="E100" s="172">
        <v>42637478</v>
      </c>
      <c r="F100" s="172"/>
      <c r="G100" s="172"/>
      <c r="H100" s="172"/>
      <c r="I100" s="172">
        <v>677591379</v>
      </c>
      <c r="J100" s="172"/>
      <c r="K100" s="172"/>
      <c r="L100" s="172">
        <v>46760500</v>
      </c>
      <c r="M100" s="172"/>
      <c r="N100" s="172"/>
      <c r="O100" s="172">
        <v>46760500</v>
      </c>
      <c r="P100" s="172"/>
      <c r="Q100" s="172"/>
      <c r="R100" s="172"/>
      <c r="S100" s="172"/>
      <c r="T100" s="172"/>
      <c r="U100" s="172"/>
      <c r="V100" s="172"/>
      <c r="W100" s="172"/>
      <c r="X100" s="53">
        <v>724351879</v>
      </c>
      <c r="Y100" s="151"/>
      <c r="Z100" s="151"/>
      <c r="AA100" s="151"/>
      <c r="AB100" s="151"/>
    </row>
    <row r="101" spans="1:28" s="178" customFormat="1" ht="13">
      <c r="A101" s="170"/>
      <c r="B101" s="185" t="s">
        <v>858</v>
      </c>
      <c r="C101" s="177">
        <v>-7.4009846795852177</v>
      </c>
      <c r="D101" s="177">
        <v>0</v>
      </c>
      <c r="E101" s="177">
        <v>5.9681201503017052</v>
      </c>
      <c r="F101" s="177">
        <v>0</v>
      </c>
      <c r="G101" s="177">
        <v>0</v>
      </c>
      <c r="H101" s="177">
        <v>0</v>
      </c>
      <c r="I101" s="177">
        <v>-6.6599840003589499</v>
      </c>
      <c r="J101" s="177">
        <v>0</v>
      </c>
      <c r="K101" s="177">
        <v>0</v>
      </c>
      <c r="L101" s="177">
        <v>-8.3287426311878914</v>
      </c>
      <c r="M101" s="177">
        <v>0</v>
      </c>
      <c r="N101" s="177">
        <v>0</v>
      </c>
      <c r="O101" s="177">
        <v>-8.3287426311878914</v>
      </c>
      <c r="P101" s="177">
        <v>0</v>
      </c>
      <c r="Q101" s="177">
        <v>0</v>
      </c>
      <c r="R101" s="177">
        <v>0</v>
      </c>
      <c r="S101" s="177">
        <v>0</v>
      </c>
      <c r="T101" s="177">
        <v>0</v>
      </c>
      <c r="U101" s="177">
        <v>0</v>
      </c>
      <c r="V101" s="177">
        <v>0</v>
      </c>
      <c r="W101" s="177">
        <v>0</v>
      </c>
      <c r="X101" s="53">
        <v>-6.7695429110268313</v>
      </c>
      <c r="Y101" s="151"/>
      <c r="Z101" s="151"/>
      <c r="AA101" s="151"/>
      <c r="AB101" s="151"/>
    </row>
    <row r="102" spans="1:28" ht="13">
      <c r="A102" s="170"/>
      <c r="B102" s="59" t="s">
        <v>859</v>
      </c>
      <c r="C102" s="179"/>
      <c r="D102" s="179"/>
      <c r="E102" s="179"/>
      <c r="F102" s="179"/>
      <c r="G102" s="179"/>
      <c r="H102" s="179"/>
      <c r="I102" s="180"/>
      <c r="J102" s="179"/>
      <c r="K102" s="179"/>
      <c r="L102" s="179"/>
      <c r="M102" s="179"/>
      <c r="N102" s="179"/>
      <c r="O102" s="180"/>
      <c r="P102" s="179"/>
      <c r="Q102" s="179"/>
      <c r="R102" s="179"/>
      <c r="S102" s="180"/>
      <c r="T102" s="179"/>
      <c r="U102" s="180"/>
      <c r="V102" s="179"/>
      <c r="W102" s="180"/>
      <c r="X102" s="53"/>
      <c r="Y102" s="151"/>
      <c r="Z102" s="151"/>
      <c r="AA102" s="151"/>
      <c r="AB102" s="151"/>
    </row>
    <row r="103" spans="1:28" s="173" customFormat="1" ht="13">
      <c r="A103" s="170"/>
      <c r="B103" s="94" t="s">
        <v>860</v>
      </c>
      <c r="C103" s="171"/>
      <c r="D103" s="171"/>
      <c r="E103" s="171"/>
      <c r="F103" s="171"/>
      <c r="G103" s="171"/>
      <c r="H103" s="171"/>
      <c r="I103" s="172"/>
      <c r="J103" s="171"/>
      <c r="K103" s="171"/>
      <c r="L103" s="171"/>
      <c r="M103" s="171"/>
      <c r="N103" s="171"/>
      <c r="O103" s="172"/>
      <c r="P103" s="171"/>
      <c r="Q103" s="171"/>
      <c r="R103" s="171"/>
      <c r="S103" s="172"/>
      <c r="T103" s="171"/>
      <c r="U103" s="172"/>
      <c r="V103" s="171"/>
      <c r="W103" s="172"/>
      <c r="X103" s="53"/>
      <c r="Y103" s="151"/>
      <c r="Z103" s="151"/>
      <c r="AA103" s="151"/>
      <c r="AB103" s="151"/>
    </row>
    <row r="104" spans="1:28" s="178" customFormat="1" ht="13">
      <c r="A104" s="170"/>
      <c r="B104" s="175" t="s">
        <v>861</v>
      </c>
      <c r="C104" s="176">
        <v>0</v>
      </c>
      <c r="D104" s="176">
        <v>0</v>
      </c>
      <c r="E104" s="176">
        <v>0</v>
      </c>
      <c r="F104" s="176">
        <v>0</v>
      </c>
      <c r="G104" s="176">
        <v>0</v>
      </c>
      <c r="H104" s="176">
        <v>0</v>
      </c>
      <c r="I104" s="177">
        <v>0</v>
      </c>
      <c r="J104" s="176">
        <v>0</v>
      </c>
      <c r="K104" s="176">
        <v>0</v>
      </c>
      <c r="L104" s="176">
        <v>0</v>
      </c>
      <c r="M104" s="176">
        <v>0</v>
      </c>
      <c r="N104" s="176">
        <v>0</v>
      </c>
      <c r="O104" s="177">
        <v>0</v>
      </c>
      <c r="P104" s="176">
        <v>0</v>
      </c>
      <c r="Q104" s="176">
        <v>0</v>
      </c>
      <c r="R104" s="176">
        <v>0</v>
      </c>
      <c r="S104" s="177">
        <v>0</v>
      </c>
      <c r="T104" s="176">
        <v>0</v>
      </c>
      <c r="U104" s="177">
        <v>0</v>
      </c>
      <c r="V104" s="176">
        <v>0</v>
      </c>
      <c r="W104" s="177">
        <v>0</v>
      </c>
      <c r="X104" s="53">
        <v>0</v>
      </c>
      <c r="Y104" s="151"/>
      <c r="Z104" s="151"/>
      <c r="AA104" s="151"/>
      <c r="AB104" s="151"/>
    </row>
    <row r="105" spans="1:28" ht="13">
      <c r="A105" s="170"/>
      <c r="B105" s="59" t="s">
        <v>862</v>
      </c>
      <c r="C105" s="179"/>
      <c r="D105" s="179"/>
      <c r="E105" s="179"/>
      <c r="F105" s="179"/>
      <c r="G105" s="179"/>
      <c r="H105" s="179"/>
      <c r="I105" s="180"/>
      <c r="J105" s="179"/>
      <c r="K105" s="179"/>
      <c r="L105" s="179"/>
      <c r="M105" s="179"/>
      <c r="N105" s="179"/>
      <c r="O105" s="180"/>
      <c r="P105" s="179"/>
      <c r="Q105" s="179"/>
      <c r="R105" s="179"/>
      <c r="S105" s="180"/>
      <c r="T105" s="179"/>
      <c r="U105" s="180"/>
      <c r="V105" s="179"/>
      <c r="W105" s="180"/>
      <c r="X105" s="53"/>
      <c r="Y105" s="151"/>
      <c r="Z105" s="151"/>
      <c r="AA105" s="151"/>
      <c r="AB105" s="151"/>
    </row>
    <row r="106" spans="1:28" s="173" customFormat="1" ht="13">
      <c r="A106" s="170"/>
      <c r="B106" s="94" t="s">
        <v>863</v>
      </c>
      <c r="C106" s="171"/>
      <c r="D106" s="171"/>
      <c r="E106" s="171"/>
      <c r="F106" s="171"/>
      <c r="G106" s="171"/>
      <c r="H106" s="171"/>
      <c r="I106" s="172"/>
      <c r="J106" s="171"/>
      <c r="K106" s="171"/>
      <c r="L106" s="171"/>
      <c r="M106" s="171"/>
      <c r="N106" s="171"/>
      <c r="O106" s="172"/>
      <c r="P106" s="171"/>
      <c r="Q106" s="171"/>
      <c r="R106" s="171"/>
      <c r="S106" s="172"/>
      <c r="T106" s="171"/>
      <c r="U106" s="172"/>
      <c r="V106" s="171"/>
      <c r="W106" s="172"/>
      <c r="X106" s="53"/>
      <c r="Y106" s="151"/>
      <c r="Z106" s="151"/>
      <c r="AA106" s="151"/>
      <c r="AB106" s="151"/>
    </row>
    <row r="107" spans="1:28" s="178" customFormat="1" ht="13">
      <c r="A107" s="170"/>
      <c r="B107" s="175" t="s">
        <v>864</v>
      </c>
      <c r="C107" s="176">
        <v>0</v>
      </c>
      <c r="D107" s="176">
        <v>0</v>
      </c>
      <c r="E107" s="176">
        <v>0</v>
      </c>
      <c r="F107" s="176">
        <v>0</v>
      </c>
      <c r="G107" s="176">
        <v>0</v>
      </c>
      <c r="H107" s="176">
        <v>0</v>
      </c>
      <c r="I107" s="177">
        <v>0</v>
      </c>
      <c r="J107" s="176">
        <v>0</v>
      </c>
      <c r="K107" s="176">
        <v>0</v>
      </c>
      <c r="L107" s="176">
        <v>0</v>
      </c>
      <c r="M107" s="176">
        <v>0</v>
      </c>
      <c r="N107" s="176">
        <v>0</v>
      </c>
      <c r="O107" s="177">
        <v>0</v>
      </c>
      <c r="P107" s="176">
        <v>0</v>
      </c>
      <c r="Q107" s="176">
        <v>0</v>
      </c>
      <c r="R107" s="176">
        <v>0</v>
      </c>
      <c r="S107" s="177">
        <v>0</v>
      </c>
      <c r="T107" s="176">
        <v>0</v>
      </c>
      <c r="U107" s="177">
        <v>0</v>
      </c>
      <c r="V107" s="176">
        <v>0</v>
      </c>
      <c r="W107" s="177">
        <v>0</v>
      </c>
      <c r="X107" s="53">
        <v>0</v>
      </c>
      <c r="Y107" s="151"/>
      <c r="Z107" s="151"/>
      <c r="AA107" s="151"/>
      <c r="AB107" s="151"/>
    </row>
    <row r="108" spans="1:28" ht="13">
      <c r="A108" s="170"/>
      <c r="B108" s="59" t="s">
        <v>865</v>
      </c>
      <c r="C108" s="179"/>
      <c r="D108" s="179"/>
      <c r="E108" s="179"/>
      <c r="F108" s="179"/>
      <c r="G108" s="179"/>
      <c r="H108" s="179"/>
      <c r="I108" s="180"/>
      <c r="J108" s="179"/>
      <c r="K108" s="179"/>
      <c r="L108" s="179"/>
      <c r="M108" s="179"/>
      <c r="N108" s="179"/>
      <c r="O108" s="180"/>
      <c r="P108" s="179"/>
      <c r="Q108" s="179"/>
      <c r="R108" s="179"/>
      <c r="S108" s="180"/>
      <c r="T108" s="179"/>
      <c r="U108" s="180"/>
      <c r="V108" s="179"/>
      <c r="W108" s="180"/>
      <c r="X108" s="53"/>
      <c r="Y108" s="151"/>
      <c r="Z108" s="151"/>
      <c r="AA108" s="151"/>
      <c r="AB108" s="151"/>
    </row>
    <row r="109" spans="1:28" s="173" customFormat="1" ht="13">
      <c r="A109" s="170"/>
      <c r="B109" s="94" t="s">
        <v>866</v>
      </c>
      <c r="C109" s="171"/>
      <c r="D109" s="171"/>
      <c r="E109" s="171"/>
      <c r="F109" s="171"/>
      <c r="G109" s="171"/>
      <c r="H109" s="171"/>
      <c r="I109" s="172"/>
      <c r="J109" s="171"/>
      <c r="K109" s="171"/>
      <c r="L109" s="171"/>
      <c r="M109" s="171"/>
      <c r="N109" s="171"/>
      <c r="O109" s="172"/>
      <c r="P109" s="171"/>
      <c r="Q109" s="171"/>
      <c r="R109" s="171"/>
      <c r="S109" s="172"/>
      <c r="T109" s="171"/>
      <c r="U109" s="172"/>
      <c r="V109" s="171"/>
      <c r="W109" s="172"/>
      <c r="X109" s="53"/>
      <c r="Y109" s="151"/>
      <c r="Z109" s="151"/>
      <c r="AA109" s="151"/>
      <c r="AB109" s="151"/>
    </row>
    <row r="110" spans="1:28" s="178" customFormat="1" ht="13">
      <c r="A110" s="170"/>
      <c r="B110" s="175" t="s">
        <v>867</v>
      </c>
      <c r="C110" s="176">
        <v>0</v>
      </c>
      <c r="D110" s="176">
        <v>0</v>
      </c>
      <c r="E110" s="176">
        <v>0</v>
      </c>
      <c r="F110" s="176">
        <v>0</v>
      </c>
      <c r="G110" s="176">
        <v>0</v>
      </c>
      <c r="H110" s="176">
        <v>0</v>
      </c>
      <c r="I110" s="177">
        <v>0</v>
      </c>
      <c r="J110" s="176">
        <v>0</v>
      </c>
      <c r="K110" s="176">
        <v>0</v>
      </c>
      <c r="L110" s="176">
        <v>0</v>
      </c>
      <c r="M110" s="176">
        <v>0</v>
      </c>
      <c r="N110" s="176">
        <v>0</v>
      </c>
      <c r="O110" s="177">
        <v>0</v>
      </c>
      <c r="P110" s="176">
        <v>0</v>
      </c>
      <c r="Q110" s="176">
        <v>0</v>
      </c>
      <c r="R110" s="176">
        <v>0</v>
      </c>
      <c r="S110" s="177">
        <v>0</v>
      </c>
      <c r="T110" s="176">
        <v>0</v>
      </c>
      <c r="U110" s="177">
        <v>0</v>
      </c>
      <c r="V110" s="176">
        <v>0</v>
      </c>
      <c r="W110" s="177">
        <v>0</v>
      </c>
      <c r="X110" s="53">
        <v>0</v>
      </c>
      <c r="Y110" s="151"/>
      <c r="Z110" s="151"/>
      <c r="AA110" s="151"/>
      <c r="AB110" s="151"/>
    </row>
    <row r="111" spans="1:28" ht="13">
      <c r="A111" s="170"/>
      <c r="B111" s="59" t="s">
        <v>868</v>
      </c>
      <c r="C111" s="179">
        <v>0</v>
      </c>
      <c r="D111" s="179"/>
      <c r="E111" s="179">
        <v>0</v>
      </c>
      <c r="F111" s="179"/>
      <c r="G111" s="179"/>
      <c r="H111" s="179"/>
      <c r="I111" s="180">
        <v>0</v>
      </c>
      <c r="J111" s="179"/>
      <c r="K111" s="179"/>
      <c r="L111" s="179">
        <v>0</v>
      </c>
      <c r="M111" s="179"/>
      <c r="N111" s="179"/>
      <c r="O111" s="180">
        <v>0</v>
      </c>
      <c r="P111" s="179"/>
      <c r="Q111" s="179"/>
      <c r="R111" s="179"/>
      <c r="S111" s="180"/>
      <c r="T111" s="179"/>
      <c r="U111" s="180"/>
      <c r="V111" s="179"/>
      <c r="W111" s="180"/>
      <c r="X111" s="53">
        <v>0</v>
      </c>
      <c r="Y111" s="151"/>
      <c r="Z111" s="151"/>
      <c r="AA111" s="151"/>
      <c r="AB111" s="151"/>
    </row>
    <row r="112" spans="1:28" s="173" customFormat="1" ht="13">
      <c r="A112" s="170"/>
      <c r="B112" s="94" t="s">
        <v>869</v>
      </c>
      <c r="C112" s="171">
        <v>0</v>
      </c>
      <c r="D112" s="171"/>
      <c r="E112" s="171">
        <v>0</v>
      </c>
      <c r="F112" s="171"/>
      <c r="G112" s="171"/>
      <c r="H112" s="171"/>
      <c r="I112" s="172">
        <v>0</v>
      </c>
      <c r="J112" s="171"/>
      <c r="K112" s="171"/>
      <c r="L112" s="171">
        <v>0</v>
      </c>
      <c r="M112" s="171"/>
      <c r="N112" s="171"/>
      <c r="O112" s="172">
        <v>0</v>
      </c>
      <c r="P112" s="171"/>
      <c r="Q112" s="171"/>
      <c r="R112" s="171"/>
      <c r="S112" s="172"/>
      <c r="T112" s="171"/>
      <c r="U112" s="172"/>
      <c r="V112" s="171"/>
      <c r="W112" s="172"/>
      <c r="X112" s="53">
        <v>0</v>
      </c>
      <c r="Y112" s="151"/>
      <c r="Z112" s="151"/>
      <c r="AA112" s="151"/>
      <c r="AB112" s="151"/>
    </row>
    <row r="113" spans="1:28" s="178" customFormat="1" ht="13">
      <c r="A113" s="170"/>
      <c r="B113" s="175" t="s">
        <v>870</v>
      </c>
      <c r="C113" s="176">
        <v>0</v>
      </c>
      <c r="D113" s="176">
        <v>0</v>
      </c>
      <c r="E113" s="176">
        <v>0</v>
      </c>
      <c r="F113" s="176">
        <v>0</v>
      </c>
      <c r="G113" s="176">
        <v>0</v>
      </c>
      <c r="H113" s="176">
        <v>0</v>
      </c>
      <c r="I113" s="177">
        <v>0</v>
      </c>
      <c r="J113" s="176">
        <v>0</v>
      </c>
      <c r="K113" s="176">
        <v>0</v>
      </c>
      <c r="L113" s="176">
        <v>0</v>
      </c>
      <c r="M113" s="176">
        <v>0</v>
      </c>
      <c r="N113" s="176">
        <v>0</v>
      </c>
      <c r="O113" s="177">
        <v>0</v>
      </c>
      <c r="P113" s="176">
        <v>0</v>
      </c>
      <c r="Q113" s="176">
        <v>0</v>
      </c>
      <c r="R113" s="176">
        <v>0</v>
      </c>
      <c r="S113" s="177">
        <v>0</v>
      </c>
      <c r="T113" s="176">
        <v>0</v>
      </c>
      <c r="U113" s="177">
        <v>0</v>
      </c>
      <c r="V113" s="176">
        <v>0</v>
      </c>
      <c r="W113" s="177">
        <v>0</v>
      </c>
      <c r="X113" s="53">
        <v>0</v>
      </c>
      <c r="Y113" s="151"/>
      <c r="Z113" s="151"/>
      <c r="AA113" s="151"/>
      <c r="AB113" s="151"/>
    </row>
    <row r="114" spans="1:28" ht="13">
      <c r="A114" s="170"/>
      <c r="B114" s="59" t="s">
        <v>871</v>
      </c>
      <c r="C114" s="179"/>
      <c r="D114" s="179"/>
      <c r="E114" s="179"/>
      <c r="F114" s="179"/>
      <c r="G114" s="179"/>
      <c r="H114" s="179"/>
      <c r="I114" s="180"/>
      <c r="J114" s="179"/>
      <c r="K114" s="179"/>
      <c r="L114" s="179"/>
      <c r="M114" s="179"/>
      <c r="N114" s="179"/>
      <c r="O114" s="180"/>
      <c r="P114" s="179"/>
      <c r="Q114" s="179"/>
      <c r="R114" s="179"/>
      <c r="S114" s="180"/>
      <c r="T114" s="179"/>
      <c r="U114" s="180"/>
      <c r="V114" s="179"/>
      <c r="W114" s="180"/>
      <c r="X114" s="53"/>
      <c r="Y114" s="151"/>
      <c r="Z114" s="151"/>
      <c r="AA114" s="151"/>
      <c r="AB114" s="151"/>
    </row>
    <row r="115" spans="1:28" s="173" customFormat="1" ht="13">
      <c r="A115" s="170"/>
      <c r="B115" s="94" t="s">
        <v>872</v>
      </c>
      <c r="C115" s="171"/>
      <c r="D115" s="171"/>
      <c r="E115" s="171"/>
      <c r="F115" s="171"/>
      <c r="G115" s="171"/>
      <c r="H115" s="171"/>
      <c r="I115" s="172"/>
      <c r="J115" s="171"/>
      <c r="K115" s="171"/>
      <c r="L115" s="171"/>
      <c r="M115" s="171"/>
      <c r="N115" s="171"/>
      <c r="O115" s="172"/>
      <c r="P115" s="171"/>
      <c r="Q115" s="171"/>
      <c r="R115" s="171"/>
      <c r="S115" s="172"/>
      <c r="T115" s="171"/>
      <c r="U115" s="172"/>
      <c r="V115" s="171"/>
      <c r="W115" s="172"/>
      <c r="X115" s="53"/>
      <c r="Y115" s="151"/>
      <c r="Z115" s="151"/>
      <c r="AA115" s="151"/>
      <c r="AB115" s="151"/>
    </row>
    <row r="116" spans="1:28" s="178" customFormat="1" ht="13">
      <c r="A116" s="170"/>
      <c r="B116" s="175" t="s">
        <v>873</v>
      </c>
      <c r="C116" s="176">
        <v>0</v>
      </c>
      <c r="D116" s="176">
        <v>0</v>
      </c>
      <c r="E116" s="176">
        <v>0</v>
      </c>
      <c r="F116" s="176">
        <v>0</v>
      </c>
      <c r="G116" s="176">
        <v>0</v>
      </c>
      <c r="H116" s="176">
        <v>0</v>
      </c>
      <c r="I116" s="177">
        <v>0</v>
      </c>
      <c r="J116" s="176">
        <v>0</v>
      </c>
      <c r="K116" s="176">
        <v>0</v>
      </c>
      <c r="L116" s="176">
        <v>0</v>
      </c>
      <c r="M116" s="176">
        <v>0</v>
      </c>
      <c r="N116" s="176">
        <v>0</v>
      </c>
      <c r="O116" s="177">
        <v>0</v>
      </c>
      <c r="P116" s="176">
        <v>0</v>
      </c>
      <c r="Q116" s="176">
        <v>0</v>
      </c>
      <c r="R116" s="176">
        <v>0</v>
      </c>
      <c r="S116" s="177">
        <v>0</v>
      </c>
      <c r="T116" s="176">
        <v>0</v>
      </c>
      <c r="U116" s="177">
        <v>0</v>
      </c>
      <c r="V116" s="176">
        <v>0</v>
      </c>
      <c r="W116" s="177">
        <v>0</v>
      </c>
      <c r="X116" s="53">
        <v>0</v>
      </c>
      <c r="Y116" s="151"/>
      <c r="Z116" s="151"/>
      <c r="AA116" s="151"/>
      <c r="AB116" s="151"/>
    </row>
    <row r="117" spans="1:28" ht="13">
      <c r="A117" s="170"/>
      <c r="B117" s="59" t="s">
        <v>874</v>
      </c>
      <c r="C117" s="179"/>
      <c r="D117" s="179"/>
      <c r="E117" s="179"/>
      <c r="F117" s="179"/>
      <c r="G117" s="179"/>
      <c r="H117" s="179"/>
      <c r="I117" s="180"/>
      <c r="J117" s="179"/>
      <c r="K117" s="179"/>
      <c r="L117" s="179"/>
      <c r="M117" s="179"/>
      <c r="N117" s="179"/>
      <c r="O117" s="180"/>
      <c r="P117" s="179"/>
      <c r="Q117" s="179"/>
      <c r="R117" s="179"/>
      <c r="S117" s="180"/>
      <c r="T117" s="179"/>
      <c r="U117" s="180"/>
      <c r="V117" s="179"/>
      <c r="W117" s="180"/>
      <c r="X117" s="53"/>
      <c r="Y117" s="151"/>
      <c r="Z117" s="151"/>
      <c r="AA117" s="151"/>
      <c r="AB117" s="151"/>
    </row>
    <row r="118" spans="1:28" s="173" customFormat="1" ht="13">
      <c r="A118" s="170"/>
      <c r="B118" s="94" t="s">
        <v>875</v>
      </c>
      <c r="C118" s="171"/>
      <c r="D118" s="171"/>
      <c r="E118" s="171"/>
      <c r="F118" s="171"/>
      <c r="G118" s="171"/>
      <c r="H118" s="171"/>
      <c r="I118" s="172"/>
      <c r="J118" s="171"/>
      <c r="K118" s="171"/>
      <c r="L118" s="171"/>
      <c r="M118" s="171"/>
      <c r="N118" s="171"/>
      <c r="O118" s="172"/>
      <c r="P118" s="171"/>
      <c r="Q118" s="171"/>
      <c r="R118" s="171"/>
      <c r="S118" s="172"/>
      <c r="T118" s="171"/>
      <c r="U118" s="172"/>
      <c r="V118" s="171"/>
      <c r="W118" s="172"/>
      <c r="X118" s="53"/>
      <c r="Y118" s="151"/>
      <c r="Z118" s="151"/>
      <c r="AA118" s="151"/>
      <c r="AB118" s="151"/>
    </row>
    <row r="119" spans="1:28" s="178" customFormat="1" ht="13">
      <c r="A119" s="170"/>
      <c r="B119" s="175" t="s">
        <v>876</v>
      </c>
      <c r="C119" s="176">
        <v>0</v>
      </c>
      <c r="D119" s="176">
        <v>0</v>
      </c>
      <c r="E119" s="176">
        <v>0</v>
      </c>
      <c r="F119" s="176">
        <v>0</v>
      </c>
      <c r="G119" s="176">
        <v>0</v>
      </c>
      <c r="H119" s="176">
        <v>0</v>
      </c>
      <c r="I119" s="177">
        <v>0</v>
      </c>
      <c r="J119" s="176">
        <v>0</v>
      </c>
      <c r="K119" s="176">
        <v>0</v>
      </c>
      <c r="L119" s="176">
        <v>0</v>
      </c>
      <c r="M119" s="176">
        <v>0</v>
      </c>
      <c r="N119" s="176">
        <v>0</v>
      </c>
      <c r="O119" s="177">
        <v>0</v>
      </c>
      <c r="P119" s="176">
        <v>0</v>
      </c>
      <c r="Q119" s="176">
        <v>0</v>
      </c>
      <c r="R119" s="176">
        <v>0</v>
      </c>
      <c r="S119" s="177">
        <v>0</v>
      </c>
      <c r="T119" s="176">
        <v>0</v>
      </c>
      <c r="U119" s="177">
        <v>0</v>
      </c>
      <c r="V119" s="176">
        <v>0</v>
      </c>
      <c r="W119" s="177">
        <v>0</v>
      </c>
      <c r="X119" s="53">
        <v>0</v>
      </c>
      <c r="Y119" s="151"/>
      <c r="Z119" s="151"/>
      <c r="AA119" s="151"/>
      <c r="AB119" s="151"/>
    </row>
    <row r="120" spans="1:28" ht="13">
      <c r="A120" s="170"/>
      <c r="B120" s="59" t="s">
        <v>877</v>
      </c>
      <c r="C120" s="179">
        <v>816274971</v>
      </c>
      <c r="D120" s="179"/>
      <c r="E120" s="179">
        <v>68820137</v>
      </c>
      <c r="F120" s="179"/>
      <c r="G120" s="179"/>
      <c r="H120" s="179"/>
      <c r="I120" s="180">
        <v>885095108</v>
      </c>
      <c r="J120" s="179"/>
      <c r="K120" s="179"/>
      <c r="L120" s="179">
        <v>123176300</v>
      </c>
      <c r="M120" s="179"/>
      <c r="N120" s="179"/>
      <c r="O120" s="180">
        <v>123176300</v>
      </c>
      <c r="P120" s="179"/>
      <c r="Q120" s="179"/>
      <c r="R120" s="179"/>
      <c r="S120" s="180"/>
      <c r="T120" s="179"/>
      <c r="U120" s="180"/>
      <c r="V120" s="179"/>
      <c r="W120" s="180"/>
      <c r="X120" s="53">
        <v>1008271408</v>
      </c>
      <c r="Y120" s="151"/>
      <c r="Z120" s="151"/>
      <c r="AA120" s="151"/>
      <c r="AB120" s="151"/>
    </row>
    <row r="121" spans="1:28" s="173" customFormat="1" ht="13">
      <c r="A121" s="170"/>
      <c r="B121" s="94" t="s">
        <v>878</v>
      </c>
      <c r="C121" s="171">
        <v>767534568</v>
      </c>
      <c r="D121" s="171"/>
      <c r="E121" s="171">
        <v>73043517</v>
      </c>
      <c r="F121" s="171"/>
      <c r="G121" s="171"/>
      <c r="H121" s="171"/>
      <c r="I121" s="172">
        <v>840578085</v>
      </c>
      <c r="J121" s="171"/>
      <c r="K121" s="171"/>
      <c r="L121" s="171">
        <v>120852000</v>
      </c>
      <c r="M121" s="171"/>
      <c r="N121" s="171"/>
      <c r="O121" s="172">
        <v>120852000</v>
      </c>
      <c r="P121" s="171"/>
      <c r="Q121" s="171"/>
      <c r="R121" s="171"/>
      <c r="S121" s="172"/>
      <c r="T121" s="171"/>
      <c r="U121" s="172"/>
      <c r="V121" s="171"/>
      <c r="W121" s="172"/>
      <c r="X121" s="53">
        <v>961430085</v>
      </c>
      <c r="Y121" s="151"/>
      <c r="Z121" s="151"/>
      <c r="AA121" s="151"/>
      <c r="AB121" s="151"/>
    </row>
    <row r="122" spans="1:28" s="192" customFormat="1" ht="13.5" thickBot="1">
      <c r="A122" s="186"/>
      <c r="B122" s="187" t="s">
        <v>879</v>
      </c>
      <c r="C122" s="188">
        <v>-5.9710765038267972</v>
      </c>
      <c r="D122" s="188">
        <v>0</v>
      </c>
      <c r="E122" s="188">
        <v>6.1368375363739833</v>
      </c>
      <c r="F122" s="188">
        <v>0</v>
      </c>
      <c r="G122" s="188">
        <v>0</v>
      </c>
      <c r="H122" s="188">
        <v>0</v>
      </c>
      <c r="I122" s="189">
        <v>-5.0296315726558056</v>
      </c>
      <c r="J122" s="188">
        <v>0</v>
      </c>
      <c r="K122" s="188">
        <v>0</v>
      </c>
      <c r="L122" s="188">
        <v>-1.8869701395479488</v>
      </c>
      <c r="M122" s="188">
        <v>0</v>
      </c>
      <c r="N122" s="188">
        <v>0</v>
      </c>
      <c r="O122" s="189">
        <v>-1.8869701395479488</v>
      </c>
      <c r="P122" s="188">
        <v>0</v>
      </c>
      <c r="Q122" s="188">
        <v>0</v>
      </c>
      <c r="R122" s="188">
        <v>0</v>
      </c>
      <c r="S122" s="189">
        <v>0</v>
      </c>
      <c r="T122" s="188">
        <v>0</v>
      </c>
      <c r="U122" s="189">
        <v>0</v>
      </c>
      <c r="V122" s="188">
        <v>0</v>
      </c>
      <c r="W122" s="189">
        <v>0</v>
      </c>
      <c r="X122" s="53">
        <v>-4.6457057721109152</v>
      </c>
      <c r="Y122" s="151"/>
      <c r="Z122" s="151"/>
      <c r="AA122" s="151"/>
      <c r="AB122" s="151"/>
    </row>
    <row r="123" spans="1:28" ht="13.5" thickTop="1">
      <c r="A123" s="147" t="s">
        <v>333</v>
      </c>
      <c r="B123" s="167" t="s">
        <v>754</v>
      </c>
      <c r="C123" s="168"/>
      <c r="D123" s="168"/>
      <c r="E123" s="168"/>
      <c r="F123" s="168"/>
      <c r="G123" s="168"/>
      <c r="H123" s="168"/>
      <c r="I123" s="169"/>
      <c r="J123" s="168">
        <v>1121096463</v>
      </c>
      <c r="K123" s="168">
        <v>102749113</v>
      </c>
      <c r="L123" s="168"/>
      <c r="M123" s="168">
        <v>15739507</v>
      </c>
      <c r="N123" s="168"/>
      <c r="O123" s="169">
        <v>1239585083</v>
      </c>
      <c r="P123" s="168"/>
      <c r="Q123" s="168"/>
      <c r="R123" s="168"/>
      <c r="S123" s="169"/>
      <c r="T123" s="168"/>
      <c r="U123" s="169"/>
      <c r="V123" s="168"/>
      <c r="W123" s="169"/>
      <c r="X123" s="53">
        <v>1239585083</v>
      </c>
      <c r="Y123" s="151"/>
      <c r="Z123" s="151"/>
      <c r="AA123" s="151"/>
      <c r="AB123" s="151"/>
    </row>
    <row r="124" spans="1:28" s="173" customFormat="1" ht="13">
      <c r="A124" s="170"/>
      <c r="B124" s="94" t="s">
        <v>755</v>
      </c>
      <c r="C124" s="171"/>
      <c r="D124" s="171"/>
      <c r="E124" s="171"/>
      <c r="F124" s="171"/>
      <c r="G124" s="171"/>
      <c r="H124" s="171"/>
      <c r="I124" s="172"/>
      <c r="J124" s="171">
        <v>1141747261</v>
      </c>
      <c r="K124" s="171">
        <v>104005801</v>
      </c>
      <c r="L124" s="171"/>
      <c r="M124" s="171">
        <v>16656471</v>
      </c>
      <c r="N124" s="171"/>
      <c r="O124" s="172">
        <v>1262409533</v>
      </c>
      <c r="P124" s="171"/>
      <c r="Q124" s="171"/>
      <c r="R124" s="171"/>
      <c r="S124" s="172"/>
      <c r="T124" s="171"/>
      <c r="U124" s="172"/>
      <c r="V124" s="171"/>
      <c r="W124" s="172"/>
      <c r="X124" s="53">
        <v>1262409533</v>
      </c>
      <c r="Y124" s="151"/>
      <c r="Z124" s="151"/>
      <c r="AA124" s="151"/>
      <c r="AB124" s="151"/>
    </row>
    <row r="125" spans="1:28" s="178" customFormat="1" ht="13">
      <c r="A125" s="174"/>
      <c r="B125" s="175" t="s">
        <v>849</v>
      </c>
      <c r="C125" s="176">
        <v>0</v>
      </c>
      <c r="D125" s="176">
        <v>0</v>
      </c>
      <c r="E125" s="176">
        <v>0</v>
      </c>
      <c r="F125" s="176">
        <v>0</v>
      </c>
      <c r="G125" s="176">
        <v>0</v>
      </c>
      <c r="H125" s="176">
        <v>0</v>
      </c>
      <c r="I125" s="177">
        <v>0</v>
      </c>
      <c r="J125" s="176">
        <v>1.8420179423935974</v>
      </c>
      <c r="K125" s="176">
        <v>1.2230645728299376</v>
      </c>
      <c r="L125" s="176">
        <v>0</v>
      </c>
      <c r="M125" s="176">
        <v>5.8258749781679953</v>
      </c>
      <c r="N125" s="176">
        <v>0</v>
      </c>
      <c r="O125" s="177">
        <v>1.8412975690834448</v>
      </c>
      <c r="P125" s="176">
        <v>0</v>
      </c>
      <c r="Q125" s="176">
        <v>0</v>
      </c>
      <c r="R125" s="176">
        <v>0</v>
      </c>
      <c r="S125" s="177">
        <v>0</v>
      </c>
      <c r="T125" s="176">
        <v>0</v>
      </c>
      <c r="U125" s="177">
        <v>0</v>
      </c>
      <c r="V125" s="176">
        <v>0</v>
      </c>
      <c r="W125" s="177">
        <v>0</v>
      </c>
      <c r="X125" s="53">
        <v>1.8412975690834448</v>
      </c>
      <c r="Y125" s="151"/>
      <c r="Z125" s="151"/>
      <c r="AA125" s="151"/>
      <c r="AB125" s="151"/>
    </row>
    <row r="126" spans="1:28" ht="13">
      <c r="A126" s="170"/>
      <c r="B126" s="59" t="s">
        <v>756</v>
      </c>
      <c r="C126" s="179"/>
      <c r="D126" s="179"/>
      <c r="E126" s="179"/>
      <c r="F126" s="179"/>
      <c r="G126" s="179"/>
      <c r="H126" s="179"/>
      <c r="I126" s="180"/>
      <c r="J126" s="179"/>
      <c r="K126" s="179"/>
      <c r="L126" s="179"/>
      <c r="M126" s="179"/>
      <c r="N126" s="179"/>
      <c r="O126" s="180"/>
      <c r="P126" s="179"/>
      <c r="Q126" s="179"/>
      <c r="R126" s="179"/>
      <c r="S126" s="180"/>
      <c r="T126" s="179"/>
      <c r="U126" s="180"/>
      <c r="V126" s="179"/>
      <c r="W126" s="180"/>
      <c r="X126" s="53"/>
      <c r="Y126" s="151"/>
      <c r="Z126" s="151"/>
      <c r="AA126" s="151"/>
      <c r="AB126" s="151"/>
    </row>
    <row r="127" spans="1:28" s="173" customFormat="1" ht="13">
      <c r="A127" s="170"/>
      <c r="B127" s="94" t="s">
        <v>757</v>
      </c>
      <c r="C127" s="171"/>
      <c r="D127" s="171"/>
      <c r="E127" s="171"/>
      <c r="F127" s="171"/>
      <c r="G127" s="171"/>
      <c r="H127" s="171"/>
      <c r="I127" s="172"/>
      <c r="J127" s="171"/>
      <c r="K127" s="171"/>
      <c r="L127" s="171"/>
      <c r="M127" s="171"/>
      <c r="N127" s="171"/>
      <c r="O127" s="172"/>
      <c r="P127" s="171"/>
      <c r="Q127" s="171"/>
      <c r="R127" s="171"/>
      <c r="S127" s="172"/>
      <c r="T127" s="171"/>
      <c r="U127" s="172"/>
      <c r="V127" s="171"/>
      <c r="W127" s="172"/>
      <c r="X127" s="53"/>
      <c r="Y127" s="151"/>
      <c r="Z127" s="151"/>
      <c r="AA127" s="151"/>
      <c r="AB127" s="151"/>
    </row>
    <row r="128" spans="1:28" s="178" customFormat="1" ht="13">
      <c r="A128" s="170"/>
      <c r="B128" s="175" t="s">
        <v>850</v>
      </c>
      <c r="C128" s="176">
        <v>0</v>
      </c>
      <c r="D128" s="176">
        <v>0</v>
      </c>
      <c r="E128" s="176">
        <v>0</v>
      </c>
      <c r="F128" s="176">
        <v>0</v>
      </c>
      <c r="G128" s="176">
        <v>0</v>
      </c>
      <c r="H128" s="176">
        <v>0</v>
      </c>
      <c r="I128" s="177">
        <v>0</v>
      </c>
      <c r="J128" s="176">
        <v>0</v>
      </c>
      <c r="K128" s="176">
        <v>0</v>
      </c>
      <c r="L128" s="176">
        <v>0</v>
      </c>
      <c r="M128" s="176">
        <v>0</v>
      </c>
      <c r="N128" s="176">
        <v>0</v>
      </c>
      <c r="O128" s="177">
        <v>0</v>
      </c>
      <c r="P128" s="176">
        <v>0</v>
      </c>
      <c r="Q128" s="176">
        <v>0</v>
      </c>
      <c r="R128" s="176">
        <v>0</v>
      </c>
      <c r="S128" s="177">
        <v>0</v>
      </c>
      <c r="T128" s="176">
        <v>0</v>
      </c>
      <c r="U128" s="177">
        <v>0</v>
      </c>
      <c r="V128" s="181">
        <v>0</v>
      </c>
      <c r="W128" s="177">
        <v>0</v>
      </c>
      <c r="X128" s="53">
        <v>0</v>
      </c>
      <c r="Y128" s="151"/>
      <c r="Z128" s="151"/>
      <c r="AA128" s="151"/>
      <c r="AB128" s="151"/>
    </row>
    <row r="129" spans="1:28" ht="13">
      <c r="A129" s="170"/>
      <c r="B129" s="59" t="s">
        <v>758</v>
      </c>
      <c r="C129" s="179"/>
      <c r="D129" s="179"/>
      <c r="E129" s="179"/>
      <c r="F129" s="179"/>
      <c r="G129" s="179"/>
      <c r="H129" s="179"/>
      <c r="I129" s="180"/>
      <c r="J129" s="179"/>
      <c r="K129" s="179"/>
      <c r="L129" s="179"/>
      <c r="M129" s="179"/>
      <c r="N129" s="179"/>
      <c r="O129" s="180"/>
      <c r="P129" s="179"/>
      <c r="Q129" s="179"/>
      <c r="R129" s="179"/>
      <c r="S129" s="180"/>
      <c r="T129" s="179"/>
      <c r="U129" s="180"/>
      <c r="V129" s="179"/>
      <c r="W129" s="180"/>
      <c r="X129" s="53"/>
      <c r="Y129" s="151"/>
      <c r="Z129" s="151"/>
      <c r="AA129" s="151"/>
      <c r="AB129" s="151"/>
    </row>
    <row r="130" spans="1:28" s="173" customFormat="1" ht="13">
      <c r="A130" s="170"/>
      <c r="B130" s="94" t="s">
        <v>759</v>
      </c>
      <c r="C130" s="171"/>
      <c r="D130" s="171"/>
      <c r="E130" s="171"/>
      <c r="F130" s="171"/>
      <c r="G130" s="171"/>
      <c r="H130" s="171"/>
      <c r="I130" s="172"/>
      <c r="J130" s="171"/>
      <c r="K130" s="171"/>
      <c r="L130" s="171"/>
      <c r="M130" s="171"/>
      <c r="N130" s="171"/>
      <c r="O130" s="172"/>
      <c r="P130" s="171"/>
      <c r="Q130" s="171"/>
      <c r="R130" s="171"/>
      <c r="S130" s="172"/>
      <c r="T130" s="171"/>
      <c r="U130" s="172"/>
      <c r="V130" s="171"/>
      <c r="W130" s="172"/>
      <c r="X130" s="53"/>
      <c r="Y130" s="151"/>
      <c r="Z130" s="151"/>
      <c r="AA130" s="151"/>
      <c r="AB130" s="151"/>
    </row>
    <row r="131" spans="1:28" s="178" customFormat="1" ht="13">
      <c r="A131" s="170"/>
      <c r="B131" s="175" t="s">
        <v>851</v>
      </c>
      <c r="C131" s="176">
        <v>0</v>
      </c>
      <c r="D131" s="176">
        <v>0</v>
      </c>
      <c r="E131" s="176">
        <v>0</v>
      </c>
      <c r="F131" s="176">
        <v>0</v>
      </c>
      <c r="G131" s="176">
        <v>0</v>
      </c>
      <c r="H131" s="176">
        <v>0</v>
      </c>
      <c r="I131" s="177">
        <v>0</v>
      </c>
      <c r="J131" s="176">
        <v>0</v>
      </c>
      <c r="K131" s="176">
        <v>0</v>
      </c>
      <c r="L131" s="176">
        <v>0</v>
      </c>
      <c r="M131" s="176">
        <v>0</v>
      </c>
      <c r="N131" s="176">
        <v>0</v>
      </c>
      <c r="O131" s="177">
        <v>0</v>
      </c>
      <c r="P131" s="176">
        <v>0</v>
      </c>
      <c r="Q131" s="176">
        <v>0</v>
      </c>
      <c r="R131" s="176">
        <v>0</v>
      </c>
      <c r="S131" s="177">
        <v>0</v>
      </c>
      <c r="T131" s="176">
        <v>0</v>
      </c>
      <c r="U131" s="177">
        <v>0</v>
      </c>
      <c r="V131" s="176">
        <v>0</v>
      </c>
      <c r="W131" s="177">
        <v>0</v>
      </c>
      <c r="X131" s="53">
        <v>0</v>
      </c>
      <c r="Y131" s="151"/>
      <c r="Z131" s="151"/>
      <c r="AA131" s="151"/>
      <c r="AB131" s="151"/>
    </row>
    <row r="132" spans="1:28" ht="13">
      <c r="A132" s="170"/>
      <c r="B132" s="59" t="s">
        <v>760</v>
      </c>
      <c r="C132" s="179"/>
      <c r="D132" s="179"/>
      <c r="E132" s="179"/>
      <c r="F132" s="179"/>
      <c r="G132" s="179"/>
      <c r="H132" s="179"/>
      <c r="I132" s="180"/>
      <c r="J132" s="179">
        <v>699145009</v>
      </c>
      <c r="K132" s="179">
        <v>71097226</v>
      </c>
      <c r="L132" s="179"/>
      <c r="M132" s="179">
        <v>3895444</v>
      </c>
      <c r="N132" s="179"/>
      <c r="O132" s="180">
        <v>774137679</v>
      </c>
      <c r="P132" s="179"/>
      <c r="Q132" s="179"/>
      <c r="R132" s="179"/>
      <c r="S132" s="180"/>
      <c r="T132" s="179"/>
      <c r="U132" s="180"/>
      <c r="V132" s="179"/>
      <c r="W132" s="180"/>
      <c r="X132" s="53">
        <v>774137679</v>
      </c>
      <c r="Y132" s="151"/>
      <c r="Z132" s="151"/>
      <c r="AA132" s="151"/>
      <c r="AB132" s="151"/>
    </row>
    <row r="133" spans="1:28" s="173" customFormat="1" ht="13">
      <c r="A133" s="170"/>
      <c r="B133" s="94" t="s">
        <v>761</v>
      </c>
      <c r="C133" s="171"/>
      <c r="D133" s="171"/>
      <c r="E133" s="171"/>
      <c r="F133" s="171"/>
      <c r="G133" s="171"/>
      <c r="H133" s="171"/>
      <c r="I133" s="172"/>
      <c r="J133" s="171">
        <v>650622969</v>
      </c>
      <c r="K133" s="171">
        <v>64672649</v>
      </c>
      <c r="L133" s="171"/>
      <c r="M133" s="171">
        <v>3770842</v>
      </c>
      <c r="N133" s="171"/>
      <c r="O133" s="172">
        <v>719066460</v>
      </c>
      <c r="P133" s="171"/>
      <c r="Q133" s="171"/>
      <c r="R133" s="171"/>
      <c r="S133" s="172"/>
      <c r="T133" s="171"/>
      <c r="U133" s="172"/>
      <c r="V133" s="171"/>
      <c r="W133" s="172"/>
      <c r="X133" s="53">
        <v>719066460</v>
      </c>
      <c r="Y133" s="151"/>
      <c r="Z133" s="151"/>
      <c r="AA133" s="151"/>
      <c r="AB133" s="151"/>
    </row>
    <row r="134" spans="1:28" s="178" customFormat="1" ht="13">
      <c r="A134" s="170"/>
      <c r="B134" s="175" t="s">
        <v>852</v>
      </c>
      <c r="C134" s="176">
        <v>0</v>
      </c>
      <c r="D134" s="176">
        <v>0</v>
      </c>
      <c r="E134" s="176">
        <v>0</v>
      </c>
      <c r="F134" s="176">
        <v>0</v>
      </c>
      <c r="G134" s="176">
        <v>0</v>
      </c>
      <c r="H134" s="176">
        <v>0</v>
      </c>
      <c r="I134" s="177">
        <v>0</v>
      </c>
      <c r="J134" s="176">
        <v>-6.9401968655117736</v>
      </c>
      <c r="K134" s="176">
        <v>-9.0363258335845611</v>
      </c>
      <c r="L134" s="176">
        <v>0</v>
      </c>
      <c r="M134" s="176">
        <v>-3.1986597676670487</v>
      </c>
      <c r="N134" s="176">
        <v>0</v>
      </c>
      <c r="O134" s="177">
        <v>-7.1138791579217262</v>
      </c>
      <c r="P134" s="176">
        <v>0</v>
      </c>
      <c r="Q134" s="176">
        <v>0</v>
      </c>
      <c r="R134" s="176">
        <v>0</v>
      </c>
      <c r="S134" s="177">
        <v>0</v>
      </c>
      <c r="T134" s="176">
        <v>0</v>
      </c>
      <c r="U134" s="177">
        <v>0</v>
      </c>
      <c r="V134" s="176">
        <v>0</v>
      </c>
      <c r="W134" s="177">
        <v>0</v>
      </c>
      <c r="X134" s="53">
        <v>-7.1138791579217262</v>
      </c>
      <c r="Y134" s="151"/>
      <c r="Z134" s="151"/>
      <c r="AA134" s="151"/>
      <c r="AB134" s="151"/>
    </row>
    <row r="135" spans="1:28" ht="13">
      <c r="A135" s="170"/>
      <c r="B135" s="59" t="s">
        <v>853</v>
      </c>
      <c r="C135" s="179"/>
      <c r="D135" s="179"/>
      <c r="E135" s="179"/>
      <c r="F135" s="179"/>
      <c r="G135" s="179"/>
      <c r="H135" s="179"/>
      <c r="I135" s="180"/>
      <c r="J135" s="179"/>
      <c r="K135" s="179"/>
      <c r="L135" s="179"/>
      <c r="M135" s="179"/>
      <c r="N135" s="179"/>
      <c r="O135" s="180"/>
      <c r="P135" s="179"/>
      <c r="Q135" s="179"/>
      <c r="R135" s="179"/>
      <c r="S135" s="180"/>
      <c r="T135" s="179"/>
      <c r="U135" s="180"/>
      <c r="V135" s="179"/>
      <c r="W135" s="180"/>
      <c r="X135" s="53"/>
      <c r="Y135" s="151"/>
      <c r="Z135" s="151"/>
      <c r="AA135" s="151"/>
      <c r="AB135" s="151"/>
    </row>
    <row r="136" spans="1:28" s="173" customFormat="1" ht="13">
      <c r="A136" s="170"/>
      <c r="B136" s="94" t="s">
        <v>854</v>
      </c>
      <c r="C136" s="171"/>
      <c r="D136" s="171"/>
      <c r="E136" s="171"/>
      <c r="F136" s="171"/>
      <c r="G136" s="171"/>
      <c r="H136" s="171"/>
      <c r="I136" s="172"/>
      <c r="J136" s="171"/>
      <c r="K136" s="171"/>
      <c r="L136" s="171"/>
      <c r="M136" s="171"/>
      <c r="N136" s="171"/>
      <c r="O136" s="172"/>
      <c r="P136" s="171"/>
      <c r="Q136" s="171"/>
      <c r="R136" s="171"/>
      <c r="S136" s="172"/>
      <c r="T136" s="171"/>
      <c r="U136" s="172"/>
      <c r="V136" s="171"/>
      <c r="W136" s="172"/>
      <c r="X136" s="53"/>
      <c r="Y136" s="151"/>
      <c r="Z136" s="151"/>
      <c r="AA136" s="151"/>
      <c r="AB136" s="151"/>
    </row>
    <row r="137" spans="1:28" s="178" customFormat="1" ht="13">
      <c r="A137" s="170"/>
      <c r="B137" s="175" t="s">
        <v>855</v>
      </c>
      <c r="C137" s="176">
        <v>0</v>
      </c>
      <c r="D137" s="176">
        <v>0</v>
      </c>
      <c r="E137" s="176">
        <v>0</v>
      </c>
      <c r="F137" s="176">
        <v>0</v>
      </c>
      <c r="G137" s="176">
        <v>0</v>
      </c>
      <c r="H137" s="176">
        <v>0</v>
      </c>
      <c r="I137" s="177">
        <v>0</v>
      </c>
      <c r="J137" s="176">
        <v>0</v>
      </c>
      <c r="K137" s="176">
        <v>0</v>
      </c>
      <c r="L137" s="176">
        <v>0</v>
      </c>
      <c r="M137" s="176">
        <v>0</v>
      </c>
      <c r="N137" s="176">
        <v>0</v>
      </c>
      <c r="O137" s="177">
        <v>0</v>
      </c>
      <c r="P137" s="176">
        <v>0</v>
      </c>
      <c r="Q137" s="176">
        <v>0</v>
      </c>
      <c r="R137" s="176">
        <v>0</v>
      </c>
      <c r="S137" s="177">
        <v>0</v>
      </c>
      <c r="T137" s="176">
        <v>0</v>
      </c>
      <c r="U137" s="177">
        <v>0</v>
      </c>
      <c r="V137" s="176">
        <v>0</v>
      </c>
      <c r="W137" s="177">
        <v>0</v>
      </c>
      <c r="X137" s="53">
        <v>0</v>
      </c>
      <c r="Y137" s="151"/>
      <c r="Z137" s="151"/>
      <c r="AA137" s="151"/>
      <c r="AB137" s="151"/>
    </row>
    <row r="138" spans="1:28" ht="13">
      <c r="A138" s="170"/>
      <c r="B138" s="183" t="s">
        <v>856</v>
      </c>
      <c r="C138" s="180"/>
      <c r="D138" s="180"/>
      <c r="E138" s="180"/>
      <c r="F138" s="180"/>
      <c r="G138" s="180"/>
      <c r="H138" s="180"/>
      <c r="I138" s="180"/>
      <c r="J138" s="180">
        <v>699145009</v>
      </c>
      <c r="K138" s="180">
        <v>71097226</v>
      </c>
      <c r="L138" s="180"/>
      <c r="M138" s="180">
        <v>3895444</v>
      </c>
      <c r="N138" s="180"/>
      <c r="O138" s="180">
        <v>774137679</v>
      </c>
      <c r="P138" s="180"/>
      <c r="Q138" s="180"/>
      <c r="R138" s="180"/>
      <c r="S138" s="180"/>
      <c r="T138" s="180"/>
      <c r="U138" s="180"/>
      <c r="V138" s="180">
        <v>0</v>
      </c>
      <c r="W138" s="180">
        <v>0</v>
      </c>
      <c r="X138" s="53">
        <v>774137679</v>
      </c>
      <c r="Y138" s="151"/>
      <c r="Z138" s="151"/>
      <c r="AA138" s="151"/>
      <c r="AB138" s="151"/>
    </row>
    <row r="139" spans="1:28" s="173" customFormat="1" ht="13">
      <c r="A139" s="170"/>
      <c r="B139" s="184" t="s">
        <v>857</v>
      </c>
      <c r="C139" s="172"/>
      <c r="D139" s="172"/>
      <c r="E139" s="172"/>
      <c r="F139" s="172"/>
      <c r="G139" s="172"/>
      <c r="H139" s="172"/>
      <c r="I139" s="172"/>
      <c r="J139" s="172">
        <v>650622969</v>
      </c>
      <c r="K139" s="172">
        <v>64672649</v>
      </c>
      <c r="L139" s="172"/>
      <c r="M139" s="172">
        <v>3770842</v>
      </c>
      <c r="N139" s="172"/>
      <c r="O139" s="172">
        <v>719066460</v>
      </c>
      <c r="P139" s="172"/>
      <c r="Q139" s="172"/>
      <c r="R139" s="172"/>
      <c r="S139" s="172"/>
      <c r="T139" s="172"/>
      <c r="U139" s="172"/>
      <c r="V139" s="172">
        <v>0</v>
      </c>
      <c r="W139" s="172">
        <v>0</v>
      </c>
      <c r="X139" s="53">
        <v>719066460</v>
      </c>
      <c r="Y139" s="151"/>
      <c r="Z139" s="151"/>
      <c r="AA139" s="151"/>
      <c r="AB139" s="151"/>
    </row>
    <row r="140" spans="1:28" s="178" customFormat="1" ht="13">
      <c r="A140" s="170"/>
      <c r="B140" s="185" t="s">
        <v>858</v>
      </c>
      <c r="C140" s="177">
        <v>0</v>
      </c>
      <c r="D140" s="177">
        <v>0</v>
      </c>
      <c r="E140" s="177">
        <v>0</v>
      </c>
      <c r="F140" s="177">
        <v>0</v>
      </c>
      <c r="G140" s="177">
        <v>0</v>
      </c>
      <c r="H140" s="177">
        <v>0</v>
      </c>
      <c r="I140" s="177">
        <v>0</v>
      </c>
      <c r="J140" s="177">
        <v>-6.9401968655117736</v>
      </c>
      <c r="K140" s="177">
        <v>-9.0363258335845611</v>
      </c>
      <c r="L140" s="177">
        <v>0</v>
      </c>
      <c r="M140" s="177">
        <v>-3.1986597676670487</v>
      </c>
      <c r="N140" s="177">
        <v>0</v>
      </c>
      <c r="O140" s="177">
        <v>-7.1138791579217262</v>
      </c>
      <c r="P140" s="177">
        <v>0</v>
      </c>
      <c r="Q140" s="177">
        <v>0</v>
      </c>
      <c r="R140" s="177">
        <v>0</v>
      </c>
      <c r="S140" s="177">
        <v>0</v>
      </c>
      <c r="T140" s="177">
        <v>0</v>
      </c>
      <c r="U140" s="177">
        <v>0</v>
      </c>
      <c r="V140" s="177">
        <v>0</v>
      </c>
      <c r="W140" s="177">
        <v>0</v>
      </c>
      <c r="X140" s="53">
        <v>-7.1138791579217262</v>
      </c>
      <c r="Y140" s="151"/>
      <c r="Z140" s="151"/>
      <c r="AA140" s="151"/>
      <c r="AB140" s="151"/>
    </row>
    <row r="141" spans="1:28" ht="13">
      <c r="A141" s="170"/>
      <c r="B141" s="59" t="s">
        <v>859</v>
      </c>
      <c r="C141" s="179"/>
      <c r="D141" s="179"/>
      <c r="E141" s="179"/>
      <c r="F141" s="179"/>
      <c r="G141" s="179"/>
      <c r="H141" s="179"/>
      <c r="I141" s="180"/>
      <c r="J141" s="179"/>
      <c r="K141" s="179"/>
      <c r="L141" s="179"/>
      <c r="M141" s="179"/>
      <c r="N141" s="179"/>
      <c r="O141" s="180"/>
      <c r="P141" s="179"/>
      <c r="Q141" s="179"/>
      <c r="R141" s="179"/>
      <c r="S141" s="180"/>
      <c r="T141" s="179"/>
      <c r="U141" s="180"/>
      <c r="V141" s="179"/>
      <c r="W141" s="180"/>
      <c r="X141" s="53"/>
      <c r="Y141" s="151"/>
      <c r="Z141" s="151"/>
      <c r="AA141" s="151"/>
      <c r="AB141" s="151"/>
    </row>
    <row r="142" spans="1:28" s="173" customFormat="1" ht="13">
      <c r="A142" s="170"/>
      <c r="B142" s="94" t="s">
        <v>860</v>
      </c>
      <c r="C142" s="171"/>
      <c r="D142" s="171"/>
      <c r="E142" s="171"/>
      <c r="F142" s="171"/>
      <c r="G142" s="171"/>
      <c r="H142" s="171"/>
      <c r="I142" s="172"/>
      <c r="J142" s="171"/>
      <c r="K142" s="171"/>
      <c r="L142" s="171"/>
      <c r="M142" s="171"/>
      <c r="N142" s="171"/>
      <c r="O142" s="172"/>
      <c r="P142" s="171"/>
      <c r="Q142" s="171"/>
      <c r="R142" s="171"/>
      <c r="S142" s="172"/>
      <c r="T142" s="171"/>
      <c r="U142" s="172"/>
      <c r="V142" s="171"/>
      <c r="W142" s="172"/>
      <c r="X142" s="53"/>
      <c r="Y142" s="151"/>
      <c r="Z142" s="151"/>
      <c r="AA142" s="151"/>
      <c r="AB142" s="151"/>
    </row>
    <row r="143" spans="1:28" s="178" customFormat="1" ht="13">
      <c r="A143" s="170"/>
      <c r="B143" s="175" t="s">
        <v>861</v>
      </c>
      <c r="C143" s="176">
        <v>0</v>
      </c>
      <c r="D143" s="176">
        <v>0</v>
      </c>
      <c r="E143" s="176">
        <v>0</v>
      </c>
      <c r="F143" s="176">
        <v>0</v>
      </c>
      <c r="G143" s="176">
        <v>0</v>
      </c>
      <c r="H143" s="176">
        <v>0</v>
      </c>
      <c r="I143" s="177">
        <v>0</v>
      </c>
      <c r="J143" s="176">
        <v>0</v>
      </c>
      <c r="K143" s="176">
        <v>0</v>
      </c>
      <c r="L143" s="176">
        <v>0</v>
      </c>
      <c r="M143" s="176">
        <v>0</v>
      </c>
      <c r="N143" s="176">
        <v>0</v>
      </c>
      <c r="O143" s="177">
        <v>0</v>
      </c>
      <c r="P143" s="176">
        <v>0</v>
      </c>
      <c r="Q143" s="176">
        <v>0</v>
      </c>
      <c r="R143" s="176">
        <v>0</v>
      </c>
      <c r="S143" s="177">
        <v>0</v>
      </c>
      <c r="T143" s="176">
        <v>0</v>
      </c>
      <c r="U143" s="177">
        <v>0</v>
      </c>
      <c r="V143" s="176">
        <v>0</v>
      </c>
      <c r="W143" s="177">
        <v>0</v>
      </c>
      <c r="X143" s="53">
        <v>0</v>
      </c>
      <c r="Y143" s="151"/>
      <c r="Z143" s="151"/>
      <c r="AA143" s="151"/>
      <c r="AB143" s="151"/>
    </row>
    <row r="144" spans="1:28" ht="13">
      <c r="A144" s="170"/>
      <c r="B144" s="59" t="s">
        <v>862</v>
      </c>
      <c r="C144" s="179"/>
      <c r="D144" s="179"/>
      <c r="E144" s="179"/>
      <c r="F144" s="179"/>
      <c r="G144" s="179"/>
      <c r="H144" s="179"/>
      <c r="I144" s="180"/>
      <c r="J144" s="179"/>
      <c r="K144" s="179"/>
      <c r="L144" s="179"/>
      <c r="M144" s="179"/>
      <c r="N144" s="179"/>
      <c r="O144" s="180"/>
      <c r="P144" s="179"/>
      <c r="Q144" s="179"/>
      <c r="R144" s="179"/>
      <c r="S144" s="180"/>
      <c r="T144" s="179"/>
      <c r="U144" s="180"/>
      <c r="V144" s="179"/>
      <c r="W144" s="180"/>
      <c r="X144" s="53"/>
      <c r="Y144" s="151"/>
      <c r="Z144" s="151"/>
      <c r="AA144" s="151"/>
      <c r="AB144" s="151"/>
    </row>
    <row r="145" spans="1:28" s="173" customFormat="1" ht="13">
      <c r="A145" s="170"/>
      <c r="B145" s="94" t="s">
        <v>863</v>
      </c>
      <c r="C145" s="171"/>
      <c r="D145" s="171"/>
      <c r="E145" s="171"/>
      <c r="F145" s="171"/>
      <c r="G145" s="171"/>
      <c r="H145" s="171"/>
      <c r="I145" s="172"/>
      <c r="J145" s="171"/>
      <c r="K145" s="171"/>
      <c r="L145" s="171"/>
      <c r="M145" s="171"/>
      <c r="N145" s="171"/>
      <c r="O145" s="172"/>
      <c r="P145" s="171"/>
      <c r="Q145" s="171"/>
      <c r="R145" s="171"/>
      <c r="S145" s="172"/>
      <c r="T145" s="171"/>
      <c r="U145" s="172"/>
      <c r="V145" s="171"/>
      <c r="W145" s="172"/>
      <c r="X145" s="53"/>
      <c r="Y145" s="151"/>
      <c r="Z145" s="151"/>
      <c r="AA145" s="151"/>
      <c r="AB145" s="151"/>
    </row>
    <row r="146" spans="1:28" s="178" customFormat="1" ht="13">
      <c r="A146" s="170"/>
      <c r="B146" s="175" t="s">
        <v>864</v>
      </c>
      <c r="C146" s="176">
        <v>0</v>
      </c>
      <c r="D146" s="176">
        <v>0</v>
      </c>
      <c r="E146" s="176">
        <v>0</v>
      </c>
      <c r="F146" s="176">
        <v>0</v>
      </c>
      <c r="G146" s="176">
        <v>0</v>
      </c>
      <c r="H146" s="176">
        <v>0</v>
      </c>
      <c r="I146" s="177">
        <v>0</v>
      </c>
      <c r="J146" s="176">
        <v>0</v>
      </c>
      <c r="K146" s="176">
        <v>0</v>
      </c>
      <c r="L146" s="176">
        <v>0</v>
      </c>
      <c r="M146" s="176">
        <v>0</v>
      </c>
      <c r="N146" s="176">
        <v>0</v>
      </c>
      <c r="O146" s="177">
        <v>0</v>
      </c>
      <c r="P146" s="176">
        <v>0</v>
      </c>
      <c r="Q146" s="176">
        <v>0</v>
      </c>
      <c r="R146" s="176">
        <v>0</v>
      </c>
      <c r="S146" s="177">
        <v>0</v>
      </c>
      <c r="T146" s="176">
        <v>0</v>
      </c>
      <c r="U146" s="177">
        <v>0</v>
      </c>
      <c r="V146" s="176">
        <v>0</v>
      </c>
      <c r="W146" s="177">
        <v>0</v>
      </c>
      <c r="X146" s="53">
        <v>0</v>
      </c>
      <c r="Y146" s="151"/>
      <c r="Z146" s="151"/>
      <c r="AA146" s="151"/>
      <c r="AB146" s="151"/>
    </row>
    <row r="147" spans="1:28" ht="13">
      <c r="A147" s="170"/>
      <c r="B147" s="59" t="s">
        <v>865</v>
      </c>
      <c r="C147" s="179"/>
      <c r="D147" s="179"/>
      <c r="E147" s="179"/>
      <c r="F147" s="179"/>
      <c r="G147" s="179"/>
      <c r="H147" s="179"/>
      <c r="I147" s="180"/>
      <c r="J147" s="179"/>
      <c r="K147" s="179"/>
      <c r="L147" s="179"/>
      <c r="M147" s="179"/>
      <c r="N147" s="179"/>
      <c r="O147" s="180"/>
      <c r="P147" s="179"/>
      <c r="Q147" s="179"/>
      <c r="R147" s="179"/>
      <c r="S147" s="180"/>
      <c r="T147" s="179"/>
      <c r="U147" s="180"/>
      <c r="V147" s="179"/>
      <c r="W147" s="180"/>
      <c r="X147" s="53"/>
      <c r="Y147" s="151"/>
      <c r="Z147" s="151"/>
      <c r="AA147" s="151"/>
      <c r="AB147" s="151"/>
    </row>
    <row r="148" spans="1:28" s="173" customFormat="1" ht="13">
      <c r="A148" s="170"/>
      <c r="B148" s="94" t="s">
        <v>866</v>
      </c>
      <c r="C148" s="171"/>
      <c r="D148" s="171"/>
      <c r="E148" s="171"/>
      <c r="F148" s="171"/>
      <c r="G148" s="171"/>
      <c r="H148" s="171"/>
      <c r="I148" s="172"/>
      <c r="J148" s="171"/>
      <c r="K148" s="171"/>
      <c r="L148" s="171"/>
      <c r="M148" s="171"/>
      <c r="N148" s="171"/>
      <c r="O148" s="172"/>
      <c r="P148" s="171"/>
      <c r="Q148" s="171"/>
      <c r="R148" s="171"/>
      <c r="S148" s="172"/>
      <c r="T148" s="171"/>
      <c r="U148" s="172"/>
      <c r="V148" s="171"/>
      <c r="W148" s="172"/>
      <c r="X148" s="53"/>
      <c r="Y148" s="151"/>
      <c r="Z148" s="151"/>
      <c r="AA148" s="151"/>
      <c r="AB148" s="151"/>
    </row>
    <row r="149" spans="1:28" s="178" customFormat="1" ht="13">
      <c r="A149" s="170"/>
      <c r="B149" s="175" t="s">
        <v>867</v>
      </c>
      <c r="C149" s="176">
        <v>0</v>
      </c>
      <c r="D149" s="176">
        <v>0</v>
      </c>
      <c r="E149" s="176">
        <v>0</v>
      </c>
      <c r="F149" s="176">
        <v>0</v>
      </c>
      <c r="G149" s="176">
        <v>0</v>
      </c>
      <c r="H149" s="176">
        <v>0</v>
      </c>
      <c r="I149" s="177">
        <v>0</v>
      </c>
      <c r="J149" s="176">
        <v>0</v>
      </c>
      <c r="K149" s="176">
        <v>0</v>
      </c>
      <c r="L149" s="176">
        <v>0</v>
      </c>
      <c r="M149" s="176">
        <v>0</v>
      </c>
      <c r="N149" s="176">
        <v>0</v>
      </c>
      <c r="O149" s="177">
        <v>0</v>
      </c>
      <c r="P149" s="176">
        <v>0</v>
      </c>
      <c r="Q149" s="176">
        <v>0</v>
      </c>
      <c r="R149" s="176">
        <v>0</v>
      </c>
      <c r="S149" s="177">
        <v>0</v>
      </c>
      <c r="T149" s="176">
        <v>0</v>
      </c>
      <c r="U149" s="177">
        <v>0</v>
      </c>
      <c r="V149" s="176">
        <v>0</v>
      </c>
      <c r="W149" s="177">
        <v>0</v>
      </c>
      <c r="X149" s="53">
        <v>0</v>
      </c>
      <c r="Y149" s="151"/>
      <c r="Z149" s="151"/>
      <c r="AA149" s="151"/>
      <c r="AB149" s="151"/>
    </row>
    <row r="150" spans="1:28" ht="13">
      <c r="A150" s="170"/>
      <c r="B150" s="59" t="s">
        <v>868</v>
      </c>
      <c r="C150" s="179"/>
      <c r="D150" s="179"/>
      <c r="E150" s="179"/>
      <c r="F150" s="179"/>
      <c r="G150" s="179"/>
      <c r="H150" s="179"/>
      <c r="I150" s="180"/>
      <c r="J150" s="179">
        <v>0</v>
      </c>
      <c r="K150" s="179">
        <v>0</v>
      </c>
      <c r="L150" s="179"/>
      <c r="M150" s="179">
        <v>0</v>
      </c>
      <c r="N150" s="179"/>
      <c r="O150" s="180">
        <v>0</v>
      </c>
      <c r="P150" s="179"/>
      <c r="Q150" s="179"/>
      <c r="R150" s="179"/>
      <c r="S150" s="180"/>
      <c r="T150" s="179"/>
      <c r="U150" s="180"/>
      <c r="V150" s="179">
        <v>0</v>
      </c>
      <c r="W150" s="180">
        <v>0</v>
      </c>
      <c r="X150" s="53">
        <v>0</v>
      </c>
      <c r="Y150" s="151"/>
      <c r="Z150" s="151"/>
      <c r="AA150" s="151"/>
      <c r="AB150" s="151"/>
    </row>
    <row r="151" spans="1:28" s="173" customFormat="1" ht="13">
      <c r="A151" s="170"/>
      <c r="B151" s="94" t="s">
        <v>869</v>
      </c>
      <c r="C151" s="171"/>
      <c r="D151" s="171"/>
      <c r="E151" s="171"/>
      <c r="F151" s="171"/>
      <c r="G151" s="171"/>
      <c r="H151" s="171"/>
      <c r="I151" s="172"/>
      <c r="J151" s="171">
        <v>0</v>
      </c>
      <c r="K151" s="171">
        <v>0</v>
      </c>
      <c r="L151" s="171"/>
      <c r="M151" s="171">
        <v>0</v>
      </c>
      <c r="N151" s="171"/>
      <c r="O151" s="172">
        <v>0</v>
      </c>
      <c r="P151" s="171"/>
      <c r="Q151" s="171"/>
      <c r="R151" s="171"/>
      <c r="S151" s="172"/>
      <c r="T151" s="171"/>
      <c r="U151" s="172"/>
      <c r="V151" s="171">
        <v>0</v>
      </c>
      <c r="W151" s="172">
        <v>0</v>
      </c>
      <c r="X151" s="53">
        <v>0</v>
      </c>
      <c r="Y151" s="151"/>
      <c r="Z151" s="151"/>
      <c r="AA151" s="151"/>
      <c r="AB151" s="151"/>
    </row>
    <row r="152" spans="1:28" s="178" customFormat="1" ht="13">
      <c r="A152" s="170"/>
      <c r="B152" s="175" t="s">
        <v>870</v>
      </c>
      <c r="C152" s="176">
        <v>0</v>
      </c>
      <c r="D152" s="176">
        <v>0</v>
      </c>
      <c r="E152" s="176">
        <v>0</v>
      </c>
      <c r="F152" s="176">
        <v>0</v>
      </c>
      <c r="G152" s="176">
        <v>0</v>
      </c>
      <c r="H152" s="176">
        <v>0</v>
      </c>
      <c r="I152" s="177">
        <v>0</v>
      </c>
      <c r="J152" s="176">
        <v>0</v>
      </c>
      <c r="K152" s="176">
        <v>0</v>
      </c>
      <c r="L152" s="176">
        <v>0</v>
      </c>
      <c r="M152" s="176">
        <v>0</v>
      </c>
      <c r="N152" s="176">
        <v>0</v>
      </c>
      <c r="O152" s="177">
        <v>0</v>
      </c>
      <c r="P152" s="176">
        <v>0</v>
      </c>
      <c r="Q152" s="176">
        <v>0</v>
      </c>
      <c r="R152" s="176">
        <v>0</v>
      </c>
      <c r="S152" s="177">
        <v>0</v>
      </c>
      <c r="T152" s="176">
        <v>0</v>
      </c>
      <c r="U152" s="177">
        <v>0</v>
      </c>
      <c r="V152" s="176">
        <v>0</v>
      </c>
      <c r="W152" s="177">
        <v>0</v>
      </c>
      <c r="X152" s="53">
        <v>0</v>
      </c>
      <c r="Y152" s="151"/>
      <c r="Z152" s="151"/>
      <c r="AA152" s="151"/>
      <c r="AB152" s="151"/>
    </row>
    <row r="153" spans="1:28" ht="13">
      <c r="A153" s="170"/>
      <c r="B153" s="59" t="s">
        <v>871</v>
      </c>
      <c r="C153" s="179"/>
      <c r="D153" s="179"/>
      <c r="E153" s="179"/>
      <c r="F153" s="179"/>
      <c r="G153" s="179"/>
      <c r="H153" s="179"/>
      <c r="I153" s="180"/>
      <c r="J153" s="179"/>
      <c r="K153" s="179"/>
      <c r="L153" s="179"/>
      <c r="M153" s="179"/>
      <c r="N153" s="179"/>
      <c r="O153" s="180"/>
      <c r="P153" s="179"/>
      <c r="Q153" s="179"/>
      <c r="R153" s="179"/>
      <c r="S153" s="180"/>
      <c r="T153" s="179"/>
      <c r="U153" s="180"/>
      <c r="V153" s="179"/>
      <c r="W153" s="180"/>
      <c r="X153" s="53"/>
      <c r="Y153" s="151"/>
      <c r="Z153" s="151"/>
      <c r="AA153" s="151"/>
      <c r="AB153" s="151"/>
    </row>
    <row r="154" spans="1:28" s="173" customFormat="1" ht="13">
      <c r="A154" s="170"/>
      <c r="B154" s="94" t="s">
        <v>872</v>
      </c>
      <c r="C154" s="171"/>
      <c r="D154" s="171"/>
      <c r="E154" s="171"/>
      <c r="F154" s="171"/>
      <c r="G154" s="171"/>
      <c r="H154" s="171"/>
      <c r="I154" s="172"/>
      <c r="J154" s="171"/>
      <c r="K154" s="171"/>
      <c r="L154" s="171"/>
      <c r="M154" s="171"/>
      <c r="N154" s="171"/>
      <c r="O154" s="172"/>
      <c r="P154" s="171"/>
      <c r="Q154" s="171"/>
      <c r="R154" s="171"/>
      <c r="S154" s="172"/>
      <c r="T154" s="171"/>
      <c r="U154" s="172"/>
      <c r="V154" s="171"/>
      <c r="W154" s="172"/>
      <c r="X154" s="53"/>
      <c r="Y154" s="151"/>
      <c r="Z154" s="151"/>
      <c r="AA154" s="151"/>
      <c r="AB154" s="151"/>
    </row>
    <row r="155" spans="1:28" s="178" customFormat="1" ht="13">
      <c r="A155" s="170"/>
      <c r="B155" s="175" t="s">
        <v>873</v>
      </c>
      <c r="C155" s="176">
        <v>0</v>
      </c>
      <c r="D155" s="176">
        <v>0</v>
      </c>
      <c r="E155" s="176">
        <v>0</v>
      </c>
      <c r="F155" s="176">
        <v>0</v>
      </c>
      <c r="G155" s="176">
        <v>0</v>
      </c>
      <c r="H155" s="176">
        <v>0</v>
      </c>
      <c r="I155" s="177">
        <v>0</v>
      </c>
      <c r="J155" s="176">
        <v>0</v>
      </c>
      <c r="K155" s="176">
        <v>0</v>
      </c>
      <c r="L155" s="176">
        <v>0</v>
      </c>
      <c r="M155" s="176">
        <v>0</v>
      </c>
      <c r="N155" s="176">
        <v>0</v>
      </c>
      <c r="O155" s="177">
        <v>0</v>
      </c>
      <c r="P155" s="176">
        <v>0</v>
      </c>
      <c r="Q155" s="176">
        <v>0</v>
      </c>
      <c r="R155" s="176">
        <v>0</v>
      </c>
      <c r="S155" s="177">
        <v>0</v>
      </c>
      <c r="T155" s="176">
        <v>0</v>
      </c>
      <c r="U155" s="177">
        <v>0</v>
      </c>
      <c r="V155" s="176">
        <v>0</v>
      </c>
      <c r="W155" s="177">
        <v>0</v>
      </c>
      <c r="X155" s="53">
        <v>0</v>
      </c>
      <c r="Y155" s="151"/>
      <c r="Z155" s="151"/>
      <c r="AA155" s="151"/>
      <c r="AB155" s="151"/>
    </row>
    <row r="156" spans="1:28" ht="13">
      <c r="A156" s="170"/>
      <c r="B156" s="59" t="s">
        <v>874</v>
      </c>
      <c r="C156" s="179"/>
      <c r="D156" s="179"/>
      <c r="E156" s="179"/>
      <c r="F156" s="179"/>
      <c r="G156" s="179"/>
      <c r="H156" s="179"/>
      <c r="I156" s="180"/>
      <c r="J156" s="179"/>
      <c r="K156" s="179"/>
      <c r="L156" s="179"/>
      <c r="M156" s="179"/>
      <c r="N156" s="179"/>
      <c r="O156" s="180"/>
      <c r="P156" s="179"/>
      <c r="Q156" s="179"/>
      <c r="R156" s="179"/>
      <c r="S156" s="180"/>
      <c r="T156" s="179"/>
      <c r="U156" s="180"/>
      <c r="V156" s="179"/>
      <c r="W156" s="180"/>
      <c r="X156" s="53"/>
      <c r="Y156" s="151"/>
      <c r="Z156" s="151"/>
      <c r="AA156" s="151"/>
      <c r="AB156" s="151"/>
    </row>
    <row r="157" spans="1:28" s="173" customFormat="1" ht="13">
      <c r="A157" s="170"/>
      <c r="B157" s="94" t="s">
        <v>875</v>
      </c>
      <c r="C157" s="171"/>
      <c r="D157" s="171"/>
      <c r="E157" s="171"/>
      <c r="F157" s="171"/>
      <c r="G157" s="171"/>
      <c r="H157" s="171"/>
      <c r="I157" s="172"/>
      <c r="J157" s="171"/>
      <c r="K157" s="171"/>
      <c r="L157" s="171"/>
      <c r="M157" s="171"/>
      <c r="N157" s="171"/>
      <c r="O157" s="172"/>
      <c r="P157" s="171"/>
      <c r="Q157" s="171"/>
      <c r="R157" s="171"/>
      <c r="S157" s="172"/>
      <c r="T157" s="171"/>
      <c r="U157" s="172"/>
      <c r="V157" s="171"/>
      <c r="W157" s="172"/>
      <c r="X157" s="53"/>
      <c r="Y157" s="151"/>
      <c r="Z157" s="151"/>
      <c r="AA157" s="151"/>
      <c r="AB157" s="151"/>
    </row>
    <row r="158" spans="1:28" s="178" customFormat="1" ht="13">
      <c r="A158" s="170"/>
      <c r="B158" s="175" t="s">
        <v>876</v>
      </c>
      <c r="C158" s="176">
        <v>0</v>
      </c>
      <c r="D158" s="176">
        <v>0</v>
      </c>
      <c r="E158" s="176">
        <v>0</v>
      </c>
      <c r="F158" s="176">
        <v>0</v>
      </c>
      <c r="G158" s="176">
        <v>0</v>
      </c>
      <c r="H158" s="176">
        <v>0</v>
      </c>
      <c r="I158" s="177">
        <v>0</v>
      </c>
      <c r="J158" s="176">
        <v>0</v>
      </c>
      <c r="K158" s="176">
        <v>0</v>
      </c>
      <c r="L158" s="176">
        <v>0</v>
      </c>
      <c r="M158" s="176">
        <v>0</v>
      </c>
      <c r="N158" s="176">
        <v>0</v>
      </c>
      <c r="O158" s="177">
        <v>0</v>
      </c>
      <c r="P158" s="176">
        <v>0</v>
      </c>
      <c r="Q158" s="176">
        <v>0</v>
      </c>
      <c r="R158" s="176">
        <v>0</v>
      </c>
      <c r="S158" s="177">
        <v>0</v>
      </c>
      <c r="T158" s="176">
        <v>0</v>
      </c>
      <c r="U158" s="177">
        <v>0</v>
      </c>
      <c r="V158" s="176">
        <v>0</v>
      </c>
      <c r="W158" s="177">
        <v>0</v>
      </c>
      <c r="X158" s="53">
        <v>0</v>
      </c>
      <c r="Y158" s="151"/>
      <c r="Z158" s="151"/>
      <c r="AA158" s="151"/>
      <c r="AB158" s="151"/>
    </row>
    <row r="159" spans="1:28" ht="13">
      <c r="A159" s="170"/>
      <c r="B159" s="59" t="s">
        <v>877</v>
      </c>
      <c r="C159" s="179"/>
      <c r="D159" s="179"/>
      <c r="E159" s="179"/>
      <c r="F159" s="179"/>
      <c r="G159" s="179"/>
      <c r="H159" s="179"/>
      <c r="I159" s="180"/>
      <c r="J159" s="179">
        <v>1820241472</v>
      </c>
      <c r="K159" s="179">
        <v>173846339</v>
      </c>
      <c r="L159" s="179"/>
      <c r="M159" s="179">
        <v>19634951</v>
      </c>
      <c r="N159" s="179"/>
      <c r="O159" s="180">
        <v>2013722762</v>
      </c>
      <c r="P159" s="179"/>
      <c r="Q159" s="179"/>
      <c r="R159" s="179"/>
      <c r="S159" s="180"/>
      <c r="T159" s="179"/>
      <c r="U159" s="180"/>
      <c r="V159" s="179">
        <v>0</v>
      </c>
      <c r="W159" s="180">
        <v>0</v>
      </c>
      <c r="X159" s="53">
        <v>2013722762</v>
      </c>
      <c r="Y159" s="151"/>
      <c r="Z159" s="151"/>
      <c r="AA159" s="151"/>
      <c r="AB159" s="151"/>
    </row>
    <row r="160" spans="1:28" s="173" customFormat="1" ht="13">
      <c r="A160" s="170"/>
      <c r="B160" s="94" t="s">
        <v>878</v>
      </c>
      <c r="C160" s="171"/>
      <c r="D160" s="171"/>
      <c r="E160" s="171"/>
      <c r="F160" s="171"/>
      <c r="G160" s="171"/>
      <c r="H160" s="171"/>
      <c r="I160" s="172"/>
      <c r="J160" s="171">
        <v>1792370230</v>
      </c>
      <c r="K160" s="171">
        <v>168678450</v>
      </c>
      <c r="L160" s="171"/>
      <c r="M160" s="171">
        <v>20427313</v>
      </c>
      <c r="N160" s="171"/>
      <c r="O160" s="172">
        <v>1981475993</v>
      </c>
      <c r="P160" s="171"/>
      <c r="Q160" s="171"/>
      <c r="R160" s="171"/>
      <c r="S160" s="172"/>
      <c r="T160" s="171"/>
      <c r="U160" s="172"/>
      <c r="V160" s="171">
        <v>0</v>
      </c>
      <c r="W160" s="172">
        <v>0</v>
      </c>
      <c r="X160" s="53">
        <v>1981475993</v>
      </c>
      <c r="Y160" s="151"/>
      <c r="Z160" s="151"/>
      <c r="AA160" s="151"/>
      <c r="AB160" s="151"/>
    </row>
    <row r="161" spans="1:28" s="192" customFormat="1" ht="13.5" thickBot="1">
      <c r="A161" s="186"/>
      <c r="B161" s="187" t="s">
        <v>879</v>
      </c>
      <c r="C161" s="188">
        <v>0</v>
      </c>
      <c r="D161" s="188">
        <v>0</v>
      </c>
      <c r="E161" s="188">
        <v>0</v>
      </c>
      <c r="F161" s="188">
        <v>0</v>
      </c>
      <c r="G161" s="188">
        <v>0</v>
      </c>
      <c r="H161" s="188">
        <v>0</v>
      </c>
      <c r="I161" s="189">
        <v>0</v>
      </c>
      <c r="J161" s="188">
        <v>-1.531183770325611</v>
      </c>
      <c r="K161" s="188">
        <v>-2.9726763472424924</v>
      </c>
      <c r="L161" s="188">
        <v>0</v>
      </c>
      <c r="M161" s="188">
        <v>4.0354671626122212</v>
      </c>
      <c r="N161" s="188">
        <v>0</v>
      </c>
      <c r="O161" s="189">
        <v>-1.6013509708741127</v>
      </c>
      <c r="P161" s="188">
        <v>0</v>
      </c>
      <c r="Q161" s="188">
        <v>0</v>
      </c>
      <c r="R161" s="188">
        <v>0</v>
      </c>
      <c r="S161" s="189">
        <v>0</v>
      </c>
      <c r="T161" s="188">
        <v>0</v>
      </c>
      <c r="U161" s="189">
        <v>0</v>
      </c>
      <c r="V161" s="188">
        <v>0</v>
      </c>
      <c r="W161" s="189">
        <v>0</v>
      </c>
      <c r="X161" s="53">
        <v>-1.6013509708741127</v>
      </c>
      <c r="Y161" s="151"/>
      <c r="Z161" s="151"/>
      <c r="AA161" s="151"/>
      <c r="AB161" s="151"/>
    </row>
    <row r="162" spans="1:28" ht="13.5" thickTop="1">
      <c r="A162" s="147" t="s">
        <v>365</v>
      </c>
      <c r="B162" s="167" t="s">
        <v>754</v>
      </c>
      <c r="C162" s="168">
        <v>693132632</v>
      </c>
      <c r="D162" s="168">
        <v>326601790</v>
      </c>
      <c r="E162" s="168">
        <v>424942770</v>
      </c>
      <c r="F162" s="168">
        <v>281326908</v>
      </c>
      <c r="G162" s="168">
        <v>86010649</v>
      </c>
      <c r="H162" s="168">
        <v>136688038</v>
      </c>
      <c r="I162" s="169">
        <v>1948702787</v>
      </c>
      <c r="J162" s="168">
        <v>52695263</v>
      </c>
      <c r="K162" s="168"/>
      <c r="L162" s="168"/>
      <c r="M162" s="168"/>
      <c r="N162" s="168"/>
      <c r="O162" s="169">
        <v>52695263</v>
      </c>
      <c r="P162" s="168">
        <v>310734872</v>
      </c>
      <c r="Q162" s="168"/>
      <c r="R162" s="168"/>
      <c r="S162" s="169">
        <v>310734872</v>
      </c>
      <c r="T162" s="168"/>
      <c r="U162" s="169"/>
      <c r="V162" s="168"/>
      <c r="W162" s="169"/>
      <c r="X162" s="53">
        <v>2312132922</v>
      </c>
      <c r="Y162" s="151"/>
      <c r="Z162" s="151"/>
      <c r="AA162" s="151"/>
      <c r="AB162" s="151"/>
    </row>
    <row r="163" spans="1:28" s="173" customFormat="1" ht="13">
      <c r="A163" s="170"/>
      <c r="B163" s="94" t="s">
        <v>755</v>
      </c>
      <c r="C163" s="171">
        <v>640092920</v>
      </c>
      <c r="D163" s="171">
        <v>321574558</v>
      </c>
      <c r="E163" s="171">
        <v>380898570</v>
      </c>
      <c r="F163" s="171">
        <v>258763270</v>
      </c>
      <c r="G163" s="171">
        <v>80096749</v>
      </c>
      <c r="H163" s="171">
        <v>121589382</v>
      </c>
      <c r="I163" s="172">
        <v>1803015449</v>
      </c>
      <c r="J163" s="171">
        <v>50229837</v>
      </c>
      <c r="K163" s="171"/>
      <c r="L163" s="171"/>
      <c r="M163" s="171"/>
      <c r="N163" s="171"/>
      <c r="O163" s="172">
        <v>50229837</v>
      </c>
      <c r="P163" s="171">
        <v>286823717.19999999</v>
      </c>
      <c r="Q163" s="171"/>
      <c r="R163" s="171"/>
      <c r="S163" s="172">
        <v>286823717.19999999</v>
      </c>
      <c r="T163" s="171"/>
      <c r="U163" s="172"/>
      <c r="V163" s="171"/>
      <c r="W163" s="172"/>
      <c r="X163" s="53">
        <v>2140069003.2</v>
      </c>
      <c r="Y163" s="151"/>
      <c r="Z163" s="151"/>
      <c r="AA163" s="151"/>
      <c r="AB163" s="151"/>
    </row>
    <row r="164" spans="1:28" s="178" customFormat="1" ht="13">
      <c r="A164" s="174"/>
      <c r="B164" s="175" t="s">
        <v>849</v>
      </c>
      <c r="C164" s="176">
        <v>-7.6521735597639555</v>
      </c>
      <c r="D164" s="176">
        <v>-1.5392542704680217</v>
      </c>
      <c r="E164" s="176">
        <v>-10.364736879745006</v>
      </c>
      <c r="F164" s="176">
        <v>-8.0204336515154822</v>
      </c>
      <c r="G164" s="176">
        <v>-6.8757765099528552</v>
      </c>
      <c r="H164" s="176">
        <v>-11.046069737280156</v>
      </c>
      <c r="I164" s="177">
        <v>-7.4761189326507589</v>
      </c>
      <c r="J164" s="176">
        <v>-4.6786482496538637</v>
      </c>
      <c r="K164" s="176">
        <v>0</v>
      </c>
      <c r="L164" s="176">
        <v>0</v>
      </c>
      <c r="M164" s="176">
        <v>0</v>
      </c>
      <c r="N164" s="176">
        <v>0</v>
      </c>
      <c r="O164" s="177">
        <v>-4.6786482496538637</v>
      </c>
      <c r="P164" s="176">
        <v>-7.6950342412807835</v>
      </c>
      <c r="Q164" s="176">
        <v>0</v>
      </c>
      <c r="R164" s="176">
        <v>0</v>
      </c>
      <c r="S164" s="177">
        <v>-7.6950342412807835</v>
      </c>
      <c r="T164" s="176">
        <v>0</v>
      </c>
      <c r="U164" s="177">
        <v>0</v>
      </c>
      <c r="V164" s="176">
        <v>0</v>
      </c>
      <c r="W164" s="177">
        <v>0</v>
      </c>
      <c r="X164" s="53">
        <v>-7.4417831761663722</v>
      </c>
      <c r="Y164" s="151"/>
      <c r="Z164" s="151"/>
      <c r="AA164" s="151"/>
      <c r="AB164" s="151"/>
    </row>
    <row r="165" spans="1:28" ht="13">
      <c r="A165" s="170"/>
      <c r="B165" s="59" t="s">
        <v>756</v>
      </c>
      <c r="C165" s="179">
        <v>102200323</v>
      </c>
      <c r="D165" s="179">
        <v>14961361</v>
      </c>
      <c r="E165" s="179"/>
      <c r="F165" s="179"/>
      <c r="G165" s="179"/>
      <c r="H165" s="179"/>
      <c r="I165" s="180">
        <v>117161684</v>
      </c>
      <c r="J165" s="179"/>
      <c r="K165" s="179"/>
      <c r="L165" s="179"/>
      <c r="M165" s="179"/>
      <c r="N165" s="179"/>
      <c r="O165" s="180"/>
      <c r="P165" s="179"/>
      <c r="Q165" s="179"/>
      <c r="R165" s="179"/>
      <c r="S165" s="180"/>
      <c r="T165" s="179"/>
      <c r="U165" s="180"/>
      <c r="V165" s="179"/>
      <c r="W165" s="180"/>
      <c r="X165" s="53">
        <v>117161684</v>
      </c>
      <c r="Y165" s="151"/>
      <c r="Z165" s="151"/>
      <c r="AA165" s="151"/>
      <c r="AB165" s="151"/>
    </row>
    <row r="166" spans="1:28" s="173" customFormat="1" ht="13">
      <c r="A166" s="170"/>
      <c r="B166" s="94" t="s">
        <v>757</v>
      </c>
      <c r="C166" s="171">
        <v>100580531</v>
      </c>
      <c r="D166" s="171">
        <v>15285156</v>
      </c>
      <c r="E166" s="171"/>
      <c r="F166" s="171"/>
      <c r="G166" s="171"/>
      <c r="H166" s="171"/>
      <c r="I166" s="172">
        <v>115865687</v>
      </c>
      <c r="J166" s="171"/>
      <c r="K166" s="171"/>
      <c r="L166" s="171"/>
      <c r="M166" s="171"/>
      <c r="N166" s="171"/>
      <c r="O166" s="172"/>
      <c r="P166" s="171"/>
      <c r="Q166" s="171"/>
      <c r="R166" s="171"/>
      <c r="S166" s="172"/>
      <c r="T166" s="171"/>
      <c r="U166" s="172"/>
      <c r="V166" s="171"/>
      <c r="W166" s="172"/>
      <c r="X166" s="53">
        <v>115865687</v>
      </c>
      <c r="Y166" s="151"/>
      <c r="Z166" s="151"/>
      <c r="AA166" s="151"/>
      <c r="AB166" s="151"/>
    </row>
    <row r="167" spans="1:28" s="178" customFormat="1" ht="13">
      <c r="A167" s="170"/>
      <c r="B167" s="175" t="s">
        <v>850</v>
      </c>
      <c r="C167" s="176">
        <v>-1.5849186699732838</v>
      </c>
      <c r="D167" s="176">
        <v>2.1642081893485492</v>
      </c>
      <c r="E167" s="176">
        <v>0</v>
      </c>
      <c r="F167" s="176">
        <v>0</v>
      </c>
      <c r="G167" s="176">
        <v>0</v>
      </c>
      <c r="H167" s="176">
        <v>0</v>
      </c>
      <c r="I167" s="177">
        <v>-1.1061611234608064</v>
      </c>
      <c r="J167" s="176">
        <v>0</v>
      </c>
      <c r="K167" s="176">
        <v>0</v>
      </c>
      <c r="L167" s="176">
        <v>0</v>
      </c>
      <c r="M167" s="176">
        <v>0</v>
      </c>
      <c r="N167" s="176">
        <v>0</v>
      </c>
      <c r="O167" s="177">
        <v>0</v>
      </c>
      <c r="P167" s="176">
        <v>0</v>
      </c>
      <c r="Q167" s="176">
        <v>0</v>
      </c>
      <c r="R167" s="176">
        <v>0</v>
      </c>
      <c r="S167" s="177">
        <v>0</v>
      </c>
      <c r="T167" s="176">
        <v>0</v>
      </c>
      <c r="U167" s="177">
        <v>0</v>
      </c>
      <c r="V167" s="176">
        <v>0</v>
      </c>
      <c r="W167" s="177">
        <v>0</v>
      </c>
      <c r="X167" s="53">
        <v>-1.1061611234608064</v>
      </c>
      <c r="Y167" s="151"/>
      <c r="Z167" s="151"/>
      <c r="AA167" s="151"/>
      <c r="AB167" s="151"/>
    </row>
    <row r="168" spans="1:28" ht="13">
      <c r="A168" s="170"/>
      <c r="B168" s="59" t="s">
        <v>758</v>
      </c>
      <c r="C168" s="179"/>
      <c r="D168" s="179"/>
      <c r="E168" s="179"/>
      <c r="F168" s="179"/>
      <c r="G168" s="179"/>
      <c r="H168" s="179"/>
      <c r="I168" s="180"/>
      <c r="J168" s="179"/>
      <c r="K168" s="179"/>
      <c r="L168" s="179"/>
      <c r="M168" s="179"/>
      <c r="N168" s="179"/>
      <c r="O168" s="180"/>
      <c r="P168" s="179"/>
      <c r="Q168" s="179"/>
      <c r="R168" s="179"/>
      <c r="S168" s="180"/>
      <c r="T168" s="179"/>
      <c r="U168" s="180"/>
      <c r="V168" s="179"/>
      <c r="W168" s="180"/>
      <c r="X168" s="53"/>
      <c r="Y168" s="151"/>
      <c r="Z168" s="151"/>
      <c r="AA168" s="151"/>
      <c r="AB168" s="151"/>
    </row>
    <row r="169" spans="1:28" s="173" customFormat="1" ht="13">
      <c r="A169" s="170"/>
      <c r="B169" s="94" t="s">
        <v>759</v>
      </c>
      <c r="C169" s="171"/>
      <c r="D169" s="171"/>
      <c r="E169" s="171"/>
      <c r="F169" s="171"/>
      <c r="G169" s="171"/>
      <c r="H169" s="171"/>
      <c r="I169" s="172"/>
      <c r="J169" s="171"/>
      <c r="K169" s="171"/>
      <c r="L169" s="171"/>
      <c r="M169" s="171"/>
      <c r="N169" s="171"/>
      <c r="O169" s="172"/>
      <c r="P169" s="171"/>
      <c r="Q169" s="171"/>
      <c r="R169" s="171"/>
      <c r="S169" s="172"/>
      <c r="T169" s="171"/>
      <c r="U169" s="172"/>
      <c r="V169" s="171"/>
      <c r="W169" s="172"/>
      <c r="X169" s="53"/>
      <c r="Y169" s="151"/>
      <c r="Z169" s="151"/>
      <c r="AA169" s="151"/>
      <c r="AB169" s="151"/>
    </row>
    <row r="170" spans="1:28" s="178" customFormat="1" ht="13">
      <c r="A170" s="170"/>
      <c r="B170" s="175" t="s">
        <v>851</v>
      </c>
      <c r="C170" s="176">
        <v>0</v>
      </c>
      <c r="D170" s="176">
        <v>0</v>
      </c>
      <c r="E170" s="176">
        <v>0</v>
      </c>
      <c r="F170" s="176">
        <v>0</v>
      </c>
      <c r="G170" s="176">
        <v>0</v>
      </c>
      <c r="H170" s="176">
        <v>0</v>
      </c>
      <c r="I170" s="177">
        <v>0</v>
      </c>
      <c r="J170" s="176">
        <v>0</v>
      </c>
      <c r="K170" s="176">
        <v>0</v>
      </c>
      <c r="L170" s="176">
        <v>0</v>
      </c>
      <c r="M170" s="176">
        <v>0</v>
      </c>
      <c r="N170" s="176">
        <v>0</v>
      </c>
      <c r="O170" s="177">
        <v>0</v>
      </c>
      <c r="P170" s="176">
        <v>0</v>
      </c>
      <c r="Q170" s="176">
        <v>0</v>
      </c>
      <c r="R170" s="176">
        <v>0</v>
      </c>
      <c r="S170" s="177">
        <v>0</v>
      </c>
      <c r="T170" s="176">
        <v>0</v>
      </c>
      <c r="U170" s="177">
        <v>0</v>
      </c>
      <c r="V170" s="176">
        <v>0</v>
      </c>
      <c r="W170" s="177">
        <v>0</v>
      </c>
      <c r="X170" s="53">
        <v>0</v>
      </c>
      <c r="Y170" s="151"/>
      <c r="Z170" s="151"/>
      <c r="AA170" s="151"/>
      <c r="AB170" s="151"/>
    </row>
    <row r="171" spans="1:28" ht="13">
      <c r="A171" s="170"/>
      <c r="B171" s="59" t="s">
        <v>760</v>
      </c>
      <c r="C171" s="179">
        <v>827938892.77999997</v>
      </c>
      <c r="D171" s="179">
        <v>459606817.08999997</v>
      </c>
      <c r="E171" s="179">
        <v>529733679.57999998</v>
      </c>
      <c r="F171" s="179">
        <v>296887368.47000003</v>
      </c>
      <c r="G171" s="179">
        <v>62165323.629999995</v>
      </c>
      <c r="H171" s="179">
        <v>98512367.029999986</v>
      </c>
      <c r="I171" s="180">
        <v>2274844448.5799999</v>
      </c>
      <c r="J171" s="179">
        <v>36234341.270000003</v>
      </c>
      <c r="K171" s="179"/>
      <c r="L171" s="179"/>
      <c r="M171" s="179"/>
      <c r="N171" s="179"/>
      <c r="O171" s="180">
        <v>36234341.270000003</v>
      </c>
      <c r="P171" s="179">
        <v>313142241.56999999</v>
      </c>
      <c r="Q171" s="179"/>
      <c r="R171" s="179"/>
      <c r="S171" s="180">
        <v>313142241.56999999</v>
      </c>
      <c r="T171" s="179"/>
      <c r="U171" s="180"/>
      <c r="V171" s="179"/>
      <c r="W171" s="180"/>
      <c r="X171" s="53">
        <v>2624221031.4200001</v>
      </c>
      <c r="Y171" s="151"/>
      <c r="Z171" s="151"/>
      <c r="AA171" s="151"/>
      <c r="AB171" s="151"/>
    </row>
    <row r="172" spans="1:28" s="173" customFormat="1" ht="13">
      <c r="A172" s="170"/>
      <c r="B172" s="94" t="s">
        <v>761</v>
      </c>
      <c r="C172" s="171">
        <v>838477879.83999991</v>
      </c>
      <c r="D172" s="171">
        <v>470679562.51999998</v>
      </c>
      <c r="E172" s="171">
        <v>549147112.96999991</v>
      </c>
      <c r="F172" s="171">
        <v>285517783.81</v>
      </c>
      <c r="G172" s="171">
        <v>58093213.93</v>
      </c>
      <c r="H172" s="171">
        <v>90781623.909999996</v>
      </c>
      <c r="I172" s="172">
        <v>2292697176.9799995</v>
      </c>
      <c r="J172" s="171">
        <v>29736913.219999999</v>
      </c>
      <c r="K172" s="171"/>
      <c r="L172" s="171"/>
      <c r="M172" s="171"/>
      <c r="N172" s="171"/>
      <c r="O172" s="172">
        <v>29736913.219999999</v>
      </c>
      <c r="P172" s="171">
        <v>288035076.15000004</v>
      </c>
      <c r="Q172" s="171"/>
      <c r="R172" s="171"/>
      <c r="S172" s="172">
        <v>288035076.15000004</v>
      </c>
      <c r="T172" s="171"/>
      <c r="U172" s="172"/>
      <c r="V172" s="171"/>
      <c r="W172" s="172"/>
      <c r="X172" s="53">
        <v>2610469166.3499994</v>
      </c>
      <c r="Y172" s="151"/>
      <c r="Z172" s="151"/>
      <c r="AA172" s="151"/>
      <c r="AB172" s="151"/>
    </row>
    <row r="173" spans="1:28" s="178" customFormat="1" ht="13">
      <c r="A173" s="170"/>
      <c r="B173" s="175" t="s">
        <v>852</v>
      </c>
      <c r="C173" s="176">
        <v>1.272918466798052</v>
      </c>
      <c r="D173" s="176">
        <v>2.4091778055223552</v>
      </c>
      <c r="E173" s="176">
        <v>3.6647534673256743</v>
      </c>
      <c r="F173" s="176">
        <v>-3.8295952834210603</v>
      </c>
      <c r="G173" s="176">
        <v>-6.5504520240844686</v>
      </c>
      <c r="H173" s="176">
        <v>-7.8474848925777465</v>
      </c>
      <c r="I173" s="177">
        <v>0.78478897364365197</v>
      </c>
      <c r="J173" s="176">
        <v>-17.931685308101653</v>
      </c>
      <c r="K173" s="176">
        <v>0</v>
      </c>
      <c r="L173" s="176">
        <v>0</v>
      </c>
      <c r="M173" s="176">
        <v>0</v>
      </c>
      <c r="N173" s="176">
        <v>0</v>
      </c>
      <c r="O173" s="177">
        <v>-17.931685308101653</v>
      </c>
      <c r="P173" s="176">
        <v>-8.0178149374291579</v>
      </c>
      <c r="Q173" s="176">
        <v>0</v>
      </c>
      <c r="R173" s="176">
        <v>0</v>
      </c>
      <c r="S173" s="177">
        <v>-8.0178149374291579</v>
      </c>
      <c r="T173" s="176">
        <v>0</v>
      </c>
      <c r="U173" s="177">
        <v>0</v>
      </c>
      <c r="V173" s="176">
        <v>0</v>
      </c>
      <c r="W173" s="177">
        <v>0</v>
      </c>
      <c r="X173" s="53">
        <v>-0.52403608176853578</v>
      </c>
      <c r="Y173" s="151"/>
      <c r="Z173" s="151"/>
      <c r="AA173" s="151"/>
      <c r="AB173" s="151"/>
    </row>
    <row r="174" spans="1:28" ht="13">
      <c r="A174" s="170"/>
      <c r="B174" s="59" t="s">
        <v>853</v>
      </c>
      <c r="C174" s="179"/>
      <c r="D174" s="179"/>
      <c r="E174" s="179"/>
      <c r="F174" s="179"/>
      <c r="G174" s="179"/>
      <c r="H174" s="179"/>
      <c r="I174" s="180"/>
      <c r="J174" s="179"/>
      <c r="K174" s="179"/>
      <c r="L174" s="179"/>
      <c r="M174" s="179"/>
      <c r="N174" s="179"/>
      <c r="O174" s="180"/>
      <c r="P174" s="179"/>
      <c r="Q174" s="179"/>
      <c r="R174" s="179"/>
      <c r="S174" s="180"/>
      <c r="T174" s="179"/>
      <c r="U174" s="180"/>
      <c r="V174" s="179"/>
      <c r="W174" s="180"/>
      <c r="X174" s="53"/>
      <c r="Y174" s="151"/>
      <c r="Z174" s="151"/>
      <c r="AA174" s="151"/>
      <c r="AB174" s="151"/>
    </row>
    <row r="175" spans="1:28" s="173" customFormat="1" ht="13">
      <c r="A175" s="170"/>
      <c r="B175" s="94" t="s">
        <v>854</v>
      </c>
      <c r="C175" s="171"/>
      <c r="D175" s="171"/>
      <c r="E175" s="171"/>
      <c r="F175" s="171"/>
      <c r="G175" s="171"/>
      <c r="H175" s="171"/>
      <c r="I175" s="172"/>
      <c r="J175" s="171"/>
      <c r="K175" s="171"/>
      <c r="L175" s="171"/>
      <c r="M175" s="171"/>
      <c r="N175" s="171"/>
      <c r="O175" s="172"/>
      <c r="P175" s="171"/>
      <c r="Q175" s="171"/>
      <c r="R175" s="171"/>
      <c r="S175" s="172"/>
      <c r="T175" s="171"/>
      <c r="U175" s="172"/>
      <c r="V175" s="171"/>
      <c r="W175" s="172"/>
      <c r="X175" s="53"/>
      <c r="Y175" s="151"/>
      <c r="Z175" s="151"/>
      <c r="AA175" s="151"/>
      <c r="AB175" s="151"/>
    </row>
    <row r="176" spans="1:28" s="178" customFormat="1" ht="13">
      <c r="A176" s="170"/>
      <c r="B176" s="175" t="s">
        <v>855</v>
      </c>
      <c r="C176" s="176">
        <v>0</v>
      </c>
      <c r="D176" s="176">
        <v>0</v>
      </c>
      <c r="E176" s="176">
        <v>0</v>
      </c>
      <c r="F176" s="176">
        <v>0</v>
      </c>
      <c r="G176" s="176">
        <v>0</v>
      </c>
      <c r="H176" s="176">
        <v>0</v>
      </c>
      <c r="I176" s="177">
        <v>0</v>
      </c>
      <c r="J176" s="176">
        <v>0</v>
      </c>
      <c r="K176" s="176">
        <v>0</v>
      </c>
      <c r="L176" s="176">
        <v>0</v>
      </c>
      <c r="M176" s="176">
        <v>0</v>
      </c>
      <c r="N176" s="176">
        <v>0</v>
      </c>
      <c r="O176" s="177">
        <v>0</v>
      </c>
      <c r="P176" s="176">
        <v>0</v>
      </c>
      <c r="Q176" s="176">
        <v>0</v>
      </c>
      <c r="R176" s="176">
        <v>0</v>
      </c>
      <c r="S176" s="177">
        <v>0</v>
      </c>
      <c r="T176" s="176">
        <v>0</v>
      </c>
      <c r="U176" s="177">
        <v>0</v>
      </c>
      <c r="V176" s="176">
        <v>0</v>
      </c>
      <c r="W176" s="177">
        <v>0</v>
      </c>
      <c r="X176" s="53">
        <v>0</v>
      </c>
      <c r="Y176" s="151"/>
      <c r="Z176" s="151"/>
      <c r="AA176" s="151"/>
      <c r="AB176" s="151"/>
    </row>
    <row r="177" spans="1:28" ht="13">
      <c r="A177" s="170"/>
      <c r="B177" s="183" t="s">
        <v>856</v>
      </c>
      <c r="C177" s="180">
        <v>827938892.77999997</v>
      </c>
      <c r="D177" s="180">
        <v>459606817.08999997</v>
      </c>
      <c r="E177" s="180">
        <v>529733679.57999998</v>
      </c>
      <c r="F177" s="180">
        <v>296887368.47000003</v>
      </c>
      <c r="G177" s="180">
        <v>62165323.629999995</v>
      </c>
      <c r="H177" s="180">
        <v>98512367.029999986</v>
      </c>
      <c r="I177" s="180">
        <v>2274844448.5799999</v>
      </c>
      <c r="J177" s="180">
        <v>36234341.270000003</v>
      </c>
      <c r="K177" s="180"/>
      <c r="L177" s="180"/>
      <c r="M177" s="180"/>
      <c r="N177" s="180"/>
      <c r="O177" s="180">
        <v>36234341.270000003</v>
      </c>
      <c r="P177" s="180">
        <v>313142241.56999999</v>
      </c>
      <c r="Q177" s="180"/>
      <c r="R177" s="180"/>
      <c r="S177" s="180">
        <v>313142241.56999999</v>
      </c>
      <c r="T177" s="180"/>
      <c r="U177" s="180"/>
      <c r="V177" s="180"/>
      <c r="W177" s="180"/>
      <c r="X177" s="53">
        <v>2624221031.4200001</v>
      </c>
      <c r="Y177" s="151"/>
      <c r="Z177" s="151"/>
      <c r="AA177" s="151"/>
      <c r="AB177" s="151"/>
    </row>
    <row r="178" spans="1:28" s="173" customFormat="1" ht="13">
      <c r="A178" s="170"/>
      <c r="B178" s="184" t="s">
        <v>857</v>
      </c>
      <c r="C178" s="172">
        <v>838477879.83999991</v>
      </c>
      <c r="D178" s="172">
        <v>470679562.51999998</v>
      </c>
      <c r="E178" s="172">
        <v>549147112.96999991</v>
      </c>
      <c r="F178" s="172">
        <v>285517783.81</v>
      </c>
      <c r="G178" s="172">
        <v>58093213.93</v>
      </c>
      <c r="H178" s="172">
        <v>90781623.909999996</v>
      </c>
      <c r="I178" s="172">
        <v>2292697176.9799995</v>
      </c>
      <c r="J178" s="172">
        <v>29736913.219999999</v>
      </c>
      <c r="K178" s="172"/>
      <c r="L178" s="172"/>
      <c r="M178" s="172"/>
      <c r="N178" s="172"/>
      <c r="O178" s="172">
        <v>29736913.219999999</v>
      </c>
      <c r="P178" s="172">
        <v>288035076.15000004</v>
      </c>
      <c r="Q178" s="172"/>
      <c r="R178" s="172"/>
      <c r="S178" s="172">
        <v>288035076.15000004</v>
      </c>
      <c r="T178" s="172"/>
      <c r="U178" s="172"/>
      <c r="V178" s="172"/>
      <c r="W178" s="172"/>
      <c r="X178" s="53">
        <v>2610469166.3499994</v>
      </c>
      <c r="Y178" s="151"/>
      <c r="Z178" s="151"/>
      <c r="AA178" s="151"/>
      <c r="AB178" s="151"/>
    </row>
    <row r="179" spans="1:28" s="178" customFormat="1" ht="13">
      <c r="A179" s="170"/>
      <c r="B179" s="185" t="s">
        <v>858</v>
      </c>
      <c r="C179" s="177">
        <v>1.272918466798052</v>
      </c>
      <c r="D179" s="177">
        <v>2.4091778055223552</v>
      </c>
      <c r="E179" s="177">
        <v>3.6647534673256743</v>
      </c>
      <c r="F179" s="177">
        <v>-3.8295952834210603</v>
      </c>
      <c r="G179" s="177">
        <v>-6.5504520240844686</v>
      </c>
      <c r="H179" s="177">
        <v>-7.8474848925777465</v>
      </c>
      <c r="I179" s="177">
        <v>0.78478897364365197</v>
      </c>
      <c r="J179" s="177">
        <v>-17.931685308101653</v>
      </c>
      <c r="K179" s="177">
        <v>0</v>
      </c>
      <c r="L179" s="177">
        <v>0</v>
      </c>
      <c r="M179" s="177">
        <v>0</v>
      </c>
      <c r="N179" s="177">
        <v>0</v>
      </c>
      <c r="O179" s="177">
        <v>-17.931685308101653</v>
      </c>
      <c r="P179" s="177">
        <v>-8.0178149374291579</v>
      </c>
      <c r="Q179" s="177">
        <v>0</v>
      </c>
      <c r="R179" s="177">
        <v>0</v>
      </c>
      <c r="S179" s="177">
        <v>-8.0178149374291579</v>
      </c>
      <c r="T179" s="177">
        <v>0</v>
      </c>
      <c r="U179" s="177">
        <v>0</v>
      </c>
      <c r="V179" s="177">
        <v>0</v>
      </c>
      <c r="W179" s="177">
        <v>0</v>
      </c>
      <c r="X179" s="53">
        <v>-0.52403608176853578</v>
      </c>
      <c r="Y179" s="151"/>
      <c r="Z179" s="151"/>
      <c r="AA179" s="151"/>
      <c r="AB179" s="151"/>
    </row>
    <row r="180" spans="1:28" ht="13">
      <c r="A180" s="170"/>
      <c r="B180" s="59" t="s">
        <v>859</v>
      </c>
      <c r="C180" s="179"/>
      <c r="D180" s="179"/>
      <c r="E180" s="179"/>
      <c r="F180" s="179"/>
      <c r="G180" s="179"/>
      <c r="H180" s="179"/>
      <c r="I180" s="180"/>
      <c r="J180" s="179"/>
      <c r="K180" s="179"/>
      <c r="L180" s="179"/>
      <c r="M180" s="179"/>
      <c r="N180" s="179"/>
      <c r="O180" s="180"/>
      <c r="P180" s="179"/>
      <c r="Q180" s="179"/>
      <c r="R180" s="179"/>
      <c r="S180" s="180"/>
      <c r="T180" s="179"/>
      <c r="U180" s="180"/>
      <c r="V180" s="179"/>
      <c r="W180" s="180"/>
      <c r="X180" s="53"/>
      <c r="Y180" s="151"/>
      <c r="Z180" s="151"/>
      <c r="AA180" s="151"/>
      <c r="AB180" s="151"/>
    </row>
    <row r="181" spans="1:28" s="173" customFormat="1" ht="13">
      <c r="A181" s="170"/>
      <c r="B181" s="94" t="s">
        <v>860</v>
      </c>
      <c r="C181" s="171"/>
      <c r="D181" s="171"/>
      <c r="E181" s="171"/>
      <c r="F181" s="171"/>
      <c r="G181" s="171"/>
      <c r="H181" s="171"/>
      <c r="I181" s="172"/>
      <c r="J181" s="171"/>
      <c r="K181" s="171"/>
      <c r="L181" s="171"/>
      <c r="M181" s="171"/>
      <c r="N181" s="171"/>
      <c r="O181" s="172"/>
      <c r="P181" s="171"/>
      <c r="Q181" s="171"/>
      <c r="R181" s="171"/>
      <c r="S181" s="172"/>
      <c r="T181" s="171"/>
      <c r="U181" s="172"/>
      <c r="V181" s="171"/>
      <c r="W181" s="172"/>
      <c r="X181" s="53"/>
      <c r="Y181" s="151"/>
      <c r="Z181" s="151"/>
      <c r="AA181" s="151"/>
      <c r="AB181" s="151"/>
    </row>
    <row r="182" spans="1:28" s="178" customFormat="1" ht="13">
      <c r="A182" s="170"/>
      <c r="B182" s="175" t="s">
        <v>861</v>
      </c>
      <c r="C182" s="176">
        <v>0</v>
      </c>
      <c r="D182" s="176">
        <v>0</v>
      </c>
      <c r="E182" s="176">
        <v>0</v>
      </c>
      <c r="F182" s="176">
        <v>0</v>
      </c>
      <c r="G182" s="176">
        <v>0</v>
      </c>
      <c r="H182" s="176">
        <v>0</v>
      </c>
      <c r="I182" s="177">
        <v>0</v>
      </c>
      <c r="J182" s="176">
        <v>0</v>
      </c>
      <c r="K182" s="176">
        <v>0</v>
      </c>
      <c r="L182" s="176">
        <v>0</v>
      </c>
      <c r="M182" s="176">
        <v>0</v>
      </c>
      <c r="N182" s="176">
        <v>0</v>
      </c>
      <c r="O182" s="177">
        <v>0</v>
      </c>
      <c r="P182" s="176">
        <v>0</v>
      </c>
      <c r="Q182" s="176">
        <v>0</v>
      </c>
      <c r="R182" s="176">
        <v>0</v>
      </c>
      <c r="S182" s="177">
        <v>0</v>
      </c>
      <c r="T182" s="176">
        <v>0</v>
      </c>
      <c r="U182" s="177">
        <v>0</v>
      </c>
      <c r="V182" s="176">
        <v>0</v>
      </c>
      <c r="W182" s="177">
        <v>0</v>
      </c>
      <c r="X182" s="53">
        <v>0</v>
      </c>
      <c r="Y182" s="151"/>
      <c r="Z182" s="151"/>
      <c r="AA182" s="151"/>
      <c r="AB182" s="151"/>
    </row>
    <row r="183" spans="1:28" ht="13">
      <c r="A183" s="170"/>
      <c r="B183" s="59" t="s">
        <v>862</v>
      </c>
      <c r="C183" s="179"/>
      <c r="D183" s="179"/>
      <c r="E183" s="179"/>
      <c r="F183" s="179"/>
      <c r="G183" s="179"/>
      <c r="H183" s="179"/>
      <c r="I183" s="180"/>
      <c r="J183" s="179"/>
      <c r="K183" s="179"/>
      <c r="L183" s="179"/>
      <c r="M183" s="179"/>
      <c r="N183" s="179"/>
      <c r="O183" s="180"/>
      <c r="P183" s="179"/>
      <c r="Q183" s="179"/>
      <c r="R183" s="179"/>
      <c r="S183" s="180"/>
      <c r="T183" s="179"/>
      <c r="U183" s="180"/>
      <c r="V183" s="179"/>
      <c r="W183" s="180"/>
      <c r="X183" s="53"/>
      <c r="Y183" s="151"/>
      <c r="Z183" s="151"/>
      <c r="AA183" s="151"/>
      <c r="AB183" s="151"/>
    </row>
    <row r="184" spans="1:28" s="173" customFormat="1" ht="13">
      <c r="A184" s="170"/>
      <c r="B184" s="94" t="s">
        <v>863</v>
      </c>
      <c r="C184" s="171"/>
      <c r="D184" s="171"/>
      <c r="E184" s="171"/>
      <c r="F184" s="171"/>
      <c r="G184" s="171"/>
      <c r="H184" s="171"/>
      <c r="I184" s="172"/>
      <c r="J184" s="171"/>
      <c r="K184" s="171"/>
      <c r="L184" s="171"/>
      <c r="M184" s="171"/>
      <c r="N184" s="171"/>
      <c r="O184" s="172"/>
      <c r="P184" s="171"/>
      <c r="Q184" s="171"/>
      <c r="R184" s="171"/>
      <c r="S184" s="172"/>
      <c r="T184" s="171"/>
      <c r="U184" s="172"/>
      <c r="V184" s="171"/>
      <c r="W184" s="172"/>
      <c r="X184" s="53"/>
      <c r="Y184" s="151"/>
      <c r="Z184" s="151"/>
      <c r="AA184" s="151"/>
      <c r="AB184" s="151"/>
    </row>
    <row r="185" spans="1:28" s="178" customFormat="1" ht="13">
      <c r="A185" s="170"/>
      <c r="B185" s="175" t="s">
        <v>864</v>
      </c>
      <c r="C185" s="176">
        <v>0</v>
      </c>
      <c r="D185" s="176">
        <v>0</v>
      </c>
      <c r="E185" s="176">
        <v>0</v>
      </c>
      <c r="F185" s="176">
        <v>0</v>
      </c>
      <c r="G185" s="176">
        <v>0</v>
      </c>
      <c r="H185" s="176">
        <v>0</v>
      </c>
      <c r="I185" s="177">
        <v>0</v>
      </c>
      <c r="J185" s="176">
        <v>0</v>
      </c>
      <c r="K185" s="176">
        <v>0</v>
      </c>
      <c r="L185" s="176">
        <v>0</v>
      </c>
      <c r="M185" s="176">
        <v>0</v>
      </c>
      <c r="N185" s="176">
        <v>0</v>
      </c>
      <c r="O185" s="177">
        <v>0</v>
      </c>
      <c r="P185" s="176">
        <v>0</v>
      </c>
      <c r="Q185" s="176">
        <v>0</v>
      </c>
      <c r="R185" s="176">
        <v>0</v>
      </c>
      <c r="S185" s="177">
        <v>0</v>
      </c>
      <c r="T185" s="176">
        <v>0</v>
      </c>
      <c r="U185" s="177">
        <v>0</v>
      </c>
      <c r="V185" s="176">
        <v>0</v>
      </c>
      <c r="W185" s="177">
        <v>0</v>
      </c>
      <c r="X185" s="53">
        <v>0</v>
      </c>
      <c r="Y185" s="151"/>
      <c r="Z185" s="151"/>
      <c r="AA185" s="151"/>
      <c r="AB185" s="151"/>
    </row>
    <row r="186" spans="1:28" ht="13">
      <c r="A186" s="170"/>
      <c r="B186" s="59" t="s">
        <v>865</v>
      </c>
      <c r="C186" s="179"/>
      <c r="D186" s="179"/>
      <c r="E186" s="179"/>
      <c r="F186" s="179"/>
      <c r="G186" s="179"/>
      <c r="H186" s="179"/>
      <c r="I186" s="180"/>
      <c r="J186" s="179"/>
      <c r="K186" s="179"/>
      <c r="L186" s="179"/>
      <c r="M186" s="179"/>
      <c r="N186" s="179"/>
      <c r="O186" s="180"/>
      <c r="P186" s="179"/>
      <c r="Q186" s="179"/>
      <c r="R186" s="179"/>
      <c r="S186" s="180"/>
      <c r="T186" s="179"/>
      <c r="U186" s="180"/>
      <c r="V186" s="179"/>
      <c r="W186" s="180"/>
      <c r="X186" s="53"/>
      <c r="Y186" s="151"/>
      <c r="Z186" s="151"/>
      <c r="AA186" s="151"/>
      <c r="AB186" s="151"/>
    </row>
    <row r="187" spans="1:28" s="173" customFormat="1" ht="13">
      <c r="A187" s="170"/>
      <c r="B187" s="94" t="s">
        <v>866</v>
      </c>
      <c r="C187" s="171"/>
      <c r="D187" s="171"/>
      <c r="E187" s="171"/>
      <c r="F187" s="171"/>
      <c r="G187" s="171"/>
      <c r="H187" s="171"/>
      <c r="I187" s="172"/>
      <c r="J187" s="171"/>
      <c r="K187" s="171"/>
      <c r="L187" s="171"/>
      <c r="M187" s="171"/>
      <c r="N187" s="171"/>
      <c r="O187" s="172"/>
      <c r="P187" s="171"/>
      <c r="Q187" s="171"/>
      <c r="R187" s="171"/>
      <c r="S187" s="172"/>
      <c r="T187" s="171"/>
      <c r="U187" s="172"/>
      <c r="V187" s="171"/>
      <c r="W187" s="172"/>
      <c r="X187" s="53"/>
      <c r="Y187" s="151"/>
      <c r="Z187" s="151"/>
      <c r="AA187" s="151"/>
      <c r="AB187" s="151"/>
    </row>
    <row r="188" spans="1:28" s="178" customFormat="1" ht="13">
      <c r="A188" s="170"/>
      <c r="B188" s="175" t="s">
        <v>867</v>
      </c>
      <c r="C188" s="176">
        <v>0</v>
      </c>
      <c r="D188" s="176">
        <v>0</v>
      </c>
      <c r="E188" s="176">
        <v>0</v>
      </c>
      <c r="F188" s="176">
        <v>0</v>
      </c>
      <c r="G188" s="176">
        <v>0</v>
      </c>
      <c r="H188" s="176">
        <v>0</v>
      </c>
      <c r="I188" s="177">
        <v>0</v>
      </c>
      <c r="J188" s="176">
        <v>0</v>
      </c>
      <c r="K188" s="176">
        <v>0</v>
      </c>
      <c r="L188" s="176">
        <v>0</v>
      </c>
      <c r="M188" s="176">
        <v>0</v>
      </c>
      <c r="N188" s="176">
        <v>0</v>
      </c>
      <c r="O188" s="177">
        <v>0</v>
      </c>
      <c r="P188" s="176">
        <v>0</v>
      </c>
      <c r="Q188" s="176">
        <v>0</v>
      </c>
      <c r="R188" s="176">
        <v>0</v>
      </c>
      <c r="S188" s="177">
        <v>0</v>
      </c>
      <c r="T188" s="176">
        <v>0</v>
      </c>
      <c r="U188" s="177">
        <v>0</v>
      </c>
      <c r="V188" s="176">
        <v>0</v>
      </c>
      <c r="W188" s="177">
        <v>0</v>
      </c>
      <c r="X188" s="53">
        <v>0</v>
      </c>
      <c r="Y188" s="151"/>
      <c r="Z188" s="151"/>
      <c r="AA188" s="151"/>
      <c r="AB188" s="151"/>
    </row>
    <row r="189" spans="1:28" ht="13">
      <c r="A189" s="170"/>
      <c r="B189" s="59" t="s">
        <v>868</v>
      </c>
      <c r="C189" s="179">
        <v>0</v>
      </c>
      <c r="D189" s="179">
        <v>0</v>
      </c>
      <c r="E189" s="179">
        <v>0</v>
      </c>
      <c r="F189" s="179">
        <v>0</v>
      </c>
      <c r="G189" s="179">
        <v>0</v>
      </c>
      <c r="H189" s="179">
        <v>0</v>
      </c>
      <c r="I189" s="180">
        <v>0</v>
      </c>
      <c r="J189" s="179">
        <v>0</v>
      </c>
      <c r="K189" s="179"/>
      <c r="L189" s="179"/>
      <c r="M189" s="179"/>
      <c r="N189" s="179"/>
      <c r="O189" s="180">
        <v>0</v>
      </c>
      <c r="P189" s="179">
        <v>0</v>
      </c>
      <c r="Q189" s="179"/>
      <c r="R189" s="179"/>
      <c r="S189" s="180">
        <v>0</v>
      </c>
      <c r="T189" s="179"/>
      <c r="U189" s="180"/>
      <c r="V189" s="179"/>
      <c r="W189" s="180"/>
      <c r="X189" s="53">
        <v>0</v>
      </c>
      <c r="Y189" s="151"/>
      <c r="Z189" s="151"/>
      <c r="AA189" s="151"/>
      <c r="AB189" s="151"/>
    </row>
    <row r="190" spans="1:28" s="173" customFormat="1" ht="13">
      <c r="A190" s="170"/>
      <c r="B190" s="94" t="s">
        <v>869</v>
      </c>
      <c r="C190" s="171">
        <v>0</v>
      </c>
      <c r="D190" s="171">
        <v>0</v>
      </c>
      <c r="E190" s="171">
        <v>0</v>
      </c>
      <c r="F190" s="171">
        <v>0</v>
      </c>
      <c r="G190" s="171">
        <v>0</v>
      </c>
      <c r="H190" s="171">
        <v>0</v>
      </c>
      <c r="I190" s="172">
        <v>0</v>
      </c>
      <c r="J190" s="171">
        <v>0</v>
      </c>
      <c r="K190" s="171"/>
      <c r="L190" s="171"/>
      <c r="M190" s="171"/>
      <c r="N190" s="171"/>
      <c r="O190" s="172">
        <v>0</v>
      </c>
      <c r="P190" s="171">
        <v>0</v>
      </c>
      <c r="Q190" s="171"/>
      <c r="R190" s="171"/>
      <c r="S190" s="172">
        <v>0</v>
      </c>
      <c r="T190" s="171"/>
      <c r="U190" s="172"/>
      <c r="V190" s="171"/>
      <c r="W190" s="172"/>
      <c r="X190" s="53">
        <v>0</v>
      </c>
      <c r="Y190" s="151"/>
      <c r="Z190" s="151"/>
      <c r="AA190" s="151"/>
      <c r="AB190" s="151"/>
    </row>
    <row r="191" spans="1:28" s="178" customFormat="1" ht="13">
      <c r="A191" s="170"/>
      <c r="B191" s="175" t="s">
        <v>870</v>
      </c>
      <c r="C191" s="176">
        <v>0</v>
      </c>
      <c r="D191" s="176">
        <v>0</v>
      </c>
      <c r="E191" s="176">
        <v>0</v>
      </c>
      <c r="F191" s="176">
        <v>0</v>
      </c>
      <c r="G191" s="176">
        <v>0</v>
      </c>
      <c r="H191" s="176">
        <v>0</v>
      </c>
      <c r="I191" s="177">
        <v>0</v>
      </c>
      <c r="J191" s="176">
        <v>0</v>
      </c>
      <c r="K191" s="176">
        <v>0</v>
      </c>
      <c r="L191" s="176">
        <v>0</v>
      </c>
      <c r="M191" s="176">
        <v>0</v>
      </c>
      <c r="N191" s="176">
        <v>0</v>
      </c>
      <c r="O191" s="177">
        <v>0</v>
      </c>
      <c r="P191" s="176">
        <v>0</v>
      </c>
      <c r="Q191" s="176">
        <v>0</v>
      </c>
      <c r="R191" s="176">
        <v>0</v>
      </c>
      <c r="S191" s="177">
        <v>0</v>
      </c>
      <c r="T191" s="176">
        <v>0</v>
      </c>
      <c r="U191" s="177">
        <v>0</v>
      </c>
      <c r="V191" s="176">
        <v>0</v>
      </c>
      <c r="W191" s="177">
        <v>0</v>
      </c>
      <c r="X191" s="53">
        <v>0</v>
      </c>
      <c r="Y191" s="151"/>
      <c r="Z191" s="151"/>
      <c r="AA191" s="151"/>
      <c r="AB191" s="151"/>
    </row>
    <row r="192" spans="1:28" ht="13">
      <c r="A192" s="170"/>
      <c r="B192" s="59" t="s">
        <v>871</v>
      </c>
      <c r="C192" s="179">
        <v>20047612</v>
      </c>
      <c r="D192" s="179"/>
      <c r="E192" s="179"/>
      <c r="F192" s="179">
        <v>224890259</v>
      </c>
      <c r="G192" s="179"/>
      <c r="H192" s="179"/>
      <c r="I192" s="180">
        <v>244937871</v>
      </c>
      <c r="J192" s="179"/>
      <c r="K192" s="179"/>
      <c r="L192" s="179"/>
      <c r="M192" s="179"/>
      <c r="N192" s="179"/>
      <c r="O192" s="180"/>
      <c r="P192" s="179"/>
      <c r="Q192" s="179"/>
      <c r="R192" s="179"/>
      <c r="S192" s="180"/>
      <c r="T192" s="179"/>
      <c r="U192" s="180"/>
      <c r="V192" s="179"/>
      <c r="W192" s="180"/>
      <c r="X192" s="53">
        <v>244937871</v>
      </c>
      <c r="Y192" s="151"/>
      <c r="Z192" s="151"/>
      <c r="AA192" s="151"/>
      <c r="AB192" s="151"/>
    </row>
    <row r="193" spans="1:28" s="173" customFormat="1" ht="13">
      <c r="A193" s="170"/>
      <c r="B193" s="94" t="s">
        <v>872</v>
      </c>
      <c r="C193" s="171">
        <v>19196237</v>
      </c>
      <c r="D193" s="171"/>
      <c r="E193" s="171"/>
      <c r="F193" s="171">
        <v>214532525</v>
      </c>
      <c r="G193" s="171"/>
      <c r="H193" s="171"/>
      <c r="I193" s="172">
        <v>233728762</v>
      </c>
      <c r="J193" s="171"/>
      <c r="K193" s="171"/>
      <c r="L193" s="171"/>
      <c r="M193" s="171"/>
      <c r="N193" s="171"/>
      <c r="O193" s="172"/>
      <c r="P193" s="171"/>
      <c r="Q193" s="171"/>
      <c r="R193" s="171"/>
      <c r="S193" s="172"/>
      <c r="T193" s="171"/>
      <c r="U193" s="172"/>
      <c r="V193" s="171"/>
      <c r="W193" s="172"/>
      <c r="X193" s="53">
        <v>233728762</v>
      </c>
      <c r="Y193" s="151"/>
      <c r="Z193" s="151"/>
      <c r="AA193" s="151"/>
      <c r="AB193" s="151"/>
    </row>
    <row r="194" spans="1:28" s="178" customFormat="1" ht="13">
      <c r="A194" s="170"/>
      <c r="B194" s="175" t="s">
        <v>873</v>
      </c>
      <c r="C194" s="176">
        <v>-4.2467651508818109</v>
      </c>
      <c r="D194" s="176">
        <v>0</v>
      </c>
      <c r="E194" s="176">
        <v>0</v>
      </c>
      <c r="F194" s="176">
        <v>-4.6056836992659607</v>
      </c>
      <c r="G194" s="176">
        <v>0</v>
      </c>
      <c r="H194" s="176">
        <v>0</v>
      </c>
      <c r="I194" s="177">
        <v>-4.5763070260376359</v>
      </c>
      <c r="J194" s="176">
        <v>0</v>
      </c>
      <c r="K194" s="176">
        <v>0</v>
      </c>
      <c r="L194" s="176">
        <v>0</v>
      </c>
      <c r="M194" s="176">
        <v>0</v>
      </c>
      <c r="N194" s="176">
        <v>0</v>
      </c>
      <c r="O194" s="177">
        <v>0</v>
      </c>
      <c r="P194" s="176">
        <v>0</v>
      </c>
      <c r="Q194" s="176">
        <v>0</v>
      </c>
      <c r="R194" s="176">
        <v>0</v>
      </c>
      <c r="S194" s="177">
        <v>0</v>
      </c>
      <c r="T194" s="176">
        <v>0</v>
      </c>
      <c r="U194" s="177">
        <v>0</v>
      </c>
      <c r="V194" s="176">
        <v>0</v>
      </c>
      <c r="W194" s="177">
        <v>0</v>
      </c>
      <c r="X194" s="53">
        <v>-4.5763070260376359</v>
      </c>
      <c r="Y194" s="151"/>
      <c r="Z194" s="151"/>
      <c r="AA194" s="151"/>
      <c r="AB194" s="151"/>
    </row>
    <row r="195" spans="1:28" ht="13">
      <c r="A195" s="170"/>
      <c r="B195" s="59" t="s">
        <v>874</v>
      </c>
      <c r="C195" s="179">
        <v>10541896</v>
      </c>
      <c r="D195" s="179"/>
      <c r="E195" s="179"/>
      <c r="F195" s="179">
        <v>72720519</v>
      </c>
      <c r="G195" s="179"/>
      <c r="H195" s="179"/>
      <c r="I195" s="180">
        <v>83262415</v>
      </c>
      <c r="J195" s="179"/>
      <c r="K195" s="179"/>
      <c r="L195" s="179"/>
      <c r="M195" s="179"/>
      <c r="N195" s="179"/>
      <c r="O195" s="180"/>
      <c r="P195" s="179"/>
      <c r="Q195" s="179"/>
      <c r="R195" s="179"/>
      <c r="S195" s="180"/>
      <c r="T195" s="179"/>
      <c r="U195" s="180"/>
      <c r="V195" s="179"/>
      <c r="W195" s="180"/>
      <c r="X195" s="53">
        <v>83262415</v>
      </c>
      <c r="Y195" s="151"/>
      <c r="Z195" s="151"/>
      <c r="AA195" s="151"/>
      <c r="AB195" s="151"/>
    </row>
    <row r="196" spans="1:28" s="173" customFormat="1" ht="13">
      <c r="A196" s="170"/>
      <c r="B196" s="94" t="s">
        <v>875</v>
      </c>
      <c r="C196" s="171">
        <v>10076902</v>
      </c>
      <c r="D196" s="171"/>
      <c r="E196" s="171"/>
      <c r="F196" s="171">
        <v>73095620</v>
      </c>
      <c r="G196" s="171"/>
      <c r="H196" s="171"/>
      <c r="I196" s="172">
        <v>83172522</v>
      </c>
      <c r="J196" s="171"/>
      <c r="K196" s="171"/>
      <c r="L196" s="171"/>
      <c r="M196" s="171"/>
      <c r="N196" s="171"/>
      <c r="O196" s="172"/>
      <c r="P196" s="171"/>
      <c r="Q196" s="171"/>
      <c r="R196" s="171"/>
      <c r="S196" s="172"/>
      <c r="T196" s="171"/>
      <c r="U196" s="172"/>
      <c r="V196" s="171"/>
      <c r="W196" s="172"/>
      <c r="X196" s="53">
        <v>83172522</v>
      </c>
      <c r="Y196" s="151"/>
      <c r="Z196" s="151"/>
      <c r="AA196" s="151"/>
      <c r="AB196" s="151"/>
    </row>
    <row r="197" spans="1:28" s="178" customFormat="1" ht="13">
      <c r="A197" s="170"/>
      <c r="B197" s="175" t="s">
        <v>876</v>
      </c>
      <c r="C197" s="176">
        <v>-4.4109143175003815</v>
      </c>
      <c r="D197" s="176">
        <v>0</v>
      </c>
      <c r="E197" s="176">
        <v>0</v>
      </c>
      <c r="F197" s="176">
        <v>0.51581177521574073</v>
      </c>
      <c r="G197" s="176">
        <v>0</v>
      </c>
      <c r="H197" s="176">
        <v>0</v>
      </c>
      <c r="I197" s="177">
        <v>-0.10796347907996663</v>
      </c>
      <c r="J197" s="176">
        <v>0</v>
      </c>
      <c r="K197" s="176">
        <v>0</v>
      </c>
      <c r="L197" s="176">
        <v>0</v>
      </c>
      <c r="M197" s="176">
        <v>0</v>
      </c>
      <c r="N197" s="176">
        <v>0</v>
      </c>
      <c r="O197" s="177">
        <v>0</v>
      </c>
      <c r="P197" s="176">
        <v>0</v>
      </c>
      <c r="Q197" s="176">
        <v>0</v>
      </c>
      <c r="R197" s="176">
        <v>0</v>
      </c>
      <c r="S197" s="177">
        <v>0</v>
      </c>
      <c r="T197" s="176">
        <v>0</v>
      </c>
      <c r="U197" s="177">
        <v>0</v>
      </c>
      <c r="V197" s="176">
        <v>0</v>
      </c>
      <c r="W197" s="177">
        <v>0</v>
      </c>
      <c r="X197" s="53">
        <v>-0.10796347907996663</v>
      </c>
      <c r="Y197" s="151"/>
      <c r="Z197" s="151"/>
      <c r="AA197" s="151"/>
      <c r="AB197" s="151"/>
    </row>
    <row r="198" spans="1:28" ht="13">
      <c r="A198" s="170"/>
      <c r="B198" s="59" t="s">
        <v>877</v>
      </c>
      <c r="C198" s="179">
        <v>1623271847.78</v>
      </c>
      <c r="D198" s="179">
        <v>801169968.08999991</v>
      </c>
      <c r="E198" s="179">
        <v>954676449.57999992</v>
      </c>
      <c r="F198" s="179">
        <v>578214276.46999991</v>
      </c>
      <c r="G198" s="179">
        <v>148175972.63</v>
      </c>
      <c r="H198" s="179">
        <v>235200405.03</v>
      </c>
      <c r="I198" s="180">
        <v>4340708919.5799999</v>
      </c>
      <c r="J198" s="179">
        <v>88929604.269999996</v>
      </c>
      <c r="K198" s="179"/>
      <c r="L198" s="179"/>
      <c r="M198" s="179"/>
      <c r="N198" s="179"/>
      <c r="O198" s="180">
        <v>88929604.269999996</v>
      </c>
      <c r="P198" s="179">
        <v>623877113.57000005</v>
      </c>
      <c r="Q198" s="179"/>
      <c r="R198" s="179"/>
      <c r="S198" s="180">
        <v>623877113.57000005</v>
      </c>
      <c r="T198" s="179"/>
      <c r="U198" s="180"/>
      <c r="V198" s="179"/>
      <c r="W198" s="180"/>
      <c r="X198" s="53">
        <v>5053515637.4200001</v>
      </c>
      <c r="Y198" s="151"/>
      <c r="Z198" s="151"/>
      <c r="AA198" s="151"/>
      <c r="AB198" s="151"/>
    </row>
    <row r="199" spans="1:28" s="173" customFormat="1" ht="13">
      <c r="A199" s="170"/>
      <c r="B199" s="94" t="s">
        <v>878</v>
      </c>
      <c r="C199" s="171">
        <v>1579151330.8399999</v>
      </c>
      <c r="D199" s="171">
        <v>807539276.51999998</v>
      </c>
      <c r="E199" s="171">
        <v>930045682.96999991</v>
      </c>
      <c r="F199" s="171">
        <v>544281053.80999994</v>
      </c>
      <c r="G199" s="171">
        <v>138189962.93000001</v>
      </c>
      <c r="H199" s="171">
        <v>212371005.91000003</v>
      </c>
      <c r="I199" s="172">
        <v>4211578312.9799991</v>
      </c>
      <c r="J199" s="171">
        <v>79966750.219999999</v>
      </c>
      <c r="K199" s="171"/>
      <c r="L199" s="171"/>
      <c r="M199" s="171"/>
      <c r="N199" s="171"/>
      <c r="O199" s="172">
        <v>79966750.219999999</v>
      </c>
      <c r="P199" s="171">
        <v>574858793.3499999</v>
      </c>
      <c r="Q199" s="171"/>
      <c r="R199" s="171"/>
      <c r="S199" s="172">
        <v>574858793.3499999</v>
      </c>
      <c r="T199" s="171"/>
      <c r="U199" s="172"/>
      <c r="V199" s="171"/>
      <c r="W199" s="172"/>
      <c r="X199" s="53">
        <v>4866403856.5499992</v>
      </c>
      <c r="Y199" s="151"/>
      <c r="Z199" s="151"/>
      <c r="AA199" s="151"/>
      <c r="AB199" s="151"/>
    </row>
    <row r="200" spans="1:28" s="192" customFormat="1" ht="13.5" thickBot="1">
      <c r="A200" s="186"/>
      <c r="B200" s="187" t="s">
        <v>879</v>
      </c>
      <c r="C200" s="188">
        <v>-2.7179992679808773</v>
      </c>
      <c r="D200" s="188">
        <v>0.7950008966492571</v>
      </c>
      <c r="E200" s="188">
        <v>-2.5800119633029666</v>
      </c>
      <c r="F200" s="188">
        <v>-5.8686241486741562</v>
      </c>
      <c r="G200" s="188">
        <v>-6.739290805895612</v>
      </c>
      <c r="H200" s="188">
        <v>-9.7063604618742332</v>
      </c>
      <c r="I200" s="189">
        <v>-2.9748736667764133</v>
      </c>
      <c r="J200" s="188">
        <v>-10.07859432589826</v>
      </c>
      <c r="K200" s="188">
        <v>0</v>
      </c>
      <c r="L200" s="188">
        <v>0</v>
      </c>
      <c r="M200" s="188">
        <v>0</v>
      </c>
      <c r="N200" s="188">
        <v>0</v>
      </c>
      <c r="O200" s="189">
        <v>-10.07859432589826</v>
      </c>
      <c r="P200" s="188">
        <v>-7.857047350159001</v>
      </c>
      <c r="Q200" s="188">
        <v>0</v>
      </c>
      <c r="R200" s="188">
        <v>0</v>
      </c>
      <c r="S200" s="189">
        <v>-7.857047350159001</v>
      </c>
      <c r="T200" s="188">
        <v>0</v>
      </c>
      <c r="U200" s="189">
        <v>0</v>
      </c>
      <c r="V200" s="188">
        <v>0</v>
      </c>
      <c r="W200" s="189">
        <v>0</v>
      </c>
      <c r="X200" s="53">
        <v>-3.7026061517349542</v>
      </c>
      <c r="Y200" s="151"/>
      <c r="Z200" s="151"/>
      <c r="AA200" s="151"/>
      <c r="AB200" s="151"/>
    </row>
    <row r="201" spans="1:28" ht="13.5" thickTop="1">
      <c r="A201" s="147" t="s">
        <v>432</v>
      </c>
      <c r="B201" s="167" t="s">
        <v>754</v>
      </c>
      <c r="C201" s="168">
        <v>254282300</v>
      </c>
      <c r="D201" s="168"/>
      <c r="E201" s="168">
        <v>257909200</v>
      </c>
      <c r="F201" s="168">
        <v>18607700</v>
      </c>
      <c r="G201" s="168"/>
      <c r="H201" s="168"/>
      <c r="I201" s="169">
        <v>530799200</v>
      </c>
      <c r="J201" s="168"/>
      <c r="K201" s="168">
        <v>31385500</v>
      </c>
      <c r="L201" s="168">
        <v>51633800</v>
      </c>
      <c r="M201" s="168">
        <v>41512800</v>
      </c>
      <c r="N201" s="168"/>
      <c r="O201" s="169">
        <v>124532100</v>
      </c>
      <c r="P201" s="168">
        <v>15218100</v>
      </c>
      <c r="Q201" s="168"/>
      <c r="R201" s="168"/>
      <c r="S201" s="169">
        <v>15218100</v>
      </c>
      <c r="T201" s="168"/>
      <c r="U201" s="169"/>
      <c r="V201" s="168"/>
      <c r="W201" s="169"/>
      <c r="X201" s="53">
        <v>670549400</v>
      </c>
      <c r="Y201" s="151"/>
      <c r="Z201" s="151"/>
      <c r="AA201" s="151"/>
      <c r="AB201" s="151"/>
    </row>
    <row r="202" spans="1:28" s="173" customFormat="1" ht="13">
      <c r="A202" s="170"/>
      <c r="B202" s="94" t="s">
        <v>755</v>
      </c>
      <c r="C202" s="171">
        <v>245553135</v>
      </c>
      <c r="D202" s="171"/>
      <c r="E202" s="171">
        <v>254870200</v>
      </c>
      <c r="F202" s="171">
        <v>17173900</v>
      </c>
      <c r="G202" s="171"/>
      <c r="H202" s="171"/>
      <c r="I202" s="172">
        <v>517597235</v>
      </c>
      <c r="J202" s="171"/>
      <c r="K202" s="171">
        <v>30780900</v>
      </c>
      <c r="L202" s="171">
        <v>50394100</v>
      </c>
      <c r="M202" s="171">
        <v>39624700</v>
      </c>
      <c r="N202" s="171"/>
      <c r="O202" s="172">
        <v>120799700</v>
      </c>
      <c r="P202" s="171">
        <v>15000400</v>
      </c>
      <c r="Q202" s="171"/>
      <c r="R202" s="171"/>
      <c r="S202" s="172">
        <v>15000400</v>
      </c>
      <c r="T202" s="171"/>
      <c r="U202" s="172"/>
      <c r="V202" s="171"/>
      <c r="W202" s="172"/>
      <c r="X202" s="53">
        <v>653397335</v>
      </c>
      <c r="Y202" s="151"/>
      <c r="Z202" s="151"/>
      <c r="AA202" s="151"/>
      <c r="AB202" s="151"/>
    </row>
    <row r="203" spans="1:28" s="178" customFormat="1" ht="13">
      <c r="A203" s="174"/>
      <c r="B203" s="175" t="s">
        <v>849</v>
      </c>
      <c r="C203" s="176">
        <v>-3.4328637895756011</v>
      </c>
      <c r="D203" s="176">
        <v>0</v>
      </c>
      <c r="E203" s="176">
        <v>-1.1783216728988342</v>
      </c>
      <c r="F203" s="176">
        <v>-7.7054122755633419</v>
      </c>
      <c r="G203" s="176">
        <v>0</v>
      </c>
      <c r="H203" s="176">
        <v>0</v>
      </c>
      <c r="I203" s="177">
        <v>-2.4871863032197483</v>
      </c>
      <c r="J203" s="176">
        <v>0</v>
      </c>
      <c r="K203" s="176">
        <v>-1.9263672715107296</v>
      </c>
      <c r="L203" s="176">
        <v>-2.4009466667183124</v>
      </c>
      <c r="M203" s="176">
        <v>-4.5482357248848544</v>
      </c>
      <c r="N203" s="176">
        <v>0</v>
      </c>
      <c r="O203" s="177">
        <v>-2.9971388902941491</v>
      </c>
      <c r="P203" s="176">
        <v>-1.4305333780169667</v>
      </c>
      <c r="Q203" s="176">
        <v>0</v>
      </c>
      <c r="R203" s="176">
        <v>0</v>
      </c>
      <c r="S203" s="177">
        <v>-1.4305333780169667</v>
      </c>
      <c r="T203" s="176">
        <v>0</v>
      </c>
      <c r="U203" s="177">
        <v>0</v>
      </c>
      <c r="V203" s="176">
        <v>0</v>
      </c>
      <c r="W203" s="177">
        <v>0</v>
      </c>
      <c r="X203" s="53">
        <v>-2.5579122134774859</v>
      </c>
      <c r="Y203" s="151"/>
      <c r="Z203" s="151"/>
      <c r="AA203" s="151"/>
      <c r="AB203" s="151"/>
    </row>
    <row r="204" spans="1:28" ht="13">
      <c r="A204" s="170"/>
      <c r="B204" s="59" t="s">
        <v>756</v>
      </c>
      <c r="C204" s="179">
        <v>80170700</v>
      </c>
      <c r="D204" s="179"/>
      <c r="E204" s="179">
        <v>14915900</v>
      </c>
      <c r="F204" s="179">
        <v>7148800</v>
      </c>
      <c r="G204" s="179"/>
      <c r="H204" s="179"/>
      <c r="I204" s="180">
        <v>102235400</v>
      </c>
      <c r="J204" s="179"/>
      <c r="K204" s="179"/>
      <c r="L204" s="179"/>
      <c r="M204" s="179"/>
      <c r="N204" s="179"/>
      <c r="O204" s="180"/>
      <c r="P204" s="179"/>
      <c r="Q204" s="179"/>
      <c r="R204" s="179"/>
      <c r="S204" s="180"/>
      <c r="T204" s="179"/>
      <c r="U204" s="180"/>
      <c r="V204" s="179">
        <v>0</v>
      </c>
      <c r="W204" s="180">
        <v>0</v>
      </c>
      <c r="X204" s="53">
        <v>102235400</v>
      </c>
      <c r="Y204" s="151"/>
      <c r="Z204" s="151"/>
      <c r="AA204" s="151"/>
      <c r="AB204" s="151"/>
    </row>
    <row r="205" spans="1:28" s="173" customFormat="1" ht="13">
      <c r="A205" s="170"/>
      <c r="B205" s="94" t="s">
        <v>757</v>
      </c>
      <c r="C205" s="171">
        <v>81414000</v>
      </c>
      <c r="D205" s="171"/>
      <c r="E205" s="171">
        <v>17982300</v>
      </c>
      <c r="F205" s="171">
        <v>8210400</v>
      </c>
      <c r="G205" s="171"/>
      <c r="H205" s="171"/>
      <c r="I205" s="172">
        <v>107606700</v>
      </c>
      <c r="J205" s="171"/>
      <c r="K205" s="171"/>
      <c r="L205" s="171"/>
      <c r="M205" s="171"/>
      <c r="N205" s="171"/>
      <c r="O205" s="172"/>
      <c r="P205" s="171"/>
      <c r="Q205" s="171"/>
      <c r="R205" s="171"/>
      <c r="S205" s="172"/>
      <c r="T205" s="171"/>
      <c r="U205" s="172"/>
      <c r="V205" s="171">
        <v>250000</v>
      </c>
      <c r="W205" s="172">
        <v>250000</v>
      </c>
      <c r="X205" s="53">
        <v>107856700</v>
      </c>
      <c r="Y205" s="151"/>
      <c r="Z205" s="151"/>
      <c r="AA205" s="151"/>
      <c r="AB205" s="151"/>
    </row>
    <row r="206" spans="1:28" s="178" customFormat="1" ht="13">
      <c r="A206" s="170"/>
      <c r="B206" s="175" t="s">
        <v>850</v>
      </c>
      <c r="C206" s="176">
        <v>1.5508159464742106</v>
      </c>
      <c r="D206" s="176">
        <v>0</v>
      </c>
      <c r="E206" s="176">
        <v>20.557928116975845</v>
      </c>
      <c r="F206" s="176">
        <v>14.850044762757387</v>
      </c>
      <c r="G206" s="176">
        <v>0</v>
      </c>
      <c r="H206" s="176">
        <v>0</v>
      </c>
      <c r="I206" s="177">
        <v>5.253855318216587</v>
      </c>
      <c r="J206" s="176">
        <v>0</v>
      </c>
      <c r="K206" s="176">
        <v>0</v>
      </c>
      <c r="L206" s="176">
        <v>0</v>
      </c>
      <c r="M206" s="176">
        <v>0</v>
      </c>
      <c r="N206" s="176">
        <v>0</v>
      </c>
      <c r="O206" s="177">
        <v>0</v>
      </c>
      <c r="P206" s="176">
        <v>0</v>
      </c>
      <c r="Q206" s="176">
        <v>0</v>
      </c>
      <c r="R206" s="176">
        <v>0</v>
      </c>
      <c r="S206" s="177">
        <v>0</v>
      </c>
      <c r="T206" s="176">
        <v>0</v>
      </c>
      <c r="U206" s="177">
        <v>0</v>
      </c>
      <c r="V206" s="176">
        <v>0</v>
      </c>
      <c r="W206" s="177">
        <v>0</v>
      </c>
      <c r="X206" s="53">
        <v>5.4983890120251893</v>
      </c>
      <c r="Y206" s="151"/>
      <c r="Z206" s="151"/>
      <c r="AA206" s="151"/>
      <c r="AB206" s="151"/>
    </row>
    <row r="207" spans="1:28" ht="13">
      <c r="A207" s="170"/>
      <c r="B207" s="59" t="s">
        <v>758</v>
      </c>
      <c r="C207" s="179">
        <v>27915000</v>
      </c>
      <c r="D207" s="179"/>
      <c r="E207" s="179"/>
      <c r="F207" s="179"/>
      <c r="G207" s="179"/>
      <c r="H207" s="179"/>
      <c r="I207" s="180">
        <v>27915000</v>
      </c>
      <c r="J207" s="179"/>
      <c r="K207" s="179"/>
      <c r="L207" s="179"/>
      <c r="M207" s="179"/>
      <c r="N207" s="179"/>
      <c r="O207" s="180"/>
      <c r="P207" s="179"/>
      <c r="Q207" s="179"/>
      <c r="R207" s="179"/>
      <c r="S207" s="180"/>
      <c r="T207" s="179"/>
      <c r="U207" s="180"/>
      <c r="V207" s="179"/>
      <c r="W207" s="180"/>
      <c r="X207" s="53">
        <v>27915000</v>
      </c>
      <c r="Y207" s="151"/>
      <c r="Z207" s="151"/>
      <c r="AA207" s="151"/>
      <c r="AB207" s="151"/>
    </row>
    <row r="208" spans="1:28" s="173" customFormat="1" ht="13">
      <c r="A208" s="170"/>
      <c r="B208" s="94" t="s">
        <v>759</v>
      </c>
      <c r="C208" s="171">
        <v>27285000</v>
      </c>
      <c r="D208" s="171"/>
      <c r="E208" s="171"/>
      <c r="F208" s="171"/>
      <c r="G208" s="171"/>
      <c r="H208" s="171"/>
      <c r="I208" s="172">
        <v>27285000</v>
      </c>
      <c r="J208" s="171"/>
      <c r="K208" s="171"/>
      <c r="L208" s="171"/>
      <c r="M208" s="171"/>
      <c r="N208" s="171"/>
      <c r="O208" s="172"/>
      <c r="P208" s="171"/>
      <c r="Q208" s="171"/>
      <c r="R208" s="171"/>
      <c r="S208" s="172"/>
      <c r="T208" s="171"/>
      <c r="U208" s="172"/>
      <c r="V208" s="171"/>
      <c r="W208" s="172"/>
      <c r="X208" s="53">
        <v>27285000</v>
      </c>
      <c r="Y208" s="151"/>
      <c r="Z208" s="151"/>
      <c r="AA208" s="151"/>
      <c r="AB208" s="151"/>
    </row>
    <row r="209" spans="1:28" s="178" customFormat="1" ht="13">
      <c r="A209" s="170"/>
      <c r="B209" s="175" t="s">
        <v>851</v>
      </c>
      <c r="C209" s="176">
        <v>-2.2568511552928534</v>
      </c>
      <c r="D209" s="176">
        <v>0</v>
      </c>
      <c r="E209" s="176">
        <v>0</v>
      </c>
      <c r="F209" s="176">
        <v>0</v>
      </c>
      <c r="G209" s="176">
        <v>0</v>
      </c>
      <c r="H209" s="176">
        <v>0</v>
      </c>
      <c r="I209" s="177">
        <v>-2.2568511552928534</v>
      </c>
      <c r="J209" s="176">
        <v>0</v>
      </c>
      <c r="K209" s="176">
        <v>0</v>
      </c>
      <c r="L209" s="176">
        <v>0</v>
      </c>
      <c r="M209" s="176">
        <v>0</v>
      </c>
      <c r="N209" s="176">
        <v>0</v>
      </c>
      <c r="O209" s="177">
        <v>0</v>
      </c>
      <c r="P209" s="176">
        <v>0</v>
      </c>
      <c r="Q209" s="176">
        <v>0</v>
      </c>
      <c r="R209" s="176">
        <v>0</v>
      </c>
      <c r="S209" s="177">
        <v>0</v>
      </c>
      <c r="T209" s="176">
        <v>0</v>
      </c>
      <c r="U209" s="177">
        <v>0</v>
      </c>
      <c r="V209" s="176">
        <v>0</v>
      </c>
      <c r="W209" s="177">
        <v>0</v>
      </c>
      <c r="X209" s="53">
        <v>-2.2568511552928534</v>
      </c>
      <c r="Y209" s="151"/>
      <c r="Z209" s="151"/>
      <c r="AA209" s="151"/>
      <c r="AB209" s="151"/>
    </row>
    <row r="210" spans="1:28" ht="13">
      <c r="A210" s="170"/>
      <c r="B210" s="59" t="s">
        <v>760</v>
      </c>
      <c r="C210" s="179">
        <v>725025300</v>
      </c>
      <c r="D210" s="179"/>
      <c r="E210" s="179">
        <v>658746900</v>
      </c>
      <c r="F210" s="179">
        <v>13760022</v>
      </c>
      <c r="G210" s="179"/>
      <c r="H210" s="179"/>
      <c r="I210" s="180">
        <v>1397532222</v>
      </c>
      <c r="J210" s="179"/>
      <c r="K210" s="179">
        <v>70698500</v>
      </c>
      <c r="L210" s="179">
        <v>86636800</v>
      </c>
      <c r="M210" s="179">
        <v>51130700</v>
      </c>
      <c r="N210" s="179"/>
      <c r="O210" s="180">
        <v>208466000</v>
      </c>
      <c r="P210" s="179">
        <v>27167700</v>
      </c>
      <c r="Q210" s="179"/>
      <c r="R210" s="179"/>
      <c r="S210" s="180">
        <v>27167700</v>
      </c>
      <c r="T210" s="179"/>
      <c r="U210" s="180"/>
      <c r="V210" s="179"/>
      <c r="W210" s="180"/>
      <c r="X210" s="53">
        <v>1633165922</v>
      </c>
      <c r="Y210" s="151"/>
      <c r="Z210" s="151"/>
      <c r="AA210" s="151"/>
      <c r="AB210" s="151"/>
    </row>
    <row r="211" spans="1:28" s="173" customFormat="1" ht="13">
      <c r="A211" s="170"/>
      <c r="B211" s="94" t="s">
        <v>761</v>
      </c>
      <c r="C211" s="171">
        <v>736216374.99973893</v>
      </c>
      <c r="D211" s="171"/>
      <c r="E211" s="171">
        <v>645204342.13999999</v>
      </c>
      <c r="F211" s="171">
        <v>17770347</v>
      </c>
      <c r="G211" s="171"/>
      <c r="H211" s="171"/>
      <c r="I211" s="172">
        <v>1399191064.139739</v>
      </c>
      <c r="J211" s="171"/>
      <c r="K211" s="171">
        <v>72234000</v>
      </c>
      <c r="L211" s="171">
        <v>85321000</v>
      </c>
      <c r="M211" s="171">
        <v>49804000</v>
      </c>
      <c r="N211" s="171"/>
      <c r="O211" s="172">
        <v>207359000</v>
      </c>
      <c r="P211" s="171">
        <v>29896000</v>
      </c>
      <c r="Q211" s="171"/>
      <c r="R211" s="171"/>
      <c r="S211" s="172">
        <v>29896000</v>
      </c>
      <c r="T211" s="171"/>
      <c r="U211" s="172"/>
      <c r="V211" s="171"/>
      <c r="W211" s="172"/>
      <c r="X211" s="53">
        <v>1636446064.139739</v>
      </c>
      <c r="Y211" s="151"/>
      <c r="Z211" s="151"/>
      <c r="AA211" s="151"/>
      <c r="AB211" s="151"/>
    </row>
    <row r="212" spans="1:28" s="178" customFormat="1" ht="13">
      <c r="A212" s="170"/>
      <c r="B212" s="175" t="s">
        <v>852</v>
      </c>
      <c r="C212" s="176">
        <v>1.5435426873709004</v>
      </c>
      <c r="D212" s="176">
        <v>0</v>
      </c>
      <c r="E212" s="176">
        <v>-2.0558059339634105</v>
      </c>
      <c r="F212" s="176">
        <v>29.144757181347529</v>
      </c>
      <c r="G212" s="176">
        <v>0</v>
      </c>
      <c r="H212" s="176">
        <v>0</v>
      </c>
      <c r="I212" s="177">
        <v>0.11869795297922202</v>
      </c>
      <c r="J212" s="176">
        <v>0</v>
      </c>
      <c r="K212" s="176">
        <v>2.1718989794691543</v>
      </c>
      <c r="L212" s="176">
        <v>-1.5187541552781265</v>
      </c>
      <c r="M212" s="176">
        <v>-2.5947229355357937</v>
      </c>
      <c r="N212" s="176">
        <v>0</v>
      </c>
      <c r="O212" s="177">
        <v>-0.53102184528892005</v>
      </c>
      <c r="P212" s="176">
        <v>10.042440103505266</v>
      </c>
      <c r="Q212" s="176">
        <v>0</v>
      </c>
      <c r="R212" s="176">
        <v>0</v>
      </c>
      <c r="S212" s="177">
        <v>10.042440103505266</v>
      </c>
      <c r="T212" s="176">
        <v>0</v>
      </c>
      <c r="U212" s="177">
        <v>0</v>
      </c>
      <c r="V212" s="176">
        <v>0</v>
      </c>
      <c r="W212" s="177">
        <v>0</v>
      </c>
      <c r="X212" s="53">
        <v>0.20084561498332787</v>
      </c>
      <c r="Y212" s="151"/>
      <c r="Z212" s="151"/>
      <c r="AA212" s="151"/>
      <c r="AB212" s="151"/>
    </row>
    <row r="213" spans="1:28" ht="13">
      <c r="A213" s="170"/>
      <c r="B213" s="59" t="s">
        <v>853</v>
      </c>
      <c r="C213" s="179">
        <v>12582800</v>
      </c>
      <c r="D213" s="179"/>
      <c r="E213" s="179">
        <v>10845723</v>
      </c>
      <c r="F213" s="179">
        <v>398500</v>
      </c>
      <c r="G213" s="179"/>
      <c r="H213" s="179"/>
      <c r="I213" s="180">
        <v>23827023</v>
      </c>
      <c r="J213" s="179"/>
      <c r="K213" s="179">
        <v>3219700</v>
      </c>
      <c r="L213" s="179">
        <v>3779700</v>
      </c>
      <c r="M213" s="179">
        <v>2160700</v>
      </c>
      <c r="N213" s="179"/>
      <c r="O213" s="180">
        <v>9160100</v>
      </c>
      <c r="P213" s="179">
        <v>1212500</v>
      </c>
      <c r="Q213" s="179"/>
      <c r="R213" s="179"/>
      <c r="S213" s="180">
        <v>1212500</v>
      </c>
      <c r="T213" s="179"/>
      <c r="U213" s="180"/>
      <c r="V213" s="179"/>
      <c r="W213" s="180"/>
      <c r="X213" s="53">
        <v>34199623</v>
      </c>
      <c r="Y213" s="151"/>
      <c r="Z213" s="151"/>
      <c r="AA213" s="151"/>
      <c r="AB213" s="151"/>
    </row>
    <row r="214" spans="1:28" s="173" customFormat="1" ht="13">
      <c r="A214" s="170"/>
      <c r="B214" s="94" t="s">
        <v>854</v>
      </c>
      <c r="C214" s="171">
        <v>8157733.1900000004</v>
      </c>
      <c r="D214" s="171"/>
      <c r="E214" s="171">
        <v>10709089</v>
      </c>
      <c r="F214" s="171">
        <v>462865</v>
      </c>
      <c r="G214" s="171"/>
      <c r="H214" s="171"/>
      <c r="I214" s="172">
        <v>19329687.190000001</v>
      </c>
      <c r="J214" s="171"/>
      <c r="K214" s="171">
        <v>2879800</v>
      </c>
      <c r="L214" s="171">
        <v>3401600</v>
      </c>
      <c r="M214" s="171">
        <v>1985500</v>
      </c>
      <c r="N214" s="171"/>
      <c r="O214" s="172">
        <v>8266900</v>
      </c>
      <c r="P214" s="171">
        <v>1191900</v>
      </c>
      <c r="Q214" s="171"/>
      <c r="R214" s="171"/>
      <c r="S214" s="172">
        <v>1191900</v>
      </c>
      <c r="T214" s="171"/>
      <c r="U214" s="172"/>
      <c r="V214" s="171"/>
      <c r="W214" s="172"/>
      <c r="X214" s="53">
        <v>28788487.190000001</v>
      </c>
      <c r="Y214" s="151"/>
      <c r="Z214" s="151"/>
      <c r="AA214" s="151"/>
      <c r="AB214" s="151"/>
    </row>
    <row r="215" spans="1:28" s="178" customFormat="1" ht="13">
      <c r="A215" s="170"/>
      <c r="B215" s="175" t="s">
        <v>855</v>
      </c>
      <c r="C215" s="176">
        <v>-35.167584400928249</v>
      </c>
      <c r="D215" s="176">
        <v>0</v>
      </c>
      <c r="E215" s="176">
        <v>-1.2597961426822351</v>
      </c>
      <c r="F215" s="176">
        <v>16.151819322459222</v>
      </c>
      <c r="G215" s="176">
        <v>0</v>
      </c>
      <c r="H215" s="176">
        <v>0</v>
      </c>
      <c r="I215" s="177">
        <v>-18.874937964344092</v>
      </c>
      <c r="J215" s="176">
        <v>0</v>
      </c>
      <c r="K215" s="176">
        <v>-10.556884181756065</v>
      </c>
      <c r="L215" s="176">
        <v>-10.003439426409503</v>
      </c>
      <c r="M215" s="176">
        <v>-8.1084833618734677</v>
      </c>
      <c r="N215" s="176">
        <v>0</v>
      </c>
      <c r="O215" s="177">
        <v>-9.7509852512527146</v>
      </c>
      <c r="P215" s="176">
        <v>-1.6989690721649484</v>
      </c>
      <c r="Q215" s="176">
        <v>0</v>
      </c>
      <c r="R215" s="176">
        <v>0</v>
      </c>
      <c r="S215" s="177">
        <v>-1.6989690721649484</v>
      </c>
      <c r="T215" s="176">
        <v>0</v>
      </c>
      <c r="U215" s="177">
        <v>0</v>
      </c>
      <c r="V215" s="176">
        <v>0</v>
      </c>
      <c r="W215" s="177">
        <v>0</v>
      </c>
      <c r="X215" s="53">
        <v>-15.822208946572303</v>
      </c>
      <c r="Y215" s="151"/>
      <c r="Z215" s="151"/>
      <c r="AA215" s="151"/>
      <c r="AB215" s="151"/>
    </row>
    <row r="216" spans="1:28" ht="13">
      <c r="A216" s="170"/>
      <c r="B216" s="183" t="s">
        <v>856</v>
      </c>
      <c r="C216" s="180">
        <v>737608100</v>
      </c>
      <c r="D216" s="180"/>
      <c r="E216" s="180">
        <v>669592623</v>
      </c>
      <c r="F216" s="180">
        <v>14158522</v>
      </c>
      <c r="G216" s="180"/>
      <c r="H216" s="180"/>
      <c r="I216" s="180">
        <v>1421359245</v>
      </c>
      <c r="J216" s="180"/>
      <c r="K216" s="180">
        <v>73918200</v>
      </c>
      <c r="L216" s="180">
        <v>90416500</v>
      </c>
      <c r="M216" s="180">
        <v>53291400</v>
      </c>
      <c r="N216" s="180"/>
      <c r="O216" s="180">
        <v>217626100</v>
      </c>
      <c r="P216" s="180">
        <v>28380200</v>
      </c>
      <c r="Q216" s="180"/>
      <c r="R216" s="180"/>
      <c r="S216" s="180">
        <v>28380200</v>
      </c>
      <c r="T216" s="180"/>
      <c r="U216" s="180"/>
      <c r="V216" s="180">
        <v>0</v>
      </c>
      <c r="W216" s="180">
        <v>0</v>
      </c>
      <c r="X216" s="53">
        <v>1667365545</v>
      </c>
      <c r="Y216" s="151"/>
      <c r="Z216" s="151"/>
      <c r="AA216" s="151"/>
      <c r="AB216" s="151"/>
    </row>
    <row r="217" spans="1:28" s="173" customFormat="1" ht="13">
      <c r="A217" s="170"/>
      <c r="B217" s="184" t="s">
        <v>857</v>
      </c>
      <c r="C217" s="172">
        <v>744374108.18973899</v>
      </c>
      <c r="D217" s="172"/>
      <c r="E217" s="172">
        <v>655913431.13999999</v>
      </c>
      <c r="F217" s="172">
        <v>18233212</v>
      </c>
      <c r="G217" s="172"/>
      <c r="H217" s="172"/>
      <c r="I217" s="172">
        <v>1418520751.3297391</v>
      </c>
      <c r="J217" s="172"/>
      <c r="K217" s="172">
        <v>75113800</v>
      </c>
      <c r="L217" s="172">
        <v>88722600</v>
      </c>
      <c r="M217" s="172">
        <v>51789500</v>
      </c>
      <c r="N217" s="172"/>
      <c r="O217" s="172">
        <v>215625900</v>
      </c>
      <c r="P217" s="172">
        <v>31087900</v>
      </c>
      <c r="Q217" s="172"/>
      <c r="R217" s="172"/>
      <c r="S217" s="172">
        <v>31087900</v>
      </c>
      <c r="T217" s="172"/>
      <c r="U217" s="172"/>
      <c r="V217" s="172">
        <v>0</v>
      </c>
      <c r="W217" s="172">
        <v>0</v>
      </c>
      <c r="X217" s="53">
        <v>1665234551.3297391</v>
      </c>
      <c r="Y217" s="151"/>
      <c r="Z217" s="151"/>
      <c r="AA217" s="151"/>
      <c r="AB217" s="151"/>
    </row>
    <row r="218" spans="1:28" s="178" customFormat="1" ht="13">
      <c r="A218" s="170"/>
      <c r="B218" s="185" t="s">
        <v>858</v>
      </c>
      <c r="C218" s="177">
        <v>0.91729038628222614</v>
      </c>
      <c r="D218" s="177">
        <v>0</v>
      </c>
      <c r="E218" s="177">
        <v>-2.0429125695430512</v>
      </c>
      <c r="F218" s="177">
        <v>28.779063238380392</v>
      </c>
      <c r="G218" s="177">
        <v>0</v>
      </c>
      <c r="H218" s="177">
        <v>0</v>
      </c>
      <c r="I218" s="177">
        <v>-0.19970276200376819</v>
      </c>
      <c r="J218" s="177">
        <v>0</v>
      </c>
      <c r="K218" s="177">
        <v>1.6174636287139026</v>
      </c>
      <c r="L218" s="177">
        <v>-1.8734412413663435</v>
      </c>
      <c r="M218" s="177">
        <v>-2.8182783713694892</v>
      </c>
      <c r="N218" s="177">
        <v>0</v>
      </c>
      <c r="O218" s="177">
        <v>-0.91909931759104269</v>
      </c>
      <c r="P218" s="177">
        <v>9.5408066186989515</v>
      </c>
      <c r="Q218" s="177">
        <v>0</v>
      </c>
      <c r="R218" s="177">
        <v>0</v>
      </c>
      <c r="S218" s="177">
        <v>9.5408066186989515</v>
      </c>
      <c r="T218" s="177">
        <v>0</v>
      </c>
      <c r="U218" s="177">
        <v>0</v>
      </c>
      <c r="V218" s="177">
        <v>0</v>
      </c>
      <c r="W218" s="177">
        <v>0</v>
      </c>
      <c r="X218" s="53">
        <v>-0.12780602769747806</v>
      </c>
      <c r="Y218" s="151"/>
      <c r="Z218" s="151"/>
      <c r="AA218" s="151"/>
      <c r="AB218" s="151"/>
    </row>
    <row r="219" spans="1:28" ht="13">
      <c r="A219" s="170"/>
      <c r="B219" s="59" t="s">
        <v>859</v>
      </c>
      <c r="C219" s="179"/>
      <c r="D219" s="179"/>
      <c r="E219" s="179"/>
      <c r="F219" s="179"/>
      <c r="G219" s="179"/>
      <c r="H219" s="179"/>
      <c r="I219" s="180"/>
      <c r="J219" s="179"/>
      <c r="K219" s="179"/>
      <c r="L219" s="179"/>
      <c r="M219" s="179"/>
      <c r="N219" s="179"/>
      <c r="O219" s="180"/>
      <c r="P219" s="179"/>
      <c r="Q219" s="179"/>
      <c r="R219" s="179"/>
      <c r="S219" s="180"/>
      <c r="T219" s="179"/>
      <c r="U219" s="180"/>
      <c r="V219" s="179"/>
      <c r="W219" s="180"/>
      <c r="X219" s="53"/>
      <c r="Y219" s="151"/>
      <c r="Z219" s="151"/>
      <c r="AA219" s="151"/>
      <c r="AB219" s="151"/>
    </row>
    <row r="220" spans="1:28" s="173" customFormat="1" ht="13">
      <c r="A220" s="170"/>
      <c r="B220" s="94" t="s">
        <v>860</v>
      </c>
      <c r="C220" s="171"/>
      <c r="D220" s="171"/>
      <c r="E220" s="171"/>
      <c r="F220" s="171"/>
      <c r="G220" s="171"/>
      <c r="H220" s="171"/>
      <c r="I220" s="172"/>
      <c r="J220" s="171"/>
      <c r="K220" s="171"/>
      <c r="L220" s="171"/>
      <c r="M220" s="171"/>
      <c r="N220" s="171"/>
      <c r="O220" s="172"/>
      <c r="P220" s="171"/>
      <c r="Q220" s="171"/>
      <c r="R220" s="171"/>
      <c r="S220" s="172"/>
      <c r="T220" s="171"/>
      <c r="U220" s="172"/>
      <c r="V220" s="171"/>
      <c r="W220" s="172"/>
      <c r="X220" s="53"/>
      <c r="Y220" s="151"/>
      <c r="Z220" s="151"/>
      <c r="AA220" s="151"/>
      <c r="AB220" s="151"/>
    </row>
    <row r="221" spans="1:28" s="178" customFormat="1" ht="13">
      <c r="A221" s="170"/>
      <c r="B221" s="175" t="s">
        <v>861</v>
      </c>
      <c r="C221" s="176">
        <v>0</v>
      </c>
      <c r="D221" s="176">
        <v>0</v>
      </c>
      <c r="E221" s="176">
        <v>0</v>
      </c>
      <c r="F221" s="176">
        <v>0</v>
      </c>
      <c r="G221" s="176">
        <v>0</v>
      </c>
      <c r="H221" s="176">
        <v>0</v>
      </c>
      <c r="I221" s="177">
        <v>0</v>
      </c>
      <c r="J221" s="176">
        <v>0</v>
      </c>
      <c r="K221" s="176">
        <v>0</v>
      </c>
      <c r="L221" s="176">
        <v>0</v>
      </c>
      <c r="M221" s="176">
        <v>0</v>
      </c>
      <c r="N221" s="176">
        <v>0</v>
      </c>
      <c r="O221" s="177">
        <v>0</v>
      </c>
      <c r="P221" s="176">
        <v>0</v>
      </c>
      <c r="Q221" s="176">
        <v>0</v>
      </c>
      <c r="R221" s="176">
        <v>0</v>
      </c>
      <c r="S221" s="177">
        <v>0</v>
      </c>
      <c r="T221" s="176">
        <v>0</v>
      </c>
      <c r="U221" s="177">
        <v>0</v>
      </c>
      <c r="V221" s="176">
        <v>0</v>
      </c>
      <c r="W221" s="177">
        <v>0</v>
      </c>
      <c r="X221" s="53">
        <v>0</v>
      </c>
      <c r="Y221" s="151"/>
      <c r="Z221" s="151"/>
      <c r="AA221" s="151"/>
      <c r="AB221" s="151"/>
    </row>
    <row r="222" spans="1:28" ht="13">
      <c r="A222" s="170"/>
      <c r="B222" s="59" t="s">
        <v>862</v>
      </c>
      <c r="C222" s="179"/>
      <c r="D222" s="179"/>
      <c r="E222" s="179"/>
      <c r="F222" s="179"/>
      <c r="G222" s="179"/>
      <c r="H222" s="179"/>
      <c r="I222" s="180"/>
      <c r="J222" s="179"/>
      <c r="K222" s="179"/>
      <c r="L222" s="179"/>
      <c r="M222" s="179"/>
      <c r="N222" s="179"/>
      <c r="O222" s="180"/>
      <c r="P222" s="179"/>
      <c r="Q222" s="179"/>
      <c r="R222" s="179"/>
      <c r="S222" s="180"/>
      <c r="T222" s="179"/>
      <c r="U222" s="180"/>
      <c r="V222" s="179"/>
      <c r="W222" s="180"/>
      <c r="X222" s="53"/>
      <c r="Y222" s="151"/>
      <c r="Z222" s="151"/>
      <c r="AA222" s="151"/>
      <c r="AB222" s="151"/>
    </row>
    <row r="223" spans="1:28" s="173" customFormat="1" ht="13">
      <c r="A223" s="170"/>
      <c r="B223" s="94" t="s">
        <v>863</v>
      </c>
      <c r="C223" s="171"/>
      <c r="D223" s="171"/>
      <c r="E223" s="171"/>
      <c r="F223" s="171"/>
      <c r="G223" s="171"/>
      <c r="H223" s="171"/>
      <c r="I223" s="172"/>
      <c r="J223" s="171"/>
      <c r="K223" s="171"/>
      <c r="L223" s="171"/>
      <c r="M223" s="171"/>
      <c r="N223" s="171"/>
      <c r="O223" s="172"/>
      <c r="P223" s="171"/>
      <c r="Q223" s="171"/>
      <c r="R223" s="171"/>
      <c r="S223" s="172"/>
      <c r="T223" s="171"/>
      <c r="U223" s="172"/>
      <c r="V223" s="171"/>
      <c r="W223" s="172"/>
      <c r="X223" s="53"/>
      <c r="Y223" s="151"/>
      <c r="Z223" s="151"/>
      <c r="AA223" s="151"/>
      <c r="AB223" s="151"/>
    </row>
    <row r="224" spans="1:28" s="178" customFormat="1" ht="13">
      <c r="A224" s="170"/>
      <c r="B224" s="175" t="s">
        <v>864</v>
      </c>
      <c r="C224" s="176">
        <v>0</v>
      </c>
      <c r="D224" s="176">
        <v>0</v>
      </c>
      <c r="E224" s="176">
        <v>0</v>
      </c>
      <c r="F224" s="176">
        <v>0</v>
      </c>
      <c r="G224" s="176">
        <v>0</v>
      </c>
      <c r="H224" s="176">
        <v>0</v>
      </c>
      <c r="I224" s="177">
        <v>0</v>
      </c>
      <c r="J224" s="176">
        <v>0</v>
      </c>
      <c r="K224" s="176">
        <v>0</v>
      </c>
      <c r="L224" s="176">
        <v>0</v>
      </c>
      <c r="M224" s="176">
        <v>0</v>
      </c>
      <c r="N224" s="176">
        <v>0</v>
      </c>
      <c r="O224" s="177">
        <v>0</v>
      </c>
      <c r="P224" s="176">
        <v>0</v>
      </c>
      <c r="Q224" s="176">
        <v>0</v>
      </c>
      <c r="R224" s="176">
        <v>0</v>
      </c>
      <c r="S224" s="177">
        <v>0</v>
      </c>
      <c r="T224" s="176">
        <v>0</v>
      </c>
      <c r="U224" s="177">
        <v>0</v>
      </c>
      <c r="V224" s="176">
        <v>0</v>
      </c>
      <c r="W224" s="177">
        <v>0</v>
      </c>
      <c r="X224" s="53">
        <v>0</v>
      </c>
      <c r="Y224" s="151"/>
      <c r="Z224" s="151"/>
      <c r="AA224" s="151"/>
      <c r="AB224" s="151"/>
    </row>
    <row r="225" spans="1:28" ht="13">
      <c r="A225" s="170"/>
      <c r="B225" s="59" t="s">
        <v>865</v>
      </c>
      <c r="C225" s="179"/>
      <c r="D225" s="179"/>
      <c r="E225" s="179"/>
      <c r="F225" s="179"/>
      <c r="G225" s="179"/>
      <c r="H225" s="179"/>
      <c r="I225" s="180"/>
      <c r="J225" s="179"/>
      <c r="K225" s="179"/>
      <c r="L225" s="179"/>
      <c r="M225" s="179"/>
      <c r="N225" s="179"/>
      <c r="O225" s="180"/>
      <c r="P225" s="179"/>
      <c r="Q225" s="179"/>
      <c r="R225" s="179"/>
      <c r="S225" s="180"/>
      <c r="T225" s="179"/>
      <c r="U225" s="180"/>
      <c r="V225" s="179"/>
      <c r="W225" s="180"/>
      <c r="X225" s="53"/>
      <c r="Y225" s="151"/>
      <c r="Z225" s="151"/>
      <c r="AA225" s="151"/>
      <c r="AB225" s="151"/>
    </row>
    <row r="226" spans="1:28" s="173" customFormat="1" ht="13">
      <c r="A226" s="170"/>
      <c r="B226" s="94" t="s">
        <v>866</v>
      </c>
      <c r="C226" s="171"/>
      <c r="D226" s="171"/>
      <c r="E226" s="171"/>
      <c r="F226" s="171"/>
      <c r="G226" s="171"/>
      <c r="H226" s="171"/>
      <c r="I226" s="172"/>
      <c r="J226" s="171"/>
      <c r="K226" s="171"/>
      <c r="L226" s="171"/>
      <c r="M226" s="171"/>
      <c r="N226" s="171"/>
      <c r="O226" s="172"/>
      <c r="P226" s="171"/>
      <c r="Q226" s="171"/>
      <c r="R226" s="171"/>
      <c r="S226" s="172"/>
      <c r="T226" s="171"/>
      <c r="U226" s="172"/>
      <c r="V226" s="171"/>
      <c r="W226" s="172"/>
      <c r="X226" s="53"/>
      <c r="Y226" s="151"/>
      <c r="Z226" s="151"/>
      <c r="AA226" s="151"/>
      <c r="AB226" s="151"/>
    </row>
    <row r="227" spans="1:28" s="178" customFormat="1" ht="13">
      <c r="A227" s="170"/>
      <c r="B227" s="175" t="s">
        <v>867</v>
      </c>
      <c r="C227" s="176">
        <v>0</v>
      </c>
      <c r="D227" s="176">
        <v>0</v>
      </c>
      <c r="E227" s="176">
        <v>0</v>
      </c>
      <c r="F227" s="176">
        <v>0</v>
      </c>
      <c r="G227" s="176">
        <v>0</v>
      </c>
      <c r="H227" s="176">
        <v>0</v>
      </c>
      <c r="I227" s="177">
        <v>0</v>
      </c>
      <c r="J227" s="176">
        <v>0</v>
      </c>
      <c r="K227" s="176">
        <v>0</v>
      </c>
      <c r="L227" s="176">
        <v>0</v>
      </c>
      <c r="M227" s="176">
        <v>0</v>
      </c>
      <c r="N227" s="176">
        <v>0</v>
      </c>
      <c r="O227" s="177">
        <v>0</v>
      </c>
      <c r="P227" s="176">
        <v>0</v>
      </c>
      <c r="Q227" s="176">
        <v>0</v>
      </c>
      <c r="R227" s="176">
        <v>0</v>
      </c>
      <c r="S227" s="177">
        <v>0</v>
      </c>
      <c r="T227" s="176">
        <v>0</v>
      </c>
      <c r="U227" s="177">
        <v>0</v>
      </c>
      <c r="V227" s="176">
        <v>0</v>
      </c>
      <c r="W227" s="177">
        <v>0</v>
      </c>
      <c r="X227" s="53">
        <v>0</v>
      </c>
      <c r="Y227" s="151"/>
      <c r="Z227" s="151"/>
      <c r="AA227" s="151"/>
      <c r="AB227" s="151"/>
    </row>
    <row r="228" spans="1:28" ht="13">
      <c r="A228" s="170"/>
      <c r="B228" s="59" t="s">
        <v>868</v>
      </c>
      <c r="C228" s="179">
        <v>0</v>
      </c>
      <c r="D228" s="179"/>
      <c r="E228" s="179">
        <v>0</v>
      </c>
      <c r="F228" s="179">
        <v>0</v>
      </c>
      <c r="G228" s="179"/>
      <c r="H228" s="179"/>
      <c r="I228" s="180">
        <v>0</v>
      </c>
      <c r="J228" s="179"/>
      <c r="K228" s="179">
        <v>0</v>
      </c>
      <c r="L228" s="179">
        <v>0</v>
      </c>
      <c r="M228" s="179">
        <v>0</v>
      </c>
      <c r="N228" s="179"/>
      <c r="O228" s="180">
        <v>0</v>
      </c>
      <c r="P228" s="179">
        <v>0</v>
      </c>
      <c r="Q228" s="179"/>
      <c r="R228" s="179"/>
      <c r="S228" s="180">
        <v>0</v>
      </c>
      <c r="T228" s="179"/>
      <c r="U228" s="180"/>
      <c r="V228" s="179">
        <v>0</v>
      </c>
      <c r="W228" s="180">
        <v>0</v>
      </c>
      <c r="X228" s="53">
        <v>0</v>
      </c>
      <c r="Y228" s="151"/>
      <c r="Z228" s="151"/>
      <c r="AA228" s="151"/>
      <c r="AB228" s="151"/>
    </row>
    <row r="229" spans="1:28" s="173" customFormat="1" ht="13">
      <c r="A229" s="170"/>
      <c r="B229" s="94" t="s">
        <v>869</v>
      </c>
      <c r="C229" s="171">
        <v>0</v>
      </c>
      <c r="D229" s="171"/>
      <c r="E229" s="171">
        <v>0</v>
      </c>
      <c r="F229" s="171">
        <v>0</v>
      </c>
      <c r="G229" s="171"/>
      <c r="H229" s="171"/>
      <c r="I229" s="172">
        <v>0</v>
      </c>
      <c r="J229" s="171"/>
      <c r="K229" s="171">
        <v>0</v>
      </c>
      <c r="L229" s="171">
        <v>0</v>
      </c>
      <c r="M229" s="171">
        <v>0</v>
      </c>
      <c r="N229" s="171"/>
      <c r="O229" s="172">
        <v>0</v>
      </c>
      <c r="P229" s="171">
        <v>0</v>
      </c>
      <c r="Q229" s="171"/>
      <c r="R229" s="171"/>
      <c r="S229" s="172">
        <v>0</v>
      </c>
      <c r="T229" s="171"/>
      <c r="U229" s="172"/>
      <c r="V229" s="171">
        <v>0</v>
      </c>
      <c r="W229" s="172">
        <v>0</v>
      </c>
      <c r="X229" s="53">
        <v>0</v>
      </c>
      <c r="Y229" s="151"/>
      <c r="Z229" s="151"/>
      <c r="AA229" s="151"/>
      <c r="AB229" s="151"/>
    </row>
    <row r="230" spans="1:28" s="178" customFormat="1" ht="13">
      <c r="A230" s="170"/>
      <c r="B230" s="175" t="s">
        <v>870</v>
      </c>
      <c r="C230" s="176">
        <v>0</v>
      </c>
      <c r="D230" s="176">
        <v>0</v>
      </c>
      <c r="E230" s="176">
        <v>0</v>
      </c>
      <c r="F230" s="176">
        <v>0</v>
      </c>
      <c r="G230" s="176">
        <v>0</v>
      </c>
      <c r="H230" s="176">
        <v>0</v>
      </c>
      <c r="I230" s="177">
        <v>0</v>
      </c>
      <c r="J230" s="176">
        <v>0</v>
      </c>
      <c r="K230" s="176">
        <v>0</v>
      </c>
      <c r="L230" s="176">
        <v>0</v>
      </c>
      <c r="M230" s="176">
        <v>0</v>
      </c>
      <c r="N230" s="176">
        <v>0</v>
      </c>
      <c r="O230" s="177">
        <v>0</v>
      </c>
      <c r="P230" s="176">
        <v>0</v>
      </c>
      <c r="Q230" s="176">
        <v>0</v>
      </c>
      <c r="R230" s="176">
        <v>0</v>
      </c>
      <c r="S230" s="177">
        <v>0</v>
      </c>
      <c r="T230" s="176">
        <v>0</v>
      </c>
      <c r="U230" s="177">
        <v>0</v>
      </c>
      <c r="V230" s="176">
        <v>0</v>
      </c>
      <c r="W230" s="177">
        <v>0</v>
      </c>
      <c r="X230" s="53">
        <v>0</v>
      </c>
      <c r="Y230" s="151"/>
      <c r="Z230" s="151"/>
      <c r="AA230" s="151"/>
      <c r="AB230" s="151"/>
    </row>
    <row r="231" spans="1:28" ht="13">
      <c r="A231" s="170"/>
      <c r="B231" s="59" t="s">
        <v>871</v>
      </c>
      <c r="C231" s="179">
        <v>65120366.947465003</v>
      </c>
      <c r="D231" s="179"/>
      <c r="E231" s="179"/>
      <c r="F231" s="179"/>
      <c r="G231" s="179"/>
      <c r="H231" s="179"/>
      <c r="I231" s="180">
        <v>65120366.947465003</v>
      </c>
      <c r="J231" s="179"/>
      <c r="K231" s="179"/>
      <c r="L231" s="179"/>
      <c r="M231" s="179"/>
      <c r="N231" s="179"/>
      <c r="O231" s="180"/>
      <c r="P231" s="179"/>
      <c r="Q231" s="179"/>
      <c r="R231" s="179"/>
      <c r="S231" s="180"/>
      <c r="T231" s="179"/>
      <c r="U231" s="180"/>
      <c r="V231" s="179"/>
      <c r="W231" s="180"/>
      <c r="X231" s="53">
        <v>65120366.947465003</v>
      </c>
      <c r="Y231" s="151"/>
      <c r="Z231" s="151"/>
      <c r="AA231" s="151"/>
      <c r="AB231" s="151"/>
    </row>
    <row r="232" spans="1:28" s="173" customFormat="1" ht="13">
      <c r="A232" s="170"/>
      <c r="B232" s="94" t="s">
        <v>872</v>
      </c>
      <c r="C232" s="171">
        <v>65320465</v>
      </c>
      <c r="D232" s="171"/>
      <c r="E232" s="171"/>
      <c r="F232" s="171"/>
      <c r="G232" s="171"/>
      <c r="H232" s="171"/>
      <c r="I232" s="172">
        <v>65320465</v>
      </c>
      <c r="J232" s="171"/>
      <c r="K232" s="171"/>
      <c r="L232" s="171"/>
      <c r="M232" s="171"/>
      <c r="N232" s="171"/>
      <c r="O232" s="172"/>
      <c r="P232" s="171"/>
      <c r="Q232" s="171"/>
      <c r="R232" s="171"/>
      <c r="S232" s="172"/>
      <c r="T232" s="171"/>
      <c r="U232" s="172"/>
      <c r="V232" s="171"/>
      <c r="W232" s="172"/>
      <c r="X232" s="53">
        <v>65320465</v>
      </c>
      <c r="Y232" s="151"/>
      <c r="Z232" s="151"/>
      <c r="AA232" s="151"/>
      <c r="AB232" s="151"/>
    </row>
    <row r="233" spans="1:28" s="178" customFormat="1" ht="13">
      <c r="A233" s="170"/>
      <c r="B233" s="175" t="s">
        <v>873</v>
      </c>
      <c r="C233" s="176">
        <v>0.30727414772773615</v>
      </c>
      <c r="D233" s="176">
        <v>0</v>
      </c>
      <c r="E233" s="176">
        <v>0</v>
      </c>
      <c r="F233" s="176">
        <v>0</v>
      </c>
      <c r="G233" s="176">
        <v>0</v>
      </c>
      <c r="H233" s="176">
        <v>0</v>
      </c>
      <c r="I233" s="177">
        <v>0.30727414772773615</v>
      </c>
      <c r="J233" s="176">
        <v>0</v>
      </c>
      <c r="K233" s="176">
        <v>0</v>
      </c>
      <c r="L233" s="176">
        <v>0</v>
      </c>
      <c r="M233" s="176">
        <v>0</v>
      </c>
      <c r="N233" s="176">
        <v>0</v>
      </c>
      <c r="O233" s="177">
        <v>0</v>
      </c>
      <c r="P233" s="176">
        <v>0</v>
      </c>
      <c r="Q233" s="176">
        <v>0</v>
      </c>
      <c r="R233" s="176">
        <v>0</v>
      </c>
      <c r="S233" s="177">
        <v>0</v>
      </c>
      <c r="T233" s="176">
        <v>0</v>
      </c>
      <c r="U233" s="177">
        <v>0</v>
      </c>
      <c r="V233" s="176">
        <v>0</v>
      </c>
      <c r="W233" s="177">
        <v>0</v>
      </c>
      <c r="X233" s="53">
        <v>0.30727414772773615</v>
      </c>
      <c r="Y233" s="151"/>
      <c r="Z233" s="151"/>
      <c r="AA233" s="151"/>
      <c r="AB233" s="151"/>
    </row>
    <row r="234" spans="1:28" ht="13">
      <c r="A234" s="170"/>
      <c r="B234" s="59" t="s">
        <v>874</v>
      </c>
      <c r="C234" s="179">
        <v>102643301</v>
      </c>
      <c r="D234" s="179"/>
      <c r="E234" s="179"/>
      <c r="F234" s="179"/>
      <c r="G234" s="179"/>
      <c r="H234" s="179"/>
      <c r="I234" s="180">
        <v>102643301</v>
      </c>
      <c r="J234" s="179"/>
      <c r="K234" s="179"/>
      <c r="L234" s="179"/>
      <c r="M234" s="179"/>
      <c r="N234" s="179"/>
      <c r="O234" s="180"/>
      <c r="P234" s="179"/>
      <c r="Q234" s="179"/>
      <c r="R234" s="179"/>
      <c r="S234" s="180"/>
      <c r="T234" s="179"/>
      <c r="U234" s="180"/>
      <c r="V234" s="179"/>
      <c r="W234" s="180"/>
      <c r="X234" s="53">
        <v>102643301</v>
      </c>
      <c r="Y234" s="151"/>
      <c r="Z234" s="151"/>
      <c r="AA234" s="151"/>
      <c r="AB234" s="151"/>
    </row>
    <row r="235" spans="1:28" s="173" customFormat="1" ht="13">
      <c r="A235" s="170"/>
      <c r="B235" s="94" t="s">
        <v>875</v>
      </c>
      <c r="C235" s="171">
        <v>108389311.8102614</v>
      </c>
      <c r="D235" s="171"/>
      <c r="E235" s="171"/>
      <c r="F235" s="171"/>
      <c r="G235" s="171"/>
      <c r="H235" s="171"/>
      <c r="I235" s="172">
        <v>108389311.8102614</v>
      </c>
      <c r="J235" s="171"/>
      <c r="K235" s="171"/>
      <c r="L235" s="171"/>
      <c r="M235" s="171"/>
      <c r="N235" s="171"/>
      <c r="O235" s="172"/>
      <c r="P235" s="171"/>
      <c r="Q235" s="171"/>
      <c r="R235" s="171"/>
      <c r="S235" s="172"/>
      <c r="T235" s="171"/>
      <c r="U235" s="172"/>
      <c r="V235" s="171"/>
      <c r="W235" s="172"/>
      <c r="X235" s="53">
        <v>108389311.8102614</v>
      </c>
      <c r="Y235" s="151"/>
      <c r="Z235" s="151"/>
      <c r="AA235" s="151"/>
      <c r="AB235" s="151"/>
    </row>
    <row r="236" spans="1:28" s="178" customFormat="1" ht="13">
      <c r="A236" s="170"/>
      <c r="B236" s="175" t="s">
        <v>876</v>
      </c>
      <c r="C236" s="176">
        <v>5.5980378205698962</v>
      </c>
      <c r="D236" s="176">
        <v>0</v>
      </c>
      <c r="E236" s="176">
        <v>0</v>
      </c>
      <c r="F236" s="176">
        <v>0</v>
      </c>
      <c r="G236" s="176">
        <v>0</v>
      </c>
      <c r="H236" s="176">
        <v>0</v>
      </c>
      <c r="I236" s="177">
        <v>5.5980378205698962</v>
      </c>
      <c r="J236" s="176">
        <v>0</v>
      </c>
      <c r="K236" s="176">
        <v>0</v>
      </c>
      <c r="L236" s="176">
        <v>0</v>
      </c>
      <c r="M236" s="176">
        <v>0</v>
      </c>
      <c r="N236" s="176">
        <v>0</v>
      </c>
      <c r="O236" s="177">
        <v>0</v>
      </c>
      <c r="P236" s="176">
        <v>0</v>
      </c>
      <c r="Q236" s="176">
        <v>0</v>
      </c>
      <c r="R236" s="176">
        <v>0</v>
      </c>
      <c r="S236" s="177">
        <v>0</v>
      </c>
      <c r="T236" s="176">
        <v>0</v>
      </c>
      <c r="U236" s="177">
        <v>0</v>
      </c>
      <c r="V236" s="176">
        <v>0</v>
      </c>
      <c r="W236" s="177">
        <v>0</v>
      </c>
      <c r="X236" s="53">
        <v>5.5980378205698962</v>
      </c>
      <c r="Y236" s="151"/>
      <c r="Z236" s="151"/>
      <c r="AA236" s="151"/>
      <c r="AB236" s="151"/>
    </row>
    <row r="237" spans="1:28" ht="13">
      <c r="A237" s="170"/>
      <c r="B237" s="59" t="s">
        <v>877</v>
      </c>
      <c r="C237" s="179">
        <v>1087393300</v>
      </c>
      <c r="D237" s="179"/>
      <c r="E237" s="179">
        <v>931572000</v>
      </c>
      <c r="F237" s="179">
        <v>39516522</v>
      </c>
      <c r="G237" s="179"/>
      <c r="H237" s="179"/>
      <c r="I237" s="180">
        <v>2058481822</v>
      </c>
      <c r="J237" s="179"/>
      <c r="K237" s="179">
        <v>102084000</v>
      </c>
      <c r="L237" s="179">
        <v>138270600</v>
      </c>
      <c r="M237" s="179">
        <v>92643500</v>
      </c>
      <c r="N237" s="179"/>
      <c r="O237" s="180">
        <v>332998100</v>
      </c>
      <c r="P237" s="179">
        <v>42385800</v>
      </c>
      <c r="Q237" s="179"/>
      <c r="R237" s="179"/>
      <c r="S237" s="180">
        <v>42385800</v>
      </c>
      <c r="T237" s="179"/>
      <c r="U237" s="180"/>
      <c r="V237" s="179">
        <v>0</v>
      </c>
      <c r="W237" s="180">
        <v>0</v>
      </c>
      <c r="X237" s="53">
        <v>2433865722</v>
      </c>
      <c r="Y237" s="151"/>
      <c r="Z237" s="151"/>
      <c r="AA237" s="151"/>
      <c r="AB237" s="151"/>
    </row>
    <row r="238" spans="1:28" s="173" customFormat="1" ht="13">
      <c r="A238" s="170"/>
      <c r="B238" s="94" t="s">
        <v>878</v>
      </c>
      <c r="C238" s="171">
        <v>1090468509.9997389</v>
      </c>
      <c r="D238" s="171"/>
      <c r="E238" s="171">
        <v>918056842.13999999</v>
      </c>
      <c r="F238" s="171">
        <v>43154647</v>
      </c>
      <c r="G238" s="171"/>
      <c r="H238" s="171"/>
      <c r="I238" s="172">
        <v>2051679999.139739</v>
      </c>
      <c r="J238" s="171"/>
      <c r="K238" s="171">
        <v>103014900</v>
      </c>
      <c r="L238" s="171">
        <v>135715100</v>
      </c>
      <c r="M238" s="171">
        <v>89428700</v>
      </c>
      <c r="N238" s="171"/>
      <c r="O238" s="172">
        <v>328158700</v>
      </c>
      <c r="P238" s="171">
        <v>44896400</v>
      </c>
      <c r="Q238" s="171"/>
      <c r="R238" s="171"/>
      <c r="S238" s="172">
        <v>44896400</v>
      </c>
      <c r="T238" s="171"/>
      <c r="U238" s="172"/>
      <c r="V238" s="171">
        <v>250000</v>
      </c>
      <c r="W238" s="172">
        <v>250000</v>
      </c>
      <c r="X238" s="53">
        <v>2424985099.139739</v>
      </c>
      <c r="Y238" s="151"/>
      <c r="Z238" s="151"/>
      <c r="AA238" s="151"/>
      <c r="AB238" s="151"/>
    </row>
    <row r="239" spans="1:28" s="192" customFormat="1" ht="13.5" thickBot="1">
      <c r="A239" s="186"/>
      <c r="B239" s="187" t="s">
        <v>879</v>
      </c>
      <c r="C239" s="188">
        <v>0.28280567847336668</v>
      </c>
      <c r="D239" s="188">
        <v>0</v>
      </c>
      <c r="E239" s="188">
        <v>-1.4507904767425399</v>
      </c>
      <c r="F239" s="188">
        <v>9.2065921186080093</v>
      </c>
      <c r="G239" s="188">
        <v>0</v>
      </c>
      <c r="H239" s="188">
        <v>0</v>
      </c>
      <c r="I239" s="189">
        <v>-0.33042909524711672</v>
      </c>
      <c r="J239" s="188">
        <v>0</v>
      </c>
      <c r="K239" s="188">
        <v>0.91189608557658408</v>
      </c>
      <c r="L239" s="188">
        <v>-1.8481875395058676</v>
      </c>
      <c r="M239" s="188">
        <v>-3.4700761521315577</v>
      </c>
      <c r="N239" s="188">
        <v>0</v>
      </c>
      <c r="O239" s="189">
        <v>-1.4532815652701923</v>
      </c>
      <c r="P239" s="188">
        <v>5.9232101316950487</v>
      </c>
      <c r="Q239" s="188">
        <v>0</v>
      </c>
      <c r="R239" s="188">
        <v>0</v>
      </c>
      <c r="S239" s="189">
        <v>5.9232101316950487</v>
      </c>
      <c r="T239" s="188">
        <v>0</v>
      </c>
      <c r="U239" s="189">
        <v>0</v>
      </c>
      <c r="V239" s="188">
        <v>0</v>
      </c>
      <c r="W239" s="189">
        <v>0</v>
      </c>
      <c r="X239" s="53">
        <v>-0.36487727239789619</v>
      </c>
      <c r="Y239" s="151"/>
      <c r="Z239" s="151"/>
      <c r="AA239" s="151"/>
      <c r="AB239" s="151"/>
    </row>
    <row r="240" spans="1:28" ht="13.5" thickTop="1">
      <c r="A240" s="147" t="s">
        <v>492</v>
      </c>
      <c r="B240" s="167" t="s">
        <v>754</v>
      </c>
      <c r="C240" s="168">
        <v>125224723</v>
      </c>
      <c r="D240" s="168">
        <v>107131399</v>
      </c>
      <c r="E240" s="168">
        <v>102655365</v>
      </c>
      <c r="F240" s="168">
        <v>62001000</v>
      </c>
      <c r="G240" s="168">
        <v>9718803</v>
      </c>
      <c r="H240" s="168">
        <v>5367560</v>
      </c>
      <c r="I240" s="169">
        <v>412098850</v>
      </c>
      <c r="J240" s="168"/>
      <c r="K240" s="168">
        <v>42528783</v>
      </c>
      <c r="L240" s="168">
        <v>45670866</v>
      </c>
      <c r="M240" s="168">
        <v>10378081</v>
      </c>
      <c r="N240" s="168"/>
      <c r="O240" s="169">
        <v>98577730</v>
      </c>
      <c r="P240" s="168">
        <v>27276674</v>
      </c>
      <c r="Q240" s="168">
        <v>4488076</v>
      </c>
      <c r="R240" s="168"/>
      <c r="S240" s="169">
        <v>31764750</v>
      </c>
      <c r="T240" s="168">
        <v>4477653</v>
      </c>
      <c r="U240" s="169">
        <v>4477653</v>
      </c>
      <c r="V240" s="168"/>
      <c r="W240" s="169"/>
      <c r="X240" s="53">
        <v>546918983</v>
      </c>
      <c r="Y240" s="151"/>
      <c r="Z240" s="151"/>
      <c r="AA240" s="151"/>
      <c r="AB240" s="151"/>
    </row>
    <row r="241" spans="1:28" s="173" customFormat="1" ht="13">
      <c r="A241" s="170"/>
      <c r="B241" s="94" t="s">
        <v>755</v>
      </c>
      <c r="C241" s="171">
        <v>115694350</v>
      </c>
      <c r="D241" s="171">
        <v>81457270</v>
      </c>
      <c r="E241" s="171">
        <v>80805383</v>
      </c>
      <c r="F241" s="171">
        <v>49594629</v>
      </c>
      <c r="G241" s="171">
        <v>8661520</v>
      </c>
      <c r="H241" s="171">
        <v>2693020</v>
      </c>
      <c r="I241" s="172">
        <v>338906172</v>
      </c>
      <c r="J241" s="171"/>
      <c r="K241" s="171">
        <v>35338602</v>
      </c>
      <c r="L241" s="171">
        <v>35112958</v>
      </c>
      <c r="M241" s="171">
        <v>8548493</v>
      </c>
      <c r="N241" s="171"/>
      <c r="O241" s="172">
        <v>79000053</v>
      </c>
      <c r="P241" s="171">
        <v>23540704</v>
      </c>
      <c r="Q241" s="171">
        <v>3512971</v>
      </c>
      <c r="R241" s="171"/>
      <c r="S241" s="172">
        <v>27053675</v>
      </c>
      <c r="T241" s="171">
        <v>3908258</v>
      </c>
      <c r="U241" s="172">
        <v>3908258</v>
      </c>
      <c r="V241" s="171"/>
      <c r="W241" s="172"/>
      <c r="X241" s="53">
        <v>448868158</v>
      </c>
      <c r="Y241" s="151"/>
      <c r="Z241" s="151"/>
      <c r="AA241" s="151"/>
      <c r="AB241" s="151"/>
    </row>
    <row r="242" spans="1:28" s="178" customFormat="1" ht="13">
      <c r="A242" s="174"/>
      <c r="B242" s="175" t="s">
        <v>849</v>
      </c>
      <c r="C242" s="176">
        <v>-7.6106161560445207</v>
      </c>
      <c r="D242" s="176">
        <v>-23.965083289913913</v>
      </c>
      <c r="E242" s="176">
        <v>-21.284793054897815</v>
      </c>
      <c r="F242" s="176">
        <v>-20.009953065273141</v>
      </c>
      <c r="G242" s="176">
        <v>-10.8787368156346</v>
      </c>
      <c r="H242" s="176">
        <v>-49.827854742191988</v>
      </c>
      <c r="I242" s="177">
        <v>-17.760951771644109</v>
      </c>
      <c r="J242" s="176">
        <v>0</v>
      </c>
      <c r="K242" s="176">
        <v>-16.906622980488297</v>
      </c>
      <c r="L242" s="176">
        <v>-23.117380782751088</v>
      </c>
      <c r="M242" s="176">
        <v>-17.629347853422995</v>
      </c>
      <c r="N242" s="176">
        <v>0</v>
      </c>
      <c r="O242" s="177">
        <v>-19.860141839338358</v>
      </c>
      <c r="P242" s="176">
        <v>-13.696574589702543</v>
      </c>
      <c r="Q242" s="176">
        <v>-21.726570583920594</v>
      </c>
      <c r="R242" s="176">
        <v>0</v>
      </c>
      <c r="S242" s="177">
        <v>-14.831141438229483</v>
      </c>
      <c r="T242" s="176">
        <v>-12.716371724204622</v>
      </c>
      <c r="U242" s="177">
        <v>-12.716371724204622</v>
      </c>
      <c r="V242" s="176">
        <v>0</v>
      </c>
      <c r="W242" s="177">
        <v>0</v>
      </c>
      <c r="X242" s="53">
        <v>-17.927851847848551</v>
      </c>
      <c r="Y242" s="151"/>
      <c r="Z242" s="151"/>
      <c r="AA242" s="151"/>
      <c r="AB242" s="151"/>
    </row>
    <row r="243" spans="1:28" ht="13">
      <c r="A243" s="170"/>
      <c r="B243" s="59" t="s">
        <v>756</v>
      </c>
      <c r="C243" s="179">
        <v>70963310</v>
      </c>
      <c r="D243" s="179"/>
      <c r="E243" s="179">
        <v>5797292</v>
      </c>
      <c r="F243" s="179"/>
      <c r="G243" s="179"/>
      <c r="H243" s="179"/>
      <c r="I243" s="180">
        <v>76760602</v>
      </c>
      <c r="J243" s="179"/>
      <c r="K243" s="179"/>
      <c r="L243" s="179"/>
      <c r="M243" s="179"/>
      <c r="N243" s="179"/>
      <c r="O243" s="180"/>
      <c r="P243" s="179"/>
      <c r="Q243" s="179"/>
      <c r="R243" s="179"/>
      <c r="S243" s="180"/>
      <c r="T243" s="179"/>
      <c r="U243" s="180"/>
      <c r="V243" s="179"/>
      <c r="W243" s="180"/>
      <c r="X243" s="53">
        <v>76760602</v>
      </c>
      <c r="Y243" s="151"/>
      <c r="Z243" s="151"/>
      <c r="AA243" s="151"/>
      <c r="AB243" s="151"/>
    </row>
    <row r="244" spans="1:28" s="173" customFormat="1" ht="13">
      <c r="A244" s="170"/>
      <c r="B244" s="94" t="s">
        <v>757</v>
      </c>
      <c r="C244" s="171">
        <v>78416364</v>
      </c>
      <c r="D244" s="171"/>
      <c r="E244" s="171">
        <v>6711927</v>
      </c>
      <c r="F244" s="171"/>
      <c r="G244" s="171"/>
      <c r="H244" s="171"/>
      <c r="I244" s="172">
        <v>85128291</v>
      </c>
      <c r="J244" s="171"/>
      <c r="K244" s="171"/>
      <c r="L244" s="171"/>
      <c r="M244" s="171"/>
      <c r="N244" s="171"/>
      <c r="O244" s="172"/>
      <c r="P244" s="171"/>
      <c r="Q244" s="171"/>
      <c r="R244" s="171"/>
      <c r="S244" s="172"/>
      <c r="T244" s="171"/>
      <c r="U244" s="172"/>
      <c r="V244" s="171"/>
      <c r="W244" s="172"/>
      <c r="X244" s="53">
        <v>85128291</v>
      </c>
      <c r="Y244" s="151"/>
      <c r="Z244" s="151"/>
      <c r="AA244" s="151"/>
      <c r="AB244" s="151"/>
    </row>
    <row r="245" spans="1:28" s="178" customFormat="1" ht="13">
      <c r="A245" s="170"/>
      <c r="B245" s="175" t="s">
        <v>850</v>
      </c>
      <c r="C245" s="176">
        <v>10.502686529137382</v>
      </c>
      <c r="D245" s="176">
        <v>0</v>
      </c>
      <c r="E245" s="176">
        <v>15.776935162141219</v>
      </c>
      <c r="F245" s="176">
        <v>0</v>
      </c>
      <c r="G245" s="176">
        <v>0</v>
      </c>
      <c r="H245" s="176">
        <v>0</v>
      </c>
      <c r="I245" s="177">
        <v>10.901020552183788</v>
      </c>
      <c r="J245" s="176">
        <v>0</v>
      </c>
      <c r="K245" s="176">
        <v>0</v>
      </c>
      <c r="L245" s="176">
        <v>0</v>
      </c>
      <c r="M245" s="176">
        <v>0</v>
      </c>
      <c r="N245" s="176">
        <v>0</v>
      </c>
      <c r="O245" s="177">
        <v>0</v>
      </c>
      <c r="P245" s="176">
        <v>0</v>
      </c>
      <c r="Q245" s="176">
        <v>0</v>
      </c>
      <c r="R245" s="176">
        <v>0</v>
      </c>
      <c r="S245" s="177">
        <v>0</v>
      </c>
      <c r="T245" s="176">
        <v>0</v>
      </c>
      <c r="U245" s="177">
        <v>0</v>
      </c>
      <c r="V245" s="176">
        <v>0</v>
      </c>
      <c r="W245" s="177">
        <v>0</v>
      </c>
      <c r="X245" s="53">
        <v>10.901020552183788</v>
      </c>
      <c r="Y245" s="151"/>
      <c r="Z245" s="151"/>
      <c r="AA245" s="151"/>
      <c r="AB245" s="151"/>
    </row>
    <row r="246" spans="1:28" ht="13">
      <c r="A246" s="170"/>
      <c r="B246" s="59" t="s">
        <v>758</v>
      </c>
      <c r="C246" s="179"/>
      <c r="D246" s="179"/>
      <c r="E246" s="179"/>
      <c r="F246" s="179"/>
      <c r="G246" s="179"/>
      <c r="H246" s="179"/>
      <c r="I246" s="180"/>
      <c r="J246" s="179"/>
      <c r="K246" s="179"/>
      <c r="L246" s="179"/>
      <c r="M246" s="179"/>
      <c r="N246" s="179"/>
      <c r="O246" s="180"/>
      <c r="P246" s="179"/>
      <c r="Q246" s="179"/>
      <c r="R246" s="179"/>
      <c r="S246" s="180"/>
      <c r="T246" s="179"/>
      <c r="U246" s="180"/>
      <c r="V246" s="179"/>
      <c r="W246" s="180"/>
      <c r="X246" s="53"/>
      <c r="Y246" s="151"/>
      <c r="Z246" s="151"/>
      <c r="AA246" s="151"/>
      <c r="AB246" s="151"/>
    </row>
    <row r="247" spans="1:28" s="173" customFormat="1" ht="13">
      <c r="A247" s="170"/>
      <c r="B247" s="94" t="s">
        <v>759</v>
      </c>
      <c r="C247" s="171"/>
      <c r="D247" s="171"/>
      <c r="E247" s="171"/>
      <c r="F247" s="171"/>
      <c r="G247" s="171"/>
      <c r="H247" s="171"/>
      <c r="I247" s="172"/>
      <c r="J247" s="171"/>
      <c r="K247" s="171"/>
      <c r="L247" s="171"/>
      <c r="M247" s="171"/>
      <c r="N247" s="171"/>
      <c r="O247" s="172"/>
      <c r="P247" s="171"/>
      <c r="Q247" s="171"/>
      <c r="R247" s="171"/>
      <c r="S247" s="172"/>
      <c r="T247" s="171"/>
      <c r="U247" s="172"/>
      <c r="V247" s="171"/>
      <c r="W247" s="172"/>
      <c r="X247" s="53"/>
      <c r="Y247" s="151"/>
      <c r="Z247" s="151"/>
      <c r="AA247" s="151"/>
      <c r="AB247" s="151"/>
    </row>
    <row r="248" spans="1:28" s="178" customFormat="1" ht="13">
      <c r="A248" s="170"/>
      <c r="B248" s="175" t="s">
        <v>851</v>
      </c>
      <c r="C248" s="176">
        <v>0</v>
      </c>
      <c r="D248" s="176">
        <v>0</v>
      </c>
      <c r="E248" s="176">
        <v>0</v>
      </c>
      <c r="F248" s="176">
        <v>0</v>
      </c>
      <c r="G248" s="176">
        <v>0</v>
      </c>
      <c r="H248" s="176">
        <v>0</v>
      </c>
      <c r="I248" s="177">
        <v>0</v>
      </c>
      <c r="J248" s="176">
        <v>0</v>
      </c>
      <c r="K248" s="176">
        <v>0</v>
      </c>
      <c r="L248" s="176">
        <v>0</v>
      </c>
      <c r="M248" s="176">
        <v>0</v>
      </c>
      <c r="N248" s="176">
        <v>0</v>
      </c>
      <c r="O248" s="177">
        <v>0</v>
      </c>
      <c r="P248" s="176">
        <v>0</v>
      </c>
      <c r="Q248" s="176">
        <v>0</v>
      </c>
      <c r="R248" s="176">
        <v>0</v>
      </c>
      <c r="S248" s="177">
        <v>0</v>
      </c>
      <c r="T248" s="176">
        <v>0</v>
      </c>
      <c r="U248" s="177">
        <v>0</v>
      </c>
      <c r="V248" s="176">
        <v>0</v>
      </c>
      <c r="W248" s="177">
        <v>0</v>
      </c>
      <c r="X248" s="53">
        <v>0</v>
      </c>
      <c r="Y248" s="151"/>
      <c r="Z248" s="151"/>
      <c r="AA248" s="151"/>
      <c r="AB248" s="151"/>
    </row>
    <row r="249" spans="1:28" ht="13">
      <c r="A249" s="170"/>
      <c r="B249" s="59" t="s">
        <v>760</v>
      </c>
      <c r="C249" s="179">
        <v>401082711</v>
      </c>
      <c r="D249" s="179">
        <v>287992081</v>
      </c>
      <c r="E249" s="179">
        <v>262850477</v>
      </c>
      <c r="F249" s="179">
        <v>187640589</v>
      </c>
      <c r="G249" s="179">
        <v>14936578</v>
      </c>
      <c r="H249" s="179">
        <v>18374127</v>
      </c>
      <c r="I249" s="180">
        <v>1172876563</v>
      </c>
      <c r="J249" s="179"/>
      <c r="K249" s="179">
        <v>71246554.710000008</v>
      </c>
      <c r="L249" s="179">
        <v>69867541</v>
      </c>
      <c r="M249" s="179">
        <v>14550000</v>
      </c>
      <c r="N249" s="179"/>
      <c r="O249" s="180">
        <v>155664095.71000001</v>
      </c>
      <c r="P249" s="179">
        <v>32111984</v>
      </c>
      <c r="Q249" s="179">
        <v>2680000</v>
      </c>
      <c r="R249" s="179"/>
      <c r="S249" s="180">
        <v>34791984</v>
      </c>
      <c r="T249" s="179">
        <v>13529672</v>
      </c>
      <c r="U249" s="180">
        <v>13529672</v>
      </c>
      <c r="V249" s="179"/>
      <c r="W249" s="180"/>
      <c r="X249" s="53">
        <v>1376862314.71</v>
      </c>
      <c r="Y249" s="151"/>
      <c r="Z249" s="151"/>
      <c r="AA249" s="151"/>
      <c r="AB249" s="151"/>
    </row>
    <row r="250" spans="1:28" s="173" customFormat="1" ht="13">
      <c r="A250" s="170"/>
      <c r="B250" s="94" t="s">
        <v>761</v>
      </c>
      <c r="C250" s="171">
        <v>413220777</v>
      </c>
      <c r="D250" s="171">
        <v>280955682</v>
      </c>
      <c r="E250" s="171">
        <v>270659072</v>
      </c>
      <c r="F250" s="171">
        <v>190237482</v>
      </c>
      <c r="G250" s="171">
        <v>14947545.43</v>
      </c>
      <c r="H250" s="171">
        <v>17224127</v>
      </c>
      <c r="I250" s="172">
        <v>1187244685.4300001</v>
      </c>
      <c r="J250" s="171"/>
      <c r="K250" s="171">
        <v>71256908</v>
      </c>
      <c r="L250" s="171">
        <v>70075458.799999997</v>
      </c>
      <c r="M250" s="171">
        <v>15498050</v>
      </c>
      <c r="N250" s="171"/>
      <c r="O250" s="172">
        <v>156830416.80000001</v>
      </c>
      <c r="P250" s="171">
        <v>32873000</v>
      </c>
      <c r="Q250" s="171">
        <v>2793000</v>
      </c>
      <c r="R250" s="171"/>
      <c r="S250" s="172">
        <v>35666000</v>
      </c>
      <c r="T250" s="171">
        <v>13967744</v>
      </c>
      <c r="U250" s="172">
        <v>13967744</v>
      </c>
      <c r="V250" s="171"/>
      <c r="W250" s="172"/>
      <c r="X250" s="53">
        <v>1393708846.23</v>
      </c>
      <c r="Y250" s="151"/>
      <c r="Z250" s="151"/>
      <c r="AA250" s="151"/>
      <c r="AB250" s="151"/>
    </row>
    <row r="251" spans="1:28" s="178" customFormat="1" ht="13">
      <c r="A251" s="170"/>
      <c r="B251" s="175" t="s">
        <v>852</v>
      </c>
      <c r="C251" s="176">
        <v>3.0263249118209936</v>
      </c>
      <c r="D251" s="176">
        <v>-2.4432612784238326</v>
      </c>
      <c r="E251" s="176">
        <v>2.9707364769210596</v>
      </c>
      <c r="F251" s="176">
        <v>1.3839718868074966</v>
      </c>
      <c r="G251" s="176">
        <v>7.3426657698970291E-2</v>
      </c>
      <c r="H251" s="176">
        <v>-6.2588007582618763</v>
      </c>
      <c r="I251" s="177">
        <v>1.2250327854833318</v>
      </c>
      <c r="J251" s="176">
        <v>0</v>
      </c>
      <c r="K251" s="176">
        <v>1.4531636009816051E-2</v>
      </c>
      <c r="L251" s="176">
        <v>0.29758854687614811</v>
      </c>
      <c r="M251" s="176">
        <v>6.515807560137457</v>
      </c>
      <c r="N251" s="176">
        <v>0</v>
      </c>
      <c r="O251" s="177">
        <v>0.7492550447682188</v>
      </c>
      <c r="P251" s="176">
        <v>2.3698815993430991</v>
      </c>
      <c r="Q251" s="176">
        <v>4.2164179104477606</v>
      </c>
      <c r="R251" s="176">
        <v>0</v>
      </c>
      <c r="S251" s="177">
        <v>2.5121188834761479</v>
      </c>
      <c r="T251" s="176">
        <v>3.2378611987045955</v>
      </c>
      <c r="U251" s="177">
        <v>3.2378611987045955</v>
      </c>
      <c r="V251" s="176">
        <v>0</v>
      </c>
      <c r="W251" s="177">
        <v>0</v>
      </c>
      <c r="X251" s="53">
        <v>1.2235451097772445</v>
      </c>
      <c r="Y251" s="151"/>
      <c r="Z251" s="151"/>
      <c r="AA251" s="151"/>
      <c r="AB251" s="151"/>
    </row>
    <row r="252" spans="1:28" ht="13">
      <c r="A252" s="170"/>
      <c r="B252" s="59" t="s">
        <v>853</v>
      </c>
      <c r="C252" s="179"/>
      <c r="D252" s="179"/>
      <c r="E252" s="179"/>
      <c r="F252" s="179"/>
      <c r="G252" s="179"/>
      <c r="H252" s="179"/>
      <c r="I252" s="180"/>
      <c r="J252" s="179"/>
      <c r="K252" s="179"/>
      <c r="L252" s="179"/>
      <c r="M252" s="179"/>
      <c r="N252" s="179"/>
      <c r="O252" s="180"/>
      <c r="P252" s="179"/>
      <c r="Q252" s="179"/>
      <c r="R252" s="179"/>
      <c r="S252" s="180"/>
      <c r="T252" s="179"/>
      <c r="U252" s="180"/>
      <c r="V252" s="179"/>
      <c r="W252" s="180"/>
      <c r="X252" s="53"/>
      <c r="Y252" s="151"/>
      <c r="Z252" s="151"/>
      <c r="AA252" s="151"/>
      <c r="AB252" s="151"/>
    </row>
    <row r="253" spans="1:28" s="173" customFormat="1" ht="13">
      <c r="A253" s="170"/>
      <c r="B253" s="94" t="s">
        <v>854</v>
      </c>
      <c r="C253" s="171"/>
      <c r="D253" s="171"/>
      <c r="E253" s="171"/>
      <c r="F253" s="171"/>
      <c r="G253" s="171"/>
      <c r="H253" s="171"/>
      <c r="I253" s="172"/>
      <c r="J253" s="171"/>
      <c r="K253" s="171"/>
      <c r="L253" s="171"/>
      <c r="M253" s="171"/>
      <c r="N253" s="171"/>
      <c r="O253" s="172"/>
      <c r="P253" s="171"/>
      <c r="Q253" s="171"/>
      <c r="R253" s="171"/>
      <c r="S253" s="172"/>
      <c r="T253" s="171"/>
      <c r="U253" s="172"/>
      <c r="V253" s="171"/>
      <c r="W253" s="172"/>
      <c r="X253" s="53"/>
      <c r="Y253" s="151"/>
      <c r="Z253" s="151"/>
      <c r="AA253" s="151"/>
      <c r="AB253" s="151"/>
    </row>
    <row r="254" spans="1:28" s="178" customFormat="1" ht="13">
      <c r="A254" s="170"/>
      <c r="B254" s="175" t="s">
        <v>855</v>
      </c>
      <c r="C254" s="176">
        <v>0</v>
      </c>
      <c r="D254" s="176">
        <v>0</v>
      </c>
      <c r="E254" s="176">
        <v>0</v>
      </c>
      <c r="F254" s="176">
        <v>0</v>
      </c>
      <c r="G254" s="176">
        <v>0</v>
      </c>
      <c r="H254" s="176">
        <v>0</v>
      </c>
      <c r="I254" s="177">
        <v>0</v>
      </c>
      <c r="J254" s="176">
        <v>0</v>
      </c>
      <c r="K254" s="176">
        <v>0</v>
      </c>
      <c r="L254" s="176">
        <v>0</v>
      </c>
      <c r="M254" s="176">
        <v>0</v>
      </c>
      <c r="N254" s="176">
        <v>0</v>
      </c>
      <c r="O254" s="177">
        <v>0</v>
      </c>
      <c r="P254" s="176">
        <v>0</v>
      </c>
      <c r="Q254" s="176">
        <v>0</v>
      </c>
      <c r="R254" s="176">
        <v>0</v>
      </c>
      <c r="S254" s="177">
        <v>0</v>
      </c>
      <c r="T254" s="176">
        <v>0</v>
      </c>
      <c r="U254" s="177">
        <v>0</v>
      </c>
      <c r="V254" s="176">
        <v>0</v>
      </c>
      <c r="W254" s="177">
        <v>0</v>
      </c>
      <c r="X254" s="53">
        <v>0</v>
      </c>
      <c r="Y254" s="151"/>
      <c r="Z254" s="151"/>
      <c r="AA254" s="151"/>
      <c r="AB254" s="151"/>
    </row>
    <row r="255" spans="1:28" ht="13">
      <c r="A255" s="170"/>
      <c r="B255" s="183" t="s">
        <v>856</v>
      </c>
      <c r="C255" s="180">
        <v>401082711</v>
      </c>
      <c r="D255" s="180">
        <v>287992081</v>
      </c>
      <c r="E255" s="180">
        <v>262850477</v>
      </c>
      <c r="F255" s="180">
        <v>187640589</v>
      </c>
      <c r="G255" s="180">
        <v>14936578</v>
      </c>
      <c r="H255" s="180">
        <v>18374127</v>
      </c>
      <c r="I255" s="180">
        <v>1172876563</v>
      </c>
      <c r="J255" s="180"/>
      <c r="K255" s="180">
        <v>71246554.710000008</v>
      </c>
      <c r="L255" s="180">
        <v>69867541</v>
      </c>
      <c r="M255" s="180">
        <v>14550000</v>
      </c>
      <c r="N255" s="180"/>
      <c r="O255" s="180">
        <v>155664095.71000001</v>
      </c>
      <c r="P255" s="180">
        <v>32111984</v>
      </c>
      <c r="Q255" s="180">
        <v>2680000</v>
      </c>
      <c r="R255" s="180"/>
      <c r="S255" s="180">
        <v>34791984</v>
      </c>
      <c r="T255" s="180">
        <v>13529672</v>
      </c>
      <c r="U255" s="180">
        <v>13529672</v>
      </c>
      <c r="V255" s="180"/>
      <c r="W255" s="180"/>
      <c r="X255" s="53">
        <v>1376862314.71</v>
      </c>
      <c r="Y255" s="151"/>
      <c r="Z255" s="151"/>
      <c r="AA255" s="151"/>
      <c r="AB255" s="151"/>
    </row>
    <row r="256" spans="1:28" s="173" customFormat="1" ht="13">
      <c r="A256" s="170"/>
      <c r="B256" s="184" t="s">
        <v>857</v>
      </c>
      <c r="C256" s="172">
        <v>413220777</v>
      </c>
      <c r="D256" s="172">
        <v>280955682</v>
      </c>
      <c r="E256" s="172">
        <v>270659072</v>
      </c>
      <c r="F256" s="172">
        <v>190237482</v>
      </c>
      <c r="G256" s="172">
        <v>14947545.43</v>
      </c>
      <c r="H256" s="172">
        <v>17224127</v>
      </c>
      <c r="I256" s="172">
        <v>1187244685.4300001</v>
      </c>
      <c r="J256" s="172"/>
      <c r="K256" s="172">
        <v>71256908</v>
      </c>
      <c r="L256" s="172">
        <v>70075458.799999997</v>
      </c>
      <c r="M256" s="172">
        <v>15498050</v>
      </c>
      <c r="N256" s="172"/>
      <c r="O256" s="172">
        <v>156830416.80000001</v>
      </c>
      <c r="P256" s="172">
        <v>32873000</v>
      </c>
      <c r="Q256" s="172">
        <v>2793000</v>
      </c>
      <c r="R256" s="172"/>
      <c r="S256" s="172">
        <v>35666000</v>
      </c>
      <c r="T256" s="172">
        <v>13967744</v>
      </c>
      <c r="U256" s="172">
        <v>13967744</v>
      </c>
      <c r="V256" s="172"/>
      <c r="W256" s="172"/>
      <c r="X256" s="53">
        <v>1393708846.23</v>
      </c>
      <c r="Y256" s="151"/>
      <c r="Z256" s="151"/>
      <c r="AA256" s="151"/>
      <c r="AB256" s="151"/>
    </row>
    <row r="257" spans="1:28" s="178" customFormat="1" ht="13">
      <c r="A257" s="170"/>
      <c r="B257" s="185" t="s">
        <v>858</v>
      </c>
      <c r="C257" s="177">
        <v>3.0263249118209936</v>
      </c>
      <c r="D257" s="177">
        <v>-2.4432612784238326</v>
      </c>
      <c r="E257" s="177">
        <v>2.9707364769210596</v>
      </c>
      <c r="F257" s="177">
        <v>1.3839718868074966</v>
      </c>
      <c r="G257" s="177">
        <v>7.3426657698970291E-2</v>
      </c>
      <c r="H257" s="177">
        <v>-6.2588007582618763</v>
      </c>
      <c r="I257" s="177">
        <v>1.2250327854833318</v>
      </c>
      <c r="J257" s="177">
        <v>0</v>
      </c>
      <c r="K257" s="177">
        <v>1.4531636009816051E-2</v>
      </c>
      <c r="L257" s="177">
        <v>0.29758854687614811</v>
      </c>
      <c r="M257" s="177">
        <v>6.515807560137457</v>
      </c>
      <c r="N257" s="177">
        <v>0</v>
      </c>
      <c r="O257" s="177">
        <v>0.7492550447682188</v>
      </c>
      <c r="P257" s="177">
        <v>2.3698815993430991</v>
      </c>
      <c r="Q257" s="177">
        <v>4.2164179104477606</v>
      </c>
      <c r="R257" s="177">
        <v>0</v>
      </c>
      <c r="S257" s="177">
        <v>2.5121188834761479</v>
      </c>
      <c r="T257" s="177">
        <v>3.2378611987045955</v>
      </c>
      <c r="U257" s="177">
        <v>3.2378611987045955</v>
      </c>
      <c r="V257" s="177">
        <v>0</v>
      </c>
      <c r="W257" s="177">
        <v>0</v>
      </c>
      <c r="X257" s="53">
        <v>1.2235451097772445</v>
      </c>
      <c r="Y257" s="151"/>
      <c r="Z257" s="151"/>
      <c r="AA257" s="151"/>
      <c r="AB257" s="151"/>
    </row>
    <row r="258" spans="1:28" ht="13">
      <c r="A258" s="170"/>
      <c r="B258" s="59" t="s">
        <v>859</v>
      </c>
      <c r="C258" s="179"/>
      <c r="D258" s="179"/>
      <c r="E258" s="179"/>
      <c r="F258" s="179"/>
      <c r="G258" s="179"/>
      <c r="H258" s="179"/>
      <c r="I258" s="180"/>
      <c r="J258" s="179"/>
      <c r="K258" s="179"/>
      <c r="L258" s="179"/>
      <c r="M258" s="179"/>
      <c r="N258" s="179"/>
      <c r="O258" s="180"/>
      <c r="P258" s="179"/>
      <c r="Q258" s="179"/>
      <c r="R258" s="179"/>
      <c r="S258" s="180"/>
      <c r="T258" s="179"/>
      <c r="U258" s="180"/>
      <c r="V258" s="179"/>
      <c r="W258" s="180"/>
      <c r="X258" s="53"/>
      <c r="Y258" s="151"/>
      <c r="Z258" s="151"/>
      <c r="AA258" s="151"/>
      <c r="AB258" s="151"/>
    </row>
    <row r="259" spans="1:28" s="173" customFormat="1" ht="13">
      <c r="A259" s="170"/>
      <c r="B259" s="94" t="s">
        <v>860</v>
      </c>
      <c r="C259" s="171"/>
      <c r="D259" s="171"/>
      <c r="E259" s="171"/>
      <c r="F259" s="171"/>
      <c r="G259" s="171"/>
      <c r="H259" s="171"/>
      <c r="I259" s="172"/>
      <c r="J259" s="171"/>
      <c r="K259" s="171"/>
      <c r="L259" s="171"/>
      <c r="M259" s="171"/>
      <c r="N259" s="171"/>
      <c r="O259" s="172"/>
      <c r="P259" s="171"/>
      <c r="Q259" s="171"/>
      <c r="R259" s="171"/>
      <c r="S259" s="172"/>
      <c r="T259" s="171"/>
      <c r="U259" s="172"/>
      <c r="V259" s="171"/>
      <c r="W259" s="172"/>
      <c r="X259" s="53"/>
      <c r="Y259" s="151"/>
      <c r="Z259" s="151"/>
      <c r="AA259" s="151"/>
      <c r="AB259" s="151"/>
    </row>
    <row r="260" spans="1:28" s="178" customFormat="1" ht="13">
      <c r="A260" s="170"/>
      <c r="B260" s="175" t="s">
        <v>861</v>
      </c>
      <c r="C260" s="176">
        <v>0</v>
      </c>
      <c r="D260" s="176">
        <v>0</v>
      </c>
      <c r="E260" s="176">
        <v>0</v>
      </c>
      <c r="F260" s="176">
        <v>0</v>
      </c>
      <c r="G260" s="176">
        <v>0</v>
      </c>
      <c r="H260" s="176">
        <v>0</v>
      </c>
      <c r="I260" s="177">
        <v>0</v>
      </c>
      <c r="J260" s="176">
        <v>0</v>
      </c>
      <c r="K260" s="176">
        <v>0</v>
      </c>
      <c r="L260" s="176">
        <v>0</v>
      </c>
      <c r="M260" s="176">
        <v>0</v>
      </c>
      <c r="N260" s="176">
        <v>0</v>
      </c>
      <c r="O260" s="177">
        <v>0</v>
      </c>
      <c r="P260" s="176">
        <v>0</v>
      </c>
      <c r="Q260" s="176">
        <v>0</v>
      </c>
      <c r="R260" s="176">
        <v>0</v>
      </c>
      <c r="S260" s="177">
        <v>0</v>
      </c>
      <c r="T260" s="176">
        <v>0</v>
      </c>
      <c r="U260" s="177">
        <v>0</v>
      </c>
      <c r="V260" s="176">
        <v>0</v>
      </c>
      <c r="W260" s="177">
        <v>0</v>
      </c>
      <c r="X260" s="53">
        <v>0</v>
      </c>
      <c r="Y260" s="151"/>
      <c r="Z260" s="151"/>
      <c r="AA260" s="151"/>
      <c r="AB260" s="151"/>
    </row>
    <row r="261" spans="1:28" ht="13">
      <c r="A261" s="170"/>
      <c r="B261" s="59" t="s">
        <v>862</v>
      </c>
      <c r="C261" s="179"/>
      <c r="D261" s="179"/>
      <c r="E261" s="179"/>
      <c r="F261" s="179"/>
      <c r="G261" s="179"/>
      <c r="H261" s="179"/>
      <c r="I261" s="180"/>
      <c r="J261" s="179"/>
      <c r="K261" s="179"/>
      <c r="L261" s="179"/>
      <c r="M261" s="179"/>
      <c r="N261" s="179"/>
      <c r="O261" s="180"/>
      <c r="P261" s="179"/>
      <c r="Q261" s="179"/>
      <c r="R261" s="179"/>
      <c r="S261" s="180"/>
      <c r="T261" s="179"/>
      <c r="U261" s="180"/>
      <c r="V261" s="179"/>
      <c r="W261" s="180"/>
      <c r="X261" s="53"/>
      <c r="Y261" s="151"/>
      <c r="Z261" s="151"/>
      <c r="AA261" s="151"/>
      <c r="AB261" s="151"/>
    </row>
    <row r="262" spans="1:28" s="173" customFormat="1" ht="13">
      <c r="A262" s="170"/>
      <c r="B262" s="94" t="s">
        <v>863</v>
      </c>
      <c r="C262" s="171"/>
      <c r="D262" s="171"/>
      <c r="E262" s="171"/>
      <c r="F262" s="171"/>
      <c r="G262" s="171"/>
      <c r="H262" s="171"/>
      <c r="I262" s="172"/>
      <c r="J262" s="171"/>
      <c r="K262" s="171"/>
      <c r="L262" s="171"/>
      <c r="M262" s="171"/>
      <c r="N262" s="171"/>
      <c r="O262" s="172"/>
      <c r="P262" s="171"/>
      <c r="Q262" s="171"/>
      <c r="R262" s="171"/>
      <c r="S262" s="172"/>
      <c r="T262" s="171"/>
      <c r="U262" s="172"/>
      <c r="V262" s="171"/>
      <c r="W262" s="172"/>
      <c r="X262" s="53"/>
      <c r="Y262" s="151"/>
      <c r="Z262" s="151"/>
      <c r="AA262" s="151"/>
      <c r="AB262" s="151"/>
    </row>
    <row r="263" spans="1:28" s="178" customFormat="1" ht="13">
      <c r="A263" s="170"/>
      <c r="B263" s="175" t="s">
        <v>864</v>
      </c>
      <c r="C263" s="176">
        <v>0</v>
      </c>
      <c r="D263" s="176">
        <v>0</v>
      </c>
      <c r="E263" s="176">
        <v>0</v>
      </c>
      <c r="F263" s="176">
        <v>0</v>
      </c>
      <c r="G263" s="176">
        <v>0</v>
      </c>
      <c r="H263" s="176">
        <v>0</v>
      </c>
      <c r="I263" s="177">
        <v>0</v>
      </c>
      <c r="J263" s="176">
        <v>0</v>
      </c>
      <c r="K263" s="176">
        <v>0</v>
      </c>
      <c r="L263" s="176">
        <v>0</v>
      </c>
      <c r="M263" s="176">
        <v>0</v>
      </c>
      <c r="N263" s="176">
        <v>0</v>
      </c>
      <c r="O263" s="177">
        <v>0</v>
      </c>
      <c r="P263" s="176">
        <v>0</v>
      </c>
      <c r="Q263" s="176">
        <v>0</v>
      </c>
      <c r="R263" s="176">
        <v>0</v>
      </c>
      <c r="S263" s="177">
        <v>0</v>
      </c>
      <c r="T263" s="176">
        <v>0</v>
      </c>
      <c r="U263" s="177">
        <v>0</v>
      </c>
      <c r="V263" s="176">
        <v>0</v>
      </c>
      <c r="W263" s="177">
        <v>0</v>
      </c>
      <c r="X263" s="53">
        <v>0</v>
      </c>
      <c r="Y263" s="151"/>
      <c r="Z263" s="151"/>
      <c r="AA263" s="151"/>
      <c r="AB263" s="151"/>
    </row>
    <row r="264" spans="1:28" ht="13">
      <c r="A264" s="170"/>
      <c r="B264" s="59" t="s">
        <v>865</v>
      </c>
      <c r="C264" s="179"/>
      <c r="D264" s="179"/>
      <c r="E264" s="179"/>
      <c r="F264" s="179"/>
      <c r="G264" s="179"/>
      <c r="H264" s="179"/>
      <c r="I264" s="180"/>
      <c r="J264" s="179"/>
      <c r="K264" s="179"/>
      <c r="L264" s="179"/>
      <c r="M264" s="179"/>
      <c r="N264" s="179"/>
      <c r="O264" s="180"/>
      <c r="P264" s="179"/>
      <c r="Q264" s="179"/>
      <c r="R264" s="179"/>
      <c r="S264" s="180"/>
      <c r="T264" s="179"/>
      <c r="U264" s="180"/>
      <c r="V264" s="179"/>
      <c r="W264" s="180"/>
      <c r="X264" s="53"/>
      <c r="Y264" s="151"/>
      <c r="Z264" s="151"/>
      <c r="AA264" s="151"/>
      <c r="AB264" s="151"/>
    </row>
    <row r="265" spans="1:28" s="173" customFormat="1" ht="13">
      <c r="A265" s="170"/>
      <c r="B265" s="94" t="s">
        <v>866</v>
      </c>
      <c r="C265" s="171"/>
      <c r="D265" s="171"/>
      <c r="E265" s="171"/>
      <c r="F265" s="171"/>
      <c r="G265" s="171"/>
      <c r="H265" s="171"/>
      <c r="I265" s="172"/>
      <c r="J265" s="171"/>
      <c r="K265" s="171"/>
      <c r="L265" s="171"/>
      <c r="M265" s="171"/>
      <c r="N265" s="171"/>
      <c r="O265" s="172"/>
      <c r="P265" s="171"/>
      <c r="Q265" s="171"/>
      <c r="R265" s="171"/>
      <c r="S265" s="172"/>
      <c r="T265" s="171"/>
      <c r="U265" s="172"/>
      <c r="V265" s="171"/>
      <c r="W265" s="172"/>
      <c r="X265" s="53"/>
      <c r="Y265" s="151"/>
      <c r="Z265" s="151"/>
      <c r="AA265" s="151"/>
      <c r="AB265" s="151"/>
    </row>
    <row r="266" spans="1:28" s="178" customFormat="1" ht="13">
      <c r="A266" s="170"/>
      <c r="B266" s="175" t="s">
        <v>867</v>
      </c>
      <c r="C266" s="176">
        <v>0</v>
      </c>
      <c r="D266" s="176">
        <v>0</v>
      </c>
      <c r="E266" s="176">
        <v>0</v>
      </c>
      <c r="F266" s="176">
        <v>0</v>
      </c>
      <c r="G266" s="176">
        <v>0</v>
      </c>
      <c r="H266" s="176">
        <v>0</v>
      </c>
      <c r="I266" s="177">
        <v>0</v>
      </c>
      <c r="J266" s="176">
        <v>0</v>
      </c>
      <c r="K266" s="176">
        <v>0</v>
      </c>
      <c r="L266" s="176">
        <v>0</v>
      </c>
      <c r="M266" s="176">
        <v>0</v>
      </c>
      <c r="N266" s="176">
        <v>0</v>
      </c>
      <c r="O266" s="177">
        <v>0</v>
      </c>
      <c r="P266" s="176">
        <v>0</v>
      </c>
      <c r="Q266" s="176">
        <v>0</v>
      </c>
      <c r="R266" s="176">
        <v>0</v>
      </c>
      <c r="S266" s="177">
        <v>0</v>
      </c>
      <c r="T266" s="176">
        <v>0</v>
      </c>
      <c r="U266" s="177">
        <v>0</v>
      </c>
      <c r="V266" s="176">
        <v>0</v>
      </c>
      <c r="W266" s="177">
        <v>0</v>
      </c>
      <c r="X266" s="53">
        <v>0</v>
      </c>
      <c r="Y266" s="151"/>
      <c r="Z266" s="151"/>
      <c r="AA266" s="151"/>
      <c r="AB266" s="151"/>
    </row>
    <row r="267" spans="1:28" ht="13">
      <c r="A267" s="170"/>
      <c r="B267" s="59" t="s">
        <v>868</v>
      </c>
      <c r="C267" s="179">
        <v>0</v>
      </c>
      <c r="D267" s="179">
        <v>0</v>
      </c>
      <c r="E267" s="179">
        <v>0</v>
      </c>
      <c r="F267" s="179">
        <v>0</v>
      </c>
      <c r="G267" s="179">
        <v>0</v>
      </c>
      <c r="H267" s="179">
        <v>0</v>
      </c>
      <c r="I267" s="180">
        <v>0</v>
      </c>
      <c r="J267" s="179"/>
      <c r="K267" s="179">
        <v>0</v>
      </c>
      <c r="L267" s="179">
        <v>0</v>
      </c>
      <c r="M267" s="179">
        <v>0</v>
      </c>
      <c r="N267" s="179"/>
      <c r="O267" s="180">
        <v>0</v>
      </c>
      <c r="P267" s="179">
        <v>0</v>
      </c>
      <c r="Q267" s="179">
        <v>0</v>
      </c>
      <c r="R267" s="179"/>
      <c r="S267" s="180">
        <v>0</v>
      </c>
      <c r="T267" s="179">
        <v>0</v>
      </c>
      <c r="U267" s="180">
        <v>0</v>
      </c>
      <c r="V267" s="179"/>
      <c r="W267" s="180"/>
      <c r="X267" s="53">
        <v>0</v>
      </c>
      <c r="Y267" s="151"/>
      <c r="Z267" s="151"/>
      <c r="AA267" s="151"/>
      <c r="AB267" s="151"/>
    </row>
    <row r="268" spans="1:28" s="173" customFormat="1" ht="13">
      <c r="A268" s="170"/>
      <c r="B268" s="94" t="s">
        <v>869</v>
      </c>
      <c r="C268" s="171">
        <v>0</v>
      </c>
      <c r="D268" s="171">
        <v>0</v>
      </c>
      <c r="E268" s="171">
        <v>0</v>
      </c>
      <c r="F268" s="171">
        <v>0</v>
      </c>
      <c r="G268" s="171">
        <v>0</v>
      </c>
      <c r="H268" s="171">
        <v>0</v>
      </c>
      <c r="I268" s="172">
        <v>0</v>
      </c>
      <c r="J268" s="171"/>
      <c r="K268" s="171">
        <v>0</v>
      </c>
      <c r="L268" s="171">
        <v>0</v>
      </c>
      <c r="M268" s="171">
        <v>0</v>
      </c>
      <c r="N268" s="171"/>
      <c r="O268" s="172">
        <v>0</v>
      </c>
      <c r="P268" s="171">
        <v>0</v>
      </c>
      <c r="Q268" s="171">
        <v>0</v>
      </c>
      <c r="R268" s="171"/>
      <c r="S268" s="172">
        <v>0</v>
      </c>
      <c r="T268" s="171">
        <v>0</v>
      </c>
      <c r="U268" s="172">
        <v>0</v>
      </c>
      <c r="V268" s="171"/>
      <c r="W268" s="172"/>
      <c r="X268" s="53">
        <v>0</v>
      </c>
      <c r="Y268" s="151"/>
      <c r="Z268" s="151"/>
      <c r="AA268" s="151"/>
      <c r="AB268" s="151"/>
    </row>
    <row r="269" spans="1:28" s="178" customFormat="1" ht="13">
      <c r="A269" s="170"/>
      <c r="B269" s="175" t="s">
        <v>870</v>
      </c>
      <c r="C269" s="176">
        <v>0</v>
      </c>
      <c r="D269" s="176">
        <v>0</v>
      </c>
      <c r="E269" s="176">
        <v>0</v>
      </c>
      <c r="F269" s="176">
        <v>0</v>
      </c>
      <c r="G269" s="176">
        <v>0</v>
      </c>
      <c r="H269" s="176">
        <v>0</v>
      </c>
      <c r="I269" s="177">
        <v>0</v>
      </c>
      <c r="J269" s="176">
        <v>0</v>
      </c>
      <c r="K269" s="176">
        <v>0</v>
      </c>
      <c r="L269" s="176">
        <v>0</v>
      </c>
      <c r="M269" s="176">
        <v>0</v>
      </c>
      <c r="N269" s="176">
        <v>0</v>
      </c>
      <c r="O269" s="177">
        <v>0</v>
      </c>
      <c r="P269" s="176">
        <v>0</v>
      </c>
      <c r="Q269" s="176">
        <v>0</v>
      </c>
      <c r="R269" s="176">
        <v>0</v>
      </c>
      <c r="S269" s="177">
        <v>0</v>
      </c>
      <c r="T269" s="176">
        <v>0</v>
      </c>
      <c r="U269" s="177">
        <v>0</v>
      </c>
      <c r="V269" s="176">
        <v>0</v>
      </c>
      <c r="W269" s="177">
        <v>0</v>
      </c>
      <c r="X269" s="53">
        <v>0</v>
      </c>
      <c r="Y269" s="151"/>
      <c r="Z269" s="151"/>
      <c r="AA269" s="151"/>
      <c r="AB269" s="151"/>
    </row>
    <row r="270" spans="1:28" ht="13">
      <c r="A270" s="170"/>
      <c r="B270" s="59" t="s">
        <v>871</v>
      </c>
      <c r="C270" s="179"/>
      <c r="D270" s="179"/>
      <c r="E270" s="179"/>
      <c r="F270" s="179"/>
      <c r="G270" s="179"/>
      <c r="H270" s="179"/>
      <c r="I270" s="180"/>
      <c r="J270" s="179"/>
      <c r="K270" s="179"/>
      <c r="L270" s="179"/>
      <c r="M270" s="179"/>
      <c r="N270" s="179"/>
      <c r="O270" s="180"/>
      <c r="P270" s="179"/>
      <c r="Q270" s="179"/>
      <c r="R270" s="179"/>
      <c r="S270" s="180"/>
      <c r="T270" s="179">
        <v>148805566</v>
      </c>
      <c r="U270" s="180">
        <v>148805566</v>
      </c>
      <c r="V270" s="179"/>
      <c r="W270" s="180"/>
      <c r="X270" s="53">
        <v>148805566</v>
      </c>
      <c r="Y270" s="151"/>
      <c r="Z270" s="151"/>
      <c r="AA270" s="151"/>
      <c r="AB270" s="151"/>
    </row>
    <row r="271" spans="1:28" s="173" customFormat="1" ht="13">
      <c r="A271" s="170"/>
      <c r="B271" s="94" t="s">
        <v>872</v>
      </c>
      <c r="C271" s="171"/>
      <c r="D271" s="171"/>
      <c r="E271" s="171"/>
      <c r="F271" s="171"/>
      <c r="G271" s="171"/>
      <c r="H271" s="171"/>
      <c r="I271" s="172"/>
      <c r="J271" s="171"/>
      <c r="K271" s="171"/>
      <c r="L271" s="171"/>
      <c r="M271" s="171"/>
      <c r="N271" s="171"/>
      <c r="O271" s="172"/>
      <c r="P271" s="171"/>
      <c r="Q271" s="171"/>
      <c r="R271" s="171"/>
      <c r="S271" s="172"/>
      <c r="T271" s="171">
        <v>132999228</v>
      </c>
      <c r="U271" s="172">
        <v>132999228</v>
      </c>
      <c r="V271" s="171"/>
      <c r="W271" s="172"/>
      <c r="X271" s="53">
        <v>132999228</v>
      </c>
      <c r="Y271" s="151"/>
      <c r="Z271" s="151"/>
      <c r="AA271" s="151"/>
      <c r="AB271" s="151"/>
    </row>
    <row r="272" spans="1:28" s="178" customFormat="1" ht="13">
      <c r="A272" s="170"/>
      <c r="B272" s="175" t="s">
        <v>873</v>
      </c>
      <c r="C272" s="176">
        <v>0</v>
      </c>
      <c r="D272" s="176">
        <v>0</v>
      </c>
      <c r="E272" s="176">
        <v>0</v>
      </c>
      <c r="F272" s="176">
        <v>0</v>
      </c>
      <c r="G272" s="176">
        <v>0</v>
      </c>
      <c r="H272" s="176">
        <v>0</v>
      </c>
      <c r="I272" s="177">
        <v>0</v>
      </c>
      <c r="J272" s="176">
        <v>0</v>
      </c>
      <c r="K272" s="176">
        <v>0</v>
      </c>
      <c r="L272" s="176">
        <v>0</v>
      </c>
      <c r="M272" s="176">
        <v>0</v>
      </c>
      <c r="N272" s="176">
        <v>0</v>
      </c>
      <c r="O272" s="177">
        <v>0</v>
      </c>
      <c r="P272" s="176">
        <v>0</v>
      </c>
      <c r="Q272" s="176">
        <v>0</v>
      </c>
      <c r="R272" s="176">
        <v>0</v>
      </c>
      <c r="S272" s="177">
        <v>0</v>
      </c>
      <c r="T272" s="176">
        <v>-10.622141647577887</v>
      </c>
      <c r="U272" s="177">
        <v>-10.622141647577887</v>
      </c>
      <c r="V272" s="176">
        <v>0</v>
      </c>
      <c r="W272" s="177">
        <v>0</v>
      </c>
      <c r="X272" s="53">
        <v>-10.622141647577887</v>
      </c>
      <c r="Y272" s="151"/>
      <c r="Z272" s="151"/>
      <c r="AA272" s="151"/>
      <c r="AB272" s="151"/>
    </row>
    <row r="273" spans="1:28" ht="13">
      <c r="A273" s="170"/>
      <c r="B273" s="59" t="s">
        <v>874</v>
      </c>
      <c r="C273" s="179"/>
      <c r="D273" s="179"/>
      <c r="E273" s="179"/>
      <c r="F273" s="179"/>
      <c r="G273" s="179"/>
      <c r="H273" s="179"/>
      <c r="I273" s="180"/>
      <c r="J273" s="179"/>
      <c r="K273" s="179"/>
      <c r="L273" s="179"/>
      <c r="M273" s="179"/>
      <c r="N273" s="179"/>
      <c r="O273" s="180"/>
      <c r="P273" s="179"/>
      <c r="Q273" s="179"/>
      <c r="R273" s="179"/>
      <c r="S273" s="180"/>
      <c r="T273" s="179">
        <v>85755861</v>
      </c>
      <c r="U273" s="180">
        <v>85755861</v>
      </c>
      <c r="V273" s="179"/>
      <c r="W273" s="180"/>
      <c r="X273" s="53">
        <v>85755861</v>
      </c>
      <c r="Y273" s="151"/>
      <c r="Z273" s="151"/>
      <c r="AA273" s="151"/>
      <c r="AB273" s="151"/>
    </row>
    <row r="274" spans="1:28" s="173" customFormat="1" ht="13">
      <c r="A274" s="170"/>
      <c r="B274" s="94" t="s">
        <v>875</v>
      </c>
      <c r="C274" s="171"/>
      <c r="D274" s="171"/>
      <c r="E274" s="171"/>
      <c r="F274" s="171"/>
      <c r="G274" s="171"/>
      <c r="H274" s="171"/>
      <c r="I274" s="172"/>
      <c r="J274" s="171"/>
      <c r="K274" s="171"/>
      <c r="L274" s="171"/>
      <c r="M274" s="171"/>
      <c r="N274" s="171"/>
      <c r="O274" s="172"/>
      <c r="P274" s="171"/>
      <c r="Q274" s="171"/>
      <c r="R274" s="171"/>
      <c r="S274" s="172"/>
      <c r="T274" s="171">
        <v>89219583</v>
      </c>
      <c r="U274" s="172">
        <v>89219583</v>
      </c>
      <c r="V274" s="171"/>
      <c r="W274" s="172"/>
      <c r="X274" s="53">
        <v>89219583</v>
      </c>
      <c r="Y274" s="151"/>
      <c r="Z274" s="151"/>
      <c r="AA274" s="151"/>
      <c r="AB274" s="151"/>
    </row>
    <row r="275" spans="1:28" s="178" customFormat="1" ht="13">
      <c r="A275" s="170"/>
      <c r="B275" s="175" t="s">
        <v>876</v>
      </c>
      <c r="C275" s="176">
        <v>0</v>
      </c>
      <c r="D275" s="176">
        <v>0</v>
      </c>
      <c r="E275" s="176">
        <v>0</v>
      </c>
      <c r="F275" s="176">
        <v>0</v>
      </c>
      <c r="G275" s="176">
        <v>0</v>
      </c>
      <c r="H275" s="176">
        <v>0</v>
      </c>
      <c r="I275" s="177">
        <v>0</v>
      </c>
      <c r="J275" s="176">
        <v>0</v>
      </c>
      <c r="K275" s="176">
        <v>0</v>
      </c>
      <c r="L275" s="176">
        <v>0</v>
      </c>
      <c r="M275" s="176">
        <v>0</v>
      </c>
      <c r="N275" s="176">
        <v>0</v>
      </c>
      <c r="O275" s="177">
        <v>0</v>
      </c>
      <c r="P275" s="176">
        <v>0</v>
      </c>
      <c r="Q275" s="176">
        <v>0</v>
      </c>
      <c r="R275" s="176">
        <v>0</v>
      </c>
      <c r="S275" s="177">
        <v>0</v>
      </c>
      <c r="T275" s="176">
        <v>4.039049879051416</v>
      </c>
      <c r="U275" s="177">
        <v>4.039049879051416</v>
      </c>
      <c r="V275" s="176">
        <v>0</v>
      </c>
      <c r="W275" s="177">
        <v>0</v>
      </c>
      <c r="X275" s="53">
        <v>4.039049879051416</v>
      </c>
      <c r="Y275" s="151"/>
      <c r="Z275" s="151"/>
      <c r="AA275" s="151"/>
      <c r="AB275" s="151"/>
    </row>
    <row r="276" spans="1:28" ht="13">
      <c r="A276" s="170"/>
      <c r="B276" s="59" t="s">
        <v>877</v>
      </c>
      <c r="C276" s="179">
        <v>597270744</v>
      </c>
      <c r="D276" s="179">
        <v>395123480</v>
      </c>
      <c r="E276" s="179">
        <v>371303134</v>
      </c>
      <c r="F276" s="179">
        <v>249641589</v>
      </c>
      <c r="G276" s="179">
        <v>24655381</v>
      </c>
      <c r="H276" s="179">
        <v>23741687</v>
      </c>
      <c r="I276" s="180">
        <v>1661736015</v>
      </c>
      <c r="J276" s="179"/>
      <c r="K276" s="179">
        <v>113775337.71000001</v>
      </c>
      <c r="L276" s="179">
        <v>115538407</v>
      </c>
      <c r="M276" s="179">
        <v>24928081</v>
      </c>
      <c r="N276" s="179"/>
      <c r="O276" s="180">
        <v>254241825.71000001</v>
      </c>
      <c r="P276" s="179">
        <v>59388658</v>
      </c>
      <c r="Q276" s="179">
        <v>7168076</v>
      </c>
      <c r="R276" s="179"/>
      <c r="S276" s="180">
        <v>66556734</v>
      </c>
      <c r="T276" s="179">
        <v>18007325</v>
      </c>
      <c r="U276" s="180">
        <v>18007325</v>
      </c>
      <c r="V276" s="179"/>
      <c r="W276" s="180"/>
      <c r="X276" s="53">
        <v>2000541899.71</v>
      </c>
      <c r="Y276" s="151"/>
      <c r="Z276" s="151"/>
      <c r="AA276" s="151"/>
      <c r="AB276" s="151"/>
    </row>
    <row r="277" spans="1:28" s="173" customFormat="1" ht="13">
      <c r="A277" s="170"/>
      <c r="B277" s="94" t="s">
        <v>878</v>
      </c>
      <c r="C277" s="171">
        <v>607331491</v>
      </c>
      <c r="D277" s="171">
        <v>362412952</v>
      </c>
      <c r="E277" s="171">
        <v>358176382</v>
      </c>
      <c r="F277" s="171">
        <v>239832111</v>
      </c>
      <c r="G277" s="171">
        <v>23609065.43</v>
      </c>
      <c r="H277" s="171">
        <v>19917147</v>
      </c>
      <c r="I277" s="172">
        <v>1611279148.4300001</v>
      </c>
      <c r="J277" s="171"/>
      <c r="K277" s="171">
        <v>106595510</v>
      </c>
      <c r="L277" s="171">
        <v>105188416.8</v>
      </c>
      <c r="M277" s="171">
        <v>24046543</v>
      </c>
      <c r="N277" s="171"/>
      <c r="O277" s="172">
        <v>235830469.80000001</v>
      </c>
      <c r="P277" s="171">
        <v>56413704</v>
      </c>
      <c r="Q277" s="171">
        <v>6305971</v>
      </c>
      <c r="R277" s="171"/>
      <c r="S277" s="172">
        <v>62719675</v>
      </c>
      <c r="T277" s="171">
        <v>17876002</v>
      </c>
      <c r="U277" s="172">
        <v>17876002</v>
      </c>
      <c r="V277" s="171"/>
      <c r="W277" s="172"/>
      <c r="X277" s="53">
        <v>1927705295.23</v>
      </c>
      <c r="Y277" s="151"/>
      <c r="Z277" s="151"/>
      <c r="AA277" s="151"/>
      <c r="AB277" s="151"/>
    </row>
    <row r="278" spans="1:28" s="192" customFormat="1" ht="13.5" thickBot="1">
      <c r="A278" s="186"/>
      <c r="B278" s="187" t="s">
        <v>879</v>
      </c>
      <c r="C278" s="188">
        <v>1.6844533406444564</v>
      </c>
      <c r="D278" s="188">
        <v>-8.2785583888864309</v>
      </c>
      <c r="E278" s="188">
        <v>-3.5353194729565627</v>
      </c>
      <c r="F278" s="188">
        <v>-3.9294245959955019</v>
      </c>
      <c r="G278" s="188">
        <v>-4.2437615139672769</v>
      </c>
      <c r="H278" s="188">
        <v>-16.108964792602986</v>
      </c>
      <c r="I278" s="189">
        <v>-3.0363948373592864</v>
      </c>
      <c r="J278" s="188">
        <v>0</v>
      </c>
      <c r="K278" s="188">
        <v>-6.3105307833060857</v>
      </c>
      <c r="L278" s="188">
        <v>-8.9580516719431671</v>
      </c>
      <c r="M278" s="188">
        <v>-3.536325158763725</v>
      </c>
      <c r="N278" s="188">
        <v>0</v>
      </c>
      <c r="O278" s="189">
        <v>-7.241670743428676</v>
      </c>
      <c r="P278" s="188">
        <v>-5.0092965562548999</v>
      </c>
      <c r="Q278" s="188">
        <v>-12.027006968118084</v>
      </c>
      <c r="R278" s="188">
        <v>0</v>
      </c>
      <c r="S278" s="189">
        <v>-5.7650950841427999</v>
      </c>
      <c r="T278" s="188">
        <v>-0.72927544763033925</v>
      </c>
      <c r="U278" s="189">
        <v>-0.72927544763033925</v>
      </c>
      <c r="V278" s="188">
        <v>0</v>
      </c>
      <c r="W278" s="189">
        <v>0</v>
      </c>
      <c r="X278" s="53">
        <v>-3.6408437379171348</v>
      </c>
      <c r="Y278" s="151"/>
      <c r="Z278" s="151"/>
      <c r="AA278" s="151"/>
      <c r="AB278" s="151"/>
    </row>
    <row r="279" spans="1:28" ht="13.5" thickTop="1">
      <c r="A279" s="147" t="s">
        <v>549</v>
      </c>
      <c r="B279" s="167" t="s">
        <v>754</v>
      </c>
      <c r="C279" s="168">
        <v>569162254</v>
      </c>
      <c r="D279" s="168">
        <v>248949926</v>
      </c>
      <c r="E279" s="168">
        <v>172601377</v>
      </c>
      <c r="F279" s="168">
        <v>196854356</v>
      </c>
      <c r="G279" s="168">
        <v>48812311</v>
      </c>
      <c r="H279" s="168">
        <v>27157749</v>
      </c>
      <c r="I279" s="169">
        <v>1263537973</v>
      </c>
      <c r="J279" s="168"/>
      <c r="K279" s="168">
        <v>168803582</v>
      </c>
      <c r="L279" s="168">
        <v>96652347</v>
      </c>
      <c r="M279" s="168">
        <v>32635714</v>
      </c>
      <c r="N279" s="168"/>
      <c r="O279" s="169">
        <v>298091643</v>
      </c>
      <c r="P279" s="168"/>
      <c r="Q279" s="168"/>
      <c r="R279" s="168"/>
      <c r="S279" s="169"/>
      <c r="T279" s="168"/>
      <c r="U279" s="169"/>
      <c r="V279" s="168"/>
      <c r="W279" s="169"/>
      <c r="X279" s="53">
        <v>1561629616</v>
      </c>
      <c r="Y279" s="151"/>
      <c r="Z279" s="151"/>
      <c r="AA279" s="151"/>
      <c r="AB279" s="151"/>
    </row>
    <row r="280" spans="1:28" s="173" customFormat="1" ht="13">
      <c r="A280" s="170"/>
      <c r="B280" s="94" t="s">
        <v>755</v>
      </c>
      <c r="C280" s="171">
        <v>574531421</v>
      </c>
      <c r="D280" s="171">
        <v>260411929</v>
      </c>
      <c r="E280" s="171">
        <v>179000563</v>
      </c>
      <c r="F280" s="171">
        <v>198406672</v>
      </c>
      <c r="G280" s="171">
        <v>49787119</v>
      </c>
      <c r="H280" s="171">
        <v>27281844</v>
      </c>
      <c r="I280" s="172">
        <v>1289419548</v>
      </c>
      <c r="J280" s="171"/>
      <c r="K280" s="171">
        <v>173459195</v>
      </c>
      <c r="L280" s="171">
        <v>93933831</v>
      </c>
      <c r="M280" s="171">
        <v>32950103</v>
      </c>
      <c r="N280" s="171"/>
      <c r="O280" s="172">
        <v>300343129</v>
      </c>
      <c r="P280" s="171"/>
      <c r="Q280" s="171"/>
      <c r="R280" s="171"/>
      <c r="S280" s="172"/>
      <c r="T280" s="171"/>
      <c r="U280" s="172"/>
      <c r="V280" s="171"/>
      <c r="W280" s="172"/>
      <c r="X280" s="53">
        <v>1589762677</v>
      </c>
      <c r="Y280" s="151"/>
      <c r="Z280" s="151"/>
      <c r="AA280" s="151"/>
      <c r="AB280" s="151"/>
    </row>
    <row r="281" spans="1:28" s="178" customFormat="1" ht="13">
      <c r="A281" s="174"/>
      <c r="B281" s="175" t="s">
        <v>849</v>
      </c>
      <c r="C281" s="176">
        <v>0.94334558594955598</v>
      </c>
      <c r="D281" s="176">
        <v>4.6041399506180216</v>
      </c>
      <c r="E281" s="176">
        <v>3.7074941760169158</v>
      </c>
      <c r="F281" s="176">
        <v>0.78856065547261744</v>
      </c>
      <c r="G281" s="176">
        <v>1.9970535711779762</v>
      </c>
      <c r="H281" s="176">
        <v>0.45694140556347285</v>
      </c>
      <c r="I281" s="177">
        <v>2.0483416844647535</v>
      </c>
      <c r="J281" s="176">
        <v>0</v>
      </c>
      <c r="K281" s="176">
        <v>2.7580060475256976</v>
      </c>
      <c r="L281" s="176">
        <v>-2.8126745851293196</v>
      </c>
      <c r="M281" s="176">
        <v>0.96332808897638955</v>
      </c>
      <c r="N281" s="176">
        <v>0</v>
      </c>
      <c r="O281" s="177">
        <v>0.75529993975711696</v>
      </c>
      <c r="P281" s="176">
        <v>0</v>
      </c>
      <c r="Q281" s="176">
        <v>0</v>
      </c>
      <c r="R281" s="176">
        <v>0</v>
      </c>
      <c r="S281" s="177">
        <v>0</v>
      </c>
      <c r="T281" s="176">
        <v>0</v>
      </c>
      <c r="U281" s="177">
        <v>0</v>
      </c>
      <c r="V281" s="176">
        <v>0</v>
      </c>
      <c r="W281" s="177">
        <v>0</v>
      </c>
      <c r="X281" s="53">
        <v>1.8015194327615773</v>
      </c>
      <c r="Y281" s="151"/>
      <c r="Z281" s="151"/>
      <c r="AA281" s="151"/>
      <c r="AB281" s="151"/>
    </row>
    <row r="282" spans="1:28" ht="13">
      <c r="A282" s="170"/>
      <c r="B282" s="59" t="s">
        <v>756</v>
      </c>
      <c r="C282" s="179">
        <v>66459513</v>
      </c>
      <c r="D282" s="179"/>
      <c r="E282" s="179"/>
      <c r="F282" s="179"/>
      <c r="G282" s="179"/>
      <c r="H282" s="179"/>
      <c r="I282" s="180">
        <v>66459513</v>
      </c>
      <c r="J282" s="179"/>
      <c r="K282" s="179"/>
      <c r="L282" s="179"/>
      <c r="M282" s="179"/>
      <c r="N282" s="179"/>
      <c r="O282" s="180"/>
      <c r="P282" s="179"/>
      <c r="Q282" s="179"/>
      <c r="R282" s="179"/>
      <c r="S282" s="180"/>
      <c r="T282" s="179"/>
      <c r="U282" s="180"/>
      <c r="V282" s="179"/>
      <c r="W282" s="180"/>
      <c r="X282" s="53">
        <v>66459513</v>
      </c>
      <c r="Y282" s="151"/>
      <c r="Z282" s="151"/>
      <c r="AA282" s="151"/>
      <c r="AB282" s="151"/>
    </row>
    <row r="283" spans="1:28" s="173" customFormat="1" ht="13">
      <c r="A283" s="170"/>
      <c r="B283" s="94" t="s">
        <v>757</v>
      </c>
      <c r="C283" s="171">
        <v>63547494</v>
      </c>
      <c r="D283" s="171"/>
      <c r="E283" s="171"/>
      <c r="F283" s="171"/>
      <c r="G283" s="171"/>
      <c r="H283" s="171"/>
      <c r="I283" s="172">
        <v>63547494</v>
      </c>
      <c r="J283" s="171"/>
      <c r="K283" s="171"/>
      <c r="L283" s="171"/>
      <c r="M283" s="171"/>
      <c r="N283" s="171"/>
      <c r="O283" s="172"/>
      <c r="P283" s="171"/>
      <c r="Q283" s="171"/>
      <c r="R283" s="171"/>
      <c r="S283" s="172"/>
      <c r="T283" s="171"/>
      <c r="U283" s="172"/>
      <c r="V283" s="171"/>
      <c r="W283" s="172"/>
      <c r="X283" s="53">
        <v>63547494</v>
      </c>
      <c r="Y283" s="151"/>
      <c r="Z283" s="151"/>
      <c r="AA283" s="151"/>
      <c r="AB283" s="151"/>
    </row>
    <row r="284" spans="1:28" s="178" customFormat="1" ht="13">
      <c r="A284" s="170"/>
      <c r="B284" s="175" t="s">
        <v>850</v>
      </c>
      <c r="C284" s="176">
        <v>-4.3816436030760562</v>
      </c>
      <c r="D284" s="176">
        <v>0</v>
      </c>
      <c r="E284" s="176">
        <v>0</v>
      </c>
      <c r="F284" s="176">
        <v>0</v>
      </c>
      <c r="G284" s="176">
        <v>0</v>
      </c>
      <c r="H284" s="176">
        <v>0</v>
      </c>
      <c r="I284" s="177">
        <v>-4.3816436030760562</v>
      </c>
      <c r="J284" s="176">
        <v>0</v>
      </c>
      <c r="K284" s="176">
        <v>0</v>
      </c>
      <c r="L284" s="176">
        <v>0</v>
      </c>
      <c r="M284" s="176">
        <v>0</v>
      </c>
      <c r="N284" s="176">
        <v>0</v>
      </c>
      <c r="O284" s="177">
        <v>0</v>
      </c>
      <c r="P284" s="176">
        <v>0</v>
      </c>
      <c r="Q284" s="176">
        <v>0</v>
      </c>
      <c r="R284" s="176">
        <v>0</v>
      </c>
      <c r="S284" s="177">
        <v>0</v>
      </c>
      <c r="T284" s="176">
        <v>0</v>
      </c>
      <c r="U284" s="177">
        <v>0</v>
      </c>
      <c r="V284" s="176">
        <v>0</v>
      </c>
      <c r="W284" s="177">
        <v>0</v>
      </c>
      <c r="X284" s="53">
        <v>-4.3816436030760562</v>
      </c>
      <c r="Y284" s="151"/>
      <c r="Z284" s="151"/>
      <c r="AA284" s="151"/>
      <c r="AB284" s="151"/>
    </row>
    <row r="285" spans="1:28" ht="13">
      <c r="A285" s="170"/>
      <c r="B285" s="59" t="s">
        <v>758</v>
      </c>
      <c r="C285" s="179"/>
      <c r="D285" s="179"/>
      <c r="E285" s="179"/>
      <c r="F285" s="179"/>
      <c r="G285" s="179"/>
      <c r="H285" s="179"/>
      <c r="I285" s="180"/>
      <c r="J285" s="179"/>
      <c r="K285" s="179">
        <v>331784253</v>
      </c>
      <c r="L285" s="179">
        <v>78554417</v>
      </c>
      <c r="M285" s="179">
        <v>39085648</v>
      </c>
      <c r="N285" s="179"/>
      <c r="O285" s="180">
        <v>449424318</v>
      </c>
      <c r="P285" s="179"/>
      <c r="Q285" s="179"/>
      <c r="R285" s="179"/>
      <c r="S285" s="180"/>
      <c r="T285" s="179"/>
      <c r="U285" s="180"/>
      <c r="V285" s="179"/>
      <c r="W285" s="180"/>
      <c r="X285" s="53">
        <v>449424318</v>
      </c>
      <c r="Y285" s="151"/>
      <c r="Z285" s="151"/>
      <c r="AA285" s="151"/>
      <c r="AB285" s="151"/>
    </row>
    <row r="286" spans="1:28" s="173" customFormat="1" ht="13">
      <c r="A286" s="170"/>
      <c r="B286" s="94" t="s">
        <v>759</v>
      </c>
      <c r="C286" s="171"/>
      <c r="D286" s="171"/>
      <c r="E286" s="171"/>
      <c r="F286" s="171"/>
      <c r="G286" s="171"/>
      <c r="H286" s="171"/>
      <c r="I286" s="172"/>
      <c r="J286" s="171"/>
      <c r="K286" s="171">
        <v>335101575</v>
      </c>
      <c r="L286" s="171">
        <v>79517302</v>
      </c>
      <c r="M286" s="171">
        <v>39603304</v>
      </c>
      <c r="N286" s="171"/>
      <c r="O286" s="172">
        <v>454222181</v>
      </c>
      <c r="P286" s="171"/>
      <c r="Q286" s="171"/>
      <c r="R286" s="171"/>
      <c r="S286" s="172"/>
      <c r="T286" s="171"/>
      <c r="U286" s="172"/>
      <c r="V286" s="171"/>
      <c r="W286" s="172"/>
      <c r="X286" s="53">
        <v>454222181</v>
      </c>
      <c r="Y286" s="151"/>
      <c r="Z286" s="151"/>
      <c r="AA286" s="151"/>
      <c r="AB286" s="151"/>
    </row>
    <row r="287" spans="1:28" s="178" customFormat="1" ht="13">
      <c r="A287" s="170"/>
      <c r="B287" s="175" t="s">
        <v>851</v>
      </c>
      <c r="C287" s="176">
        <v>0</v>
      </c>
      <c r="D287" s="176">
        <v>0</v>
      </c>
      <c r="E287" s="176">
        <v>0</v>
      </c>
      <c r="F287" s="176">
        <v>0</v>
      </c>
      <c r="G287" s="176">
        <v>0</v>
      </c>
      <c r="H287" s="176">
        <v>0</v>
      </c>
      <c r="I287" s="177">
        <v>0</v>
      </c>
      <c r="J287" s="176">
        <v>0</v>
      </c>
      <c r="K287" s="176">
        <v>0.99984311190320418</v>
      </c>
      <c r="L287" s="176">
        <v>1.225755389413685</v>
      </c>
      <c r="M287" s="176">
        <v>1.3244145267848699</v>
      </c>
      <c r="N287" s="176">
        <v>0</v>
      </c>
      <c r="O287" s="177">
        <v>1.0675574969665971</v>
      </c>
      <c r="P287" s="176">
        <v>0</v>
      </c>
      <c r="Q287" s="176">
        <v>0</v>
      </c>
      <c r="R287" s="176">
        <v>0</v>
      </c>
      <c r="S287" s="177">
        <v>0</v>
      </c>
      <c r="T287" s="176">
        <v>0</v>
      </c>
      <c r="U287" s="177">
        <v>0</v>
      </c>
      <c r="V287" s="176">
        <v>0</v>
      </c>
      <c r="W287" s="177">
        <v>0</v>
      </c>
      <c r="X287" s="53">
        <v>1.0675574969665971</v>
      </c>
      <c r="Y287" s="151"/>
      <c r="Z287" s="151"/>
      <c r="AA287" s="151"/>
      <c r="AB287" s="151"/>
    </row>
    <row r="288" spans="1:28" ht="13">
      <c r="A288" s="170"/>
      <c r="B288" s="59" t="s">
        <v>760</v>
      </c>
      <c r="C288" s="179">
        <v>661680357</v>
      </c>
      <c r="D288" s="179">
        <v>205220936</v>
      </c>
      <c r="E288" s="179">
        <v>251525205</v>
      </c>
      <c r="F288" s="179">
        <v>186929306</v>
      </c>
      <c r="G288" s="179">
        <v>15206986</v>
      </c>
      <c r="H288" s="179">
        <v>22568407</v>
      </c>
      <c r="I288" s="180">
        <v>1343131197</v>
      </c>
      <c r="J288" s="179"/>
      <c r="K288" s="179">
        <v>272144509</v>
      </c>
      <c r="L288" s="179">
        <v>102167262</v>
      </c>
      <c r="M288" s="179">
        <v>41274880</v>
      </c>
      <c r="N288" s="179"/>
      <c r="O288" s="180">
        <v>415586651</v>
      </c>
      <c r="P288" s="179"/>
      <c r="Q288" s="179"/>
      <c r="R288" s="179"/>
      <c r="S288" s="180"/>
      <c r="T288" s="179"/>
      <c r="U288" s="180"/>
      <c r="V288" s="179"/>
      <c r="W288" s="180"/>
      <c r="X288" s="53">
        <v>1758717848</v>
      </c>
      <c r="Y288" s="151"/>
      <c r="Z288" s="151"/>
      <c r="AA288" s="151"/>
      <c r="AB288" s="151"/>
    </row>
    <row r="289" spans="1:28" s="173" customFormat="1" ht="13">
      <c r="A289" s="170"/>
      <c r="B289" s="94" t="s">
        <v>761</v>
      </c>
      <c r="C289" s="171">
        <v>641276745</v>
      </c>
      <c r="D289" s="171">
        <v>201870520</v>
      </c>
      <c r="E289" s="171">
        <v>240467266</v>
      </c>
      <c r="F289" s="171">
        <v>177311032</v>
      </c>
      <c r="G289" s="171">
        <v>13001126</v>
      </c>
      <c r="H289" s="171">
        <v>22396717</v>
      </c>
      <c r="I289" s="172">
        <v>1296323406</v>
      </c>
      <c r="J289" s="171"/>
      <c r="K289" s="171">
        <v>264181903</v>
      </c>
      <c r="L289" s="171">
        <v>94367414</v>
      </c>
      <c r="M289" s="171">
        <v>41817713</v>
      </c>
      <c r="N289" s="171"/>
      <c r="O289" s="172">
        <v>400367030</v>
      </c>
      <c r="P289" s="171"/>
      <c r="Q289" s="171"/>
      <c r="R289" s="171"/>
      <c r="S289" s="172"/>
      <c r="T289" s="171"/>
      <c r="U289" s="172"/>
      <c r="V289" s="171"/>
      <c r="W289" s="172"/>
      <c r="X289" s="53">
        <v>1696690436</v>
      </c>
      <c r="Y289" s="151"/>
      <c r="Z289" s="151"/>
      <c r="AA289" s="151"/>
      <c r="AB289" s="151"/>
    </row>
    <row r="290" spans="1:28" s="178" customFormat="1" ht="13">
      <c r="A290" s="170"/>
      <c r="B290" s="175" t="s">
        <v>852</v>
      </c>
      <c r="C290" s="176">
        <v>-3.0836055180039144</v>
      </c>
      <c r="D290" s="176">
        <v>-1.6325897665723541</v>
      </c>
      <c r="E290" s="176">
        <v>-4.3963542341611452</v>
      </c>
      <c r="F290" s="176">
        <v>-5.1454072161376345</v>
      </c>
      <c r="G290" s="176">
        <v>-14.505570005785499</v>
      </c>
      <c r="H290" s="176">
        <v>-0.76075373862231399</v>
      </c>
      <c r="I290" s="177">
        <v>-3.4849753400523533</v>
      </c>
      <c r="J290" s="176">
        <v>0</v>
      </c>
      <c r="K290" s="176">
        <v>-2.9258742089850505</v>
      </c>
      <c r="L290" s="176">
        <v>-7.6343907503364434</v>
      </c>
      <c r="M290" s="176">
        <v>1.3151655437883769</v>
      </c>
      <c r="N290" s="176">
        <v>0</v>
      </c>
      <c r="O290" s="177">
        <v>-3.6622016042570142</v>
      </c>
      <c r="P290" s="176">
        <v>0</v>
      </c>
      <c r="Q290" s="176">
        <v>0</v>
      </c>
      <c r="R290" s="176">
        <v>0</v>
      </c>
      <c r="S290" s="177">
        <v>0</v>
      </c>
      <c r="T290" s="176">
        <v>0</v>
      </c>
      <c r="U290" s="177">
        <v>0</v>
      </c>
      <c r="V290" s="176">
        <v>0</v>
      </c>
      <c r="W290" s="177">
        <v>0</v>
      </c>
      <c r="X290" s="53">
        <v>-3.5268540698860296</v>
      </c>
      <c r="Y290" s="151"/>
      <c r="Z290" s="151"/>
      <c r="AA290" s="151"/>
      <c r="AB290" s="151"/>
    </row>
    <row r="291" spans="1:28" ht="13">
      <c r="A291" s="170"/>
      <c r="B291" s="59" t="s">
        <v>853</v>
      </c>
      <c r="C291" s="179"/>
      <c r="D291" s="179"/>
      <c r="E291" s="179"/>
      <c r="F291" s="179"/>
      <c r="G291" s="179"/>
      <c r="H291" s="179"/>
      <c r="I291" s="180"/>
      <c r="J291" s="179"/>
      <c r="K291" s="179"/>
      <c r="L291" s="179"/>
      <c r="M291" s="179"/>
      <c r="N291" s="179"/>
      <c r="O291" s="180"/>
      <c r="P291" s="179"/>
      <c r="Q291" s="179"/>
      <c r="R291" s="179"/>
      <c r="S291" s="180"/>
      <c r="T291" s="179"/>
      <c r="U291" s="180"/>
      <c r="V291" s="179"/>
      <c r="W291" s="180"/>
      <c r="X291" s="53"/>
      <c r="Y291" s="151"/>
      <c r="Z291" s="151"/>
      <c r="AA291" s="151"/>
      <c r="AB291" s="151"/>
    </row>
    <row r="292" spans="1:28" s="173" customFormat="1" ht="13">
      <c r="A292" s="170"/>
      <c r="B292" s="94" t="s">
        <v>854</v>
      </c>
      <c r="C292" s="171"/>
      <c r="D292" s="171"/>
      <c r="E292" s="171"/>
      <c r="F292" s="171"/>
      <c r="G292" s="171"/>
      <c r="H292" s="171"/>
      <c r="I292" s="172"/>
      <c r="J292" s="171"/>
      <c r="K292" s="171"/>
      <c r="L292" s="171"/>
      <c r="M292" s="171"/>
      <c r="N292" s="171"/>
      <c r="O292" s="172"/>
      <c r="P292" s="171"/>
      <c r="Q292" s="171"/>
      <c r="R292" s="171"/>
      <c r="S292" s="172"/>
      <c r="T292" s="171"/>
      <c r="U292" s="172"/>
      <c r="V292" s="171"/>
      <c r="W292" s="172"/>
      <c r="X292" s="53"/>
      <c r="Y292" s="151"/>
      <c r="Z292" s="151"/>
      <c r="AA292" s="151"/>
      <c r="AB292" s="151"/>
    </row>
    <row r="293" spans="1:28" s="178" customFormat="1" ht="13">
      <c r="A293" s="170"/>
      <c r="B293" s="175" t="s">
        <v>855</v>
      </c>
      <c r="C293" s="176">
        <v>0</v>
      </c>
      <c r="D293" s="176">
        <v>0</v>
      </c>
      <c r="E293" s="176">
        <v>0</v>
      </c>
      <c r="F293" s="176">
        <v>0</v>
      </c>
      <c r="G293" s="176">
        <v>0</v>
      </c>
      <c r="H293" s="176">
        <v>0</v>
      </c>
      <c r="I293" s="177">
        <v>0</v>
      </c>
      <c r="J293" s="176">
        <v>0</v>
      </c>
      <c r="K293" s="176">
        <v>0</v>
      </c>
      <c r="L293" s="176">
        <v>0</v>
      </c>
      <c r="M293" s="176">
        <v>0</v>
      </c>
      <c r="N293" s="176">
        <v>0</v>
      </c>
      <c r="O293" s="177">
        <v>0</v>
      </c>
      <c r="P293" s="176">
        <v>0</v>
      </c>
      <c r="Q293" s="176">
        <v>0</v>
      </c>
      <c r="R293" s="176">
        <v>0</v>
      </c>
      <c r="S293" s="177">
        <v>0</v>
      </c>
      <c r="T293" s="176">
        <v>0</v>
      </c>
      <c r="U293" s="177">
        <v>0</v>
      </c>
      <c r="V293" s="176">
        <v>0</v>
      </c>
      <c r="W293" s="177">
        <v>0</v>
      </c>
      <c r="X293" s="53">
        <v>0</v>
      </c>
      <c r="Y293" s="151"/>
      <c r="Z293" s="151"/>
      <c r="AA293" s="151"/>
      <c r="AB293" s="151"/>
    </row>
    <row r="294" spans="1:28" ht="13">
      <c r="A294" s="170"/>
      <c r="B294" s="183" t="s">
        <v>856</v>
      </c>
      <c r="C294" s="180">
        <v>661680357</v>
      </c>
      <c r="D294" s="180">
        <v>205220936</v>
      </c>
      <c r="E294" s="180">
        <v>251525205</v>
      </c>
      <c r="F294" s="180">
        <v>186929306</v>
      </c>
      <c r="G294" s="180">
        <v>15206986</v>
      </c>
      <c r="H294" s="180">
        <v>22568407</v>
      </c>
      <c r="I294" s="180">
        <v>1343131197</v>
      </c>
      <c r="J294" s="180"/>
      <c r="K294" s="180">
        <v>272144509</v>
      </c>
      <c r="L294" s="180">
        <v>102167262</v>
      </c>
      <c r="M294" s="180">
        <v>41274880</v>
      </c>
      <c r="N294" s="180"/>
      <c r="O294" s="180">
        <v>415586651</v>
      </c>
      <c r="P294" s="180"/>
      <c r="Q294" s="180"/>
      <c r="R294" s="180"/>
      <c r="S294" s="180"/>
      <c r="T294" s="180">
        <v>0</v>
      </c>
      <c r="U294" s="180">
        <v>0</v>
      </c>
      <c r="V294" s="180">
        <v>0</v>
      </c>
      <c r="W294" s="180">
        <v>0</v>
      </c>
      <c r="X294" s="53">
        <v>1758717848</v>
      </c>
      <c r="Y294" s="151"/>
      <c r="Z294" s="151"/>
      <c r="AA294" s="151"/>
      <c r="AB294" s="151"/>
    </row>
    <row r="295" spans="1:28" s="173" customFormat="1" ht="13">
      <c r="A295" s="170"/>
      <c r="B295" s="184" t="s">
        <v>857</v>
      </c>
      <c r="C295" s="172">
        <v>641276745</v>
      </c>
      <c r="D295" s="172">
        <v>201870520</v>
      </c>
      <c r="E295" s="172">
        <v>240467266</v>
      </c>
      <c r="F295" s="172">
        <v>177311032</v>
      </c>
      <c r="G295" s="172">
        <v>13001126</v>
      </c>
      <c r="H295" s="172">
        <v>22396717</v>
      </c>
      <c r="I295" s="172">
        <v>1296323406</v>
      </c>
      <c r="J295" s="172"/>
      <c r="K295" s="172">
        <v>264181903</v>
      </c>
      <c r="L295" s="172">
        <v>94367414</v>
      </c>
      <c r="M295" s="172">
        <v>41817713</v>
      </c>
      <c r="N295" s="172"/>
      <c r="O295" s="172">
        <v>400367030</v>
      </c>
      <c r="P295" s="172"/>
      <c r="Q295" s="172"/>
      <c r="R295" s="172"/>
      <c r="S295" s="172"/>
      <c r="T295" s="172">
        <v>0</v>
      </c>
      <c r="U295" s="172">
        <v>0</v>
      </c>
      <c r="V295" s="172">
        <v>0</v>
      </c>
      <c r="W295" s="172">
        <v>0</v>
      </c>
      <c r="X295" s="53">
        <v>1696690436</v>
      </c>
      <c r="Y295" s="151"/>
      <c r="Z295" s="151"/>
      <c r="AA295" s="151"/>
      <c r="AB295" s="151"/>
    </row>
    <row r="296" spans="1:28" s="178" customFormat="1" ht="13">
      <c r="A296" s="170"/>
      <c r="B296" s="185" t="s">
        <v>858</v>
      </c>
      <c r="C296" s="177">
        <v>-3.0836055180039144</v>
      </c>
      <c r="D296" s="177">
        <v>-1.6325897665723541</v>
      </c>
      <c r="E296" s="177">
        <v>-4.3963542341611452</v>
      </c>
      <c r="F296" s="177">
        <v>-5.1454072161376345</v>
      </c>
      <c r="G296" s="177">
        <v>-14.505570005785499</v>
      </c>
      <c r="H296" s="177">
        <v>-0.76075373862231399</v>
      </c>
      <c r="I296" s="177">
        <v>-3.4849753400523533</v>
      </c>
      <c r="J296" s="177">
        <v>0</v>
      </c>
      <c r="K296" s="177">
        <v>-2.9258742089850505</v>
      </c>
      <c r="L296" s="177">
        <v>-7.6343907503364434</v>
      </c>
      <c r="M296" s="177">
        <v>1.3151655437883769</v>
      </c>
      <c r="N296" s="177">
        <v>0</v>
      </c>
      <c r="O296" s="177">
        <v>-3.6622016042570142</v>
      </c>
      <c r="P296" s="177">
        <v>0</v>
      </c>
      <c r="Q296" s="177">
        <v>0</v>
      </c>
      <c r="R296" s="177">
        <v>0</v>
      </c>
      <c r="S296" s="177">
        <v>0</v>
      </c>
      <c r="T296" s="177">
        <v>0</v>
      </c>
      <c r="U296" s="177">
        <v>0</v>
      </c>
      <c r="V296" s="177">
        <v>0</v>
      </c>
      <c r="W296" s="177">
        <v>0</v>
      </c>
      <c r="X296" s="53">
        <v>-3.5268540698860296</v>
      </c>
      <c r="Y296" s="151"/>
      <c r="Z296" s="151"/>
      <c r="AA296" s="151"/>
      <c r="AB296" s="151"/>
    </row>
    <row r="297" spans="1:28" ht="13">
      <c r="A297" s="170"/>
      <c r="B297" s="59" t="s">
        <v>859</v>
      </c>
      <c r="C297" s="179"/>
      <c r="D297" s="179"/>
      <c r="E297" s="179"/>
      <c r="F297" s="179"/>
      <c r="G297" s="179"/>
      <c r="H297" s="179"/>
      <c r="I297" s="180"/>
      <c r="J297" s="179"/>
      <c r="K297" s="179"/>
      <c r="L297" s="179"/>
      <c r="M297" s="179"/>
      <c r="N297" s="179"/>
      <c r="O297" s="180"/>
      <c r="P297" s="179"/>
      <c r="Q297" s="179"/>
      <c r="R297" s="179"/>
      <c r="S297" s="180"/>
      <c r="T297" s="179">
        <v>44322848</v>
      </c>
      <c r="U297" s="180">
        <v>44322848</v>
      </c>
      <c r="V297" s="179"/>
      <c r="W297" s="180"/>
      <c r="X297" s="53">
        <v>44322848</v>
      </c>
      <c r="Y297" s="151"/>
      <c r="Z297" s="151"/>
      <c r="AA297" s="151"/>
      <c r="AB297" s="151"/>
    </row>
    <row r="298" spans="1:28" s="173" customFormat="1" ht="13">
      <c r="A298" s="170"/>
      <c r="B298" s="94" t="s">
        <v>860</v>
      </c>
      <c r="C298" s="171"/>
      <c r="D298" s="171"/>
      <c r="E298" s="171"/>
      <c r="F298" s="171"/>
      <c r="G298" s="171"/>
      <c r="H298" s="171"/>
      <c r="I298" s="172"/>
      <c r="J298" s="171"/>
      <c r="K298" s="171"/>
      <c r="L298" s="171"/>
      <c r="M298" s="171"/>
      <c r="N298" s="171"/>
      <c r="O298" s="172"/>
      <c r="P298" s="171"/>
      <c r="Q298" s="171"/>
      <c r="R298" s="171"/>
      <c r="S298" s="172"/>
      <c r="T298" s="171">
        <v>44297206</v>
      </c>
      <c r="U298" s="172">
        <v>44297206</v>
      </c>
      <c r="V298" s="171">
        <v>12598916</v>
      </c>
      <c r="W298" s="172">
        <v>12598916</v>
      </c>
      <c r="X298" s="53">
        <v>56896122</v>
      </c>
      <c r="Y298" s="151"/>
      <c r="Z298" s="151"/>
      <c r="AA298" s="151"/>
      <c r="AB298" s="151"/>
    </row>
    <row r="299" spans="1:28" s="178" customFormat="1" ht="13">
      <c r="A299" s="170"/>
      <c r="B299" s="175" t="s">
        <v>861</v>
      </c>
      <c r="C299" s="176">
        <v>0</v>
      </c>
      <c r="D299" s="176">
        <v>0</v>
      </c>
      <c r="E299" s="176">
        <v>0</v>
      </c>
      <c r="F299" s="176">
        <v>0</v>
      </c>
      <c r="G299" s="176">
        <v>0</v>
      </c>
      <c r="H299" s="176">
        <v>0</v>
      </c>
      <c r="I299" s="177">
        <v>0</v>
      </c>
      <c r="J299" s="176">
        <v>0</v>
      </c>
      <c r="K299" s="176">
        <v>0</v>
      </c>
      <c r="L299" s="176">
        <v>0</v>
      </c>
      <c r="M299" s="176">
        <v>0</v>
      </c>
      <c r="N299" s="176">
        <v>0</v>
      </c>
      <c r="O299" s="177">
        <v>0</v>
      </c>
      <c r="P299" s="176">
        <v>0</v>
      </c>
      <c r="Q299" s="176">
        <v>0</v>
      </c>
      <c r="R299" s="176">
        <v>0</v>
      </c>
      <c r="S299" s="177">
        <v>0</v>
      </c>
      <c r="T299" s="176">
        <v>-5.7852780579442917E-2</v>
      </c>
      <c r="U299" s="177">
        <v>-5.7852780579442917E-2</v>
      </c>
      <c r="V299" s="176">
        <v>0</v>
      </c>
      <c r="W299" s="177">
        <v>0</v>
      </c>
      <c r="X299" s="53">
        <v>28.367477649450684</v>
      </c>
      <c r="Y299" s="151"/>
      <c r="Z299" s="151"/>
      <c r="AA299" s="151"/>
      <c r="AB299" s="151"/>
    </row>
    <row r="300" spans="1:28" ht="13">
      <c r="A300" s="170"/>
      <c r="B300" s="59" t="s">
        <v>862</v>
      </c>
      <c r="C300" s="179"/>
      <c r="D300" s="179"/>
      <c r="E300" s="179"/>
      <c r="F300" s="179"/>
      <c r="G300" s="179"/>
      <c r="H300" s="179"/>
      <c r="I300" s="180"/>
      <c r="J300" s="179"/>
      <c r="K300" s="179"/>
      <c r="L300" s="179"/>
      <c r="M300" s="179"/>
      <c r="N300" s="179"/>
      <c r="O300" s="180"/>
      <c r="P300" s="179"/>
      <c r="Q300" s="179"/>
      <c r="R300" s="179"/>
      <c r="S300" s="180"/>
      <c r="T300" s="179">
        <v>356205595</v>
      </c>
      <c r="U300" s="180">
        <v>356205595</v>
      </c>
      <c r="V300" s="179"/>
      <c r="W300" s="180"/>
      <c r="X300" s="53">
        <v>356205595</v>
      </c>
      <c r="Y300" s="151"/>
      <c r="Z300" s="151"/>
      <c r="AA300" s="151"/>
      <c r="AB300" s="151"/>
    </row>
    <row r="301" spans="1:28" s="173" customFormat="1" ht="13">
      <c r="A301" s="170"/>
      <c r="B301" s="94" t="s">
        <v>863</v>
      </c>
      <c r="C301" s="171"/>
      <c r="D301" s="171"/>
      <c r="E301" s="171"/>
      <c r="F301" s="171"/>
      <c r="G301" s="171"/>
      <c r="H301" s="171"/>
      <c r="I301" s="172"/>
      <c r="J301" s="171"/>
      <c r="K301" s="171"/>
      <c r="L301" s="171"/>
      <c r="M301" s="171"/>
      <c r="N301" s="171"/>
      <c r="O301" s="172"/>
      <c r="P301" s="171"/>
      <c r="Q301" s="171"/>
      <c r="R301" s="171"/>
      <c r="S301" s="172"/>
      <c r="T301" s="171">
        <v>369044818</v>
      </c>
      <c r="U301" s="172">
        <v>369044818</v>
      </c>
      <c r="V301" s="171"/>
      <c r="W301" s="172"/>
      <c r="X301" s="53">
        <v>369044818</v>
      </c>
      <c r="Y301" s="151"/>
      <c r="Z301" s="151"/>
      <c r="AA301" s="151"/>
      <c r="AB301" s="151"/>
    </row>
    <row r="302" spans="1:28" s="178" customFormat="1" ht="13">
      <c r="A302" s="170"/>
      <c r="B302" s="175" t="s">
        <v>864</v>
      </c>
      <c r="C302" s="176">
        <v>0</v>
      </c>
      <c r="D302" s="176">
        <v>0</v>
      </c>
      <c r="E302" s="176">
        <v>0</v>
      </c>
      <c r="F302" s="176">
        <v>0</v>
      </c>
      <c r="G302" s="176">
        <v>0</v>
      </c>
      <c r="H302" s="176">
        <v>0</v>
      </c>
      <c r="I302" s="177">
        <v>0</v>
      </c>
      <c r="J302" s="176">
        <v>0</v>
      </c>
      <c r="K302" s="176">
        <v>0</v>
      </c>
      <c r="L302" s="176">
        <v>0</v>
      </c>
      <c r="M302" s="176">
        <v>0</v>
      </c>
      <c r="N302" s="176">
        <v>0</v>
      </c>
      <c r="O302" s="177">
        <v>0</v>
      </c>
      <c r="P302" s="176">
        <v>0</v>
      </c>
      <c r="Q302" s="176">
        <v>0</v>
      </c>
      <c r="R302" s="176">
        <v>0</v>
      </c>
      <c r="S302" s="177">
        <v>0</v>
      </c>
      <c r="T302" s="176">
        <v>3.6044416989014447</v>
      </c>
      <c r="U302" s="177">
        <v>3.6044416989014447</v>
      </c>
      <c r="V302" s="176">
        <v>0</v>
      </c>
      <c r="W302" s="177">
        <v>0</v>
      </c>
      <c r="X302" s="53">
        <v>3.6044416989014447</v>
      </c>
      <c r="Y302" s="151"/>
      <c r="Z302" s="151"/>
      <c r="AA302" s="151"/>
      <c r="AB302" s="151"/>
    </row>
    <row r="303" spans="1:28" ht="13">
      <c r="A303" s="170"/>
      <c r="B303" s="59" t="s">
        <v>865</v>
      </c>
      <c r="C303" s="179"/>
      <c r="D303" s="179"/>
      <c r="E303" s="179"/>
      <c r="F303" s="179"/>
      <c r="G303" s="179"/>
      <c r="H303" s="179"/>
      <c r="I303" s="180"/>
      <c r="J303" s="179"/>
      <c r="K303" s="179"/>
      <c r="L303" s="179"/>
      <c r="M303" s="179"/>
      <c r="N303" s="179"/>
      <c r="O303" s="180"/>
      <c r="P303" s="179"/>
      <c r="Q303" s="179"/>
      <c r="R303" s="179"/>
      <c r="S303" s="180"/>
      <c r="T303" s="179"/>
      <c r="U303" s="180"/>
      <c r="V303" s="179"/>
      <c r="W303" s="180"/>
      <c r="X303" s="53"/>
      <c r="Y303" s="151"/>
      <c r="Z303" s="151"/>
      <c r="AA303" s="151"/>
      <c r="AB303" s="151"/>
    </row>
    <row r="304" spans="1:28" s="173" customFormat="1" ht="13">
      <c r="A304" s="170"/>
      <c r="B304" s="94" t="s">
        <v>866</v>
      </c>
      <c r="C304" s="171"/>
      <c r="D304" s="171"/>
      <c r="E304" s="171"/>
      <c r="F304" s="171"/>
      <c r="G304" s="171"/>
      <c r="H304" s="171"/>
      <c r="I304" s="172"/>
      <c r="J304" s="171"/>
      <c r="K304" s="171"/>
      <c r="L304" s="171"/>
      <c r="M304" s="171"/>
      <c r="N304" s="171"/>
      <c r="O304" s="172"/>
      <c r="P304" s="171"/>
      <c r="Q304" s="171"/>
      <c r="R304" s="171"/>
      <c r="S304" s="172"/>
      <c r="T304" s="171"/>
      <c r="U304" s="172"/>
      <c r="V304" s="171"/>
      <c r="W304" s="172"/>
      <c r="X304" s="53"/>
      <c r="Y304" s="151"/>
      <c r="Z304" s="151"/>
      <c r="AA304" s="151"/>
      <c r="AB304" s="151"/>
    </row>
    <row r="305" spans="1:28" s="178" customFormat="1" ht="13">
      <c r="A305" s="170"/>
      <c r="B305" s="175" t="s">
        <v>867</v>
      </c>
      <c r="C305" s="176">
        <v>0</v>
      </c>
      <c r="D305" s="176">
        <v>0</v>
      </c>
      <c r="E305" s="176">
        <v>0</v>
      </c>
      <c r="F305" s="176">
        <v>0</v>
      </c>
      <c r="G305" s="176">
        <v>0</v>
      </c>
      <c r="H305" s="176">
        <v>0</v>
      </c>
      <c r="I305" s="177">
        <v>0</v>
      </c>
      <c r="J305" s="176">
        <v>0</v>
      </c>
      <c r="K305" s="176">
        <v>0</v>
      </c>
      <c r="L305" s="176">
        <v>0</v>
      </c>
      <c r="M305" s="176">
        <v>0</v>
      </c>
      <c r="N305" s="176">
        <v>0</v>
      </c>
      <c r="O305" s="177">
        <v>0</v>
      </c>
      <c r="P305" s="176">
        <v>0</v>
      </c>
      <c r="Q305" s="176">
        <v>0</v>
      </c>
      <c r="R305" s="176">
        <v>0</v>
      </c>
      <c r="S305" s="177">
        <v>0</v>
      </c>
      <c r="T305" s="176">
        <v>0</v>
      </c>
      <c r="U305" s="177">
        <v>0</v>
      </c>
      <c r="V305" s="176">
        <v>0</v>
      </c>
      <c r="W305" s="177">
        <v>0</v>
      </c>
      <c r="X305" s="53">
        <v>0</v>
      </c>
      <c r="Y305" s="151"/>
      <c r="Z305" s="151"/>
      <c r="AA305" s="151"/>
      <c r="AB305" s="151"/>
    </row>
    <row r="306" spans="1:28" ht="13">
      <c r="A306" s="170"/>
      <c r="B306" s="59" t="s">
        <v>868</v>
      </c>
      <c r="C306" s="179">
        <v>0</v>
      </c>
      <c r="D306" s="179">
        <v>0</v>
      </c>
      <c r="E306" s="179">
        <v>0</v>
      </c>
      <c r="F306" s="179">
        <v>0</v>
      </c>
      <c r="G306" s="179">
        <v>0</v>
      </c>
      <c r="H306" s="179">
        <v>0</v>
      </c>
      <c r="I306" s="180">
        <v>0</v>
      </c>
      <c r="J306" s="179"/>
      <c r="K306" s="179">
        <v>0</v>
      </c>
      <c r="L306" s="179">
        <v>0</v>
      </c>
      <c r="M306" s="179">
        <v>0</v>
      </c>
      <c r="N306" s="179"/>
      <c r="O306" s="180">
        <v>0</v>
      </c>
      <c r="P306" s="179"/>
      <c r="Q306" s="179"/>
      <c r="R306" s="179"/>
      <c r="S306" s="180"/>
      <c r="T306" s="179">
        <v>356205595</v>
      </c>
      <c r="U306" s="180">
        <v>356205595</v>
      </c>
      <c r="V306" s="179">
        <v>0</v>
      </c>
      <c r="W306" s="180">
        <v>0</v>
      </c>
      <c r="X306" s="53">
        <v>356205595</v>
      </c>
      <c r="Y306" s="151"/>
      <c r="Z306" s="151"/>
      <c r="AA306" s="151"/>
      <c r="AB306" s="151"/>
    </row>
    <row r="307" spans="1:28" s="173" customFormat="1" ht="13">
      <c r="A307" s="170"/>
      <c r="B307" s="94" t="s">
        <v>869</v>
      </c>
      <c r="C307" s="171">
        <v>0</v>
      </c>
      <c r="D307" s="171">
        <v>0</v>
      </c>
      <c r="E307" s="171">
        <v>0</v>
      </c>
      <c r="F307" s="171">
        <v>0</v>
      </c>
      <c r="G307" s="171">
        <v>0</v>
      </c>
      <c r="H307" s="171">
        <v>0</v>
      </c>
      <c r="I307" s="172">
        <v>0</v>
      </c>
      <c r="J307" s="171"/>
      <c r="K307" s="171">
        <v>0</v>
      </c>
      <c r="L307" s="171">
        <v>0</v>
      </c>
      <c r="M307" s="171">
        <v>0</v>
      </c>
      <c r="N307" s="171"/>
      <c r="O307" s="172">
        <v>0</v>
      </c>
      <c r="P307" s="171"/>
      <c r="Q307" s="171"/>
      <c r="R307" s="171"/>
      <c r="S307" s="172"/>
      <c r="T307" s="171">
        <v>369044818</v>
      </c>
      <c r="U307" s="172">
        <v>369044818</v>
      </c>
      <c r="V307" s="171">
        <v>0</v>
      </c>
      <c r="W307" s="172">
        <v>0</v>
      </c>
      <c r="X307" s="53">
        <v>369044818</v>
      </c>
      <c r="Y307" s="151"/>
      <c r="Z307" s="151"/>
      <c r="AA307" s="151"/>
      <c r="AB307" s="151"/>
    </row>
    <row r="308" spans="1:28" s="178" customFormat="1" ht="13">
      <c r="A308" s="170"/>
      <c r="B308" s="175" t="s">
        <v>870</v>
      </c>
      <c r="C308" s="176">
        <v>0</v>
      </c>
      <c r="D308" s="176">
        <v>0</v>
      </c>
      <c r="E308" s="176">
        <v>0</v>
      </c>
      <c r="F308" s="176">
        <v>0</v>
      </c>
      <c r="G308" s="176">
        <v>0</v>
      </c>
      <c r="H308" s="176">
        <v>0</v>
      </c>
      <c r="I308" s="177">
        <v>0</v>
      </c>
      <c r="J308" s="176">
        <v>0</v>
      </c>
      <c r="K308" s="176">
        <v>0</v>
      </c>
      <c r="L308" s="176">
        <v>0</v>
      </c>
      <c r="M308" s="176">
        <v>0</v>
      </c>
      <c r="N308" s="176">
        <v>0</v>
      </c>
      <c r="O308" s="177">
        <v>0</v>
      </c>
      <c r="P308" s="176">
        <v>0</v>
      </c>
      <c r="Q308" s="176">
        <v>0</v>
      </c>
      <c r="R308" s="176">
        <v>0</v>
      </c>
      <c r="S308" s="177">
        <v>0</v>
      </c>
      <c r="T308" s="176">
        <v>3.6044416989014447</v>
      </c>
      <c r="U308" s="177">
        <v>3.6044416989014447</v>
      </c>
      <c r="V308" s="176">
        <v>0</v>
      </c>
      <c r="W308" s="177">
        <v>0</v>
      </c>
      <c r="X308" s="53">
        <v>3.6044416989014447</v>
      </c>
      <c r="Y308" s="151"/>
      <c r="Z308" s="151"/>
      <c r="AA308" s="151"/>
      <c r="AB308" s="151"/>
    </row>
    <row r="309" spans="1:28" ht="13">
      <c r="A309" s="170"/>
      <c r="B309" s="59" t="s">
        <v>871</v>
      </c>
      <c r="C309" s="179"/>
      <c r="D309" s="179"/>
      <c r="E309" s="179"/>
      <c r="F309" s="179"/>
      <c r="G309" s="179"/>
      <c r="H309" s="179"/>
      <c r="I309" s="180"/>
      <c r="J309" s="179"/>
      <c r="K309" s="179"/>
      <c r="L309" s="179"/>
      <c r="M309" s="179"/>
      <c r="N309" s="179"/>
      <c r="O309" s="180"/>
      <c r="P309" s="179"/>
      <c r="Q309" s="179"/>
      <c r="R309" s="179"/>
      <c r="S309" s="180"/>
      <c r="T309" s="179">
        <v>252312068</v>
      </c>
      <c r="U309" s="180">
        <v>252312068</v>
      </c>
      <c r="V309" s="179"/>
      <c r="W309" s="180"/>
      <c r="X309" s="53">
        <v>252312068</v>
      </c>
      <c r="Y309" s="151"/>
      <c r="Z309" s="151"/>
      <c r="AA309" s="151"/>
      <c r="AB309" s="151"/>
    </row>
    <row r="310" spans="1:28" s="173" customFormat="1" ht="13">
      <c r="A310" s="170"/>
      <c r="B310" s="94" t="s">
        <v>872</v>
      </c>
      <c r="C310" s="171"/>
      <c r="D310" s="171"/>
      <c r="E310" s="171"/>
      <c r="F310" s="171"/>
      <c r="G310" s="171"/>
      <c r="H310" s="171"/>
      <c r="I310" s="172"/>
      <c r="J310" s="171"/>
      <c r="K310" s="171"/>
      <c r="L310" s="171"/>
      <c r="M310" s="171"/>
      <c r="N310" s="171"/>
      <c r="O310" s="172"/>
      <c r="P310" s="171"/>
      <c r="Q310" s="171"/>
      <c r="R310" s="171"/>
      <c r="S310" s="172"/>
      <c r="T310" s="171">
        <v>244296504</v>
      </c>
      <c r="U310" s="172">
        <v>244296504</v>
      </c>
      <c r="V310" s="171"/>
      <c r="W310" s="172"/>
      <c r="X310" s="53">
        <v>244296504</v>
      </c>
      <c r="Y310" s="151"/>
      <c r="Z310" s="151"/>
      <c r="AA310" s="151"/>
      <c r="AB310" s="151"/>
    </row>
    <row r="311" spans="1:28" s="178" customFormat="1" ht="13">
      <c r="A311" s="170"/>
      <c r="B311" s="175" t="s">
        <v>873</v>
      </c>
      <c r="C311" s="176">
        <v>0</v>
      </c>
      <c r="D311" s="176">
        <v>0</v>
      </c>
      <c r="E311" s="176">
        <v>0</v>
      </c>
      <c r="F311" s="176">
        <v>0</v>
      </c>
      <c r="G311" s="176">
        <v>0</v>
      </c>
      <c r="H311" s="176">
        <v>0</v>
      </c>
      <c r="I311" s="177">
        <v>0</v>
      </c>
      <c r="J311" s="176">
        <v>0</v>
      </c>
      <c r="K311" s="176">
        <v>0</v>
      </c>
      <c r="L311" s="176">
        <v>0</v>
      </c>
      <c r="M311" s="176">
        <v>0</v>
      </c>
      <c r="N311" s="176">
        <v>0</v>
      </c>
      <c r="O311" s="177">
        <v>0</v>
      </c>
      <c r="P311" s="176">
        <v>0</v>
      </c>
      <c r="Q311" s="176">
        <v>0</v>
      </c>
      <c r="R311" s="176">
        <v>0</v>
      </c>
      <c r="S311" s="177">
        <v>0</v>
      </c>
      <c r="T311" s="176">
        <v>-3.1768452708334185</v>
      </c>
      <c r="U311" s="177">
        <v>-3.1768452708334185</v>
      </c>
      <c r="V311" s="176">
        <v>0</v>
      </c>
      <c r="W311" s="177">
        <v>0</v>
      </c>
      <c r="X311" s="53">
        <v>-3.1768452708334185</v>
      </c>
      <c r="Y311" s="151"/>
      <c r="Z311" s="151"/>
      <c r="AA311" s="151"/>
      <c r="AB311" s="151"/>
    </row>
    <row r="312" spans="1:28" ht="13">
      <c r="A312" s="170"/>
      <c r="B312" s="59" t="s">
        <v>874</v>
      </c>
      <c r="C312" s="179"/>
      <c r="D312" s="179"/>
      <c r="E312" s="179"/>
      <c r="F312" s="179"/>
      <c r="G312" s="179"/>
      <c r="H312" s="179"/>
      <c r="I312" s="180"/>
      <c r="J312" s="179"/>
      <c r="K312" s="179"/>
      <c r="L312" s="179"/>
      <c r="M312" s="179"/>
      <c r="N312" s="179"/>
      <c r="O312" s="180"/>
      <c r="P312" s="179"/>
      <c r="Q312" s="179"/>
      <c r="R312" s="179"/>
      <c r="S312" s="180"/>
      <c r="T312" s="179">
        <v>162219794</v>
      </c>
      <c r="U312" s="180">
        <v>162219794</v>
      </c>
      <c r="V312" s="179"/>
      <c r="W312" s="180"/>
      <c r="X312" s="53">
        <v>162219794</v>
      </c>
      <c r="Y312" s="151"/>
      <c r="Z312" s="151"/>
      <c r="AA312" s="151"/>
      <c r="AB312" s="151"/>
    </row>
    <row r="313" spans="1:28" s="173" customFormat="1" ht="13">
      <c r="A313" s="170"/>
      <c r="B313" s="94" t="s">
        <v>875</v>
      </c>
      <c r="C313" s="171"/>
      <c r="D313" s="171"/>
      <c r="E313" s="171"/>
      <c r="F313" s="171"/>
      <c r="G313" s="171"/>
      <c r="H313" s="171"/>
      <c r="I313" s="172"/>
      <c r="J313" s="171"/>
      <c r="K313" s="171"/>
      <c r="L313" s="171"/>
      <c r="M313" s="171"/>
      <c r="N313" s="171"/>
      <c r="O313" s="172"/>
      <c r="P313" s="171"/>
      <c r="Q313" s="171"/>
      <c r="R313" s="171"/>
      <c r="S313" s="172"/>
      <c r="T313" s="171">
        <v>165462822</v>
      </c>
      <c r="U313" s="172">
        <v>165462822</v>
      </c>
      <c r="V313" s="171"/>
      <c r="W313" s="172"/>
      <c r="X313" s="53">
        <v>165462822</v>
      </c>
      <c r="Y313" s="151"/>
      <c r="Z313" s="151"/>
      <c r="AA313" s="151"/>
      <c r="AB313" s="151"/>
    </row>
    <row r="314" spans="1:28" s="178" customFormat="1" ht="13">
      <c r="A314" s="170"/>
      <c r="B314" s="175" t="s">
        <v>876</v>
      </c>
      <c r="C314" s="176">
        <v>0</v>
      </c>
      <c r="D314" s="176">
        <v>0</v>
      </c>
      <c r="E314" s="176">
        <v>0</v>
      </c>
      <c r="F314" s="176">
        <v>0</v>
      </c>
      <c r="G314" s="176">
        <v>0</v>
      </c>
      <c r="H314" s="176">
        <v>0</v>
      </c>
      <c r="I314" s="177">
        <v>0</v>
      </c>
      <c r="J314" s="176">
        <v>0</v>
      </c>
      <c r="K314" s="176">
        <v>0</v>
      </c>
      <c r="L314" s="176">
        <v>0</v>
      </c>
      <c r="M314" s="176">
        <v>0</v>
      </c>
      <c r="N314" s="176">
        <v>0</v>
      </c>
      <c r="O314" s="177">
        <v>0</v>
      </c>
      <c r="P314" s="176">
        <v>0</v>
      </c>
      <c r="Q314" s="176">
        <v>0</v>
      </c>
      <c r="R314" s="176">
        <v>0</v>
      </c>
      <c r="S314" s="177">
        <v>0</v>
      </c>
      <c r="T314" s="176">
        <v>1.9991567736795426</v>
      </c>
      <c r="U314" s="177">
        <v>1.9991567736795426</v>
      </c>
      <c r="V314" s="176">
        <v>0</v>
      </c>
      <c r="W314" s="177">
        <v>0</v>
      </c>
      <c r="X314" s="53">
        <v>1.9991567736795426</v>
      </c>
      <c r="Y314" s="151"/>
      <c r="Z314" s="151"/>
      <c r="AA314" s="151"/>
      <c r="AB314" s="151"/>
    </row>
    <row r="315" spans="1:28" ht="13">
      <c r="A315" s="170"/>
      <c r="B315" s="59" t="s">
        <v>877</v>
      </c>
      <c r="C315" s="179">
        <v>1297302124</v>
      </c>
      <c r="D315" s="179">
        <v>454170862</v>
      </c>
      <c r="E315" s="179">
        <v>424126582</v>
      </c>
      <c r="F315" s="179">
        <v>383783662</v>
      </c>
      <c r="G315" s="179">
        <v>64019297</v>
      </c>
      <c r="H315" s="179">
        <v>49726156</v>
      </c>
      <c r="I315" s="180">
        <v>2673128683</v>
      </c>
      <c r="J315" s="179"/>
      <c r="K315" s="179">
        <v>772732344</v>
      </c>
      <c r="L315" s="179">
        <v>277374026</v>
      </c>
      <c r="M315" s="179">
        <v>112996242</v>
      </c>
      <c r="N315" s="179"/>
      <c r="O315" s="180">
        <v>1163102612</v>
      </c>
      <c r="P315" s="179"/>
      <c r="Q315" s="179"/>
      <c r="R315" s="179"/>
      <c r="S315" s="180"/>
      <c r="T315" s="179">
        <v>0</v>
      </c>
      <c r="U315" s="180">
        <v>0</v>
      </c>
      <c r="V315" s="179">
        <v>0</v>
      </c>
      <c r="W315" s="180">
        <v>0</v>
      </c>
      <c r="X315" s="53">
        <v>3836231295</v>
      </c>
      <c r="Y315" s="151"/>
      <c r="Z315" s="151"/>
      <c r="AA315" s="151"/>
      <c r="AB315" s="151"/>
    </row>
    <row r="316" spans="1:28" s="173" customFormat="1" ht="13">
      <c r="A316" s="170"/>
      <c r="B316" s="94" t="s">
        <v>878</v>
      </c>
      <c r="C316" s="171">
        <v>1279355660</v>
      </c>
      <c r="D316" s="171">
        <v>462282449</v>
      </c>
      <c r="E316" s="171">
        <v>419467829</v>
      </c>
      <c r="F316" s="171">
        <v>375717704</v>
      </c>
      <c r="G316" s="171">
        <v>62788245</v>
      </c>
      <c r="H316" s="171">
        <v>49678561</v>
      </c>
      <c r="I316" s="172">
        <v>2649290448</v>
      </c>
      <c r="J316" s="171"/>
      <c r="K316" s="171">
        <v>772742673</v>
      </c>
      <c r="L316" s="171">
        <v>267818547</v>
      </c>
      <c r="M316" s="171">
        <v>114371120</v>
      </c>
      <c r="N316" s="171"/>
      <c r="O316" s="172">
        <v>1154932340</v>
      </c>
      <c r="P316" s="171"/>
      <c r="Q316" s="171"/>
      <c r="R316" s="171"/>
      <c r="S316" s="172"/>
      <c r="T316" s="171">
        <v>0</v>
      </c>
      <c r="U316" s="172">
        <v>0</v>
      </c>
      <c r="V316" s="171">
        <v>0</v>
      </c>
      <c r="W316" s="172">
        <v>0</v>
      </c>
      <c r="X316" s="53">
        <v>3804222788</v>
      </c>
      <c r="Y316" s="151"/>
      <c r="Z316" s="151"/>
      <c r="AA316" s="151"/>
      <c r="AB316" s="151"/>
    </row>
    <row r="317" spans="1:28" s="192" customFormat="1" ht="13.5" thickBot="1">
      <c r="A317" s="186"/>
      <c r="B317" s="187" t="s">
        <v>879</v>
      </c>
      <c r="C317" s="188">
        <v>-1.3833681197302967</v>
      </c>
      <c r="D317" s="188">
        <v>1.7860210063410011</v>
      </c>
      <c r="E317" s="188">
        <v>-1.0984345706490051</v>
      </c>
      <c r="F317" s="188">
        <v>-2.1016939486079531</v>
      </c>
      <c r="G317" s="188">
        <v>-1.9229389538594901</v>
      </c>
      <c r="H317" s="188">
        <v>-9.5714215271335279E-2</v>
      </c>
      <c r="I317" s="189">
        <v>-0.8917728185553272</v>
      </c>
      <c r="J317" s="188">
        <v>0</v>
      </c>
      <c r="K317" s="188">
        <v>1.3366853452170238E-3</v>
      </c>
      <c r="L317" s="188">
        <v>-3.4449797401001057</v>
      </c>
      <c r="M317" s="188">
        <v>1.216746659592449</v>
      </c>
      <c r="N317" s="188">
        <v>0</v>
      </c>
      <c r="O317" s="189">
        <v>-0.70245496104173488</v>
      </c>
      <c r="P317" s="188">
        <v>0</v>
      </c>
      <c r="Q317" s="188">
        <v>0</v>
      </c>
      <c r="R317" s="188">
        <v>0</v>
      </c>
      <c r="S317" s="189">
        <v>0</v>
      </c>
      <c r="T317" s="188">
        <v>0</v>
      </c>
      <c r="U317" s="189">
        <v>0</v>
      </c>
      <c r="V317" s="188">
        <v>0</v>
      </c>
      <c r="W317" s="189">
        <v>0</v>
      </c>
      <c r="X317" s="53">
        <v>-0.8343737522218404</v>
      </c>
      <c r="Y317" s="151"/>
      <c r="Z317" s="151"/>
      <c r="AA317" s="151"/>
      <c r="AB317" s="151"/>
    </row>
    <row r="318" spans="1:28" ht="13.5" thickTop="1">
      <c r="A318" s="147" t="s">
        <v>599</v>
      </c>
      <c r="B318" s="167" t="s">
        <v>754</v>
      </c>
      <c r="C318" s="168">
        <v>257164894</v>
      </c>
      <c r="D318" s="168">
        <v>43421765</v>
      </c>
      <c r="E318" s="168"/>
      <c r="F318" s="168">
        <v>75026433</v>
      </c>
      <c r="G318" s="168"/>
      <c r="H318" s="168"/>
      <c r="I318" s="169">
        <v>375613092</v>
      </c>
      <c r="J318" s="168"/>
      <c r="K318" s="168"/>
      <c r="L318" s="168"/>
      <c r="M318" s="168"/>
      <c r="N318" s="168"/>
      <c r="O318" s="169"/>
      <c r="P318" s="168"/>
      <c r="Q318" s="168"/>
      <c r="R318" s="168"/>
      <c r="S318" s="169"/>
      <c r="T318" s="168"/>
      <c r="U318" s="169"/>
      <c r="V318" s="168"/>
      <c r="W318" s="169"/>
      <c r="X318" s="53">
        <v>375613092</v>
      </c>
      <c r="Y318" s="151"/>
      <c r="Z318" s="151"/>
      <c r="AA318" s="151"/>
      <c r="AB318" s="151"/>
    </row>
    <row r="319" spans="1:28" s="173" customFormat="1" ht="13">
      <c r="A319" s="170"/>
      <c r="B319" s="94" t="s">
        <v>755</v>
      </c>
      <c r="C319" s="171">
        <v>272482081</v>
      </c>
      <c r="D319" s="171">
        <v>44313539</v>
      </c>
      <c r="E319" s="171"/>
      <c r="F319" s="171">
        <v>76454225</v>
      </c>
      <c r="G319" s="171"/>
      <c r="H319" s="171"/>
      <c r="I319" s="172">
        <v>393249845</v>
      </c>
      <c r="J319" s="171"/>
      <c r="K319" s="171"/>
      <c r="L319" s="171"/>
      <c r="M319" s="171"/>
      <c r="N319" s="171"/>
      <c r="O319" s="172"/>
      <c r="P319" s="171"/>
      <c r="Q319" s="171"/>
      <c r="R319" s="171"/>
      <c r="S319" s="172"/>
      <c r="T319" s="171"/>
      <c r="U319" s="172"/>
      <c r="V319" s="171"/>
      <c r="W319" s="172"/>
      <c r="X319" s="53">
        <v>393249845</v>
      </c>
      <c r="Y319" s="151"/>
      <c r="Z319" s="151"/>
      <c r="AA319" s="151"/>
      <c r="AB319" s="151"/>
    </row>
    <row r="320" spans="1:28" s="178" customFormat="1" ht="13">
      <c r="A320" s="174"/>
      <c r="B320" s="175" t="s">
        <v>849</v>
      </c>
      <c r="C320" s="176">
        <v>5.9561733958912759</v>
      </c>
      <c r="D320" s="176">
        <v>2.053748851526418</v>
      </c>
      <c r="E320" s="176">
        <v>0</v>
      </c>
      <c r="F320" s="176">
        <v>1.903051955035634</v>
      </c>
      <c r="G320" s="176">
        <v>0</v>
      </c>
      <c r="H320" s="176">
        <v>0</v>
      </c>
      <c r="I320" s="177">
        <v>4.6954574735643133</v>
      </c>
      <c r="J320" s="176">
        <v>0</v>
      </c>
      <c r="K320" s="176">
        <v>0</v>
      </c>
      <c r="L320" s="176">
        <v>0</v>
      </c>
      <c r="M320" s="176">
        <v>0</v>
      </c>
      <c r="N320" s="176">
        <v>0</v>
      </c>
      <c r="O320" s="177">
        <v>0</v>
      </c>
      <c r="P320" s="176">
        <v>0</v>
      </c>
      <c r="Q320" s="176">
        <v>0</v>
      </c>
      <c r="R320" s="176">
        <v>0</v>
      </c>
      <c r="S320" s="177">
        <v>0</v>
      </c>
      <c r="T320" s="176">
        <v>0</v>
      </c>
      <c r="U320" s="177">
        <v>0</v>
      </c>
      <c r="V320" s="176">
        <v>0</v>
      </c>
      <c r="W320" s="177">
        <v>0</v>
      </c>
      <c r="X320" s="53">
        <v>4.6954574735643133</v>
      </c>
      <c r="Y320" s="151"/>
      <c r="Z320" s="151"/>
      <c r="AA320" s="151"/>
      <c r="AB320" s="151"/>
    </row>
    <row r="321" spans="1:28" ht="13">
      <c r="A321" s="170"/>
      <c r="B321" s="59" t="s">
        <v>756</v>
      </c>
      <c r="C321" s="179">
        <v>85597032</v>
      </c>
      <c r="D321" s="179">
        <v>457826</v>
      </c>
      <c r="E321" s="179"/>
      <c r="F321" s="179">
        <v>6431464</v>
      </c>
      <c r="G321" s="179"/>
      <c r="H321" s="179"/>
      <c r="I321" s="180">
        <v>92486322</v>
      </c>
      <c r="J321" s="179"/>
      <c r="K321" s="179"/>
      <c r="L321" s="179"/>
      <c r="M321" s="179"/>
      <c r="N321" s="179"/>
      <c r="O321" s="180"/>
      <c r="P321" s="179"/>
      <c r="Q321" s="179"/>
      <c r="R321" s="179"/>
      <c r="S321" s="180"/>
      <c r="T321" s="179"/>
      <c r="U321" s="180"/>
      <c r="V321" s="179"/>
      <c r="W321" s="180"/>
      <c r="X321" s="53">
        <v>92486322</v>
      </c>
      <c r="Y321" s="151"/>
      <c r="Z321" s="151"/>
      <c r="AA321" s="151"/>
      <c r="AB321" s="151"/>
    </row>
    <row r="322" spans="1:28" s="173" customFormat="1" ht="13">
      <c r="A322" s="170"/>
      <c r="B322" s="94" t="s">
        <v>757</v>
      </c>
      <c r="C322" s="171">
        <v>83964967</v>
      </c>
      <c r="D322" s="171">
        <v>450959</v>
      </c>
      <c r="E322" s="171"/>
      <c r="F322" s="171">
        <v>6273001</v>
      </c>
      <c r="G322" s="171"/>
      <c r="H322" s="171"/>
      <c r="I322" s="172">
        <v>90688927</v>
      </c>
      <c r="J322" s="171"/>
      <c r="K322" s="171"/>
      <c r="L322" s="171"/>
      <c r="M322" s="171"/>
      <c r="N322" s="171"/>
      <c r="O322" s="172"/>
      <c r="P322" s="171"/>
      <c r="Q322" s="171"/>
      <c r="R322" s="171"/>
      <c r="S322" s="172"/>
      <c r="T322" s="171"/>
      <c r="U322" s="172"/>
      <c r="V322" s="171"/>
      <c r="W322" s="172"/>
      <c r="X322" s="53">
        <v>90688927</v>
      </c>
      <c r="Y322" s="151"/>
      <c r="Z322" s="151"/>
      <c r="AA322" s="151"/>
      <c r="AB322" s="151"/>
    </row>
    <row r="323" spans="1:28" s="178" customFormat="1" ht="13">
      <c r="A323" s="170"/>
      <c r="B323" s="175" t="s">
        <v>850</v>
      </c>
      <c r="C323" s="176">
        <v>-1.9066841009160225</v>
      </c>
      <c r="D323" s="176">
        <v>-1.4999148147986352</v>
      </c>
      <c r="E323" s="176">
        <v>0</v>
      </c>
      <c r="F323" s="176">
        <v>-2.4638713673900683</v>
      </c>
      <c r="G323" s="176">
        <v>0</v>
      </c>
      <c r="H323" s="176">
        <v>0</v>
      </c>
      <c r="I323" s="177">
        <v>-1.9434171033420489</v>
      </c>
      <c r="J323" s="176">
        <v>0</v>
      </c>
      <c r="K323" s="176">
        <v>0</v>
      </c>
      <c r="L323" s="176">
        <v>0</v>
      </c>
      <c r="M323" s="176">
        <v>0</v>
      </c>
      <c r="N323" s="176">
        <v>0</v>
      </c>
      <c r="O323" s="177">
        <v>0</v>
      </c>
      <c r="P323" s="176">
        <v>0</v>
      </c>
      <c r="Q323" s="176">
        <v>0</v>
      </c>
      <c r="R323" s="176">
        <v>0</v>
      </c>
      <c r="S323" s="177">
        <v>0</v>
      </c>
      <c r="T323" s="176">
        <v>0</v>
      </c>
      <c r="U323" s="177">
        <v>0</v>
      </c>
      <c r="V323" s="176">
        <v>0</v>
      </c>
      <c r="W323" s="177">
        <v>0</v>
      </c>
      <c r="X323" s="53">
        <v>-1.9434171033420489</v>
      </c>
      <c r="Y323" s="151"/>
      <c r="Z323" s="151"/>
      <c r="AA323" s="151"/>
      <c r="AB323" s="151"/>
    </row>
    <row r="324" spans="1:28" ht="13">
      <c r="A324" s="170"/>
      <c r="B324" s="59" t="s">
        <v>758</v>
      </c>
      <c r="C324" s="179"/>
      <c r="D324" s="179"/>
      <c r="E324" s="179"/>
      <c r="F324" s="179"/>
      <c r="G324" s="179"/>
      <c r="H324" s="179"/>
      <c r="I324" s="180"/>
      <c r="J324" s="179"/>
      <c r="K324" s="179"/>
      <c r="L324" s="179"/>
      <c r="M324" s="179"/>
      <c r="N324" s="179"/>
      <c r="O324" s="180"/>
      <c r="P324" s="179"/>
      <c r="Q324" s="179"/>
      <c r="R324" s="179"/>
      <c r="S324" s="180"/>
      <c r="T324" s="179"/>
      <c r="U324" s="180"/>
      <c r="V324" s="179"/>
      <c r="W324" s="180"/>
      <c r="X324" s="53"/>
      <c r="Y324" s="151"/>
      <c r="Z324" s="151"/>
      <c r="AA324" s="151"/>
      <c r="AB324" s="151"/>
    </row>
    <row r="325" spans="1:28" s="173" customFormat="1" ht="13">
      <c r="A325" s="170"/>
      <c r="B325" s="94" t="s">
        <v>759</v>
      </c>
      <c r="C325" s="171"/>
      <c r="D325" s="171"/>
      <c r="E325" s="171"/>
      <c r="F325" s="171"/>
      <c r="G325" s="171"/>
      <c r="H325" s="171"/>
      <c r="I325" s="172"/>
      <c r="J325" s="171"/>
      <c r="K325" s="171"/>
      <c r="L325" s="171"/>
      <c r="M325" s="171"/>
      <c r="N325" s="171"/>
      <c r="O325" s="172"/>
      <c r="P325" s="171"/>
      <c r="Q325" s="171"/>
      <c r="R325" s="171"/>
      <c r="S325" s="172"/>
      <c r="T325" s="171"/>
      <c r="U325" s="172"/>
      <c r="V325" s="171"/>
      <c r="W325" s="172"/>
      <c r="X325" s="53"/>
      <c r="Y325" s="151"/>
      <c r="Z325" s="151"/>
      <c r="AA325" s="151"/>
      <c r="AB325" s="151"/>
    </row>
    <row r="326" spans="1:28" s="178" customFormat="1" ht="13">
      <c r="A326" s="170"/>
      <c r="B326" s="175" t="s">
        <v>851</v>
      </c>
      <c r="C326" s="176">
        <v>0</v>
      </c>
      <c r="D326" s="176">
        <v>0</v>
      </c>
      <c r="E326" s="176">
        <v>0</v>
      </c>
      <c r="F326" s="176">
        <v>0</v>
      </c>
      <c r="G326" s="176">
        <v>0</v>
      </c>
      <c r="H326" s="176">
        <v>0</v>
      </c>
      <c r="I326" s="177">
        <v>0</v>
      </c>
      <c r="J326" s="176">
        <v>0</v>
      </c>
      <c r="K326" s="176">
        <v>0</v>
      </c>
      <c r="L326" s="176">
        <v>0</v>
      </c>
      <c r="M326" s="176">
        <v>0</v>
      </c>
      <c r="N326" s="176">
        <v>0</v>
      </c>
      <c r="O326" s="177">
        <v>0</v>
      </c>
      <c r="P326" s="176">
        <v>0</v>
      </c>
      <c r="Q326" s="176">
        <v>0</v>
      </c>
      <c r="R326" s="176">
        <v>0</v>
      </c>
      <c r="S326" s="177">
        <v>0</v>
      </c>
      <c r="T326" s="176">
        <v>0</v>
      </c>
      <c r="U326" s="177">
        <v>0</v>
      </c>
      <c r="V326" s="176">
        <v>0</v>
      </c>
      <c r="W326" s="177">
        <v>0</v>
      </c>
      <c r="X326" s="53">
        <v>0</v>
      </c>
      <c r="Y326" s="151"/>
      <c r="Z326" s="151"/>
      <c r="AA326" s="151"/>
      <c r="AB326" s="151"/>
    </row>
    <row r="327" spans="1:28" ht="13">
      <c r="A327" s="170"/>
      <c r="B327" s="59" t="s">
        <v>760</v>
      </c>
      <c r="C327" s="179">
        <v>692248206</v>
      </c>
      <c r="D327" s="179">
        <v>53554355</v>
      </c>
      <c r="E327" s="179"/>
      <c r="F327" s="179">
        <v>83656691</v>
      </c>
      <c r="G327" s="179"/>
      <c r="H327" s="179"/>
      <c r="I327" s="180">
        <v>829459252</v>
      </c>
      <c r="J327" s="179"/>
      <c r="K327" s="179"/>
      <c r="L327" s="179"/>
      <c r="M327" s="179"/>
      <c r="N327" s="179"/>
      <c r="O327" s="180"/>
      <c r="P327" s="179"/>
      <c r="Q327" s="179"/>
      <c r="R327" s="179"/>
      <c r="S327" s="180"/>
      <c r="T327" s="179"/>
      <c r="U327" s="180"/>
      <c r="V327" s="179"/>
      <c r="W327" s="180"/>
      <c r="X327" s="53">
        <v>829459252</v>
      </c>
      <c r="Y327" s="151"/>
      <c r="Z327" s="151"/>
      <c r="AA327" s="151"/>
      <c r="AB327" s="151"/>
    </row>
    <row r="328" spans="1:28" s="173" customFormat="1" ht="13">
      <c r="A328" s="170"/>
      <c r="B328" s="94" t="s">
        <v>761</v>
      </c>
      <c r="C328" s="171">
        <v>676820333</v>
      </c>
      <c r="D328" s="171">
        <v>53554355</v>
      </c>
      <c r="E328" s="171"/>
      <c r="F328" s="171">
        <v>78681554</v>
      </c>
      <c r="G328" s="171"/>
      <c r="H328" s="171"/>
      <c r="I328" s="172">
        <v>809056242</v>
      </c>
      <c r="J328" s="171"/>
      <c r="K328" s="171"/>
      <c r="L328" s="171"/>
      <c r="M328" s="171"/>
      <c r="N328" s="171"/>
      <c r="O328" s="172"/>
      <c r="P328" s="171"/>
      <c r="Q328" s="171"/>
      <c r="R328" s="171"/>
      <c r="S328" s="172"/>
      <c r="T328" s="171"/>
      <c r="U328" s="172"/>
      <c r="V328" s="171"/>
      <c r="W328" s="172"/>
      <c r="X328" s="53">
        <v>809056242</v>
      </c>
      <c r="Y328" s="151"/>
      <c r="Z328" s="151"/>
      <c r="AA328" s="151"/>
      <c r="AB328" s="151"/>
    </row>
    <row r="329" spans="1:28" s="178" customFormat="1" ht="13">
      <c r="A329" s="170"/>
      <c r="B329" s="175" t="s">
        <v>852</v>
      </c>
      <c r="C329" s="176">
        <v>-2.2286620414874716</v>
      </c>
      <c r="D329" s="176">
        <v>0</v>
      </c>
      <c r="E329" s="176">
        <v>0</v>
      </c>
      <c r="F329" s="176">
        <v>-5.9470879621571449</v>
      </c>
      <c r="G329" s="176">
        <v>0</v>
      </c>
      <c r="H329" s="176">
        <v>0</v>
      </c>
      <c r="I329" s="177">
        <v>-2.4597965422417158</v>
      </c>
      <c r="J329" s="176">
        <v>0</v>
      </c>
      <c r="K329" s="176">
        <v>0</v>
      </c>
      <c r="L329" s="176">
        <v>0</v>
      </c>
      <c r="M329" s="176">
        <v>0</v>
      </c>
      <c r="N329" s="176">
        <v>0</v>
      </c>
      <c r="O329" s="177">
        <v>0</v>
      </c>
      <c r="P329" s="176">
        <v>0</v>
      </c>
      <c r="Q329" s="176">
        <v>0</v>
      </c>
      <c r="R329" s="176">
        <v>0</v>
      </c>
      <c r="S329" s="177">
        <v>0</v>
      </c>
      <c r="T329" s="176">
        <v>0</v>
      </c>
      <c r="U329" s="177">
        <v>0</v>
      </c>
      <c r="V329" s="176">
        <v>0</v>
      </c>
      <c r="W329" s="177">
        <v>0</v>
      </c>
      <c r="X329" s="53">
        <v>-2.4597965422417158</v>
      </c>
      <c r="Y329" s="151"/>
      <c r="Z329" s="151"/>
      <c r="AA329" s="151"/>
      <c r="AB329" s="151"/>
    </row>
    <row r="330" spans="1:28" ht="13">
      <c r="A330" s="170"/>
      <c r="B330" s="59" t="s">
        <v>853</v>
      </c>
      <c r="C330" s="179">
        <v>0</v>
      </c>
      <c r="D330" s="179">
        <v>0</v>
      </c>
      <c r="E330" s="179"/>
      <c r="F330" s="179">
        <v>0</v>
      </c>
      <c r="G330" s="179"/>
      <c r="H330" s="179"/>
      <c r="I330" s="180">
        <v>0</v>
      </c>
      <c r="J330" s="179"/>
      <c r="K330" s="179"/>
      <c r="L330" s="179"/>
      <c r="M330" s="179"/>
      <c r="N330" s="179"/>
      <c r="O330" s="180"/>
      <c r="P330" s="179"/>
      <c r="Q330" s="179"/>
      <c r="R330" s="179"/>
      <c r="S330" s="180"/>
      <c r="T330" s="179"/>
      <c r="U330" s="180"/>
      <c r="V330" s="179"/>
      <c r="W330" s="180"/>
      <c r="X330" s="53">
        <v>0</v>
      </c>
      <c r="Y330" s="151"/>
      <c r="Z330" s="151"/>
      <c r="AA330" s="151"/>
      <c r="AB330" s="151"/>
    </row>
    <row r="331" spans="1:28" s="173" customFormat="1" ht="13">
      <c r="A331" s="170"/>
      <c r="B331" s="94" t="s">
        <v>854</v>
      </c>
      <c r="C331" s="171">
        <v>0</v>
      </c>
      <c r="D331" s="171">
        <v>0</v>
      </c>
      <c r="E331" s="171"/>
      <c r="F331" s="171">
        <v>0</v>
      </c>
      <c r="G331" s="171"/>
      <c r="H331" s="171"/>
      <c r="I331" s="172">
        <v>0</v>
      </c>
      <c r="J331" s="171"/>
      <c r="K331" s="171"/>
      <c r="L331" s="171"/>
      <c r="M331" s="171"/>
      <c r="N331" s="171"/>
      <c r="O331" s="172"/>
      <c r="P331" s="171"/>
      <c r="Q331" s="171"/>
      <c r="R331" s="171"/>
      <c r="S331" s="172"/>
      <c r="T331" s="171"/>
      <c r="U331" s="172"/>
      <c r="V331" s="171"/>
      <c r="W331" s="172"/>
      <c r="X331" s="53">
        <v>0</v>
      </c>
      <c r="Y331" s="151"/>
      <c r="Z331" s="151"/>
      <c r="AA331" s="151"/>
      <c r="AB331" s="151"/>
    </row>
    <row r="332" spans="1:28" s="178" customFormat="1" ht="13">
      <c r="A332" s="170"/>
      <c r="B332" s="175" t="s">
        <v>855</v>
      </c>
      <c r="C332" s="176">
        <v>0</v>
      </c>
      <c r="D332" s="176">
        <v>0</v>
      </c>
      <c r="E332" s="176">
        <v>0</v>
      </c>
      <c r="F332" s="176">
        <v>0</v>
      </c>
      <c r="G332" s="176">
        <v>0</v>
      </c>
      <c r="H332" s="176">
        <v>0</v>
      </c>
      <c r="I332" s="177">
        <v>0</v>
      </c>
      <c r="J332" s="176">
        <v>0</v>
      </c>
      <c r="K332" s="176">
        <v>0</v>
      </c>
      <c r="L332" s="176">
        <v>0</v>
      </c>
      <c r="M332" s="176">
        <v>0</v>
      </c>
      <c r="N332" s="176">
        <v>0</v>
      </c>
      <c r="O332" s="177">
        <v>0</v>
      </c>
      <c r="P332" s="176">
        <v>0</v>
      </c>
      <c r="Q332" s="176">
        <v>0</v>
      </c>
      <c r="R332" s="176">
        <v>0</v>
      </c>
      <c r="S332" s="177">
        <v>0</v>
      </c>
      <c r="T332" s="176">
        <v>0</v>
      </c>
      <c r="U332" s="177">
        <v>0</v>
      </c>
      <c r="V332" s="176">
        <v>0</v>
      </c>
      <c r="W332" s="177">
        <v>0</v>
      </c>
      <c r="X332" s="53">
        <v>0</v>
      </c>
      <c r="Y332" s="151"/>
      <c r="Z332" s="151"/>
      <c r="AA332" s="151"/>
      <c r="AB332" s="151"/>
    </row>
    <row r="333" spans="1:28" ht="13">
      <c r="A333" s="170"/>
      <c r="B333" s="183" t="s">
        <v>856</v>
      </c>
      <c r="C333" s="180">
        <v>692248206</v>
      </c>
      <c r="D333" s="180">
        <v>53554355</v>
      </c>
      <c r="E333" s="180"/>
      <c r="F333" s="180">
        <v>83656691</v>
      </c>
      <c r="G333" s="180"/>
      <c r="H333" s="180"/>
      <c r="I333" s="180">
        <v>829459252</v>
      </c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>
        <v>0</v>
      </c>
      <c r="W333" s="180">
        <v>0</v>
      </c>
      <c r="X333" s="53">
        <v>829459252</v>
      </c>
      <c r="Y333" s="151"/>
      <c r="Z333" s="151"/>
      <c r="AA333" s="151"/>
      <c r="AB333" s="151"/>
    </row>
    <row r="334" spans="1:28" s="173" customFormat="1" ht="13">
      <c r="A334" s="170"/>
      <c r="B334" s="184" t="s">
        <v>857</v>
      </c>
      <c r="C334" s="172">
        <v>676820333</v>
      </c>
      <c r="D334" s="172">
        <v>53554355</v>
      </c>
      <c r="E334" s="172"/>
      <c r="F334" s="172">
        <v>78681554</v>
      </c>
      <c r="G334" s="172"/>
      <c r="H334" s="172"/>
      <c r="I334" s="172">
        <v>809056242</v>
      </c>
      <c r="J334" s="172"/>
      <c r="K334" s="172"/>
      <c r="L334" s="172"/>
      <c r="M334" s="172"/>
      <c r="N334" s="172"/>
      <c r="O334" s="172"/>
      <c r="P334" s="172"/>
      <c r="Q334" s="172"/>
      <c r="R334" s="172"/>
      <c r="S334" s="172"/>
      <c r="T334" s="172"/>
      <c r="U334" s="172"/>
      <c r="V334" s="172">
        <v>0</v>
      </c>
      <c r="W334" s="172">
        <v>0</v>
      </c>
      <c r="X334" s="53">
        <v>809056242</v>
      </c>
      <c r="Y334" s="151"/>
      <c r="Z334" s="151"/>
      <c r="AA334" s="151"/>
      <c r="AB334" s="151"/>
    </row>
    <row r="335" spans="1:28" s="178" customFormat="1" ht="13">
      <c r="A335" s="170"/>
      <c r="B335" s="185" t="s">
        <v>858</v>
      </c>
      <c r="C335" s="177">
        <v>-2.2286620414874716</v>
      </c>
      <c r="D335" s="177">
        <v>0</v>
      </c>
      <c r="E335" s="177">
        <v>0</v>
      </c>
      <c r="F335" s="177">
        <v>-5.9470879621571449</v>
      </c>
      <c r="G335" s="177">
        <v>0</v>
      </c>
      <c r="H335" s="177">
        <v>0</v>
      </c>
      <c r="I335" s="177">
        <v>-2.4597965422417158</v>
      </c>
      <c r="J335" s="177">
        <v>0</v>
      </c>
      <c r="K335" s="177">
        <v>0</v>
      </c>
      <c r="L335" s="177">
        <v>0</v>
      </c>
      <c r="M335" s="177">
        <v>0</v>
      </c>
      <c r="N335" s="177">
        <v>0</v>
      </c>
      <c r="O335" s="177">
        <v>0</v>
      </c>
      <c r="P335" s="177">
        <v>0</v>
      </c>
      <c r="Q335" s="177">
        <v>0</v>
      </c>
      <c r="R335" s="177">
        <v>0</v>
      </c>
      <c r="S335" s="177">
        <v>0</v>
      </c>
      <c r="T335" s="177">
        <v>0</v>
      </c>
      <c r="U335" s="177">
        <v>0</v>
      </c>
      <c r="V335" s="177">
        <v>0</v>
      </c>
      <c r="W335" s="177">
        <v>0</v>
      </c>
      <c r="X335" s="53">
        <v>-2.4597965422417158</v>
      </c>
      <c r="Y335" s="151"/>
      <c r="Z335" s="151"/>
      <c r="AA335" s="151"/>
      <c r="AB335" s="151"/>
    </row>
    <row r="336" spans="1:28" ht="13">
      <c r="A336" s="170"/>
      <c r="B336" s="59" t="s">
        <v>859</v>
      </c>
      <c r="C336" s="179"/>
      <c r="D336" s="179"/>
      <c r="E336" s="179"/>
      <c r="F336" s="179"/>
      <c r="G336" s="179"/>
      <c r="H336" s="179"/>
      <c r="I336" s="180"/>
      <c r="J336" s="179"/>
      <c r="K336" s="179"/>
      <c r="L336" s="179"/>
      <c r="M336" s="179"/>
      <c r="N336" s="179"/>
      <c r="O336" s="180"/>
      <c r="P336" s="179"/>
      <c r="Q336" s="179"/>
      <c r="R336" s="179"/>
      <c r="S336" s="180"/>
      <c r="T336" s="179"/>
      <c r="U336" s="180"/>
      <c r="V336" s="179"/>
      <c r="W336" s="180"/>
      <c r="X336" s="53"/>
      <c r="Y336" s="151"/>
      <c r="Z336" s="151"/>
      <c r="AA336" s="151"/>
      <c r="AB336" s="151"/>
    </row>
    <row r="337" spans="1:28" s="173" customFormat="1" ht="13">
      <c r="A337" s="170"/>
      <c r="B337" s="94" t="s">
        <v>860</v>
      </c>
      <c r="C337" s="171"/>
      <c r="D337" s="171"/>
      <c r="E337" s="171"/>
      <c r="F337" s="171"/>
      <c r="G337" s="171"/>
      <c r="H337" s="171"/>
      <c r="I337" s="172"/>
      <c r="J337" s="171"/>
      <c r="K337" s="171"/>
      <c r="L337" s="171"/>
      <c r="M337" s="171"/>
      <c r="N337" s="171"/>
      <c r="O337" s="172"/>
      <c r="P337" s="171"/>
      <c r="Q337" s="171"/>
      <c r="R337" s="171"/>
      <c r="S337" s="172"/>
      <c r="T337" s="171"/>
      <c r="U337" s="172"/>
      <c r="V337" s="171"/>
      <c r="W337" s="172"/>
      <c r="X337" s="53"/>
      <c r="Y337" s="151"/>
      <c r="Z337" s="151"/>
      <c r="AA337" s="151"/>
      <c r="AB337" s="151"/>
    </row>
    <row r="338" spans="1:28" s="178" customFormat="1" ht="13">
      <c r="A338" s="170"/>
      <c r="B338" s="175" t="s">
        <v>861</v>
      </c>
      <c r="C338" s="176">
        <v>0</v>
      </c>
      <c r="D338" s="176">
        <v>0</v>
      </c>
      <c r="E338" s="176">
        <v>0</v>
      </c>
      <c r="F338" s="176">
        <v>0</v>
      </c>
      <c r="G338" s="176">
        <v>0</v>
      </c>
      <c r="H338" s="176">
        <v>0</v>
      </c>
      <c r="I338" s="177">
        <v>0</v>
      </c>
      <c r="J338" s="176">
        <v>0</v>
      </c>
      <c r="K338" s="176">
        <v>0</v>
      </c>
      <c r="L338" s="176">
        <v>0</v>
      </c>
      <c r="M338" s="176">
        <v>0</v>
      </c>
      <c r="N338" s="176">
        <v>0</v>
      </c>
      <c r="O338" s="177">
        <v>0</v>
      </c>
      <c r="P338" s="176">
        <v>0</v>
      </c>
      <c r="Q338" s="176">
        <v>0</v>
      </c>
      <c r="R338" s="176">
        <v>0</v>
      </c>
      <c r="S338" s="177">
        <v>0</v>
      </c>
      <c r="T338" s="176">
        <v>0</v>
      </c>
      <c r="U338" s="177">
        <v>0</v>
      </c>
      <c r="V338" s="176">
        <v>0</v>
      </c>
      <c r="W338" s="177">
        <v>0</v>
      </c>
      <c r="X338" s="53">
        <v>0</v>
      </c>
      <c r="Y338" s="151"/>
      <c r="Z338" s="151"/>
      <c r="AA338" s="151"/>
      <c r="AB338" s="151"/>
    </row>
    <row r="339" spans="1:28" ht="13">
      <c r="A339" s="170"/>
      <c r="B339" s="59" t="s">
        <v>862</v>
      </c>
      <c r="C339" s="179"/>
      <c r="D339" s="179"/>
      <c r="E339" s="179"/>
      <c r="F339" s="179"/>
      <c r="G339" s="179"/>
      <c r="H339" s="179"/>
      <c r="I339" s="180"/>
      <c r="J339" s="179"/>
      <c r="K339" s="179"/>
      <c r="L339" s="179"/>
      <c r="M339" s="179"/>
      <c r="N339" s="179"/>
      <c r="O339" s="180"/>
      <c r="P339" s="179"/>
      <c r="Q339" s="179"/>
      <c r="R339" s="179"/>
      <c r="S339" s="180"/>
      <c r="T339" s="179"/>
      <c r="U339" s="180"/>
      <c r="V339" s="179"/>
      <c r="W339" s="180"/>
      <c r="X339" s="53"/>
      <c r="Y339" s="151"/>
      <c r="Z339" s="151"/>
      <c r="AA339" s="151"/>
      <c r="AB339" s="151"/>
    </row>
    <row r="340" spans="1:28" s="173" customFormat="1" ht="13">
      <c r="A340" s="170"/>
      <c r="B340" s="94" t="s">
        <v>863</v>
      </c>
      <c r="C340" s="171"/>
      <c r="D340" s="171"/>
      <c r="E340" s="171"/>
      <c r="F340" s="171"/>
      <c r="G340" s="171"/>
      <c r="H340" s="171"/>
      <c r="I340" s="172"/>
      <c r="J340" s="171"/>
      <c r="K340" s="171"/>
      <c r="L340" s="171"/>
      <c r="M340" s="171"/>
      <c r="N340" s="171"/>
      <c r="O340" s="172"/>
      <c r="P340" s="171"/>
      <c r="Q340" s="171"/>
      <c r="R340" s="171"/>
      <c r="S340" s="172"/>
      <c r="T340" s="171"/>
      <c r="U340" s="172"/>
      <c r="V340" s="171"/>
      <c r="W340" s="172"/>
      <c r="X340" s="53"/>
      <c r="Y340" s="151"/>
      <c r="Z340" s="151"/>
      <c r="AA340" s="151"/>
      <c r="AB340" s="151"/>
    </row>
    <row r="341" spans="1:28" s="178" customFormat="1" ht="13">
      <c r="A341" s="170"/>
      <c r="B341" s="175" t="s">
        <v>864</v>
      </c>
      <c r="C341" s="176">
        <v>0</v>
      </c>
      <c r="D341" s="176">
        <v>0</v>
      </c>
      <c r="E341" s="176">
        <v>0</v>
      </c>
      <c r="F341" s="176">
        <v>0</v>
      </c>
      <c r="G341" s="176">
        <v>0</v>
      </c>
      <c r="H341" s="176">
        <v>0</v>
      </c>
      <c r="I341" s="177">
        <v>0</v>
      </c>
      <c r="J341" s="176">
        <v>0</v>
      </c>
      <c r="K341" s="176">
        <v>0</v>
      </c>
      <c r="L341" s="176">
        <v>0</v>
      </c>
      <c r="M341" s="176">
        <v>0</v>
      </c>
      <c r="N341" s="176">
        <v>0</v>
      </c>
      <c r="O341" s="177">
        <v>0</v>
      </c>
      <c r="P341" s="176">
        <v>0</v>
      </c>
      <c r="Q341" s="176">
        <v>0</v>
      </c>
      <c r="R341" s="176">
        <v>0</v>
      </c>
      <c r="S341" s="177">
        <v>0</v>
      </c>
      <c r="T341" s="176">
        <v>0</v>
      </c>
      <c r="U341" s="177">
        <v>0</v>
      </c>
      <c r="V341" s="176">
        <v>0</v>
      </c>
      <c r="W341" s="177">
        <v>0</v>
      </c>
      <c r="X341" s="53">
        <v>0</v>
      </c>
      <c r="Y341" s="151"/>
      <c r="Z341" s="151"/>
      <c r="AA341" s="151"/>
      <c r="AB341" s="151"/>
    </row>
    <row r="342" spans="1:28" ht="13">
      <c r="A342" s="170"/>
      <c r="B342" s="59" t="s">
        <v>865</v>
      </c>
      <c r="C342" s="179"/>
      <c r="D342" s="179"/>
      <c r="E342" s="179"/>
      <c r="F342" s="179"/>
      <c r="G342" s="179"/>
      <c r="H342" s="179"/>
      <c r="I342" s="180"/>
      <c r="J342" s="179"/>
      <c r="K342" s="179"/>
      <c r="L342" s="179"/>
      <c r="M342" s="179"/>
      <c r="N342" s="179"/>
      <c r="O342" s="180"/>
      <c r="P342" s="179"/>
      <c r="Q342" s="179"/>
      <c r="R342" s="179"/>
      <c r="S342" s="180"/>
      <c r="T342" s="179"/>
      <c r="U342" s="180"/>
      <c r="V342" s="179"/>
      <c r="W342" s="180"/>
      <c r="X342" s="53"/>
      <c r="Y342" s="151"/>
      <c r="Z342" s="151"/>
      <c r="AA342" s="151"/>
      <c r="AB342" s="151"/>
    </row>
    <row r="343" spans="1:28" s="173" customFormat="1" ht="13">
      <c r="A343" s="170"/>
      <c r="B343" s="94" t="s">
        <v>866</v>
      </c>
      <c r="C343" s="171"/>
      <c r="D343" s="171"/>
      <c r="E343" s="171"/>
      <c r="F343" s="171"/>
      <c r="G343" s="171"/>
      <c r="H343" s="171"/>
      <c r="I343" s="172"/>
      <c r="J343" s="171"/>
      <c r="K343" s="171"/>
      <c r="L343" s="171"/>
      <c r="M343" s="171"/>
      <c r="N343" s="171"/>
      <c r="O343" s="172"/>
      <c r="P343" s="171"/>
      <c r="Q343" s="171"/>
      <c r="R343" s="171"/>
      <c r="S343" s="172"/>
      <c r="T343" s="171"/>
      <c r="U343" s="172"/>
      <c r="V343" s="171"/>
      <c r="W343" s="172"/>
      <c r="X343" s="53"/>
      <c r="Y343" s="151"/>
      <c r="Z343" s="151"/>
      <c r="AA343" s="151"/>
      <c r="AB343" s="151"/>
    </row>
    <row r="344" spans="1:28" s="178" customFormat="1" ht="13">
      <c r="A344" s="170"/>
      <c r="B344" s="175" t="s">
        <v>867</v>
      </c>
      <c r="C344" s="176">
        <v>0</v>
      </c>
      <c r="D344" s="176">
        <v>0</v>
      </c>
      <c r="E344" s="176">
        <v>0</v>
      </c>
      <c r="F344" s="176">
        <v>0</v>
      </c>
      <c r="G344" s="176">
        <v>0</v>
      </c>
      <c r="H344" s="176">
        <v>0</v>
      </c>
      <c r="I344" s="177">
        <v>0</v>
      </c>
      <c r="J344" s="176">
        <v>0</v>
      </c>
      <c r="K344" s="176">
        <v>0</v>
      </c>
      <c r="L344" s="176">
        <v>0</v>
      </c>
      <c r="M344" s="176">
        <v>0</v>
      </c>
      <c r="N344" s="176">
        <v>0</v>
      </c>
      <c r="O344" s="177">
        <v>0</v>
      </c>
      <c r="P344" s="176">
        <v>0</v>
      </c>
      <c r="Q344" s="176">
        <v>0</v>
      </c>
      <c r="R344" s="176">
        <v>0</v>
      </c>
      <c r="S344" s="177">
        <v>0</v>
      </c>
      <c r="T344" s="176">
        <v>0</v>
      </c>
      <c r="U344" s="177">
        <v>0</v>
      </c>
      <c r="V344" s="176">
        <v>0</v>
      </c>
      <c r="W344" s="177">
        <v>0</v>
      </c>
      <c r="X344" s="53">
        <v>0</v>
      </c>
      <c r="Y344" s="151"/>
      <c r="Z344" s="151"/>
      <c r="AA344" s="151"/>
      <c r="AB344" s="151"/>
    </row>
    <row r="345" spans="1:28" ht="13">
      <c r="A345" s="170"/>
      <c r="B345" s="59" t="s">
        <v>868</v>
      </c>
      <c r="C345" s="179">
        <v>0</v>
      </c>
      <c r="D345" s="179">
        <v>0</v>
      </c>
      <c r="E345" s="179"/>
      <c r="F345" s="179">
        <v>0</v>
      </c>
      <c r="G345" s="179"/>
      <c r="H345" s="179"/>
      <c r="I345" s="180">
        <v>0</v>
      </c>
      <c r="J345" s="179"/>
      <c r="K345" s="179"/>
      <c r="L345" s="179"/>
      <c r="M345" s="179"/>
      <c r="N345" s="179"/>
      <c r="O345" s="180"/>
      <c r="P345" s="179"/>
      <c r="Q345" s="179"/>
      <c r="R345" s="179"/>
      <c r="S345" s="180"/>
      <c r="T345" s="179"/>
      <c r="U345" s="180"/>
      <c r="V345" s="179">
        <v>0</v>
      </c>
      <c r="W345" s="180">
        <v>0</v>
      </c>
      <c r="X345" s="53">
        <v>0</v>
      </c>
      <c r="Y345" s="151"/>
      <c r="Z345" s="151"/>
      <c r="AA345" s="151"/>
      <c r="AB345" s="151"/>
    </row>
    <row r="346" spans="1:28" s="173" customFormat="1" ht="13">
      <c r="A346" s="170"/>
      <c r="B346" s="94" t="s">
        <v>869</v>
      </c>
      <c r="C346" s="171">
        <v>0</v>
      </c>
      <c r="D346" s="171">
        <v>0</v>
      </c>
      <c r="E346" s="171"/>
      <c r="F346" s="171">
        <v>0</v>
      </c>
      <c r="G346" s="171"/>
      <c r="H346" s="171"/>
      <c r="I346" s="172">
        <v>0</v>
      </c>
      <c r="J346" s="171"/>
      <c r="K346" s="171"/>
      <c r="L346" s="171"/>
      <c r="M346" s="171"/>
      <c r="N346" s="171"/>
      <c r="O346" s="172"/>
      <c r="P346" s="171"/>
      <c r="Q346" s="171"/>
      <c r="R346" s="171"/>
      <c r="S346" s="172"/>
      <c r="T346" s="171"/>
      <c r="U346" s="172"/>
      <c r="V346" s="171">
        <v>0</v>
      </c>
      <c r="W346" s="172">
        <v>0</v>
      </c>
      <c r="X346" s="53">
        <v>0</v>
      </c>
      <c r="Y346" s="151"/>
      <c r="Z346" s="151"/>
      <c r="AA346" s="151"/>
      <c r="AB346" s="151"/>
    </row>
    <row r="347" spans="1:28" s="178" customFormat="1" ht="13">
      <c r="A347" s="170"/>
      <c r="B347" s="175" t="s">
        <v>870</v>
      </c>
      <c r="C347" s="176">
        <v>0</v>
      </c>
      <c r="D347" s="176">
        <v>0</v>
      </c>
      <c r="E347" s="176">
        <v>0</v>
      </c>
      <c r="F347" s="176">
        <v>0</v>
      </c>
      <c r="G347" s="176">
        <v>0</v>
      </c>
      <c r="H347" s="176">
        <v>0</v>
      </c>
      <c r="I347" s="177">
        <v>0</v>
      </c>
      <c r="J347" s="176">
        <v>0</v>
      </c>
      <c r="K347" s="176">
        <v>0</v>
      </c>
      <c r="L347" s="176">
        <v>0</v>
      </c>
      <c r="M347" s="176">
        <v>0</v>
      </c>
      <c r="N347" s="176">
        <v>0</v>
      </c>
      <c r="O347" s="177">
        <v>0</v>
      </c>
      <c r="P347" s="176">
        <v>0</v>
      </c>
      <c r="Q347" s="176">
        <v>0</v>
      </c>
      <c r="R347" s="176">
        <v>0</v>
      </c>
      <c r="S347" s="177">
        <v>0</v>
      </c>
      <c r="T347" s="176">
        <v>0</v>
      </c>
      <c r="U347" s="177">
        <v>0</v>
      </c>
      <c r="V347" s="176">
        <v>0</v>
      </c>
      <c r="W347" s="177">
        <v>0</v>
      </c>
      <c r="X347" s="53">
        <v>0</v>
      </c>
      <c r="Y347" s="151"/>
      <c r="Z347" s="151"/>
      <c r="AA347" s="151"/>
      <c r="AB347" s="151"/>
    </row>
    <row r="348" spans="1:28" ht="13">
      <c r="A348" s="170"/>
      <c r="B348" s="59" t="s">
        <v>871</v>
      </c>
      <c r="C348" s="179">
        <v>190982129</v>
      </c>
      <c r="D348" s="179"/>
      <c r="E348" s="179"/>
      <c r="F348" s="179"/>
      <c r="G348" s="179"/>
      <c r="H348" s="179"/>
      <c r="I348" s="180">
        <v>190982129</v>
      </c>
      <c r="J348" s="179"/>
      <c r="K348" s="179"/>
      <c r="L348" s="179"/>
      <c r="M348" s="179"/>
      <c r="N348" s="179"/>
      <c r="O348" s="180"/>
      <c r="P348" s="179"/>
      <c r="Q348" s="179"/>
      <c r="R348" s="179"/>
      <c r="S348" s="180"/>
      <c r="T348" s="179"/>
      <c r="U348" s="180"/>
      <c r="V348" s="179"/>
      <c r="W348" s="180"/>
      <c r="X348" s="53">
        <v>190982129</v>
      </c>
      <c r="Y348" s="151"/>
      <c r="Z348" s="151"/>
      <c r="AA348" s="151"/>
      <c r="AB348" s="151"/>
    </row>
    <row r="349" spans="1:28" s="173" customFormat="1" ht="13">
      <c r="A349" s="170"/>
      <c r="B349" s="94" t="s">
        <v>872</v>
      </c>
      <c r="C349" s="171">
        <v>184963786</v>
      </c>
      <c r="D349" s="171"/>
      <c r="E349" s="171"/>
      <c r="F349" s="171"/>
      <c r="G349" s="171"/>
      <c r="H349" s="171"/>
      <c r="I349" s="172">
        <v>184963786</v>
      </c>
      <c r="J349" s="171"/>
      <c r="K349" s="171"/>
      <c r="L349" s="171"/>
      <c r="M349" s="171"/>
      <c r="N349" s="171"/>
      <c r="O349" s="172"/>
      <c r="P349" s="171"/>
      <c r="Q349" s="171"/>
      <c r="R349" s="171"/>
      <c r="S349" s="172"/>
      <c r="T349" s="171"/>
      <c r="U349" s="172"/>
      <c r="V349" s="171"/>
      <c r="W349" s="172"/>
      <c r="X349" s="53">
        <v>184963786</v>
      </c>
      <c r="Y349" s="151"/>
      <c r="Z349" s="151"/>
      <c r="AA349" s="151"/>
      <c r="AB349" s="151"/>
    </row>
    <row r="350" spans="1:28" s="178" customFormat="1" ht="13">
      <c r="A350" s="170"/>
      <c r="B350" s="175" t="s">
        <v>873</v>
      </c>
      <c r="C350" s="176">
        <v>-3.1512597704887875</v>
      </c>
      <c r="D350" s="176">
        <v>0</v>
      </c>
      <c r="E350" s="176">
        <v>0</v>
      </c>
      <c r="F350" s="176">
        <v>0</v>
      </c>
      <c r="G350" s="176">
        <v>0</v>
      </c>
      <c r="H350" s="176">
        <v>0</v>
      </c>
      <c r="I350" s="177">
        <v>-3.1512597704887875</v>
      </c>
      <c r="J350" s="176">
        <v>0</v>
      </c>
      <c r="K350" s="176">
        <v>0</v>
      </c>
      <c r="L350" s="176">
        <v>0</v>
      </c>
      <c r="M350" s="176">
        <v>0</v>
      </c>
      <c r="N350" s="176">
        <v>0</v>
      </c>
      <c r="O350" s="177">
        <v>0</v>
      </c>
      <c r="P350" s="176">
        <v>0</v>
      </c>
      <c r="Q350" s="176">
        <v>0</v>
      </c>
      <c r="R350" s="176">
        <v>0</v>
      </c>
      <c r="S350" s="177">
        <v>0</v>
      </c>
      <c r="T350" s="176">
        <v>0</v>
      </c>
      <c r="U350" s="177">
        <v>0</v>
      </c>
      <c r="V350" s="176">
        <v>0</v>
      </c>
      <c r="W350" s="177">
        <v>0</v>
      </c>
      <c r="X350" s="53">
        <v>-3.1512597704887875</v>
      </c>
      <c r="Y350" s="151"/>
      <c r="Z350" s="151"/>
      <c r="AA350" s="151"/>
      <c r="AB350" s="151"/>
    </row>
    <row r="351" spans="1:28" ht="13">
      <c r="A351" s="170"/>
      <c r="B351" s="59" t="s">
        <v>874</v>
      </c>
      <c r="C351" s="179">
        <v>57787625</v>
      </c>
      <c r="D351" s="179"/>
      <c r="E351" s="179"/>
      <c r="F351" s="179"/>
      <c r="G351" s="179"/>
      <c r="H351" s="179"/>
      <c r="I351" s="180">
        <v>57787625</v>
      </c>
      <c r="J351" s="179"/>
      <c r="K351" s="179"/>
      <c r="L351" s="179"/>
      <c r="M351" s="179"/>
      <c r="N351" s="179"/>
      <c r="O351" s="180"/>
      <c r="P351" s="179"/>
      <c r="Q351" s="179"/>
      <c r="R351" s="179"/>
      <c r="S351" s="180"/>
      <c r="T351" s="179"/>
      <c r="U351" s="180"/>
      <c r="V351" s="179"/>
      <c r="W351" s="180"/>
      <c r="X351" s="53">
        <v>57787625</v>
      </c>
      <c r="Y351" s="151"/>
      <c r="Z351" s="151"/>
      <c r="AA351" s="151"/>
      <c r="AB351" s="151"/>
    </row>
    <row r="352" spans="1:28" s="173" customFormat="1" ht="13">
      <c r="A352" s="170"/>
      <c r="B352" s="94" t="s">
        <v>875</v>
      </c>
      <c r="C352" s="171">
        <v>55998674</v>
      </c>
      <c r="D352" s="171"/>
      <c r="E352" s="171"/>
      <c r="F352" s="171"/>
      <c r="G352" s="171"/>
      <c r="H352" s="171"/>
      <c r="I352" s="172">
        <v>55998674</v>
      </c>
      <c r="J352" s="171"/>
      <c r="K352" s="171"/>
      <c r="L352" s="171"/>
      <c r="M352" s="171"/>
      <c r="N352" s="171"/>
      <c r="O352" s="172"/>
      <c r="P352" s="171"/>
      <c r="Q352" s="171"/>
      <c r="R352" s="171"/>
      <c r="S352" s="172"/>
      <c r="T352" s="171"/>
      <c r="U352" s="172"/>
      <c r="V352" s="171"/>
      <c r="W352" s="172"/>
      <c r="X352" s="53">
        <v>55998674</v>
      </c>
      <c r="Y352" s="151"/>
      <c r="Z352" s="151"/>
      <c r="AA352" s="151"/>
      <c r="AB352" s="151"/>
    </row>
    <row r="353" spans="1:28" s="178" customFormat="1" ht="13">
      <c r="A353" s="170"/>
      <c r="B353" s="175" t="s">
        <v>876</v>
      </c>
      <c r="C353" s="176">
        <v>-3.0957337319192471</v>
      </c>
      <c r="D353" s="176">
        <v>0</v>
      </c>
      <c r="E353" s="176">
        <v>0</v>
      </c>
      <c r="F353" s="176">
        <v>0</v>
      </c>
      <c r="G353" s="176">
        <v>0</v>
      </c>
      <c r="H353" s="176">
        <v>0</v>
      </c>
      <c r="I353" s="177">
        <v>-3.0957337319192471</v>
      </c>
      <c r="J353" s="176">
        <v>0</v>
      </c>
      <c r="K353" s="176">
        <v>0</v>
      </c>
      <c r="L353" s="176">
        <v>0</v>
      </c>
      <c r="M353" s="176">
        <v>0</v>
      </c>
      <c r="N353" s="176">
        <v>0</v>
      </c>
      <c r="O353" s="177">
        <v>0</v>
      </c>
      <c r="P353" s="176">
        <v>0</v>
      </c>
      <c r="Q353" s="176">
        <v>0</v>
      </c>
      <c r="R353" s="176">
        <v>0</v>
      </c>
      <c r="S353" s="177">
        <v>0</v>
      </c>
      <c r="T353" s="176">
        <v>0</v>
      </c>
      <c r="U353" s="177">
        <v>0</v>
      </c>
      <c r="V353" s="176">
        <v>0</v>
      </c>
      <c r="W353" s="177">
        <v>0</v>
      </c>
      <c r="X353" s="53">
        <v>-3.0957337319192471</v>
      </c>
      <c r="Y353" s="151"/>
      <c r="Z353" s="151"/>
      <c r="AA353" s="151"/>
      <c r="AB353" s="151"/>
    </row>
    <row r="354" spans="1:28" ht="13">
      <c r="A354" s="170"/>
      <c r="B354" s="59" t="s">
        <v>877</v>
      </c>
      <c r="C354" s="179">
        <v>1035010132</v>
      </c>
      <c r="D354" s="179">
        <v>97433946</v>
      </c>
      <c r="E354" s="179"/>
      <c r="F354" s="179">
        <v>165114588</v>
      </c>
      <c r="G354" s="179"/>
      <c r="H354" s="179"/>
      <c r="I354" s="180">
        <v>1297558666</v>
      </c>
      <c r="J354" s="179"/>
      <c r="K354" s="179"/>
      <c r="L354" s="179"/>
      <c r="M354" s="179"/>
      <c r="N354" s="179"/>
      <c r="O354" s="180"/>
      <c r="P354" s="179"/>
      <c r="Q354" s="179"/>
      <c r="R354" s="179"/>
      <c r="S354" s="180"/>
      <c r="T354" s="179"/>
      <c r="U354" s="180"/>
      <c r="V354" s="179">
        <v>0</v>
      </c>
      <c r="W354" s="180">
        <v>0</v>
      </c>
      <c r="X354" s="53">
        <v>1297558666</v>
      </c>
      <c r="Y354" s="151"/>
      <c r="Z354" s="151"/>
      <c r="AA354" s="151"/>
      <c r="AB354" s="151"/>
    </row>
    <row r="355" spans="1:28" s="173" customFormat="1" ht="13">
      <c r="A355" s="170"/>
      <c r="B355" s="94" t="s">
        <v>878</v>
      </c>
      <c r="C355" s="171">
        <v>1033267381</v>
      </c>
      <c r="D355" s="171">
        <v>98318853</v>
      </c>
      <c r="E355" s="171"/>
      <c r="F355" s="171">
        <v>161408780</v>
      </c>
      <c r="G355" s="171"/>
      <c r="H355" s="171"/>
      <c r="I355" s="172">
        <v>1292995014</v>
      </c>
      <c r="J355" s="171"/>
      <c r="K355" s="171"/>
      <c r="L355" s="171"/>
      <c r="M355" s="171"/>
      <c r="N355" s="171"/>
      <c r="O355" s="172"/>
      <c r="P355" s="171"/>
      <c r="Q355" s="171"/>
      <c r="R355" s="171"/>
      <c r="S355" s="172"/>
      <c r="T355" s="171"/>
      <c r="U355" s="172"/>
      <c r="V355" s="171">
        <v>0</v>
      </c>
      <c r="W355" s="172">
        <v>0</v>
      </c>
      <c r="X355" s="53">
        <v>1292995014</v>
      </c>
      <c r="Y355" s="151"/>
      <c r="Z355" s="151"/>
      <c r="AA355" s="151"/>
      <c r="AB355" s="151"/>
    </row>
    <row r="356" spans="1:28" s="192" customFormat="1" ht="13.5" thickBot="1">
      <c r="A356" s="186"/>
      <c r="B356" s="187" t="s">
        <v>879</v>
      </c>
      <c r="C356" s="188">
        <v>-0.16838009079509186</v>
      </c>
      <c r="D356" s="188">
        <v>0.90821221589444812</v>
      </c>
      <c r="E356" s="188">
        <v>0</v>
      </c>
      <c r="F356" s="188">
        <v>-2.2443855778509407</v>
      </c>
      <c r="G356" s="188">
        <v>0</v>
      </c>
      <c r="H356" s="188">
        <v>0</v>
      </c>
      <c r="I356" s="189">
        <v>-0.35171064858812329</v>
      </c>
      <c r="J356" s="188">
        <v>0</v>
      </c>
      <c r="K356" s="188">
        <v>0</v>
      </c>
      <c r="L356" s="188">
        <v>0</v>
      </c>
      <c r="M356" s="188">
        <v>0</v>
      </c>
      <c r="N356" s="188">
        <v>0</v>
      </c>
      <c r="O356" s="189">
        <v>0</v>
      </c>
      <c r="P356" s="188">
        <v>0</v>
      </c>
      <c r="Q356" s="188">
        <v>0</v>
      </c>
      <c r="R356" s="188">
        <v>0</v>
      </c>
      <c r="S356" s="189">
        <v>0</v>
      </c>
      <c r="T356" s="188">
        <v>0</v>
      </c>
      <c r="U356" s="189">
        <v>0</v>
      </c>
      <c r="V356" s="188">
        <v>0</v>
      </c>
      <c r="W356" s="189">
        <v>0</v>
      </c>
      <c r="X356" s="53">
        <v>-0.35171064858812329</v>
      </c>
      <c r="Y356" s="151"/>
      <c r="Z356" s="151"/>
      <c r="AA356" s="151"/>
      <c r="AB356" s="151"/>
    </row>
    <row r="357" spans="1:28" ht="13.5" thickTop="1">
      <c r="A357" s="147" t="s">
        <v>636</v>
      </c>
      <c r="B357" s="167" t="s">
        <v>754</v>
      </c>
      <c r="C357" s="168">
        <v>1098148921.1799998</v>
      </c>
      <c r="D357" s="168">
        <v>232631314</v>
      </c>
      <c r="E357" s="168">
        <v>613428817.56000006</v>
      </c>
      <c r="F357" s="168">
        <v>55453505</v>
      </c>
      <c r="G357" s="168">
        <v>142549985</v>
      </c>
      <c r="H357" s="168">
        <v>80812119</v>
      </c>
      <c r="I357" s="169">
        <v>2223024661.7399998</v>
      </c>
      <c r="J357" s="168"/>
      <c r="K357" s="168">
        <v>379712665</v>
      </c>
      <c r="L357" s="168">
        <v>342733473</v>
      </c>
      <c r="M357" s="168">
        <v>196854946</v>
      </c>
      <c r="N357" s="168"/>
      <c r="O357" s="169">
        <v>919301084</v>
      </c>
      <c r="P357" s="168"/>
      <c r="Q357" s="168"/>
      <c r="R357" s="168"/>
      <c r="S357" s="169"/>
      <c r="T357" s="168"/>
      <c r="U357" s="169"/>
      <c r="V357" s="168"/>
      <c r="W357" s="169"/>
      <c r="X357" s="53">
        <v>3142325745.7399998</v>
      </c>
      <c r="Y357" s="151"/>
      <c r="Z357" s="151"/>
      <c r="AA357" s="151"/>
      <c r="AB357" s="151"/>
    </row>
    <row r="358" spans="1:28" s="173" customFormat="1" ht="13">
      <c r="A358" s="170"/>
      <c r="B358" s="94" t="s">
        <v>755</v>
      </c>
      <c r="C358" s="171">
        <v>1095230868</v>
      </c>
      <c r="D358" s="171">
        <v>230274139</v>
      </c>
      <c r="E358" s="171">
        <v>617571868</v>
      </c>
      <c r="F358" s="171">
        <v>56566239</v>
      </c>
      <c r="G358" s="171">
        <v>145191315</v>
      </c>
      <c r="H358" s="171">
        <v>75567813</v>
      </c>
      <c r="I358" s="172">
        <v>2220402242</v>
      </c>
      <c r="J358" s="171"/>
      <c r="K358" s="171">
        <v>399434025</v>
      </c>
      <c r="L358" s="171">
        <v>357579909</v>
      </c>
      <c r="M358" s="171">
        <v>205424444</v>
      </c>
      <c r="N358" s="171"/>
      <c r="O358" s="172">
        <v>962438378</v>
      </c>
      <c r="P358" s="171"/>
      <c r="Q358" s="171"/>
      <c r="R358" s="171"/>
      <c r="S358" s="172"/>
      <c r="T358" s="171"/>
      <c r="U358" s="172"/>
      <c r="V358" s="171"/>
      <c r="W358" s="172"/>
      <c r="X358" s="53">
        <v>3182840620</v>
      </c>
      <c r="Y358" s="151"/>
      <c r="Z358" s="151"/>
      <c r="AA358" s="151"/>
      <c r="AB358" s="151"/>
    </row>
    <row r="359" spans="1:28" s="178" customFormat="1" ht="13">
      <c r="A359" s="174"/>
      <c r="B359" s="175" t="s">
        <v>849</v>
      </c>
      <c r="C359" s="176">
        <v>-0.26572472309714396</v>
      </c>
      <c r="D359" s="176">
        <v>-1.013266425516558</v>
      </c>
      <c r="E359" s="176">
        <v>0.67539220874550809</v>
      </c>
      <c r="F359" s="176">
        <v>2.0066071567523101</v>
      </c>
      <c r="G359" s="176">
        <v>1.852914961723777</v>
      </c>
      <c r="H359" s="176">
        <v>-6.4895043774313113</v>
      </c>
      <c r="I359" s="177">
        <v>-0.11796629093386475</v>
      </c>
      <c r="J359" s="176">
        <v>0</v>
      </c>
      <c r="K359" s="176">
        <v>5.1937588123377445</v>
      </c>
      <c r="L359" s="176">
        <v>4.3317729867604733</v>
      </c>
      <c r="M359" s="176">
        <v>4.3532043131900791</v>
      </c>
      <c r="N359" s="176">
        <v>0</v>
      </c>
      <c r="O359" s="177">
        <v>4.6924010806453049</v>
      </c>
      <c r="P359" s="176">
        <v>0</v>
      </c>
      <c r="Q359" s="176">
        <v>0</v>
      </c>
      <c r="R359" s="176">
        <v>0</v>
      </c>
      <c r="S359" s="177">
        <v>0</v>
      </c>
      <c r="T359" s="176">
        <v>0</v>
      </c>
      <c r="U359" s="177">
        <v>0</v>
      </c>
      <c r="V359" s="176">
        <v>0</v>
      </c>
      <c r="W359" s="177">
        <v>0</v>
      </c>
      <c r="X359" s="53">
        <v>1.2893276362237618</v>
      </c>
      <c r="Y359" s="151"/>
      <c r="Z359" s="151"/>
      <c r="AA359" s="151"/>
      <c r="AB359" s="151"/>
    </row>
    <row r="360" spans="1:28" ht="13">
      <c r="A360" s="170"/>
      <c r="B360" s="59" t="s">
        <v>756</v>
      </c>
      <c r="C360" s="179">
        <v>96181298</v>
      </c>
      <c r="D360" s="179"/>
      <c r="E360" s="179"/>
      <c r="F360" s="179"/>
      <c r="G360" s="179"/>
      <c r="H360" s="179"/>
      <c r="I360" s="180">
        <v>96181298</v>
      </c>
      <c r="J360" s="179"/>
      <c r="K360" s="179">
        <v>49642246</v>
      </c>
      <c r="L360" s="179">
        <v>58268672</v>
      </c>
      <c r="M360" s="179">
        <v>36630932</v>
      </c>
      <c r="N360" s="179"/>
      <c r="O360" s="180">
        <v>144541850</v>
      </c>
      <c r="P360" s="179"/>
      <c r="Q360" s="179"/>
      <c r="R360" s="179"/>
      <c r="S360" s="180"/>
      <c r="T360" s="179"/>
      <c r="U360" s="180"/>
      <c r="V360" s="179"/>
      <c r="W360" s="180"/>
      <c r="X360" s="53">
        <v>240723148</v>
      </c>
      <c r="Y360" s="151"/>
      <c r="Z360" s="151"/>
      <c r="AA360" s="151"/>
      <c r="AB360" s="151"/>
    </row>
    <row r="361" spans="1:28" s="173" customFormat="1" ht="13">
      <c r="A361" s="170"/>
      <c r="B361" s="94" t="s">
        <v>757</v>
      </c>
      <c r="C361" s="171">
        <v>97002435</v>
      </c>
      <c r="D361" s="171"/>
      <c r="E361" s="171"/>
      <c r="F361" s="171"/>
      <c r="G361" s="171"/>
      <c r="H361" s="171"/>
      <c r="I361" s="172">
        <v>97002435</v>
      </c>
      <c r="J361" s="171"/>
      <c r="K361" s="171">
        <v>52341336</v>
      </c>
      <c r="L361" s="171">
        <v>62446195</v>
      </c>
      <c r="M361" s="171">
        <v>39282676</v>
      </c>
      <c r="N361" s="171"/>
      <c r="O361" s="172">
        <v>154070207</v>
      </c>
      <c r="P361" s="171"/>
      <c r="Q361" s="171"/>
      <c r="R361" s="171"/>
      <c r="S361" s="172"/>
      <c r="T361" s="171"/>
      <c r="U361" s="172"/>
      <c r="V361" s="171"/>
      <c r="W361" s="172"/>
      <c r="X361" s="53">
        <v>251072642</v>
      </c>
      <c r="Y361" s="151"/>
      <c r="Z361" s="151"/>
      <c r="AA361" s="151"/>
      <c r="AB361" s="151"/>
    </row>
    <row r="362" spans="1:28" s="178" customFormat="1" ht="13">
      <c r="A362" s="170"/>
      <c r="B362" s="175" t="s">
        <v>850</v>
      </c>
      <c r="C362" s="176">
        <v>0.853738738273214</v>
      </c>
      <c r="D362" s="176">
        <v>0</v>
      </c>
      <c r="E362" s="176">
        <v>0</v>
      </c>
      <c r="F362" s="176">
        <v>0</v>
      </c>
      <c r="G362" s="176">
        <v>0</v>
      </c>
      <c r="H362" s="176">
        <v>0</v>
      </c>
      <c r="I362" s="177">
        <v>0.853738738273214</v>
      </c>
      <c r="J362" s="176">
        <v>0</v>
      </c>
      <c r="K362" s="176">
        <v>5.4370827621296591</v>
      </c>
      <c r="L362" s="176">
        <v>7.1694151533091404</v>
      </c>
      <c r="M362" s="176">
        <v>7.2390841707221636</v>
      </c>
      <c r="N362" s="176">
        <v>0</v>
      </c>
      <c r="O362" s="177">
        <v>6.5921094824786044</v>
      </c>
      <c r="P362" s="176">
        <v>0</v>
      </c>
      <c r="Q362" s="176">
        <v>0</v>
      </c>
      <c r="R362" s="176">
        <v>0</v>
      </c>
      <c r="S362" s="177">
        <v>0</v>
      </c>
      <c r="T362" s="176">
        <v>0</v>
      </c>
      <c r="U362" s="177">
        <v>0</v>
      </c>
      <c r="V362" s="181">
        <v>0</v>
      </c>
      <c r="W362" s="177">
        <v>0</v>
      </c>
      <c r="X362" s="53">
        <v>4.2993347694173556</v>
      </c>
      <c r="Y362" s="151"/>
      <c r="Z362" s="151"/>
      <c r="AA362" s="151"/>
      <c r="AB362" s="151"/>
    </row>
    <row r="363" spans="1:28" ht="13">
      <c r="A363" s="170"/>
      <c r="B363" s="59" t="s">
        <v>758</v>
      </c>
      <c r="C363" s="179"/>
      <c r="D363" s="179"/>
      <c r="E363" s="179"/>
      <c r="F363" s="179"/>
      <c r="G363" s="179"/>
      <c r="H363" s="179"/>
      <c r="I363" s="180"/>
      <c r="J363" s="179"/>
      <c r="K363" s="179">
        <v>127834035</v>
      </c>
      <c r="L363" s="179">
        <v>92615366</v>
      </c>
      <c r="M363" s="179">
        <v>53249008</v>
      </c>
      <c r="N363" s="179"/>
      <c r="O363" s="180">
        <v>273698409</v>
      </c>
      <c r="P363" s="179"/>
      <c r="Q363" s="179"/>
      <c r="R363" s="179"/>
      <c r="S363" s="180"/>
      <c r="T363" s="179"/>
      <c r="U363" s="180"/>
      <c r="V363" s="179"/>
      <c r="W363" s="180"/>
      <c r="X363" s="53">
        <v>273698409</v>
      </c>
      <c r="Y363" s="151"/>
      <c r="Z363" s="151"/>
      <c r="AA363" s="151"/>
      <c r="AB363" s="151"/>
    </row>
    <row r="364" spans="1:28" s="173" customFormat="1" ht="13">
      <c r="A364" s="170"/>
      <c r="B364" s="94" t="s">
        <v>759</v>
      </c>
      <c r="C364" s="171"/>
      <c r="D364" s="171"/>
      <c r="E364" s="171"/>
      <c r="F364" s="171"/>
      <c r="G364" s="171"/>
      <c r="H364" s="171"/>
      <c r="I364" s="172"/>
      <c r="J364" s="171"/>
      <c r="K364" s="171">
        <v>136580820</v>
      </c>
      <c r="L364" s="171">
        <v>91811102</v>
      </c>
      <c r="M364" s="171">
        <v>54697538</v>
      </c>
      <c r="N364" s="171"/>
      <c r="O364" s="172">
        <v>283089460</v>
      </c>
      <c r="P364" s="171"/>
      <c r="Q364" s="171"/>
      <c r="R364" s="171"/>
      <c r="S364" s="172"/>
      <c r="T364" s="171"/>
      <c r="U364" s="172"/>
      <c r="V364" s="171"/>
      <c r="W364" s="172"/>
      <c r="X364" s="53">
        <v>283089460</v>
      </c>
      <c r="Y364" s="151"/>
      <c r="Z364" s="151"/>
      <c r="AA364" s="151"/>
      <c r="AB364" s="151"/>
    </row>
    <row r="365" spans="1:28" s="178" customFormat="1" ht="13">
      <c r="A365" s="170"/>
      <c r="B365" s="175" t="s">
        <v>851</v>
      </c>
      <c r="C365" s="176">
        <v>0</v>
      </c>
      <c r="D365" s="176">
        <v>0</v>
      </c>
      <c r="E365" s="176">
        <v>0</v>
      </c>
      <c r="F365" s="176">
        <v>0</v>
      </c>
      <c r="G365" s="176">
        <v>0</v>
      </c>
      <c r="H365" s="176">
        <v>0</v>
      </c>
      <c r="I365" s="177">
        <v>0</v>
      </c>
      <c r="J365" s="176">
        <v>0</v>
      </c>
      <c r="K365" s="176">
        <v>6.8422975148989078</v>
      </c>
      <c r="L365" s="176">
        <v>-0.86839153667005975</v>
      </c>
      <c r="M365" s="176">
        <v>2.7202948081211202</v>
      </c>
      <c r="N365" s="176">
        <v>0</v>
      </c>
      <c r="O365" s="177">
        <v>3.4311675520189087</v>
      </c>
      <c r="P365" s="176">
        <v>0</v>
      </c>
      <c r="Q365" s="176">
        <v>0</v>
      </c>
      <c r="R365" s="176">
        <v>0</v>
      </c>
      <c r="S365" s="177">
        <v>0</v>
      </c>
      <c r="T365" s="176">
        <v>0</v>
      </c>
      <c r="U365" s="177">
        <v>0</v>
      </c>
      <c r="V365" s="176">
        <v>0</v>
      </c>
      <c r="W365" s="177">
        <v>0</v>
      </c>
      <c r="X365" s="53">
        <v>3.4311675520189087</v>
      </c>
      <c r="Y365" s="151"/>
      <c r="Z365" s="151"/>
      <c r="AA365" s="151"/>
      <c r="AB365" s="151"/>
    </row>
    <row r="366" spans="1:28" ht="13">
      <c r="A366" s="170"/>
      <c r="B366" s="59" t="s">
        <v>760</v>
      </c>
      <c r="C366" s="179">
        <v>1040814482.76</v>
      </c>
      <c r="D366" s="179">
        <v>163815173.53999999</v>
      </c>
      <c r="E366" s="179">
        <v>366342708.77999997</v>
      </c>
      <c r="F366" s="179">
        <v>20088089</v>
      </c>
      <c r="G366" s="179">
        <v>35472926</v>
      </c>
      <c r="H366" s="179">
        <v>21859312</v>
      </c>
      <c r="I366" s="180">
        <v>1648392692.0799999</v>
      </c>
      <c r="J366" s="179"/>
      <c r="K366" s="179">
        <v>142152431</v>
      </c>
      <c r="L366" s="179">
        <v>109038220</v>
      </c>
      <c r="M366" s="179">
        <v>57273891</v>
      </c>
      <c r="N366" s="179"/>
      <c r="O366" s="180">
        <v>308464542</v>
      </c>
      <c r="P366" s="179"/>
      <c r="Q366" s="179"/>
      <c r="R366" s="179"/>
      <c r="S366" s="180"/>
      <c r="T366" s="179"/>
      <c r="U366" s="180"/>
      <c r="V366" s="179"/>
      <c r="W366" s="180"/>
      <c r="X366" s="53">
        <v>1956857234.0799999</v>
      </c>
      <c r="Y366" s="151"/>
      <c r="Z366" s="151"/>
      <c r="AA366" s="151"/>
      <c r="AB366" s="151"/>
    </row>
    <row r="367" spans="1:28" s="173" customFormat="1" ht="13">
      <c r="A367" s="170"/>
      <c r="B367" s="94" t="s">
        <v>761</v>
      </c>
      <c r="C367" s="171">
        <v>1062715799</v>
      </c>
      <c r="D367" s="171">
        <v>168632012</v>
      </c>
      <c r="E367" s="171">
        <v>382802451</v>
      </c>
      <c r="F367" s="171">
        <v>22253729</v>
      </c>
      <c r="G367" s="171">
        <v>38877984</v>
      </c>
      <c r="H367" s="171">
        <v>23203378</v>
      </c>
      <c r="I367" s="172">
        <v>1698485353</v>
      </c>
      <c r="J367" s="171"/>
      <c r="K367" s="171">
        <v>141404087</v>
      </c>
      <c r="L367" s="171">
        <v>115966617</v>
      </c>
      <c r="M367" s="171">
        <v>57733568</v>
      </c>
      <c r="N367" s="171"/>
      <c r="O367" s="172">
        <v>315104272</v>
      </c>
      <c r="P367" s="171"/>
      <c r="Q367" s="171"/>
      <c r="R367" s="171"/>
      <c r="S367" s="172"/>
      <c r="T367" s="171"/>
      <c r="U367" s="172"/>
      <c r="V367" s="171"/>
      <c r="W367" s="172"/>
      <c r="X367" s="53">
        <v>2013589625</v>
      </c>
      <c r="Y367" s="151"/>
      <c r="Z367" s="151"/>
      <c r="AA367" s="151"/>
      <c r="AB367" s="151"/>
    </row>
    <row r="368" spans="1:28" s="178" customFormat="1" ht="13">
      <c r="A368" s="170"/>
      <c r="B368" s="175" t="s">
        <v>852</v>
      </c>
      <c r="C368" s="176">
        <v>2.1042478369365853</v>
      </c>
      <c r="D368" s="176">
        <v>2.9404104369024426</v>
      </c>
      <c r="E368" s="176">
        <v>4.492990258988506</v>
      </c>
      <c r="F368" s="176">
        <v>10.780716871574992</v>
      </c>
      <c r="G368" s="176">
        <v>9.5990333585676026</v>
      </c>
      <c r="H368" s="176">
        <v>6.1487113592596145</v>
      </c>
      <c r="I368" s="177">
        <v>3.0388790948103144</v>
      </c>
      <c r="J368" s="176">
        <v>0</v>
      </c>
      <c r="K368" s="176">
        <v>-0.52643770826543235</v>
      </c>
      <c r="L368" s="176">
        <v>6.3540995074937952</v>
      </c>
      <c r="M368" s="176">
        <v>0.80259432696828648</v>
      </c>
      <c r="N368" s="176">
        <v>0</v>
      </c>
      <c r="O368" s="177">
        <v>2.1525099633655786</v>
      </c>
      <c r="P368" s="176">
        <v>0</v>
      </c>
      <c r="Q368" s="176">
        <v>0</v>
      </c>
      <c r="R368" s="176">
        <v>0</v>
      </c>
      <c r="S368" s="177">
        <v>0</v>
      </c>
      <c r="T368" s="176">
        <v>0</v>
      </c>
      <c r="U368" s="177">
        <v>0</v>
      </c>
      <c r="V368" s="176">
        <v>0</v>
      </c>
      <c r="W368" s="177">
        <v>0</v>
      </c>
      <c r="X368" s="53">
        <v>2.899158402154582</v>
      </c>
      <c r="Y368" s="151"/>
      <c r="Z368" s="151"/>
      <c r="AA368" s="151"/>
      <c r="AB368" s="151"/>
    </row>
    <row r="369" spans="1:28" ht="13">
      <c r="A369" s="170"/>
      <c r="B369" s="59" t="s">
        <v>853</v>
      </c>
      <c r="C369" s="179"/>
      <c r="D369" s="179"/>
      <c r="E369" s="179"/>
      <c r="F369" s="179"/>
      <c r="G369" s="179"/>
      <c r="H369" s="179"/>
      <c r="I369" s="180"/>
      <c r="J369" s="179"/>
      <c r="K369" s="179"/>
      <c r="L369" s="179"/>
      <c r="M369" s="179"/>
      <c r="N369" s="179"/>
      <c r="O369" s="180"/>
      <c r="P369" s="179"/>
      <c r="Q369" s="179"/>
      <c r="R369" s="179"/>
      <c r="S369" s="180"/>
      <c r="T369" s="179"/>
      <c r="U369" s="180"/>
      <c r="V369" s="179"/>
      <c r="W369" s="180"/>
      <c r="X369" s="53"/>
      <c r="Y369" s="151"/>
      <c r="Z369" s="151"/>
      <c r="AA369" s="151"/>
      <c r="AB369" s="151"/>
    </row>
    <row r="370" spans="1:28" s="173" customFormat="1" ht="13">
      <c r="A370" s="170"/>
      <c r="B370" s="94" t="s">
        <v>854</v>
      </c>
      <c r="C370" s="171"/>
      <c r="D370" s="171"/>
      <c r="E370" s="171"/>
      <c r="F370" s="171"/>
      <c r="G370" s="171"/>
      <c r="H370" s="171"/>
      <c r="I370" s="172"/>
      <c r="J370" s="171"/>
      <c r="K370" s="171"/>
      <c r="L370" s="171"/>
      <c r="M370" s="171"/>
      <c r="N370" s="171"/>
      <c r="O370" s="172"/>
      <c r="P370" s="171"/>
      <c r="Q370" s="171"/>
      <c r="R370" s="171"/>
      <c r="S370" s="172"/>
      <c r="T370" s="171"/>
      <c r="U370" s="172"/>
      <c r="V370" s="171"/>
      <c r="W370" s="172"/>
      <c r="X370" s="53"/>
      <c r="Y370" s="151"/>
      <c r="Z370" s="151"/>
      <c r="AA370" s="151"/>
      <c r="AB370" s="151"/>
    </row>
    <row r="371" spans="1:28" s="178" customFormat="1" ht="13">
      <c r="A371" s="170"/>
      <c r="B371" s="175" t="s">
        <v>855</v>
      </c>
      <c r="C371" s="176">
        <v>0</v>
      </c>
      <c r="D371" s="176">
        <v>0</v>
      </c>
      <c r="E371" s="176">
        <v>0</v>
      </c>
      <c r="F371" s="176">
        <v>0</v>
      </c>
      <c r="G371" s="176">
        <v>0</v>
      </c>
      <c r="H371" s="176">
        <v>0</v>
      </c>
      <c r="I371" s="177">
        <v>0</v>
      </c>
      <c r="J371" s="176">
        <v>0</v>
      </c>
      <c r="K371" s="176">
        <v>0</v>
      </c>
      <c r="L371" s="176">
        <v>0</v>
      </c>
      <c r="M371" s="176">
        <v>0</v>
      </c>
      <c r="N371" s="176">
        <v>0</v>
      </c>
      <c r="O371" s="177">
        <v>0</v>
      </c>
      <c r="P371" s="176">
        <v>0</v>
      </c>
      <c r="Q371" s="176">
        <v>0</v>
      </c>
      <c r="R371" s="176">
        <v>0</v>
      </c>
      <c r="S371" s="177">
        <v>0</v>
      </c>
      <c r="T371" s="176">
        <v>0</v>
      </c>
      <c r="U371" s="177">
        <v>0</v>
      </c>
      <c r="V371" s="176">
        <v>0</v>
      </c>
      <c r="W371" s="177">
        <v>0</v>
      </c>
      <c r="X371" s="53">
        <v>0</v>
      </c>
      <c r="Y371" s="151"/>
      <c r="Z371" s="151"/>
      <c r="AA371" s="151"/>
      <c r="AB371" s="151"/>
    </row>
    <row r="372" spans="1:28" ht="13">
      <c r="A372" s="170"/>
      <c r="B372" s="183" t="s">
        <v>856</v>
      </c>
      <c r="C372" s="180">
        <v>1040814482.76</v>
      </c>
      <c r="D372" s="180">
        <v>163815173.53999999</v>
      </c>
      <c r="E372" s="180">
        <v>366342708.77999997</v>
      </c>
      <c r="F372" s="180">
        <v>20088089</v>
      </c>
      <c r="G372" s="180">
        <v>35472926</v>
      </c>
      <c r="H372" s="180">
        <v>21859312</v>
      </c>
      <c r="I372" s="180">
        <v>1648392692.0799999</v>
      </c>
      <c r="J372" s="180"/>
      <c r="K372" s="180">
        <v>142152431</v>
      </c>
      <c r="L372" s="180">
        <v>109038220</v>
      </c>
      <c r="M372" s="180">
        <v>57273891</v>
      </c>
      <c r="N372" s="180"/>
      <c r="O372" s="180">
        <v>308464542</v>
      </c>
      <c r="P372" s="180"/>
      <c r="Q372" s="180"/>
      <c r="R372" s="180"/>
      <c r="S372" s="180"/>
      <c r="T372" s="180">
        <v>0</v>
      </c>
      <c r="U372" s="180">
        <v>0</v>
      </c>
      <c r="V372" s="180"/>
      <c r="W372" s="180"/>
      <c r="X372" s="53">
        <v>1956857234.0799999</v>
      </c>
      <c r="Y372" s="151"/>
      <c r="Z372" s="151"/>
      <c r="AA372" s="151"/>
      <c r="AB372" s="151"/>
    </row>
    <row r="373" spans="1:28" s="173" customFormat="1" ht="13">
      <c r="A373" s="170"/>
      <c r="B373" s="184" t="s">
        <v>857</v>
      </c>
      <c r="C373" s="172">
        <v>1062715799</v>
      </c>
      <c r="D373" s="172">
        <v>168632012</v>
      </c>
      <c r="E373" s="172">
        <v>382802451</v>
      </c>
      <c r="F373" s="172">
        <v>22253729</v>
      </c>
      <c r="G373" s="172">
        <v>38877984</v>
      </c>
      <c r="H373" s="172">
        <v>23203378</v>
      </c>
      <c r="I373" s="172">
        <v>1698485353</v>
      </c>
      <c r="J373" s="172"/>
      <c r="K373" s="172">
        <v>141404087</v>
      </c>
      <c r="L373" s="172">
        <v>115966617</v>
      </c>
      <c r="M373" s="172">
        <v>57733568</v>
      </c>
      <c r="N373" s="172"/>
      <c r="O373" s="172">
        <v>315104272</v>
      </c>
      <c r="P373" s="172"/>
      <c r="Q373" s="172"/>
      <c r="R373" s="172"/>
      <c r="S373" s="172"/>
      <c r="T373" s="172">
        <v>0</v>
      </c>
      <c r="U373" s="172">
        <v>0</v>
      </c>
      <c r="V373" s="172"/>
      <c r="W373" s="172"/>
      <c r="X373" s="53">
        <v>2013589625</v>
      </c>
      <c r="Y373" s="151"/>
      <c r="Z373" s="151"/>
      <c r="AA373" s="151"/>
      <c r="AB373" s="151"/>
    </row>
    <row r="374" spans="1:28" s="178" customFormat="1" ht="13">
      <c r="A374" s="170"/>
      <c r="B374" s="185" t="s">
        <v>858</v>
      </c>
      <c r="C374" s="177">
        <v>2.1042478369365853</v>
      </c>
      <c r="D374" s="177">
        <v>2.9404104369024426</v>
      </c>
      <c r="E374" s="177">
        <v>4.492990258988506</v>
      </c>
      <c r="F374" s="177">
        <v>10.780716871574992</v>
      </c>
      <c r="G374" s="177">
        <v>9.5990333585676026</v>
      </c>
      <c r="H374" s="177">
        <v>6.1487113592596145</v>
      </c>
      <c r="I374" s="177">
        <v>3.0388790948103144</v>
      </c>
      <c r="J374" s="177">
        <v>0</v>
      </c>
      <c r="K374" s="177">
        <v>-0.52643770826543235</v>
      </c>
      <c r="L374" s="177">
        <v>6.3540995074937952</v>
      </c>
      <c r="M374" s="177">
        <v>0.80259432696828648</v>
      </c>
      <c r="N374" s="177">
        <v>0</v>
      </c>
      <c r="O374" s="177">
        <v>2.1525099633655786</v>
      </c>
      <c r="P374" s="177">
        <v>0</v>
      </c>
      <c r="Q374" s="177">
        <v>0</v>
      </c>
      <c r="R374" s="177">
        <v>0</v>
      </c>
      <c r="S374" s="177">
        <v>0</v>
      </c>
      <c r="T374" s="177">
        <v>0</v>
      </c>
      <c r="U374" s="177">
        <v>0</v>
      </c>
      <c r="V374" s="177">
        <v>0</v>
      </c>
      <c r="W374" s="177">
        <v>0</v>
      </c>
      <c r="X374" s="53">
        <v>2.899158402154582</v>
      </c>
      <c r="Y374" s="151"/>
      <c r="Z374" s="151"/>
      <c r="AA374" s="151"/>
      <c r="AB374" s="151"/>
    </row>
    <row r="375" spans="1:28" ht="13">
      <c r="A375" s="170"/>
      <c r="B375" s="59" t="s">
        <v>859</v>
      </c>
      <c r="C375" s="179"/>
      <c r="D375" s="179"/>
      <c r="E375" s="179"/>
      <c r="F375" s="179"/>
      <c r="G375" s="179"/>
      <c r="H375" s="179"/>
      <c r="I375" s="180"/>
      <c r="J375" s="179"/>
      <c r="K375" s="179"/>
      <c r="L375" s="179"/>
      <c r="M375" s="179"/>
      <c r="N375" s="179"/>
      <c r="O375" s="180"/>
      <c r="P375" s="179"/>
      <c r="Q375" s="179"/>
      <c r="R375" s="179"/>
      <c r="S375" s="180"/>
      <c r="T375" s="179">
        <v>33813217</v>
      </c>
      <c r="U375" s="180">
        <v>33813217</v>
      </c>
      <c r="V375" s="179"/>
      <c r="W375" s="180"/>
      <c r="X375" s="53">
        <v>33813217</v>
      </c>
      <c r="Y375" s="151"/>
      <c r="Z375" s="151"/>
      <c r="AA375" s="151"/>
      <c r="AB375" s="151"/>
    </row>
    <row r="376" spans="1:28" s="173" customFormat="1" ht="13">
      <c r="A376" s="170"/>
      <c r="B376" s="94" t="s">
        <v>860</v>
      </c>
      <c r="C376" s="171"/>
      <c r="D376" s="171"/>
      <c r="E376" s="171"/>
      <c r="F376" s="171"/>
      <c r="G376" s="171"/>
      <c r="H376" s="171"/>
      <c r="I376" s="172"/>
      <c r="J376" s="171"/>
      <c r="K376" s="171"/>
      <c r="L376" s="171"/>
      <c r="M376" s="171"/>
      <c r="N376" s="171"/>
      <c r="O376" s="172"/>
      <c r="P376" s="171"/>
      <c r="Q376" s="171"/>
      <c r="R376" s="171"/>
      <c r="S376" s="172"/>
      <c r="T376" s="171">
        <v>33759891</v>
      </c>
      <c r="U376" s="172">
        <v>33759891</v>
      </c>
      <c r="V376" s="171"/>
      <c r="W376" s="172"/>
      <c r="X376" s="53">
        <v>33759891</v>
      </c>
      <c r="Y376" s="151"/>
      <c r="Z376" s="151"/>
      <c r="AA376" s="151"/>
      <c r="AB376" s="151"/>
    </row>
    <row r="377" spans="1:28" s="178" customFormat="1" ht="13">
      <c r="A377" s="170"/>
      <c r="B377" s="175" t="s">
        <v>861</v>
      </c>
      <c r="C377" s="176">
        <v>0</v>
      </c>
      <c r="D377" s="176">
        <v>0</v>
      </c>
      <c r="E377" s="176">
        <v>0</v>
      </c>
      <c r="F377" s="176">
        <v>0</v>
      </c>
      <c r="G377" s="176">
        <v>0</v>
      </c>
      <c r="H377" s="176">
        <v>0</v>
      </c>
      <c r="I377" s="177">
        <v>0</v>
      </c>
      <c r="J377" s="176">
        <v>0</v>
      </c>
      <c r="K377" s="176">
        <v>0</v>
      </c>
      <c r="L377" s="176">
        <v>0</v>
      </c>
      <c r="M377" s="176">
        <v>0</v>
      </c>
      <c r="N377" s="176">
        <v>0</v>
      </c>
      <c r="O377" s="177">
        <v>0</v>
      </c>
      <c r="P377" s="176">
        <v>0</v>
      </c>
      <c r="Q377" s="176">
        <v>0</v>
      </c>
      <c r="R377" s="176">
        <v>0</v>
      </c>
      <c r="S377" s="177">
        <v>0</v>
      </c>
      <c r="T377" s="176">
        <v>-0.15770756151359391</v>
      </c>
      <c r="U377" s="177">
        <v>-0.15770756151359391</v>
      </c>
      <c r="V377" s="176">
        <v>0</v>
      </c>
      <c r="W377" s="177">
        <v>0</v>
      </c>
      <c r="X377" s="53">
        <v>-0.15770756151359391</v>
      </c>
      <c r="Y377" s="151"/>
      <c r="Z377" s="151"/>
      <c r="AA377" s="151"/>
      <c r="AB377" s="151"/>
    </row>
    <row r="378" spans="1:28" ht="13">
      <c r="A378" s="170"/>
      <c r="B378" s="59" t="s">
        <v>862</v>
      </c>
      <c r="C378" s="179"/>
      <c r="D378" s="179"/>
      <c r="E378" s="179"/>
      <c r="F378" s="179"/>
      <c r="G378" s="179"/>
      <c r="H378" s="179"/>
      <c r="I378" s="180"/>
      <c r="J378" s="179"/>
      <c r="K378" s="179"/>
      <c r="L378" s="179"/>
      <c r="M378" s="179"/>
      <c r="N378" s="179"/>
      <c r="O378" s="180"/>
      <c r="P378" s="179"/>
      <c r="Q378" s="179"/>
      <c r="R378" s="179"/>
      <c r="S378" s="180"/>
      <c r="T378" s="179">
        <v>16057404</v>
      </c>
      <c r="U378" s="180">
        <v>16057404</v>
      </c>
      <c r="V378" s="179"/>
      <c r="W378" s="180"/>
      <c r="X378" s="53">
        <v>16057404</v>
      </c>
      <c r="Y378" s="151"/>
      <c r="Z378" s="151"/>
      <c r="AA378" s="151"/>
      <c r="AB378" s="151"/>
    </row>
    <row r="379" spans="1:28" s="173" customFormat="1" ht="13">
      <c r="A379" s="170"/>
      <c r="B379" s="94" t="s">
        <v>863</v>
      </c>
      <c r="C379" s="171"/>
      <c r="D379" s="171"/>
      <c r="E379" s="171"/>
      <c r="F379" s="171"/>
      <c r="G379" s="171"/>
      <c r="H379" s="171"/>
      <c r="I379" s="172"/>
      <c r="J379" s="171"/>
      <c r="K379" s="171"/>
      <c r="L379" s="171"/>
      <c r="M379" s="171"/>
      <c r="N379" s="171"/>
      <c r="O379" s="172"/>
      <c r="P379" s="171"/>
      <c r="Q379" s="171"/>
      <c r="R379" s="171"/>
      <c r="S379" s="172"/>
      <c r="T379" s="171">
        <v>16850252</v>
      </c>
      <c r="U379" s="172">
        <v>16850252</v>
      </c>
      <c r="V379" s="171"/>
      <c r="W379" s="172"/>
      <c r="X379" s="53">
        <v>16850252</v>
      </c>
      <c r="Y379" s="151"/>
      <c r="Z379" s="151"/>
      <c r="AA379" s="151"/>
      <c r="AB379" s="151"/>
    </row>
    <row r="380" spans="1:28" s="178" customFormat="1" ht="13">
      <c r="A380" s="170"/>
      <c r="B380" s="175" t="s">
        <v>864</v>
      </c>
      <c r="C380" s="176">
        <v>0</v>
      </c>
      <c r="D380" s="176">
        <v>0</v>
      </c>
      <c r="E380" s="176">
        <v>0</v>
      </c>
      <c r="F380" s="176">
        <v>0</v>
      </c>
      <c r="G380" s="176">
        <v>0</v>
      </c>
      <c r="H380" s="176">
        <v>0</v>
      </c>
      <c r="I380" s="177">
        <v>0</v>
      </c>
      <c r="J380" s="176">
        <v>0</v>
      </c>
      <c r="K380" s="176">
        <v>0</v>
      </c>
      <c r="L380" s="176">
        <v>0</v>
      </c>
      <c r="M380" s="176">
        <v>0</v>
      </c>
      <c r="N380" s="176">
        <v>0</v>
      </c>
      <c r="O380" s="177">
        <v>0</v>
      </c>
      <c r="P380" s="176">
        <v>0</v>
      </c>
      <c r="Q380" s="176">
        <v>0</v>
      </c>
      <c r="R380" s="176">
        <v>0</v>
      </c>
      <c r="S380" s="177">
        <v>0</v>
      </c>
      <c r="T380" s="176">
        <v>4.9375851787748504</v>
      </c>
      <c r="U380" s="177">
        <v>4.9375851787748504</v>
      </c>
      <c r="V380" s="176">
        <v>0</v>
      </c>
      <c r="W380" s="177">
        <v>0</v>
      </c>
      <c r="X380" s="53">
        <v>4.9375851787748504</v>
      </c>
      <c r="Y380" s="151"/>
      <c r="Z380" s="151"/>
      <c r="AA380" s="151"/>
      <c r="AB380" s="151"/>
    </row>
    <row r="381" spans="1:28" ht="13">
      <c r="A381" s="170"/>
      <c r="B381" s="59" t="s">
        <v>865</v>
      </c>
      <c r="C381" s="179"/>
      <c r="D381" s="179"/>
      <c r="E381" s="179"/>
      <c r="F381" s="179"/>
      <c r="G381" s="179"/>
      <c r="H381" s="179"/>
      <c r="I381" s="180"/>
      <c r="J381" s="179"/>
      <c r="K381" s="179"/>
      <c r="L381" s="179"/>
      <c r="M381" s="179"/>
      <c r="N381" s="179"/>
      <c r="O381" s="180"/>
      <c r="P381" s="179"/>
      <c r="Q381" s="179"/>
      <c r="R381" s="179"/>
      <c r="S381" s="180"/>
      <c r="T381" s="179"/>
      <c r="U381" s="180"/>
      <c r="V381" s="179"/>
      <c r="W381" s="180"/>
      <c r="X381" s="53"/>
      <c r="Y381" s="151"/>
      <c r="Z381" s="151"/>
      <c r="AA381" s="151"/>
      <c r="AB381" s="151"/>
    </row>
    <row r="382" spans="1:28" s="173" customFormat="1" ht="13">
      <c r="A382" s="170"/>
      <c r="B382" s="94" t="s">
        <v>866</v>
      </c>
      <c r="C382" s="171"/>
      <c r="D382" s="171"/>
      <c r="E382" s="171"/>
      <c r="F382" s="171"/>
      <c r="G382" s="171"/>
      <c r="H382" s="171"/>
      <c r="I382" s="172"/>
      <c r="J382" s="171"/>
      <c r="K382" s="171"/>
      <c r="L382" s="171"/>
      <c r="M382" s="171"/>
      <c r="N382" s="171"/>
      <c r="O382" s="172"/>
      <c r="P382" s="171"/>
      <c r="Q382" s="171"/>
      <c r="R382" s="171"/>
      <c r="S382" s="172"/>
      <c r="T382" s="171"/>
      <c r="U382" s="172"/>
      <c r="V382" s="171"/>
      <c r="W382" s="172"/>
      <c r="X382" s="53"/>
      <c r="Y382" s="151"/>
      <c r="Z382" s="151"/>
      <c r="AA382" s="151"/>
      <c r="AB382" s="151"/>
    </row>
    <row r="383" spans="1:28" s="178" customFormat="1" ht="13">
      <c r="A383" s="170"/>
      <c r="B383" s="175" t="s">
        <v>867</v>
      </c>
      <c r="C383" s="176">
        <v>0</v>
      </c>
      <c r="D383" s="176">
        <v>0</v>
      </c>
      <c r="E383" s="176">
        <v>0</v>
      </c>
      <c r="F383" s="176">
        <v>0</v>
      </c>
      <c r="G383" s="176">
        <v>0</v>
      </c>
      <c r="H383" s="176">
        <v>0</v>
      </c>
      <c r="I383" s="177">
        <v>0</v>
      </c>
      <c r="J383" s="176">
        <v>0</v>
      </c>
      <c r="K383" s="176">
        <v>0</v>
      </c>
      <c r="L383" s="176">
        <v>0</v>
      </c>
      <c r="M383" s="176">
        <v>0</v>
      </c>
      <c r="N383" s="176">
        <v>0</v>
      </c>
      <c r="O383" s="177">
        <v>0</v>
      </c>
      <c r="P383" s="176">
        <v>0</v>
      </c>
      <c r="Q383" s="176">
        <v>0</v>
      </c>
      <c r="R383" s="176">
        <v>0</v>
      </c>
      <c r="S383" s="177">
        <v>0</v>
      </c>
      <c r="T383" s="176">
        <v>0</v>
      </c>
      <c r="U383" s="177">
        <v>0</v>
      </c>
      <c r="V383" s="176">
        <v>0</v>
      </c>
      <c r="W383" s="177">
        <v>0</v>
      </c>
      <c r="X383" s="53">
        <v>0</v>
      </c>
      <c r="Y383" s="151"/>
      <c r="Z383" s="151"/>
      <c r="AA383" s="151"/>
      <c r="AB383" s="151"/>
    </row>
    <row r="384" spans="1:28" ht="13">
      <c r="A384" s="170"/>
      <c r="B384" s="59" t="s">
        <v>868</v>
      </c>
      <c r="C384" s="179">
        <v>0</v>
      </c>
      <c r="D384" s="179">
        <v>0</v>
      </c>
      <c r="E384" s="179">
        <v>0</v>
      </c>
      <c r="F384" s="179">
        <v>0</v>
      </c>
      <c r="G384" s="179">
        <v>0</v>
      </c>
      <c r="H384" s="179">
        <v>0</v>
      </c>
      <c r="I384" s="180">
        <v>0</v>
      </c>
      <c r="J384" s="179"/>
      <c r="K384" s="179">
        <v>0</v>
      </c>
      <c r="L384" s="179">
        <v>0</v>
      </c>
      <c r="M384" s="179">
        <v>0</v>
      </c>
      <c r="N384" s="179"/>
      <c r="O384" s="180">
        <v>0</v>
      </c>
      <c r="P384" s="179"/>
      <c r="Q384" s="179"/>
      <c r="R384" s="179"/>
      <c r="S384" s="180"/>
      <c r="T384" s="179">
        <v>16057404</v>
      </c>
      <c r="U384" s="180">
        <v>16057404</v>
      </c>
      <c r="V384" s="179"/>
      <c r="W384" s="180"/>
      <c r="X384" s="53">
        <v>16057404</v>
      </c>
      <c r="Y384" s="151"/>
      <c r="Z384" s="151"/>
      <c r="AA384" s="151"/>
      <c r="AB384" s="151"/>
    </row>
    <row r="385" spans="1:28" s="173" customFormat="1" ht="13">
      <c r="A385" s="170"/>
      <c r="B385" s="94" t="s">
        <v>869</v>
      </c>
      <c r="C385" s="171">
        <v>0</v>
      </c>
      <c r="D385" s="171">
        <v>0</v>
      </c>
      <c r="E385" s="171">
        <v>0</v>
      </c>
      <c r="F385" s="171">
        <v>0</v>
      </c>
      <c r="G385" s="171">
        <v>0</v>
      </c>
      <c r="H385" s="171">
        <v>0</v>
      </c>
      <c r="I385" s="172">
        <v>0</v>
      </c>
      <c r="J385" s="171"/>
      <c r="K385" s="171">
        <v>0</v>
      </c>
      <c r="L385" s="171">
        <v>0</v>
      </c>
      <c r="M385" s="171">
        <v>0</v>
      </c>
      <c r="N385" s="171"/>
      <c r="O385" s="172">
        <v>0</v>
      </c>
      <c r="P385" s="171"/>
      <c r="Q385" s="171"/>
      <c r="R385" s="171"/>
      <c r="S385" s="172"/>
      <c r="T385" s="171">
        <v>16850252</v>
      </c>
      <c r="U385" s="172">
        <v>16850252</v>
      </c>
      <c r="V385" s="171"/>
      <c r="W385" s="172"/>
      <c r="X385" s="53">
        <v>16850252</v>
      </c>
      <c r="Y385" s="151"/>
      <c r="Z385" s="151"/>
      <c r="AA385" s="151"/>
      <c r="AB385" s="151"/>
    </row>
    <row r="386" spans="1:28" s="178" customFormat="1" ht="13">
      <c r="A386" s="170"/>
      <c r="B386" s="175" t="s">
        <v>870</v>
      </c>
      <c r="C386" s="176">
        <v>0</v>
      </c>
      <c r="D386" s="176">
        <v>0</v>
      </c>
      <c r="E386" s="176">
        <v>0</v>
      </c>
      <c r="F386" s="176">
        <v>0</v>
      </c>
      <c r="G386" s="176">
        <v>0</v>
      </c>
      <c r="H386" s="176">
        <v>0</v>
      </c>
      <c r="I386" s="177">
        <v>0</v>
      </c>
      <c r="J386" s="176">
        <v>0</v>
      </c>
      <c r="K386" s="176">
        <v>0</v>
      </c>
      <c r="L386" s="176">
        <v>0</v>
      </c>
      <c r="M386" s="176">
        <v>0</v>
      </c>
      <c r="N386" s="176">
        <v>0</v>
      </c>
      <c r="O386" s="177">
        <v>0</v>
      </c>
      <c r="P386" s="176">
        <v>0</v>
      </c>
      <c r="Q386" s="176">
        <v>0</v>
      </c>
      <c r="R386" s="176">
        <v>0</v>
      </c>
      <c r="S386" s="177">
        <v>0</v>
      </c>
      <c r="T386" s="176">
        <v>4.9375851787748504</v>
      </c>
      <c r="U386" s="177">
        <v>4.9375851787748504</v>
      </c>
      <c r="V386" s="176">
        <v>0</v>
      </c>
      <c r="W386" s="177">
        <v>0</v>
      </c>
      <c r="X386" s="53">
        <v>4.9375851787748504</v>
      </c>
      <c r="Y386" s="151"/>
      <c r="Z386" s="151"/>
      <c r="AA386" s="151"/>
      <c r="AB386" s="151"/>
    </row>
    <row r="387" spans="1:28" ht="13">
      <c r="A387" s="170"/>
      <c r="B387" s="59" t="s">
        <v>871</v>
      </c>
      <c r="C387" s="179">
        <v>249502721.13999999</v>
      </c>
      <c r="D387" s="179">
        <v>78360396</v>
      </c>
      <c r="E387" s="179"/>
      <c r="F387" s="179"/>
      <c r="G387" s="179"/>
      <c r="H387" s="179"/>
      <c r="I387" s="180">
        <v>327863117.13999999</v>
      </c>
      <c r="J387" s="179"/>
      <c r="K387" s="179"/>
      <c r="L387" s="179"/>
      <c r="M387" s="179"/>
      <c r="N387" s="179"/>
      <c r="O387" s="180"/>
      <c r="P387" s="179"/>
      <c r="Q387" s="179"/>
      <c r="R387" s="179"/>
      <c r="S387" s="180"/>
      <c r="T387" s="179"/>
      <c r="U387" s="180"/>
      <c r="V387" s="179"/>
      <c r="W387" s="180"/>
      <c r="X387" s="53">
        <v>327863117.13999999</v>
      </c>
      <c r="Y387" s="151"/>
      <c r="Z387" s="151"/>
      <c r="AA387" s="151"/>
      <c r="AB387" s="151"/>
    </row>
    <row r="388" spans="1:28" s="173" customFormat="1" ht="13">
      <c r="A388" s="170"/>
      <c r="B388" s="94" t="s">
        <v>872</v>
      </c>
      <c r="C388" s="171">
        <v>250711068</v>
      </c>
      <c r="D388" s="171">
        <v>79044434</v>
      </c>
      <c r="E388" s="171"/>
      <c r="F388" s="171"/>
      <c r="G388" s="171"/>
      <c r="H388" s="171"/>
      <c r="I388" s="172">
        <v>329755502</v>
      </c>
      <c r="J388" s="171"/>
      <c r="K388" s="171"/>
      <c r="L388" s="171"/>
      <c r="M388" s="171"/>
      <c r="N388" s="171"/>
      <c r="O388" s="172"/>
      <c r="P388" s="171"/>
      <c r="Q388" s="171"/>
      <c r="R388" s="171"/>
      <c r="S388" s="172"/>
      <c r="T388" s="171"/>
      <c r="U388" s="172"/>
      <c r="V388" s="171"/>
      <c r="W388" s="172"/>
      <c r="X388" s="53">
        <v>329755502</v>
      </c>
      <c r="Y388" s="151"/>
      <c r="Z388" s="151"/>
      <c r="AA388" s="151"/>
      <c r="AB388" s="151"/>
    </row>
    <row r="389" spans="1:28" s="178" customFormat="1" ht="13">
      <c r="A389" s="170"/>
      <c r="B389" s="175" t="s">
        <v>873</v>
      </c>
      <c r="C389" s="176">
        <v>0.48430207673847037</v>
      </c>
      <c r="D389" s="176">
        <v>0.87293841649294379</v>
      </c>
      <c r="E389" s="176">
        <v>0</v>
      </c>
      <c r="F389" s="176">
        <v>0</v>
      </c>
      <c r="G389" s="176">
        <v>0</v>
      </c>
      <c r="H389" s="176">
        <v>0</v>
      </c>
      <c r="I389" s="177">
        <v>0.57718747888069155</v>
      </c>
      <c r="J389" s="176">
        <v>0</v>
      </c>
      <c r="K389" s="176">
        <v>0</v>
      </c>
      <c r="L389" s="176">
        <v>0</v>
      </c>
      <c r="M389" s="176">
        <v>0</v>
      </c>
      <c r="N389" s="176">
        <v>0</v>
      </c>
      <c r="O389" s="177">
        <v>0</v>
      </c>
      <c r="P389" s="176">
        <v>0</v>
      </c>
      <c r="Q389" s="176">
        <v>0</v>
      </c>
      <c r="R389" s="176">
        <v>0</v>
      </c>
      <c r="S389" s="177">
        <v>0</v>
      </c>
      <c r="T389" s="176">
        <v>0</v>
      </c>
      <c r="U389" s="177">
        <v>0</v>
      </c>
      <c r="V389" s="176">
        <v>0</v>
      </c>
      <c r="W389" s="177">
        <v>0</v>
      </c>
      <c r="X389" s="53">
        <v>0.57718747888069155</v>
      </c>
      <c r="Y389" s="151"/>
      <c r="Z389" s="151"/>
      <c r="AA389" s="151"/>
      <c r="AB389" s="151"/>
    </row>
    <row r="390" spans="1:28" ht="13">
      <c r="A390" s="170"/>
      <c r="B390" s="59" t="s">
        <v>874</v>
      </c>
      <c r="C390" s="179">
        <v>125610165</v>
      </c>
      <c r="D390" s="179">
        <v>12138492</v>
      </c>
      <c r="E390" s="179"/>
      <c r="F390" s="179"/>
      <c r="G390" s="179"/>
      <c r="H390" s="179"/>
      <c r="I390" s="180">
        <v>137748657</v>
      </c>
      <c r="J390" s="179"/>
      <c r="K390" s="179"/>
      <c r="L390" s="179"/>
      <c r="M390" s="179"/>
      <c r="N390" s="179"/>
      <c r="O390" s="180"/>
      <c r="P390" s="179"/>
      <c r="Q390" s="179"/>
      <c r="R390" s="179"/>
      <c r="S390" s="180"/>
      <c r="T390" s="179"/>
      <c r="U390" s="180"/>
      <c r="V390" s="179"/>
      <c r="W390" s="180"/>
      <c r="X390" s="53">
        <v>137748657</v>
      </c>
      <c r="Y390" s="151"/>
      <c r="Z390" s="151"/>
      <c r="AA390" s="151"/>
      <c r="AB390" s="151"/>
    </row>
    <row r="391" spans="1:28" s="173" customFormat="1" ht="13">
      <c r="A391" s="170"/>
      <c r="B391" s="94" t="s">
        <v>875</v>
      </c>
      <c r="C391" s="171">
        <v>140289259</v>
      </c>
      <c r="D391" s="171">
        <v>12656810</v>
      </c>
      <c r="E391" s="171"/>
      <c r="F391" s="171"/>
      <c r="G391" s="171"/>
      <c r="H391" s="171"/>
      <c r="I391" s="172">
        <v>152946069</v>
      </c>
      <c r="J391" s="171"/>
      <c r="K391" s="171"/>
      <c r="L391" s="171"/>
      <c r="M391" s="171"/>
      <c r="N391" s="171"/>
      <c r="O391" s="172"/>
      <c r="P391" s="171"/>
      <c r="Q391" s="171"/>
      <c r="R391" s="171"/>
      <c r="S391" s="172"/>
      <c r="T391" s="171"/>
      <c r="U391" s="172"/>
      <c r="V391" s="171"/>
      <c r="W391" s="172"/>
      <c r="X391" s="53">
        <v>152946069</v>
      </c>
      <c r="Y391" s="151"/>
      <c r="Z391" s="151"/>
      <c r="AA391" s="151"/>
      <c r="AB391" s="151"/>
    </row>
    <row r="392" spans="1:28" s="178" customFormat="1" ht="13">
      <c r="A392" s="170"/>
      <c r="B392" s="175" t="s">
        <v>876</v>
      </c>
      <c r="C392" s="176">
        <v>11.686230967055891</v>
      </c>
      <c r="D392" s="176">
        <v>4.2700361791234034</v>
      </c>
      <c r="E392" s="176">
        <v>0</v>
      </c>
      <c r="F392" s="176">
        <v>0</v>
      </c>
      <c r="G392" s="176">
        <v>0</v>
      </c>
      <c r="H392" s="176">
        <v>0</v>
      </c>
      <c r="I392" s="177">
        <v>11.032711556672382</v>
      </c>
      <c r="J392" s="176">
        <v>0</v>
      </c>
      <c r="K392" s="176">
        <v>0</v>
      </c>
      <c r="L392" s="176">
        <v>0</v>
      </c>
      <c r="M392" s="176">
        <v>0</v>
      </c>
      <c r="N392" s="176">
        <v>0</v>
      </c>
      <c r="O392" s="177">
        <v>0</v>
      </c>
      <c r="P392" s="176">
        <v>0</v>
      </c>
      <c r="Q392" s="176">
        <v>0</v>
      </c>
      <c r="R392" s="176">
        <v>0</v>
      </c>
      <c r="S392" s="177">
        <v>0</v>
      </c>
      <c r="T392" s="176">
        <v>0</v>
      </c>
      <c r="U392" s="177">
        <v>0</v>
      </c>
      <c r="V392" s="176">
        <v>0</v>
      </c>
      <c r="W392" s="177">
        <v>0</v>
      </c>
      <c r="X392" s="53">
        <v>11.032711556672382</v>
      </c>
      <c r="Y392" s="151"/>
      <c r="Z392" s="151"/>
      <c r="AA392" s="151"/>
      <c r="AB392" s="151"/>
    </row>
    <row r="393" spans="1:28" ht="13">
      <c r="A393" s="170"/>
      <c r="B393" s="59" t="s">
        <v>877</v>
      </c>
      <c r="C393" s="179">
        <v>2235144701.9400001</v>
      </c>
      <c r="D393" s="179">
        <v>396446487.53999996</v>
      </c>
      <c r="E393" s="179">
        <v>979771526.34000003</v>
      </c>
      <c r="F393" s="179">
        <v>75541594</v>
      </c>
      <c r="G393" s="179">
        <v>178022911</v>
      </c>
      <c r="H393" s="179">
        <v>102671431</v>
      </c>
      <c r="I393" s="180">
        <v>3967598651.8200002</v>
      </c>
      <c r="J393" s="179"/>
      <c r="K393" s="179">
        <v>699341377</v>
      </c>
      <c r="L393" s="179">
        <v>602655731</v>
      </c>
      <c r="M393" s="179">
        <v>344008777</v>
      </c>
      <c r="N393" s="179"/>
      <c r="O393" s="180">
        <v>1646005885</v>
      </c>
      <c r="P393" s="179"/>
      <c r="Q393" s="179"/>
      <c r="R393" s="179"/>
      <c r="S393" s="180"/>
      <c r="T393" s="179">
        <v>0</v>
      </c>
      <c r="U393" s="180">
        <v>0</v>
      </c>
      <c r="V393" s="179"/>
      <c r="W393" s="180"/>
      <c r="X393" s="53">
        <v>5613604536.8199997</v>
      </c>
      <c r="Y393" s="151"/>
      <c r="Z393" s="151"/>
      <c r="AA393" s="151"/>
      <c r="AB393" s="151"/>
    </row>
    <row r="394" spans="1:28" s="173" customFormat="1" ht="13">
      <c r="A394" s="170"/>
      <c r="B394" s="94" t="s">
        <v>878</v>
      </c>
      <c r="C394" s="171">
        <v>2254949102</v>
      </c>
      <c r="D394" s="171">
        <v>398906151</v>
      </c>
      <c r="E394" s="171">
        <v>1000374319</v>
      </c>
      <c r="F394" s="171">
        <v>78819968</v>
      </c>
      <c r="G394" s="171">
        <v>184069299</v>
      </c>
      <c r="H394" s="171">
        <v>98771191</v>
      </c>
      <c r="I394" s="172">
        <v>4015890030</v>
      </c>
      <c r="J394" s="171"/>
      <c r="K394" s="171">
        <v>729760268</v>
      </c>
      <c r="L394" s="171">
        <v>627803823</v>
      </c>
      <c r="M394" s="171">
        <v>357138226</v>
      </c>
      <c r="N394" s="171"/>
      <c r="O394" s="172">
        <v>1714702317</v>
      </c>
      <c r="P394" s="171"/>
      <c r="Q394" s="171"/>
      <c r="R394" s="171"/>
      <c r="S394" s="172"/>
      <c r="T394" s="171">
        <v>0</v>
      </c>
      <c r="U394" s="172">
        <v>0</v>
      </c>
      <c r="V394" s="171"/>
      <c r="W394" s="172"/>
      <c r="X394" s="53">
        <v>5730592347</v>
      </c>
      <c r="Y394" s="151"/>
      <c r="Z394" s="151"/>
      <c r="AA394" s="151"/>
      <c r="AB394" s="151"/>
    </row>
    <row r="395" spans="1:28" s="192" customFormat="1" ht="13.5" thickBot="1">
      <c r="A395" s="186"/>
      <c r="B395" s="187" t="s">
        <v>879</v>
      </c>
      <c r="C395" s="188">
        <v>0.88604554518598544</v>
      </c>
      <c r="D395" s="188">
        <v>0.62042760808969644</v>
      </c>
      <c r="E395" s="188">
        <v>2.10281602456473</v>
      </c>
      <c r="F395" s="188">
        <v>4.3398263478528136</v>
      </c>
      <c r="G395" s="188">
        <v>3.3964100272464366</v>
      </c>
      <c r="H395" s="188">
        <v>-3.7987587803271197</v>
      </c>
      <c r="I395" s="189">
        <v>1.2171437289366023</v>
      </c>
      <c r="J395" s="188">
        <v>0</v>
      </c>
      <c r="K395" s="188">
        <v>4.3496483978238851</v>
      </c>
      <c r="L395" s="188">
        <v>4.1728785949270266</v>
      </c>
      <c r="M395" s="188">
        <v>3.8166029118495426</v>
      </c>
      <c r="N395" s="188">
        <v>0</v>
      </c>
      <c r="O395" s="189">
        <v>4.1735228668395674</v>
      </c>
      <c r="P395" s="188">
        <v>0</v>
      </c>
      <c r="Q395" s="188">
        <v>0</v>
      </c>
      <c r="R395" s="188">
        <v>0</v>
      </c>
      <c r="S395" s="189">
        <v>0</v>
      </c>
      <c r="T395" s="188">
        <v>0</v>
      </c>
      <c r="U395" s="189">
        <v>0</v>
      </c>
      <c r="V395" s="188">
        <v>0</v>
      </c>
      <c r="W395" s="189">
        <v>0</v>
      </c>
      <c r="X395" s="53">
        <v>2.0840051951053837</v>
      </c>
      <c r="Y395" s="151"/>
      <c r="Z395" s="151"/>
      <c r="AA395" s="151"/>
      <c r="AB395" s="151"/>
    </row>
    <row r="396" spans="1:28" ht="13.5" thickTop="1">
      <c r="A396" s="147" t="s">
        <v>745</v>
      </c>
      <c r="B396" s="167" t="s">
        <v>754</v>
      </c>
      <c r="C396" s="168"/>
      <c r="D396" s="168"/>
      <c r="E396" s="168"/>
      <c r="F396" s="168"/>
      <c r="G396" s="168"/>
      <c r="H396" s="168"/>
      <c r="I396" s="169"/>
      <c r="J396" s="168"/>
      <c r="K396" s="168"/>
      <c r="L396" s="168"/>
      <c r="M396" s="168"/>
      <c r="N396" s="168"/>
      <c r="O396" s="169"/>
      <c r="P396" s="168">
        <v>8374557</v>
      </c>
      <c r="Q396" s="168">
        <v>93019751</v>
      </c>
      <c r="R396" s="168"/>
      <c r="S396" s="169">
        <v>101394308</v>
      </c>
      <c r="T396" s="168"/>
      <c r="U396" s="169"/>
      <c r="V396" s="168"/>
      <c r="W396" s="169"/>
      <c r="X396" s="53">
        <v>101394308</v>
      </c>
      <c r="Y396" s="151"/>
      <c r="Z396" s="151"/>
      <c r="AA396" s="151"/>
      <c r="AB396" s="151"/>
    </row>
    <row r="397" spans="1:28" s="173" customFormat="1" ht="13">
      <c r="A397" s="170"/>
      <c r="B397" s="94" t="s">
        <v>755</v>
      </c>
      <c r="C397" s="171"/>
      <c r="D397" s="171"/>
      <c r="E397" s="171"/>
      <c r="F397" s="171"/>
      <c r="G397" s="171"/>
      <c r="H397" s="171"/>
      <c r="I397" s="172"/>
      <c r="J397" s="171"/>
      <c r="K397" s="171"/>
      <c r="L397" s="171"/>
      <c r="M397" s="171"/>
      <c r="N397" s="171"/>
      <c r="O397" s="172"/>
      <c r="P397" s="171">
        <v>7884723</v>
      </c>
      <c r="Q397" s="171">
        <v>80558761</v>
      </c>
      <c r="R397" s="171"/>
      <c r="S397" s="172">
        <v>88443484</v>
      </c>
      <c r="T397" s="171"/>
      <c r="U397" s="172"/>
      <c r="V397" s="171"/>
      <c r="W397" s="172"/>
      <c r="X397" s="53">
        <v>88443484</v>
      </c>
      <c r="Y397" s="151"/>
      <c r="Z397" s="151"/>
      <c r="AA397" s="151"/>
      <c r="AB397" s="151"/>
    </row>
    <row r="398" spans="1:28" s="178" customFormat="1" ht="13">
      <c r="A398" s="174"/>
      <c r="B398" s="175" t="s">
        <v>849</v>
      </c>
      <c r="C398" s="176">
        <v>0</v>
      </c>
      <c r="D398" s="176">
        <v>0</v>
      </c>
      <c r="E398" s="176">
        <v>0</v>
      </c>
      <c r="F398" s="176">
        <v>0</v>
      </c>
      <c r="G398" s="176">
        <v>0</v>
      </c>
      <c r="H398" s="176">
        <v>0</v>
      </c>
      <c r="I398" s="177">
        <v>0</v>
      </c>
      <c r="J398" s="176">
        <v>0</v>
      </c>
      <c r="K398" s="176">
        <v>0</v>
      </c>
      <c r="L398" s="176">
        <v>0</v>
      </c>
      <c r="M398" s="176">
        <v>0</v>
      </c>
      <c r="N398" s="176">
        <v>0</v>
      </c>
      <c r="O398" s="177">
        <v>0</v>
      </c>
      <c r="P398" s="176">
        <v>-5.8490735689063911</v>
      </c>
      <c r="Q398" s="176">
        <v>-13.396068970341579</v>
      </c>
      <c r="R398" s="176">
        <v>0</v>
      </c>
      <c r="S398" s="177">
        <v>-12.772732765235698</v>
      </c>
      <c r="T398" s="176">
        <v>0</v>
      </c>
      <c r="U398" s="177">
        <v>0</v>
      </c>
      <c r="V398" s="176">
        <v>0</v>
      </c>
      <c r="W398" s="177">
        <v>0</v>
      </c>
      <c r="X398" s="53">
        <v>-12.772732765235698</v>
      </c>
      <c r="Y398" s="151"/>
      <c r="Z398" s="151"/>
      <c r="AA398" s="151"/>
      <c r="AB398" s="151"/>
    </row>
    <row r="399" spans="1:28" ht="13">
      <c r="A399" s="170"/>
      <c r="B399" s="59" t="s">
        <v>756</v>
      </c>
      <c r="C399" s="179"/>
      <c r="D399" s="179"/>
      <c r="E399" s="179"/>
      <c r="F399" s="179"/>
      <c r="G399" s="179"/>
      <c r="H399" s="179"/>
      <c r="I399" s="180"/>
      <c r="J399" s="179"/>
      <c r="K399" s="179"/>
      <c r="L399" s="179"/>
      <c r="M399" s="179"/>
      <c r="N399" s="179"/>
      <c r="O399" s="180"/>
      <c r="P399" s="179"/>
      <c r="Q399" s="179"/>
      <c r="R399" s="179"/>
      <c r="S399" s="180"/>
      <c r="T399" s="179"/>
      <c r="U399" s="180"/>
      <c r="V399" s="179"/>
      <c r="W399" s="180"/>
      <c r="X399" s="53"/>
      <c r="Y399" s="151"/>
      <c r="Z399" s="151"/>
      <c r="AA399" s="151"/>
      <c r="AB399" s="151"/>
    </row>
    <row r="400" spans="1:28" s="173" customFormat="1" ht="13">
      <c r="A400" s="170"/>
      <c r="B400" s="94" t="s">
        <v>757</v>
      </c>
      <c r="C400" s="171"/>
      <c r="D400" s="171"/>
      <c r="E400" s="171"/>
      <c r="F400" s="171"/>
      <c r="G400" s="171"/>
      <c r="H400" s="171"/>
      <c r="I400" s="172"/>
      <c r="J400" s="171"/>
      <c r="K400" s="171"/>
      <c r="L400" s="171"/>
      <c r="M400" s="171"/>
      <c r="N400" s="171"/>
      <c r="O400" s="172"/>
      <c r="P400" s="171"/>
      <c r="Q400" s="171"/>
      <c r="R400" s="171"/>
      <c r="S400" s="172"/>
      <c r="T400" s="171"/>
      <c r="U400" s="172"/>
      <c r="V400" s="171"/>
      <c r="W400" s="172"/>
      <c r="X400" s="53"/>
      <c r="Y400" s="151"/>
      <c r="Z400" s="151"/>
      <c r="AA400" s="151"/>
      <c r="AB400" s="151"/>
    </row>
    <row r="401" spans="1:28" s="178" customFormat="1" ht="13">
      <c r="A401" s="170"/>
      <c r="B401" s="175" t="s">
        <v>850</v>
      </c>
      <c r="C401" s="176">
        <v>0</v>
      </c>
      <c r="D401" s="176">
        <v>0</v>
      </c>
      <c r="E401" s="176">
        <v>0</v>
      </c>
      <c r="F401" s="176">
        <v>0</v>
      </c>
      <c r="G401" s="176">
        <v>0</v>
      </c>
      <c r="H401" s="176">
        <v>0</v>
      </c>
      <c r="I401" s="177">
        <v>0</v>
      </c>
      <c r="J401" s="176">
        <v>0</v>
      </c>
      <c r="K401" s="176">
        <v>0</v>
      </c>
      <c r="L401" s="176">
        <v>0</v>
      </c>
      <c r="M401" s="176">
        <v>0</v>
      </c>
      <c r="N401" s="176">
        <v>0</v>
      </c>
      <c r="O401" s="177">
        <v>0</v>
      </c>
      <c r="P401" s="176">
        <v>0</v>
      </c>
      <c r="Q401" s="176">
        <v>0</v>
      </c>
      <c r="R401" s="176">
        <v>0</v>
      </c>
      <c r="S401" s="177">
        <v>0</v>
      </c>
      <c r="T401" s="176">
        <v>0</v>
      </c>
      <c r="U401" s="177">
        <v>0</v>
      </c>
      <c r="V401" s="176">
        <v>0</v>
      </c>
      <c r="W401" s="177">
        <v>0</v>
      </c>
      <c r="X401" s="53">
        <v>0</v>
      </c>
      <c r="Y401" s="151"/>
      <c r="Z401" s="151"/>
      <c r="AA401" s="151"/>
      <c r="AB401" s="151"/>
    </row>
    <row r="402" spans="1:28" ht="13">
      <c r="A402" s="170"/>
      <c r="B402" s="59" t="s">
        <v>758</v>
      </c>
      <c r="C402" s="179"/>
      <c r="D402" s="179"/>
      <c r="E402" s="179"/>
      <c r="F402" s="179"/>
      <c r="G402" s="179"/>
      <c r="H402" s="179"/>
      <c r="I402" s="180"/>
      <c r="J402" s="179"/>
      <c r="K402" s="179"/>
      <c r="L402" s="179"/>
      <c r="M402" s="179"/>
      <c r="N402" s="179"/>
      <c r="O402" s="180"/>
      <c r="P402" s="179"/>
      <c r="Q402" s="179"/>
      <c r="R402" s="179"/>
      <c r="S402" s="180"/>
      <c r="T402" s="179"/>
      <c r="U402" s="180"/>
      <c r="V402" s="179"/>
      <c r="W402" s="180"/>
      <c r="X402" s="53"/>
      <c r="Y402" s="151"/>
      <c r="Z402" s="151"/>
      <c r="AA402" s="151"/>
      <c r="AB402" s="151"/>
    </row>
    <row r="403" spans="1:28" s="173" customFormat="1" ht="13">
      <c r="A403" s="170"/>
      <c r="B403" s="94" t="s">
        <v>759</v>
      </c>
      <c r="C403" s="171"/>
      <c r="D403" s="171"/>
      <c r="E403" s="171"/>
      <c r="F403" s="171"/>
      <c r="G403" s="171"/>
      <c r="H403" s="171"/>
      <c r="I403" s="172"/>
      <c r="J403" s="171"/>
      <c r="K403" s="171"/>
      <c r="L403" s="171"/>
      <c r="M403" s="171"/>
      <c r="N403" s="171"/>
      <c r="O403" s="172"/>
      <c r="P403" s="171"/>
      <c r="Q403" s="171"/>
      <c r="R403" s="171"/>
      <c r="S403" s="172"/>
      <c r="T403" s="171"/>
      <c r="U403" s="172"/>
      <c r="V403" s="171"/>
      <c r="W403" s="172"/>
      <c r="X403" s="53"/>
      <c r="Y403" s="151"/>
      <c r="Z403" s="151"/>
      <c r="AA403" s="151"/>
      <c r="AB403" s="151"/>
    </row>
    <row r="404" spans="1:28" s="178" customFormat="1" ht="13">
      <c r="A404" s="170"/>
      <c r="B404" s="175" t="s">
        <v>851</v>
      </c>
      <c r="C404" s="176">
        <v>0</v>
      </c>
      <c r="D404" s="176">
        <v>0</v>
      </c>
      <c r="E404" s="176">
        <v>0</v>
      </c>
      <c r="F404" s="176">
        <v>0</v>
      </c>
      <c r="G404" s="176">
        <v>0</v>
      </c>
      <c r="H404" s="176">
        <v>0</v>
      </c>
      <c r="I404" s="177">
        <v>0</v>
      </c>
      <c r="J404" s="176">
        <v>0</v>
      </c>
      <c r="K404" s="176">
        <v>0</v>
      </c>
      <c r="L404" s="176">
        <v>0</v>
      </c>
      <c r="M404" s="176">
        <v>0</v>
      </c>
      <c r="N404" s="176">
        <v>0</v>
      </c>
      <c r="O404" s="177">
        <v>0</v>
      </c>
      <c r="P404" s="176">
        <v>0</v>
      </c>
      <c r="Q404" s="176">
        <v>0</v>
      </c>
      <c r="R404" s="176">
        <v>0</v>
      </c>
      <c r="S404" s="177">
        <v>0</v>
      </c>
      <c r="T404" s="176">
        <v>0</v>
      </c>
      <c r="U404" s="177">
        <v>0</v>
      </c>
      <c r="V404" s="176">
        <v>0</v>
      </c>
      <c r="W404" s="177">
        <v>0</v>
      </c>
      <c r="X404" s="53">
        <v>0</v>
      </c>
      <c r="Y404" s="151"/>
      <c r="Z404" s="151"/>
      <c r="AA404" s="151"/>
      <c r="AB404" s="151"/>
    </row>
    <row r="405" spans="1:28" ht="13">
      <c r="A405" s="170"/>
      <c r="B405" s="59" t="s">
        <v>760</v>
      </c>
      <c r="C405" s="179"/>
      <c r="D405" s="179"/>
      <c r="E405" s="179"/>
      <c r="F405" s="179"/>
      <c r="G405" s="179"/>
      <c r="H405" s="179"/>
      <c r="I405" s="180"/>
      <c r="J405" s="179"/>
      <c r="K405" s="179"/>
      <c r="L405" s="179"/>
      <c r="M405" s="179"/>
      <c r="N405" s="179"/>
      <c r="O405" s="180"/>
      <c r="P405" s="179">
        <v>2674353</v>
      </c>
      <c r="Q405" s="179">
        <v>22865505</v>
      </c>
      <c r="R405" s="179"/>
      <c r="S405" s="180">
        <v>25539858</v>
      </c>
      <c r="T405" s="179"/>
      <c r="U405" s="180"/>
      <c r="V405" s="179"/>
      <c r="W405" s="180"/>
      <c r="X405" s="53">
        <v>25539858</v>
      </c>
      <c r="Y405" s="151"/>
      <c r="Z405" s="151"/>
      <c r="AA405" s="151"/>
      <c r="AB405" s="151"/>
    </row>
    <row r="406" spans="1:28" s="173" customFormat="1" ht="13">
      <c r="A406" s="170"/>
      <c r="B406" s="94" t="s">
        <v>761</v>
      </c>
      <c r="C406" s="171"/>
      <c r="D406" s="171"/>
      <c r="E406" s="171"/>
      <c r="F406" s="171"/>
      <c r="G406" s="171"/>
      <c r="H406" s="171"/>
      <c r="I406" s="172"/>
      <c r="J406" s="171"/>
      <c r="K406" s="171"/>
      <c r="L406" s="171"/>
      <c r="M406" s="171"/>
      <c r="N406" s="171"/>
      <c r="O406" s="172"/>
      <c r="P406" s="171">
        <v>2109094</v>
      </c>
      <c r="Q406" s="171">
        <v>21319885</v>
      </c>
      <c r="R406" s="171"/>
      <c r="S406" s="172">
        <v>23428979</v>
      </c>
      <c r="T406" s="171"/>
      <c r="U406" s="172"/>
      <c r="V406" s="171"/>
      <c r="W406" s="172"/>
      <c r="X406" s="53">
        <v>23428979</v>
      </c>
      <c r="Y406" s="151"/>
      <c r="Z406" s="151"/>
      <c r="AA406" s="151"/>
      <c r="AB406" s="151"/>
    </row>
    <row r="407" spans="1:28" s="178" customFormat="1" ht="13">
      <c r="A407" s="170"/>
      <c r="B407" s="175" t="s">
        <v>852</v>
      </c>
      <c r="C407" s="176">
        <v>0</v>
      </c>
      <c r="D407" s="176">
        <v>0</v>
      </c>
      <c r="E407" s="176">
        <v>0</v>
      </c>
      <c r="F407" s="176">
        <v>0</v>
      </c>
      <c r="G407" s="176">
        <v>0</v>
      </c>
      <c r="H407" s="176">
        <v>0</v>
      </c>
      <c r="I407" s="177">
        <v>0</v>
      </c>
      <c r="J407" s="176">
        <v>0</v>
      </c>
      <c r="K407" s="176">
        <v>0</v>
      </c>
      <c r="L407" s="176">
        <v>0</v>
      </c>
      <c r="M407" s="176">
        <v>0</v>
      </c>
      <c r="N407" s="176">
        <v>0</v>
      </c>
      <c r="O407" s="177">
        <v>0</v>
      </c>
      <c r="P407" s="176">
        <v>-21.136289786725985</v>
      </c>
      <c r="Q407" s="176">
        <v>-6.7596145372691305</v>
      </c>
      <c r="R407" s="176">
        <v>0</v>
      </c>
      <c r="S407" s="177">
        <v>-8.2650381219817266</v>
      </c>
      <c r="T407" s="176">
        <v>0</v>
      </c>
      <c r="U407" s="177">
        <v>0</v>
      </c>
      <c r="V407" s="176">
        <v>0</v>
      </c>
      <c r="W407" s="177">
        <v>0</v>
      </c>
      <c r="X407" s="53">
        <v>-8.2650381219817266</v>
      </c>
      <c r="Y407" s="151"/>
      <c r="Z407" s="151"/>
      <c r="AA407" s="151"/>
      <c r="AB407" s="151"/>
    </row>
    <row r="408" spans="1:28" ht="13">
      <c r="A408" s="170"/>
      <c r="B408" s="59" t="s">
        <v>853</v>
      </c>
      <c r="C408" s="179"/>
      <c r="D408" s="179"/>
      <c r="E408" s="179"/>
      <c r="F408" s="179"/>
      <c r="G408" s="179"/>
      <c r="H408" s="179"/>
      <c r="I408" s="180"/>
      <c r="J408" s="179"/>
      <c r="K408" s="179"/>
      <c r="L408" s="179"/>
      <c r="M408" s="179"/>
      <c r="N408" s="179"/>
      <c r="O408" s="180"/>
      <c r="P408" s="179"/>
      <c r="Q408" s="179"/>
      <c r="R408" s="179"/>
      <c r="S408" s="180"/>
      <c r="T408" s="179"/>
      <c r="U408" s="180"/>
      <c r="V408" s="179"/>
      <c r="W408" s="180"/>
      <c r="X408" s="53"/>
      <c r="Y408" s="151"/>
      <c r="Z408" s="151"/>
      <c r="AA408" s="151"/>
      <c r="AB408" s="151"/>
    </row>
    <row r="409" spans="1:28" s="173" customFormat="1" ht="13">
      <c r="A409" s="170"/>
      <c r="B409" s="94" t="s">
        <v>854</v>
      </c>
      <c r="C409" s="171"/>
      <c r="D409" s="171"/>
      <c r="E409" s="171"/>
      <c r="F409" s="171"/>
      <c r="G409" s="171"/>
      <c r="H409" s="171"/>
      <c r="I409" s="172"/>
      <c r="J409" s="171"/>
      <c r="K409" s="171"/>
      <c r="L409" s="171"/>
      <c r="M409" s="171"/>
      <c r="N409" s="171"/>
      <c r="O409" s="172"/>
      <c r="P409" s="171"/>
      <c r="Q409" s="171"/>
      <c r="R409" s="171"/>
      <c r="S409" s="172"/>
      <c r="T409" s="171"/>
      <c r="U409" s="172"/>
      <c r="V409" s="171"/>
      <c r="W409" s="172"/>
      <c r="X409" s="53"/>
      <c r="Y409" s="151"/>
      <c r="Z409" s="151"/>
      <c r="AA409" s="151"/>
      <c r="AB409" s="151"/>
    </row>
    <row r="410" spans="1:28" s="178" customFormat="1" ht="13">
      <c r="A410" s="170"/>
      <c r="B410" s="175" t="s">
        <v>855</v>
      </c>
      <c r="C410" s="176">
        <v>0</v>
      </c>
      <c r="D410" s="176">
        <v>0</v>
      </c>
      <c r="E410" s="176">
        <v>0</v>
      </c>
      <c r="F410" s="176">
        <v>0</v>
      </c>
      <c r="G410" s="176">
        <v>0</v>
      </c>
      <c r="H410" s="176">
        <v>0</v>
      </c>
      <c r="I410" s="177">
        <v>0</v>
      </c>
      <c r="J410" s="176">
        <v>0</v>
      </c>
      <c r="K410" s="176">
        <v>0</v>
      </c>
      <c r="L410" s="176">
        <v>0</v>
      </c>
      <c r="M410" s="176">
        <v>0</v>
      </c>
      <c r="N410" s="176">
        <v>0</v>
      </c>
      <c r="O410" s="177">
        <v>0</v>
      </c>
      <c r="P410" s="176">
        <v>0</v>
      </c>
      <c r="Q410" s="176">
        <v>0</v>
      </c>
      <c r="R410" s="176">
        <v>0</v>
      </c>
      <c r="S410" s="177">
        <v>0</v>
      </c>
      <c r="T410" s="176">
        <v>0</v>
      </c>
      <c r="U410" s="177">
        <v>0</v>
      </c>
      <c r="V410" s="176">
        <v>0</v>
      </c>
      <c r="W410" s="177">
        <v>0</v>
      </c>
      <c r="X410" s="53">
        <v>0</v>
      </c>
      <c r="Y410" s="151"/>
      <c r="Z410" s="151"/>
      <c r="AA410" s="151"/>
      <c r="AB410" s="151"/>
    </row>
    <row r="411" spans="1:28" ht="13">
      <c r="A411" s="170"/>
      <c r="B411" s="183" t="s">
        <v>856</v>
      </c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>
        <v>2674353</v>
      </c>
      <c r="Q411" s="180">
        <v>22865505</v>
      </c>
      <c r="R411" s="180"/>
      <c r="S411" s="180">
        <v>25539858</v>
      </c>
      <c r="T411" s="180"/>
      <c r="U411" s="180"/>
      <c r="V411" s="180">
        <v>0</v>
      </c>
      <c r="W411" s="180">
        <v>0</v>
      </c>
      <c r="X411" s="53">
        <v>25539858</v>
      </c>
      <c r="Y411" s="151"/>
      <c r="Z411" s="151"/>
      <c r="AA411" s="151"/>
      <c r="AB411" s="151"/>
    </row>
    <row r="412" spans="1:28" s="173" customFormat="1" ht="13">
      <c r="A412" s="170"/>
      <c r="B412" s="184" t="s">
        <v>857</v>
      </c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  <c r="N412" s="172"/>
      <c r="O412" s="172"/>
      <c r="P412" s="172">
        <v>2109094</v>
      </c>
      <c r="Q412" s="172">
        <v>21319885</v>
      </c>
      <c r="R412" s="172"/>
      <c r="S412" s="172">
        <v>23428979</v>
      </c>
      <c r="T412" s="172"/>
      <c r="U412" s="172"/>
      <c r="V412" s="172">
        <v>0</v>
      </c>
      <c r="W412" s="172">
        <v>0</v>
      </c>
      <c r="X412" s="53">
        <v>23428979</v>
      </c>
      <c r="Y412" s="151"/>
      <c r="Z412" s="151"/>
      <c r="AA412" s="151"/>
      <c r="AB412" s="151"/>
    </row>
    <row r="413" spans="1:28" s="178" customFormat="1" ht="13">
      <c r="A413" s="170"/>
      <c r="B413" s="185" t="s">
        <v>858</v>
      </c>
      <c r="C413" s="177">
        <v>0</v>
      </c>
      <c r="D413" s="177">
        <v>0</v>
      </c>
      <c r="E413" s="177">
        <v>0</v>
      </c>
      <c r="F413" s="177">
        <v>0</v>
      </c>
      <c r="G413" s="177">
        <v>0</v>
      </c>
      <c r="H413" s="177">
        <v>0</v>
      </c>
      <c r="I413" s="177">
        <v>0</v>
      </c>
      <c r="J413" s="177">
        <v>0</v>
      </c>
      <c r="K413" s="177">
        <v>0</v>
      </c>
      <c r="L413" s="177">
        <v>0</v>
      </c>
      <c r="M413" s="177">
        <v>0</v>
      </c>
      <c r="N413" s="177">
        <v>0</v>
      </c>
      <c r="O413" s="177">
        <v>0</v>
      </c>
      <c r="P413" s="177">
        <v>-21.136289786725985</v>
      </c>
      <c r="Q413" s="177">
        <v>-6.7596145372691305</v>
      </c>
      <c r="R413" s="177">
        <v>0</v>
      </c>
      <c r="S413" s="177">
        <v>-8.2650381219817266</v>
      </c>
      <c r="T413" s="177">
        <v>0</v>
      </c>
      <c r="U413" s="177">
        <v>0</v>
      </c>
      <c r="V413" s="177">
        <v>0</v>
      </c>
      <c r="W413" s="177">
        <v>0</v>
      </c>
      <c r="X413" s="53">
        <v>-8.2650381219817266</v>
      </c>
      <c r="Y413" s="151"/>
      <c r="Z413" s="151"/>
      <c r="AA413" s="151"/>
      <c r="AB413" s="151"/>
    </row>
    <row r="414" spans="1:28" ht="13">
      <c r="A414" s="170"/>
      <c r="B414" s="59" t="s">
        <v>859</v>
      </c>
      <c r="C414" s="179"/>
      <c r="D414" s="179"/>
      <c r="E414" s="179"/>
      <c r="F414" s="179"/>
      <c r="G414" s="179"/>
      <c r="H414" s="179"/>
      <c r="I414" s="180"/>
      <c r="J414" s="179"/>
      <c r="K414" s="179"/>
      <c r="L414" s="179"/>
      <c r="M414" s="179"/>
      <c r="N414" s="179"/>
      <c r="O414" s="180"/>
      <c r="P414" s="179"/>
      <c r="Q414" s="179"/>
      <c r="R414" s="179"/>
      <c r="S414" s="180"/>
      <c r="T414" s="179"/>
      <c r="U414" s="180"/>
      <c r="V414" s="179"/>
      <c r="W414" s="180"/>
      <c r="X414" s="53"/>
      <c r="Y414" s="151"/>
      <c r="Z414" s="151"/>
      <c r="AA414" s="151"/>
      <c r="AB414" s="151"/>
    </row>
    <row r="415" spans="1:28" s="173" customFormat="1" ht="13">
      <c r="A415" s="170"/>
      <c r="B415" s="94" t="s">
        <v>860</v>
      </c>
      <c r="C415" s="171"/>
      <c r="D415" s="171"/>
      <c r="E415" s="171"/>
      <c r="F415" s="171"/>
      <c r="G415" s="171"/>
      <c r="H415" s="171"/>
      <c r="I415" s="172"/>
      <c r="J415" s="171"/>
      <c r="K415" s="171"/>
      <c r="L415" s="171"/>
      <c r="M415" s="171"/>
      <c r="N415" s="171"/>
      <c r="O415" s="172"/>
      <c r="P415" s="171"/>
      <c r="Q415" s="171"/>
      <c r="R415" s="171"/>
      <c r="S415" s="172"/>
      <c r="T415" s="171"/>
      <c r="U415" s="172"/>
      <c r="V415" s="171"/>
      <c r="W415" s="172"/>
      <c r="X415" s="53"/>
      <c r="Y415" s="151"/>
      <c r="Z415" s="151"/>
      <c r="AA415" s="151"/>
      <c r="AB415" s="151"/>
    </row>
    <row r="416" spans="1:28" s="178" customFormat="1" ht="13">
      <c r="A416" s="170"/>
      <c r="B416" s="175" t="s">
        <v>861</v>
      </c>
      <c r="C416" s="176">
        <v>0</v>
      </c>
      <c r="D416" s="176">
        <v>0</v>
      </c>
      <c r="E416" s="176">
        <v>0</v>
      </c>
      <c r="F416" s="176">
        <v>0</v>
      </c>
      <c r="G416" s="176">
        <v>0</v>
      </c>
      <c r="H416" s="176">
        <v>0</v>
      </c>
      <c r="I416" s="177">
        <v>0</v>
      </c>
      <c r="J416" s="176">
        <v>0</v>
      </c>
      <c r="K416" s="176">
        <v>0</v>
      </c>
      <c r="L416" s="176">
        <v>0</v>
      </c>
      <c r="M416" s="176">
        <v>0</v>
      </c>
      <c r="N416" s="176">
        <v>0</v>
      </c>
      <c r="O416" s="177">
        <v>0</v>
      </c>
      <c r="P416" s="176">
        <v>0</v>
      </c>
      <c r="Q416" s="176">
        <v>0</v>
      </c>
      <c r="R416" s="176">
        <v>0</v>
      </c>
      <c r="S416" s="177">
        <v>0</v>
      </c>
      <c r="T416" s="176">
        <v>0</v>
      </c>
      <c r="U416" s="177">
        <v>0</v>
      </c>
      <c r="V416" s="176">
        <v>0</v>
      </c>
      <c r="W416" s="177">
        <v>0</v>
      </c>
      <c r="X416" s="53">
        <v>0</v>
      </c>
      <c r="Y416" s="151"/>
      <c r="Z416" s="151"/>
      <c r="AA416" s="151"/>
      <c r="AB416" s="151"/>
    </row>
    <row r="417" spans="1:28" ht="13">
      <c r="A417" s="170"/>
      <c r="B417" s="59" t="s">
        <v>862</v>
      </c>
      <c r="C417" s="179"/>
      <c r="D417" s="179"/>
      <c r="E417" s="179"/>
      <c r="F417" s="179"/>
      <c r="G417" s="179"/>
      <c r="H417" s="179"/>
      <c r="I417" s="180"/>
      <c r="J417" s="179"/>
      <c r="K417" s="179"/>
      <c r="L417" s="179"/>
      <c r="M417" s="179"/>
      <c r="N417" s="179"/>
      <c r="O417" s="180"/>
      <c r="P417" s="179"/>
      <c r="Q417" s="179"/>
      <c r="R417" s="179"/>
      <c r="S417" s="180"/>
      <c r="T417" s="179"/>
      <c r="U417" s="180"/>
      <c r="V417" s="179"/>
      <c r="W417" s="180"/>
      <c r="X417" s="53"/>
      <c r="Y417" s="151"/>
      <c r="Z417" s="151"/>
      <c r="AA417" s="151"/>
      <c r="AB417" s="151"/>
    </row>
    <row r="418" spans="1:28" s="173" customFormat="1" ht="13">
      <c r="A418" s="170"/>
      <c r="B418" s="94" t="s">
        <v>863</v>
      </c>
      <c r="C418" s="171"/>
      <c r="D418" s="171"/>
      <c r="E418" s="171"/>
      <c r="F418" s="171"/>
      <c r="G418" s="171"/>
      <c r="H418" s="171"/>
      <c r="I418" s="172"/>
      <c r="J418" s="171"/>
      <c r="K418" s="171"/>
      <c r="L418" s="171"/>
      <c r="M418" s="171"/>
      <c r="N418" s="171"/>
      <c r="O418" s="172"/>
      <c r="P418" s="171"/>
      <c r="Q418" s="171"/>
      <c r="R418" s="171"/>
      <c r="S418" s="172"/>
      <c r="T418" s="171"/>
      <c r="U418" s="172"/>
      <c r="V418" s="171"/>
      <c r="W418" s="172"/>
      <c r="X418" s="53"/>
      <c r="Y418" s="151"/>
      <c r="Z418" s="151"/>
      <c r="AA418" s="151"/>
      <c r="AB418" s="151"/>
    </row>
    <row r="419" spans="1:28" s="178" customFormat="1" ht="13">
      <c r="A419" s="170"/>
      <c r="B419" s="175" t="s">
        <v>864</v>
      </c>
      <c r="C419" s="176">
        <v>0</v>
      </c>
      <c r="D419" s="176">
        <v>0</v>
      </c>
      <c r="E419" s="176">
        <v>0</v>
      </c>
      <c r="F419" s="176">
        <v>0</v>
      </c>
      <c r="G419" s="176">
        <v>0</v>
      </c>
      <c r="H419" s="176">
        <v>0</v>
      </c>
      <c r="I419" s="177">
        <v>0</v>
      </c>
      <c r="J419" s="176">
        <v>0</v>
      </c>
      <c r="K419" s="176">
        <v>0</v>
      </c>
      <c r="L419" s="176">
        <v>0</v>
      </c>
      <c r="M419" s="176">
        <v>0</v>
      </c>
      <c r="N419" s="176">
        <v>0</v>
      </c>
      <c r="O419" s="177">
        <v>0</v>
      </c>
      <c r="P419" s="176">
        <v>0</v>
      </c>
      <c r="Q419" s="176">
        <v>0</v>
      </c>
      <c r="R419" s="176">
        <v>0</v>
      </c>
      <c r="S419" s="177">
        <v>0</v>
      </c>
      <c r="T419" s="176">
        <v>0</v>
      </c>
      <c r="U419" s="177">
        <v>0</v>
      </c>
      <c r="V419" s="176">
        <v>0</v>
      </c>
      <c r="W419" s="177">
        <v>0</v>
      </c>
      <c r="X419" s="53">
        <v>0</v>
      </c>
      <c r="Y419" s="151"/>
      <c r="Z419" s="151"/>
      <c r="AA419" s="151"/>
      <c r="AB419" s="151"/>
    </row>
    <row r="420" spans="1:28" ht="13">
      <c r="A420" s="170"/>
      <c r="B420" s="59" t="s">
        <v>865</v>
      </c>
      <c r="C420" s="179"/>
      <c r="D420" s="179"/>
      <c r="E420" s="179"/>
      <c r="F420" s="179"/>
      <c r="G420" s="179"/>
      <c r="H420" s="179"/>
      <c r="I420" s="180"/>
      <c r="J420" s="179"/>
      <c r="K420" s="179"/>
      <c r="L420" s="179"/>
      <c r="M420" s="179"/>
      <c r="N420" s="179"/>
      <c r="O420" s="180"/>
      <c r="P420" s="179"/>
      <c r="Q420" s="179"/>
      <c r="R420" s="179"/>
      <c r="S420" s="180"/>
      <c r="T420" s="179"/>
      <c r="U420" s="180"/>
      <c r="V420" s="179"/>
      <c r="W420" s="180"/>
      <c r="X420" s="53"/>
      <c r="Y420" s="151"/>
      <c r="Z420" s="151"/>
      <c r="AA420" s="151"/>
      <c r="AB420" s="151"/>
    </row>
    <row r="421" spans="1:28" s="173" customFormat="1" ht="13">
      <c r="A421" s="170"/>
      <c r="B421" s="94" t="s">
        <v>866</v>
      </c>
      <c r="C421" s="171"/>
      <c r="D421" s="171"/>
      <c r="E421" s="171"/>
      <c r="F421" s="171"/>
      <c r="G421" s="171"/>
      <c r="H421" s="171"/>
      <c r="I421" s="172"/>
      <c r="J421" s="171"/>
      <c r="K421" s="171"/>
      <c r="L421" s="171"/>
      <c r="M421" s="171"/>
      <c r="N421" s="171"/>
      <c r="O421" s="172"/>
      <c r="P421" s="171"/>
      <c r="Q421" s="171"/>
      <c r="R421" s="171"/>
      <c r="S421" s="172"/>
      <c r="T421" s="171"/>
      <c r="U421" s="172"/>
      <c r="V421" s="171"/>
      <c r="W421" s="172"/>
      <c r="X421" s="53"/>
      <c r="Y421" s="151"/>
      <c r="Z421" s="151"/>
      <c r="AA421" s="151"/>
      <c r="AB421" s="151"/>
    </row>
    <row r="422" spans="1:28" s="178" customFormat="1" ht="13">
      <c r="A422" s="170"/>
      <c r="B422" s="175" t="s">
        <v>867</v>
      </c>
      <c r="C422" s="176">
        <v>0</v>
      </c>
      <c r="D422" s="176">
        <v>0</v>
      </c>
      <c r="E422" s="176">
        <v>0</v>
      </c>
      <c r="F422" s="176">
        <v>0</v>
      </c>
      <c r="G422" s="176">
        <v>0</v>
      </c>
      <c r="H422" s="176">
        <v>0</v>
      </c>
      <c r="I422" s="177">
        <v>0</v>
      </c>
      <c r="J422" s="176">
        <v>0</v>
      </c>
      <c r="K422" s="176">
        <v>0</v>
      </c>
      <c r="L422" s="176">
        <v>0</v>
      </c>
      <c r="M422" s="176">
        <v>0</v>
      </c>
      <c r="N422" s="176">
        <v>0</v>
      </c>
      <c r="O422" s="177">
        <v>0</v>
      </c>
      <c r="P422" s="176">
        <v>0</v>
      </c>
      <c r="Q422" s="176">
        <v>0</v>
      </c>
      <c r="R422" s="176">
        <v>0</v>
      </c>
      <c r="S422" s="177">
        <v>0</v>
      </c>
      <c r="T422" s="176">
        <v>0</v>
      </c>
      <c r="U422" s="177">
        <v>0</v>
      </c>
      <c r="V422" s="176">
        <v>0</v>
      </c>
      <c r="W422" s="177">
        <v>0</v>
      </c>
      <c r="X422" s="53">
        <v>0</v>
      </c>
      <c r="Y422" s="151"/>
      <c r="Z422" s="151"/>
      <c r="AA422" s="151"/>
      <c r="AB422" s="151"/>
    </row>
    <row r="423" spans="1:28" ht="13">
      <c r="A423" s="170"/>
      <c r="B423" s="59" t="s">
        <v>868</v>
      </c>
      <c r="C423" s="179"/>
      <c r="D423" s="179"/>
      <c r="E423" s="179"/>
      <c r="F423" s="179"/>
      <c r="G423" s="179"/>
      <c r="H423" s="179"/>
      <c r="I423" s="180"/>
      <c r="J423" s="179"/>
      <c r="K423" s="179"/>
      <c r="L423" s="179"/>
      <c r="M423" s="179"/>
      <c r="N423" s="179"/>
      <c r="O423" s="180"/>
      <c r="P423" s="179">
        <v>0</v>
      </c>
      <c r="Q423" s="179">
        <v>0</v>
      </c>
      <c r="R423" s="179"/>
      <c r="S423" s="180">
        <v>0</v>
      </c>
      <c r="T423" s="179"/>
      <c r="U423" s="180"/>
      <c r="V423" s="179">
        <v>0</v>
      </c>
      <c r="W423" s="180">
        <v>0</v>
      </c>
      <c r="X423" s="53">
        <v>0</v>
      </c>
      <c r="Y423" s="151"/>
      <c r="Z423" s="151"/>
      <c r="AA423" s="151"/>
      <c r="AB423" s="151"/>
    </row>
    <row r="424" spans="1:28" s="173" customFormat="1" ht="13">
      <c r="A424" s="170"/>
      <c r="B424" s="94" t="s">
        <v>869</v>
      </c>
      <c r="C424" s="171"/>
      <c r="D424" s="171"/>
      <c r="E424" s="171"/>
      <c r="F424" s="171"/>
      <c r="G424" s="171"/>
      <c r="H424" s="171"/>
      <c r="I424" s="172"/>
      <c r="J424" s="171"/>
      <c r="K424" s="171"/>
      <c r="L424" s="171"/>
      <c r="M424" s="171"/>
      <c r="N424" s="171"/>
      <c r="O424" s="172"/>
      <c r="P424" s="171">
        <v>0</v>
      </c>
      <c r="Q424" s="171">
        <v>0</v>
      </c>
      <c r="R424" s="171"/>
      <c r="S424" s="172">
        <v>0</v>
      </c>
      <c r="T424" s="171"/>
      <c r="U424" s="172"/>
      <c r="V424" s="171">
        <v>0</v>
      </c>
      <c r="W424" s="172">
        <v>0</v>
      </c>
      <c r="X424" s="53">
        <v>0</v>
      </c>
      <c r="Y424" s="151"/>
      <c r="Z424" s="151"/>
      <c r="AA424" s="151"/>
      <c r="AB424" s="151"/>
    </row>
    <row r="425" spans="1:28" s="178" customFormat="1" ht="13">
      <c r="A425" s="170"/>
      <c r="B425" s="175" t="s">
        <v>870</v>
      </c>
      <c r="C425" s="176">
        <v>0</v>
      </c>
      <c r="D425" s="176">
        <v>0</v>
      </c>
      <c r="E425" s="176">
        <v>0</v>
      </c>
      <c r="F425" s="176">
        <v>0</v>
      </c>
      <c r="G425" s="176">
        <v>0</v>
      </c>
      <c r="H425" s="176">
        <v>0</v>
      </c>
      <c r="I425" s="177">
        <v>0</v>
      </c>
      <c r="J425" s="176">
        <v>0</v>
      </c>
      <c r="K425" s="176">
        <v>0</v>
      </c>
      <c r="L425" s="176">
        <v>0</v>
      </c>
      <c r="M425" s="176">
        <v>0</v>
      </c>
      <c r="N425" s="176">
        <v>0</v>
      </c>
      <c r="O425" s="177">
        <v>0</v>
      </c>
      <c r="P425" s="176">
        <v>0</v>
      </c>
      <c r="Q425" s="176">
        <v>0</v>
      </c>
      <c r="R425" s="176">
        <v>0</v>
      </c>
      <c r="S425" s="177">
        <v>0</v>
      </c>
      <c r="T425" s="176">
        <v>0</v>
      </c>
      <c r="U425" s="177">
        <v>0</v>
      </c>
      <c r="V425" s="176">
        <v>0</v>
      </c>
      <c r="W425" s="177">
        <v>0</v>
      </c>
      <c r="X425" s="53">
        <v>0</v>
      </c>
      <c r="Y425" s="151"/>
      <c r="Z425" s="151"/>
      <c r="AA425" s="151"/>
      <c r="AB425" s="151"/>
    </row>
    <row r="426" spans="1:28" ht="13">
      <c r="A426" s="170"/>
      <c r="B426" s="59" t="s">
        <v>871</v>
      </c>
      <c r="C426" s="179"/>
      <c r="D426" s="179"/>
      <c r="E426" s="179"/>
      <c r="F426" s="179"/>
      <c r="G426" s="179"/>
      <c r="H426" s="179"/>
      <c r="I426" s="180"/>
      <c r="J426" s="179"/>
      <c r="K426" s="179"/>
      <c r="L426" s="179"/>
      <c r="M426" s="179"/>
      <c r="N426" s="179"/>
      <c r="O426" s="180"/>
      <c r="P426" s="179"/>
      <c r="Q426" s="179"/>
      <c r="R426" s="179"/>
      <c r="S426" s="180"/>
      <c r="T426" s="179"/>
      <c r="U426" s="180"/>
      <c r="V426" s="179"/>
      <c r="W426" s="180"/>
      <c r="X426" s="53"/>
      <c r="Y426" s="151"/>
      <c r="Z426" s="151"/>
      <c r="AA426" s="151"/>
      <c r="AB426" s="151"/>
    </row>
    <row r="427" spans="1:28" s="173" customFormat="1" ht="13">
      <c r="A427" s="170"/>
      <c r="B427" s="94" t="s">
        <v>872</v>
      </c>
      <c r="C427" s="171"/>
      <c r="D427" s="171"/>
      <c r="E427" s="171"/>
      <c r="F427" s="171"/>
      <c r="G427" s="171"/>
      <c r="H427" s="171"/>
      <c r="I427" s="172"/>
      <c r="J427" s="171"/>
      <c r="K427" s="171"/>
      <c r="L427" s="171"/>
      <c r="M427" s="171"/>
      <c r="N427" s="171"/>
      <c r="O427" s="172"/>
      <c r="P427" s="171"/>
      <c r="Q427" s="171"/>
      <c r="R427" s="171"/>
      <c r="S427" s="172"/>
      <c r="T427" s="171"/>
      <c r="U427" s="172"/>
      <c r="V427" s="171"/>
      <c r="W427" s="172"/>
      <c r="X427" s="53"/>
      <c r="Y427" s="151"/>
      <c r="Z427" s="151"/>
      <c r="AA427" s="151"/>
      <c r="AB427" s="151"/>
    </row>
    <row r="428" spans="1:28" s="178" customFormat="1" ht="13">
      <c r="A428" s="170"/>
      <c r="B428" s="175" t="s">
        <v>873</v>
      </c>
      <c r="C428" s="176">
        <v>0</v>
      </c>
      <c r="D428" s="176">
        <v>0</v>
      </c>
      <c r="E428" s="176">
        <v>0</v>
      </c>
      <c r="F428" s="176">
        <v>0</v>
      </c>
      <c r="G428" s="176">
        <v>0</v>
      </c>
      <c r="H428" s="176">
        <v>0</v>
      </c>
      <c r="I428" s="177">
        <v>0</v>
      </c>
      <c r="J428" s="176">
        <v>0</v>
      </c>
      <c r="K428" s="176">
        <v>0</v>
      </c>
      <c r="L428" s="176">
        <v>0</v>
      </c>
      <c r="M428" s="176">
        <v>0</v>
      </c>
      <c r="N428" s="176">
        <v>0</v>
      </c>
      <c r="O428" s="177">
        <v>0</v>
      </c>
      <c r="P428" s="176">
        <v>0</v>
      </c>
      <c r="Q428" s="176">
        <v>0</v>
      </c>
      <c r="R428" s="176">
        <v>0</v>
      </c>
      <c r="S428" s="177">
        <v>0</v>
      </c>
      <c r="T428" s="176">
        <v>0</v>
      </c>
      <c r="U428" s="177">
        <v>0</v>
      </c>
      <c r="V428" s="176">
        <v>0</v>
      </c>
      <c r="W428" s="177">
        <v>0</v>
      </c>
      <c r="X428" s="53">
        <v>0</v>
      </c>
      <c r="Y428" s="151"/>
      <c r="Z428" s="151"/>
      <c r="AA428" s="151"/>
      <c r="AB428" s="151"/>
    </row>
    <row r="429" spans="1:28" ht="13">
      <c r="A429" s="170"/>
      <c r="B429" s="59" t="s">
        <v>874</v>
      </c>
      <c r="C429" s="179"/>
      <c r="D429" s="179"/>
      <c r="E429" s="179"/>
      <c r="F429" s="179"/>
      <c r="G429" s="179"/>
      <c r="H429" s="179"/>
      <c r="I429" s="180"/>
      <c r="J429" s="179"/>
      <c r="K429" s="179"/>
      <c r="L429" s="179"/>
      <c r="M429" s="179"/>
      <c r="N429" s="179"/>
      <c r="O429" s="180"/>
      <c r="P429" s="179"/>
      <c r="Q429" s="179"/>
      <c r="R429" s="179"/>
      <c r="S429" s="180"/>
      <c r="T429" s="179"/>
      <c r="U429" s="180"/>
      <c r="V429" s="179"/>
      <c r="W429" s="180"/>
      <c r="X429" s="53"/>
      <c r="Y429" s="151"/>
      <c r="Z429" s="151"/>
      <c r="AA429" s="151"/>
      <c r="AB429" s="151"/>
    </row>
    <row r="430" spans="1:28" s="173" customFormat="1" ht="13">
      <c r="A430" s="170"/>
      <c r="B430" s="94" t="s">
        <v>875</v>
      </c>
      <c r="C430" s="171"/>
      <c r="D430" s="171"/>
      <c r="E430" s="171"/>
      <c r="F430" s="171"/>
      <c r="G430" s="171"/>
      <c r="H430" s="171"/>
      <c r="I430" s="172"/>
      <c r="J430" s="171"/>
      <c r="K430" s="171"/>
      <c r="L430" s="171"/>
      <c r="M430" s="171"/>
      <c r="N430" s="171"/>
      <c r="O430" s="172"/>
      <c r="P430" s="171"/>
      <c r="Q430" s="171"/>
      <c r="R430" s="171"/>
      <c r="S430" s="172"/>
      <c r="T430" s="171"/>
      <c r="U430" s="172"/>
      <c r="V430" s="171"/>
      <c r="W430" s="172"/>
      <c r="X430" s="53"/>
      <c r="Y430" s="151"/>
      <c r="Z430" s="151"/>
      <c r="AA430" s="151"/>
      <c r="AB430" s="151"/>
    </row>
    <row r="431" spans="1:28" s="178" customFormat="1" ht="13">
      <c r="A431" s="170"/>
      <c r="B431" s="175" t="s">
        <v>876</v>
      </c>
      <c r="C431" s="176">
        <v>0</v>
      </c>
      <c r="D431" s="176">
        <v>0</v>
      </c>
      <c r="E431" s="176">
        <v>0</v>
      </c>
      <c r="F431" s="176">
        <v>0</v>
      </c>
      <c r="G431" s="176">
        <v>0</v>
      </c>
      <c r="H431" s="176">
        <v>0</v>
      </c>
      <c r="I431" s="177">
        <v>0</v>
      </c>
      <c r="J431" s="176">
        <v>0</v>
      </c>
      <c r="K431" s="176">
        <v>0</v>
      </c>
      <c r="L431" s="176">
        <v>0</v>
      </c>
      <c r="M431" s="176">
        <v>0</v>
      </c>
      <c r="N431" s="176">
        <v>0</v>
      </c>
      <c r="O431" s="177">
        <v>0</v>
      </c>
      <c r="P431" s="176">
        <v>0</v>
      </c>
      <c r="Q431" s="176">
        <v>0</v>
      </c>
      <c r="R431" s="176">
        <v>0</v>
      </c>
      <c r="S431" s="177">
        <v>0</v>
      </c>
      <c r="T431" s="176">
        <v>0</v>
      </c>
      <c r="U431" s="177">
        <v>0</v>
      </c>
      <c r="V431" s="176">
        <v>0</v>
      </c>
      <c r="W431" s="177">
        <v>0</v>
      </c>
      <c r="X431" s="53">
        <v>0</v>
      </c>
      <c r="Y431" s="151"/>
      <c r="Z431" s="151"/>
      <c r="AA431" s="151"/>
      <c r="AB431" s="151"/>
    </row>
    <row r="432" spans="1:28" ht="13">
      <c r="A432" s="170"/>
      <c r="B432" s="59" t="s">
        <v>877</v>
      </c>
      <c r="C432" s="179"/>
      <c r="D432" s="179"/>
      <c r="E432" s="179"/>
      <c r="F432" s="179"/>
      <c r="G432" s="179"/>
      <c r="H432" s="179"/>
      <c r="I432" s="180"/>
      <c r="J432" s="179"/>
      <c r="K432" s="179"/>
      <c r="L432" s="179"/>
      <c r="M432" s="179"/>
      <c r="N432" s="179"/>
      <c r="O432" s="180"/>
      <c r="P432" s="179">
        <v>11048910</v>
      </c>
      <c r="Q432" s="179">
        <v>115885256</v>
      </c>
      <c r="R432" s="179"/>
      <c r="S432" s="180">
        <v>126934166</v>
      </c>
      <c r="T432" s="179"/>
      <c r="U432" s="180"/>
      <c r="V432" s="179">
        <v>0</v>
      </c>
      <c r="W432" s="180">
        <v>0</v>
      </c>
      <c r="X432" s="53">
        <v>126934166</v>
      </c>
      <c r="Y432" s="151"/>
      <c r="Z432" s="151"/>
      <c r="AA432" s="151"/>
      <c r="AB432" s="151"/>
    </row>
    <row r="433" spans="1:28" s="173" customFormat="1" ht="13">
      <c r="A433" s="170"/>
      <c r="B433" s="94" t="s">
        <v>878</v>
      </c>
      <c r="C433" s="171"/>
      <c r="D433" s="171"/>
      <c r="E433" s="171"/>
      <c r="F433" s="171"/>
      <c r="G433" s="171"/>
      <c r="H433" s="171"/>
      <c r="I433" s="172"/>
      <c r="J433" s="171"/>
      <c r="K433" s="171"/>
      <c r="L433" s="171"/>
      <c r="M433" s="171"/>
      <c r="N433" s="171"/>
      <c r="O433" s="172"/>
      <c r="P433" s="171">
        <v>9993817</v>
      </c>
      <c r="Q433" s="171">
        <v>101878646</v>
      </c>
      <c r="R433" s="171"/>
      <c r="S433" s="172">
        <v>111872463</v>
      </c>
      <c r="T433" s="171"/>
      <c r="U433" s="172"/>
      <c r="V433" s="171">
        <v>0</v>
      </c>
      <c r="W433" s="172">
        <v>0</v>
      </c>
      <c r="X433" s="53">
        <v>111872463</v>
      </c>
      <c r="Y433" s="151"/>
      <c r="Z433" s="151"/>
      <c r="AA433" s="151"/>
      <c r="AB433" s="151"/>
    </row>
    <row r="434" spans="1:28" s="192" customFormat="1" ht="13.5" thickBot="1">
      <c r="A434" s="186"/>
      <c r="B434" s="187" t="s">
        <v>879</v>
      </c>
      <c r="C434" s="188">
        <v>0</v>
      </c>
      <c r="D434" s="188">
        <v>0</v>
      </c>
      <c r="E434" s="188">
        <v>0</v>
      </c>
      <c r="F434" s="188">
        <v>0</v>
      </c>
      <c r="G434" s="188">
        <v>0</v>
      </c>
      <c r="H434" s="188">
        <v>0</v>
      </c>
      <c r="I434" s="189">
        <v>0</v>
      </c>
      <c r="J434" s="188">
        <v>0</v>
      </c>
      <c r="K434" s="188">
        <v>0</v>
      </c>
      <c r="L434" s="188">
        <v>0</v>
      </c>
      <c r="M434" s="188">
        <v>0</v>
      </c>
      <c r="N434" s="188">
        <v>0</v>
      </c>
      <c r="O434" s="189">
        <v>0</v>
      </c>
      <c r="P434" s="188">
        <v>-9.5492949078234872</v>
      </c>
      <c r="Q434" s="188">
        <v>-12.08661954373212</v>
      </c>
      <c r="R434" s="188">
        <v>0</v>
      </c>
      <c r="S434" s="189">
        <v>-11.865759609591636</v>
      </c>
      <c r="T434" s="188">
        <v>0</v>
      </c>
      <c r="U434" s="189">
        <v>0</v>
      </c>
      <c r="V434" s="188">
        <v>0</v>
      </c>
      <c r="W434" s="189">
        <v>0</v>
      </c>
      <c r="X434" s="53">
        <v>-11.865759609591636</v>
      </c>
      <c r="Y434" s="151"/>
      <c r="Z434" s="151"/>
      <c r="AA434" s="151"/>
      <c r="AB434" s="151"/>
    </row>
    <row r="435" spans="1:28" ht="13.5" thickTop="1">
      <c r="A435" s="147" t="s">
        <v>746</v>
      </c>
      <c r="B435" s="167" t="s">
        <v>754</v>
      </c>
      <c r="C435" s="168">
        <v>231707844</v>
      </c>
      <c r="D435" s="168"/>
      <c r="E435" s="168">
        <v>63099238</v>
      </c>
      <c r="F435" s="168">
        <v>16525571</v>
      </c>
      <c r="G435" s="168">
        <v>37330697</v>
      </c>
      <c r="H435" s="168">
        <v>42283337</v>
      </c>
      <c r="I435" s="169">
        <v>390946687</v>
      </c>
      <c r="J435" s="168"/>
      <c r="K435" s="168">
        <v>66069141</v>
      </c>
      <c r="L435" s="168">
        <v>51833081</v>
      </c>
      <c r="M435" s="168">
        <v>33442397</v>
      </c>
      <c r="N435" s="168"/>
      <c r="O435" s="169">
        <v>151344619</v>
      </c>
      <c r="P435" s="168"/>
      <c r="Q435" s="168"/>
      <c r="R435" s="168"/>
      <c r="S435" s="169"/>
      <c r="T435" s="168"/>
      <c r="U435" s="169"/>
      <c r="V435" s="168"/>
      <c r="W435" s="169"/>
      <c r="X435" s="53">
        <v>542291306</v>
      </c>
      <c r="Y435" s="151"/>
      <c r="Z435" s="151"/>
      <c r="AA435" s="151"/>
      <c r="AB435" s="151"/>
    </row>
    <row r="436" spans="1:28" s="173" customFormat="1" ht="13">
      <c r="A436" s="170"/>
      <c r="B436" s="94" t="s">
        <v>755</v>
      </c>
      <c r="C436" s="171">
        <v>230572554</v>
      </c>
      <c r="D436" s="171"/>
      <c r="E436" s="171">
        <v>62723170</v>
      </c>
      <c r="F436" s="171">
        <v>16482897</v>
      </c>
      <c r="G436" s="171">
        <v>37131794</v>
      </c>
      <c r="H436" s="171">
        <v>42081287</v>
      </c>
      <c r="I436" s="172">
        <v>388991702</v>
      </c>
      <c r="J436" s="171"/>
      <c r="K436" s="171">
        <v>66652887</v>
      </c>
      <c r="L436" s="171">
        <v>52151194</v>
      </c>
      <c r="M436" s="171">
        <v>33207364</v>
      </c>
      <c r="N436" s="171"/>
      <c r="O436" s="172">
        <v>152011445</v>
      </c>
      <c r="P436" s="171"/>
      <c r="Q436" s="171"/>
      <c r="R436" s="171"/>
      <c r="S436" s="172"/>
      <c r="T436" s="171"/>
      <c r="U436" s="172"/>
      <c r="V436" s="171"/>
      <c r="W436" s="172"/>
      <c r="X436" s="53">
        <v>541003147</v>
      </c>
      <c r="Y436" s="151"/>
      <c r="Z436" s="151"/>
      <c r="AA436" s="151"/>
      <c r="AB436" s="151"/>
    </row>
    <row r="437" spans="1:28" s="178" customFormat="1" ht="13">
      <c r="A437" s="174"/>
      <c r="B437" s="175" t="s">
        <v>849</v>
      </c>
      <c r="C437" s="176">
        <v>-0.48996614892329671</v>
      </c>
      <c r="D437" s="176">
        <v>0</v>
      </c>
      <c r="E437" s="176">
        <v>-0.5959945189829392</v>
      </c>
      <c r="F437" s="176">
        <v>-0.25823010896264947</v>
      </c>
      <c r="G437" s="176">
        <v>-0.53281351805459187</v>
      </c>
      <c r="H437" s="176">
        <v>-0.47784781035612206</v>
      </c>
      <c r="I437" s="177">
        <v>-0.50006434764850682</v>
      </c>
      <c r="J437" s="176">
        <v>0</v>
      </c>
      <c r="K437" s="176">
        <v>0.88353804993468887</v>
      </c>
      <c r="L437" s="176">
        <v>0.61372581730188869</v>
      </c>
      <c r="M437" s="176">
        <v>-0.70279950327723217</v>
      </c>
      <c r="N437" s="176">
        <v>0</v>
      </c>
      <c r="O437" s="177">
        <v>0.44060106292910223</v>
      </c>
      <c r="P437" s="176">
        <v>0</v>
      </c>
      <c r="Q437" s="176">
        <v>0</v>
      </c>
      <c r="R437" s="176">
        <v>0</v>
      </c>
      <c r="S437" s="177">
        <v>0</v>
      </c>
      <c r="T437" s="176">
        <v>0</v>
      </c>
      <c r="U437" s="177">
        <v>0</v>
      </c>
      <c r="V437" s="176">
        <v>0</v>
      </c>
      <c r="W437" s="177">
        <v>0</v>
      </c>
      <c r="X437" s="53">
        <v>-0.23754004273120322</v>
      </c>
      <c r="Y437" s="151"/>
      <c r="Z437" s="151"/>
      <c r="AA437" s="151"/>
      <c r="AB437" s="151"/>
    </row>
    <row r="438" spans="1:28" ht="13">
      <c r="A438" s="170"/>
      <c r="B438" s="59" t="s">
        <v>756</v>
      </c>
      <c r="C438" s="179">
        <v>52549562</v>
      </c>
      <c r="D438" s="179"/>
      <c r="E438" s="179">
        <v>2582987</v>
      </c>
      <c r="F438" s="179">
        <v>597438</v>
      </c>
      <c r="G438" s="179">
        <v>8773632</v>
      </c>
      <c r="H438" s="179">
        <v>991771</v>
      </c>
      <c r="I438" s="180">
        <v>65495390</v>
      </c>
      <c r="J438" s="179"/>
      <c r="K438" s="179">
        <v>13507923</v>
      </c>
      <c r="L438" s="179">
        <v>9527010</v>
      </c>
      <c r="M438" s="179">
        <v>5138392</v>
      </c>
      <c r="N438" s="179"/>
      <c r="O438" s="180">
        <v>28173325</v>
      </c>
      <c r="P438" s="179"/>
      <c r="Q438" s="179"/>
      <c r="R438" s="179"/>
      <c r="S438" s="180"/>
      <c r="T438" s="179"/>
      <c r="U438" s="180"/>
      <c r="V438" s="179"/>
      <c r="W438" s="180"/>
      <c r="X438" s="53">
        <v>93668715</v>
      </c>
      <c r="Y438" s="151"/>
      <c r="Z438" s="151"/>
      <c r="AA438" s="151"/>
      <c r="AB438" s="151"/>
    </row>
    <row r="439" spans="1:28" s="173" customFormat="1" ht="13">
      <c r="A439" s="170"/>
      <c r="B439" s="94" t="s">
        <v>757</v>
      </c>
      <c r="C439" s="171">
        <v>52384760</v>
      </c>
      <c r="D439" s="171"/>
      <c r="E439" s="171">
        <v>2582987</v>
      </c>
      <c r="F439" s="171">
        <v>597438</v>
      </c>
      <c r="G439" s="171">
        <v>8135129</v>
      </c>
      <c r="H439" s="171">
        <v>991771</v>
      </c>
      <c r="I439" s="172">
        <v>64692085</v>
      </c>
      <c r="J439" s="171"/>
      <c r="K439" s="171">
        <v>10813344</v>
      </c>
      <c r="L439" s="171">
        <v>9484913</v>
      </c>
      <c r="M439" s="171">
        <v>4775067</v>
      </c>
      <c r="N439" s="171"/>
      <c r="O439" s="172">
        <v>25073324</v>
      </c>
      <c r="P439" s="171"/>
      <c r="Q439" s="171"/>
      <c r="R439" s="171"/>
      <c r="S439" s="172"/>
      <c r="T439" s="171"/>
      <c r="U439" s="172"/>
      <c r="V439" s="171"/>
      <c r="W439" s="172"/>
      <c r="X439" s="53">
        <v>89765409</v>
      </c>
      <c r="Y439" s="151"/>
      <c r="Z439" s="151"/>
      <c r="AA439" s="151"/>
      <c r="AB439" s="151"/>
    </row>
    <row r="440" spans="1:28" s="178" customFormat="1" ht="13">
      <c r="A440" s="170"/>
      <c r="B440" s="175" t="s">
        <v>850</v>
      </c>
      <c r="C440" s="176">
        <v>-0.31361250927267481</v>
      </c>
      <c r="D440" s="176">
        <v>0</v>
      </c>
      <c r="E440" s="176">
        <v>0</v>
      </c>
      <c r="F440" s="176">
        <v>0</v>
      </c>
      <c r="G440" s="176">
        <v>-7.2775220114087293</v>
      </c>
      <c r="H440" s="176">
        <v>0</v>
      </c>
      <c r="I440" s="177">
        <v>-1.226506170892333</v>
      </c>
      <c r="J440" s="176">
        <v>0</v>
      </c>
      <c r="K440" s="176">
        <v>-19.948137104423829</v>
      </c>
      <c r="L440" s="176">
        <v>-0.44187000958327949</v>
      </c>
      <c r="M440" s="176">
        <v>-7.0707917963440696</v>
      </c>
      <c r="N440" s="176">
        <v>0</v>
      </c>
      <c r="O440" s="177">
        <v>-11.003319629472205</v>
      </c>
      <c r="P440" s="176">
        <v>0</v>
      </c>
      <c r="Q440" s="176">
        <v>0</v>
      </c>
      <c r="R440" s="176">
        <v>0</v>
      </c>
      <c r="S440" s="177">
        <v>0</v>
      </c>
      <c r="T440" s="176">
        <v>0</v>
      </c>
      <c r="U440" s="177">
        <v>0</v>
      </c>
      <c r="V440" s="176">
        <v>0</v>
      </c>
      <c r="W440" s="177">
        <v>0</v>
      </c>
      <c r="X440" s="53">
        <v>-4.1671394766118013</v>
      </c>
      <c r="Y440" s="151"/>
      <c r="Z440" s="151"/>
      <c r="AA440" s="151"/>
      <c r="AB440" s="151"/>
    </row>
    <row r="441" spans="1:28" ht="13">
      <c r="A441" s="170"/>
      <c r="B441" s="59" t="s">
        <v>758</v>
      </c>
      <c r="C441" s="179"/>
      <c r="D441" s="179"/>
      <c r="E441" s="179"/>
      <c r="F441" s="179">
        <v>371557</v>
      </c>
      <c r="G441" s="179"/>
      <c r="H441" s="179"/>
      <c r="I441" s="180">
        <v>371557</v>
      </c>
      <c r="J441" s="179"/>
      <c r="K441" s="179">
        <v>44910978</v>
      </c>
      <c r="L441" s="179">
        <v>28283492</v>
      </c>
      <c r="M441" s="179">
        <v>7866562</v>
      </c>
      <c r="N441" s="179"/>
      <c r="O441" s="180">
        <v>81061032</v>
      </c>
      <c r="P441" s="179"/>
      <c r="Q441" s="179"/>
      <c r="R441" s="179"/>
      <c r="S441" s="180"/>
      <c r="T441" s="179"/>
      <c r="U441" s="180"/>
      <c r="V441" s="179"/>
      <c r="W441" s="180"/>
      <c r="X441" s="53">
        <v>81432589</v>
      </c>
      <c r="Y441" s="151"/>
      <c r="Z441" s="151"/>
      <c r="AA441" s="151"/>
      <c r="AB441" s="151"/>
    </row>
    <row r="442" spans="1:28" s="173" customFormat="1" ht="13">
      <c r="A442" s="170"/>
      <c r="B442" s="94" t="s">
        <v>759</v>
      </c>
      <c r="C442" s="171"/>
      <c r="D442" s="171"/>
      <c r="E442" s="171"/>
      <c r="F442" s="171">
        <v>1516280</v>
      </c>
      <c r="G442" s="171"/>
      <c r="H442" s="171"/>
      <c r="I442" s="172">
        <v>1516280</v>
      </c>
      <c r="J442" s="171"/>
      <c r="K442" s="171">
        <v>46188674</v>
      </c>
      <c r="L442" s="171">
        <v>30450961</v>
      </c>
      <c r="M442" s="171">
        <v>7934001</v>
      </c>
      <c r="N442" s="171"/>
      <c r="O442" s="172">
        <v>84573636</v>
      </c>
      <c r="P442" s="171"/>
      <c r="Q442" s="171"/>
      <c r="R442" s="171"/>
      <c r="S442" s="172"/>
      <c r="T442" s="171"/>
      <c r="U442" s="172"/>
      <c r="V442" s="171"/>
      <c r="W442" s="172"/>
      <c r="X442" s="53">
        <v>86089916</v>
      </c>
      <c r="Y442" s="151"/>
      <c r="Z442" s="151"/>
      <c r="AA442" s="151"/>
      <c r="AB442" s="151"/>
    </row>
    <row r="443" spans="1:28" s="178" customFormat="1" ht="13">
      <c r="A443" s="170"/>
      <c r="B443" s="175" t="s">
        <v>851</v>
      </c>
      <c r="C443" s="176">
        <v>0</v>
      </c>
      <c r="D443" s="176">
        <v>0</v>
      </c>
      <c r="E443" s="176">
        <v>0</v>
      </c>
      <c r="F443" s="176">
        <v>308.08812645166148</v>
      </c>
      <c r="G443" s="176">
        <v>0</v>
      </c>
      <c r="H443" s="176">
        <v>0</v>
      </c>
      <c r="I443" s="177">
        <v>308.08812645166148</v>
      </c>
      <c r="J443" s="176">
        <v>0</v>
      </c>
      <c r="K443" s="176">
        <v>2.8449525191813905</v>
      </c>
      <c r="L443" s="176">
        <v>7.6633712697145029</v>
      </c>
      <c r="M443" s="176">
        <v>0.8572868300027382</v>
      </c>
      <c r="N443" s="176">
        <v>0</v>
      </c>
      <c r="O443" s="177">
        <v>4.3332830995785994</v>
      </c>
      <c r="P443" s="176">
        <v>0</v>
      </c>
      <c r="Q443" s="176">
        <v>0</v>
      </c>
      <c r="R443" s="176">
        <v>0</v>
      </c>
      <c r="S443" s="177">
        <v>0</v>
      </c>
      <c r="T443" s="176">
        <v>0</v>
      </c>
      <c r="U443" s="177">
        <v>0</v>
      </c>
      <c r="V443" s="176">
        <v>0</v>
      </c>
      <c r="W443" s="177">
        <v>0</v>
      </c>
      <c r="X443" s="53">
        <v>5.7192422065814466</v>
      </c>
      <c r="Y443" s="151"/>
      <c r="Z443" s="151"/>
      <c r="AA443" s="151"/>
      <c r="AB443" s="151"/>
    </row>
    <row r="444" spans="1:28" ht="13">
      <c r="A444" s="170"/>
      <c r="B444" s="59" t="s">
        <v>760</v>
      </c>
      <c r="C444" s="179">
        <v>1257459671</v>
      </c>
      <c r="D444" s="179"/>
      <c r="E444" s="179">
        <v>320129897</v>
      </c>
      <c r="F444" s="179">
        <v>179890202</v>
      </c>
      <c r="G444" s="179">
        <v>69080802</v>
      </c>
      <c r="H444" s="179">
        <v>156136898</v>
      </c>
      <c r="I444" s="180">
        <v>1982697470</v>
      </c>
      <c r="J444" s="179"/>
      <c r="K444" s="179">
        <v>199904018</v>
      </c>
      <c r="L444" s="179">
        <v>138277596</v>
      </c>
      <c r="M444" s="179">
        <v>64907660</v>
      </c>
      <c r="N444" s="179"/>
      <c r="O444" s="180">
        <v>403089274</v>
      </c>
      <c r="P444" s="179"/>
      <c r="Q444" s="179"/>
      <c r="R444" s="179"/>
      <c r="S444" s="180"/>
      <c r="T444" s="179"/>
      <c r="U444" s="180"/>
      <c r="V444" s="179"/>
      <c r="W444" s="180"/>
      <c r="X444" s="53">
        <v>2385786744</v>
      </c>
      <c r="Y444" s="151"/>
      <c r="Z444" s="151"/>
      <c r="AA444" s="151"/>
      <c r="AB444" s="151"/>
    </row>
    <row r="445" spans="1:28" s="173" customFormat="1" ht="13">
      <c r="A445" s="170"/>
      <c r="B445" s="94" t="s">
        <v>761</v>
      </c>
      <c r="C445" s="171">
        <v>1272659114</v>
      </c>
      <c r="D445" s="171"/>
      <c r="E445" s="171">
        <v>306253985</v>
      </c>
      <c r="F445" s="171">
        <v>169906244</v>
      </c>
      <c r="G445" s="171">
        <v>63473269</v>
      </c>
      <c r="H445" s="171">
        <v>156565062</v>
      </c>
      <c r="I445" s="172">
        <v>1968857674</v>
      </c>
      <c r="J445" s="171"/>
      <c r="K445" s="171">
        <v>182182321</v>
      </c>
      <c r="L445" s="171">
        <v>126566333</v>
      </c>
      <c r="M445" s="171">
        <v>63208562</v>
      </c>
      <c r="N445" s="171"/>
      <c r="O445" s="172">
        <v>371957216</v>
      </c>
      <c r="P445" s="171"/>
      <c r="Q445" s="171"/>
      <c r="R445" s="171"/>
      <c r="S445" s="172"/>
      <c r="T445" s="171"/>
      <c r="U445" s="172"/>
      <c r="V445" s="171"/>
      <c r="W445" s="172"/>
      <c r="X445" s="53">
        <v>2340814890</v>
      </c>
      <c r="Y445" s="151"/>
      <c r="Z445" s="151"/>
      <c r="AA445" s="151"/>
      <c r="AB445" s="151"/>
    </row>
    <row r="446" spans="1:28" s="178" customFormat="1" ht="13">
      <c r="A446" s="170"/>
      <c r="B446" s="175" t="s">
        <v>852</v>
      </c>
      <c r="C446" s="176">
        <v>1.2087419859686299</v>
      </c>
      <c r="D446" s="176">
        <v>0</v>
      </c>
      <c r="E446" s="176">
        <v>-4.3344630195535911</v>
      </c>
      <c r="F446" s="176">
        <v>-5.5500287892277758</v>
      </c>
      <c r="G446" s="176">
        <v>-8.1173536462416873</v>
      </c>
      <c r="H446" s="176">
        <v>0.27422345741747733</v>
      </c>
      <c r="I446" s="177">
        <v>-0.69802863066143928</v>
      </c>
      <c r="J446" s="176">
        <v>0</v>
      </c>
      <c r="K446" s="176">
        <v>-8.865102951557482</v>
      </c>
      <c r="L446" s="176">
        <v>-8.4693857419968452</v>
      </c>
      <c r="M446" s="176">
        <v>-2.6177156902590539</v>
      </c>
      <c r="N446" s="176">
        <v>0</v>
      </c>
      <c r="O446" s="177">
        <v>-7.7233655192720407</v>
      </c>
      <c r="P446" s="176">
        <v>0</v>
      </c>
      <c r="Q446" s="176">
        <v>0</v>
      </c>
      <c r="R446" s="176">
        <v>0</v>
      </c>
      <c r="S446" s="177">
        <v>0</v>
      </c>
      <c r="T446" s="176">
        <v>0</v>
      </c>
      <c r="U446" s="177">
        <v>0</v>
      </c>
      <c r="V446" s="176">
        <v>0</v>
      </c>
      <c r="W446" s="177">
        <v>0</v>
      </c>
      <c r="X446" s="89">
        <v>-1.8849905220195993</v>
      </c>
      <c r="Y446" s="151"/>
      <c r="Z446" s="151"/>
      <c r="AA446" s="151"/>
      <c r="AB446" s="151"/>
    </row>
    <row r="447" spans="1:28" ht="13">
      <c r="A447" s="170"/>
      <c r="B447" s="59" t="s">
        <v>853</v>
      </c>
      <c r="C447" s="179">
        <v>49427359</v>
      </c>
      <c r="D447" s="179"/>
      <c r="E447" s="179">
        <v>18678645</v>
      </c>
      <c r="F447" s="179">
        <v>6020076</v>
      </c>
      <c r="G447" s="179">
        <v>3099153</v>
      </c>
      <c r="H447" s="179">
        <v>4272043</v>
      </c>
      <c r="I447" s="180">
        <v>81497276</v>
      </c>
      <c r="J447" s="179"/>
      <c r="K447" s="179">
        <v>2227600</v>
      </c>
      <c r="L447" s="179"/>
      <c r="M447" s="179"/>
      <c r="N447" s="179"/>
      <c r="O447" s="180">
        <v>2227600</v>
      </c>
      <c r="P447" s="179"/>
      <c r="Q447" s="179"/>
      <c r="R447" s="179"/>
      <c r="S447" s="180"/>
      <c r="T447" s="179"/>
      <c r="U447" s="180"/>
      <c r="V447" s="179"/>
      <c r="W447" s="180"/>
      <c r="X447" s="53">
        <v>83724876</v>
      </c>
      <c r="Y447" s="151"/>
      <c r="Z447" s="151"/>
      <c r="AA447" s="151"/>
      <c r="AB447" s="151"/>
    </row>
    <row r="448" spans="1:28" s="173" customFormat="1" ht="13">
      <c r="A448" s="170"/>
      <c r="B448" s="94" t="s">
        <v>854</v>
      </c>
      <c r="C448" s="171">
        <v>50722969</v>
      </c>
      <c r="D448" s="171"/>
      <c r="E448" s="171">
        <v>25720302</v>
      </c>
      <c r="F448" s="171">
        <v>5823919</v>
      </c>
      <c r="G448" s="171">
        <v>3100486</v>
      </c>
      <c r="H448" s="171">
        <v>4155012</v>
      </c>
      <c r="I448" s="172">
        <v>89522688</v>
      </c>
      <c r="J448" s="171"/>
      <c r="K448" s="171">
        <v>3684209</v>
      </c>
      <c r="L448" s="171">
        <v>1381387</v>
      </c>
      <c r="M448" s="171"/>
      <c r="N448" s="171"/>
      <c r="O448" s="172">
        <v>5065596</v>
      </c>
      <c r="P448" s="171"/>
      <c r="Q448" s="171"/>
      <c r="R448" s="171"/>
      <c r="S448" s="172"/>
      <c r="T448" s="171"/>
      <c r="U448" s="172"/>
      <c r="V448" s="171"/>
      <c r="W448" s="172"/>
      <c r="X448" s="53">
        <v>94588284</v>
      </c>
      <c r="Y448" s="151"/>
      <c r="Z448" s="151"/>
      <c r="AA448" s="151"/>
      <c r="AB448" s="151"/>
    </row>
    <row r="449" spans="1:28" s="178" customFormat="1" ht="13">
      <c r="A449" s="170"/>
      <c r="B449" s="175" t="s">
        <v>855</v>
      </c>
      <c r="C449" s="176">
        <v>2.6212405967310537</v>
      </c>
      <c r="D449" s="176">
        <v>0</v>
      </c>
      <c r="E449" s="176">
        <v>37.698971204817049</v>
      </c>
      <c r="F449" s="176">
        <v>-3.2583807912059579</v>
      </c>
      <c r="G449" s="176">
        <v>4.3011751920605405E-2</v>
      </c>
      <c r="H449" s="176">
        <v>-2.7394621262005088</v>
      </c>
      <c r="I449" s="177">
        <v>9.8474604230943861</v>
      </c>
      <c r="J449" s="176">
        <v>0</v>
      </c>
      <c r="K449" s="176">
        <v>65.389163224995499</v>
      </c>
      <c r="L449" s="176">
        <v>0</v>
      </c>
      <c r="M449" s="176">
        <v>0</v>
      </c>
      <c r="N449" s="176">
        <v>0</v>
      </c>
      <c r="O449" s="177">
        <v>127.40150834979349</v>
      </c>
      <c r="P449" s="176">
        <v>0</v>
      </c>
      <c r="Q449" s="176">
        <v>0</v>
      </c>
      <c r="R449" s="176">
        <v>0</v>
      </c>
      <c r="S449" s="177">
        <v>0</v>
      </c>
      <c r="T449" s="176">
        <v>0</v>
      </c>
      <c r="U449" s="177">
        <v>0</v>
      </c>
      <c r="V449" s="176">
        <v>0</v>
      </c>
      <c r="W449" s="177">
        <v>0</v>
      </c>
      <c r="X449" s="53">
        <v>12.975125815653641</v>
      </c>
      <c r="Y449" s="151"/>
      <c r="Z449" s="151"/>
      <c r="AA449" s="151"/>
      <c r="AB449" s="151"/>
    </row>
    <row r="450" spans="1:28" ht="13">
      <c r="A450" s="170"/>
      <c r="B450" s="183" t="s">
        <v>856</v>
      </c>
      <c r="C450" s="180">
        <v>1306887030</v>
      </c>
      <c r="D450" s="180"/>
      <c r="E450" s="180">
        <v>338808542</v>
      </c>
      <c r="F450" s="180">
        <v>185910278</v>
      </c>
      <c r="G450" s="180">
        <v>72179955</v>
      </c>
      <c r="H450" s="180">
        <v>160408941</v>
      </c>
      <c r="I450" s="180">
        <v>2064194746</v>
      </c>
      <c r="J450" s="180"/>
      <c r="K450" s="180">
        <v>202131618</v>
      </c>
      <c r="L450" s="180">
        <v>138277596</v>
      </c>
      <c r="M450" s="180">
        <v>64907660</v>
      </c>
      <c r="N450" s="180"/>
      <c r="O450" s="180">
        <v>405316874</v>
      </c>
      <c r="P450" s="180"/>
      <c r="Q450" s="180"/>
      <c r="R450" s="180"/>
      <c r="S450" s="180"/>
      <c r="T450" s="180">
        <v>0</v>
      </c>
      <c r="U450" s="180">
        <v>0</v>
      </c>
      <c r="V450" s="180"/>
      <c r="W450" s="180"/>
      <c r="X450" s="53">
        <v>2469511620</v>
      </c>
      <c r="Y450" s="151"/>
      <c r="Z450" s="151"/>
      <c r="AA450" s="151"/>
      <c r="AB450" s="151"/>
    </row>
    <row r="451" spans="1:28" s="173" customFormat="1" ht="13">
      <c r="A451" s="170"/>
      <c r="B451" s="184" t="s">
        <v>857</v>
      </c>
      <c r="C451" s="172">
        <v>1323382083</v>
      </c>
      <c r="D451" s="172"/>
      <c r="E451" s="172">
        <v>331974287</v>
      </c>
      <c r="F451" s="172">
        <v>175730163</v>
      </c>
      <c r="G451" s="172">
        <v>66573755</v>
      </c>
      <c r="H451" s="172">
        <v>160720074</v>
      </c>
      <c r="I451" s="172">
        <v>2058380362</v>
      </c>
      <c r="J451" s="172"/>
      <c r="K451" s="172">
        <v>185866530</v>
      </c>
      <c r="L451" s="172">
        <v>127947720</v>
      </c>
      <c r="M451" s="172">
        <v>63208562</v>
      </c>
      <c r="N451" s="172"/>
      <c r="O451" s="172">
        <v>377022812</v>
      </c>
      <c r="P451" s="172"/>
      <c r="Q451" s="172"/>
      <c r="R451" s="172"/>
      <c r="S451" s="172"/>
      <c r="T451" s="172">
        <v>0</v>
      </c>
      <c r="U451" s="172">
        <v>0</v>
      </c>
      <c r="V451" s="172"/>
      <c r="W451" s="172"/>
      <c r="X451" s="53">
        <v>2435403174</v>
      </c>
      <c r="Y451" s="151"/>
      <c r="Z451" s="151"/>
      <c r="AA451" s="151"/>
      <c r="AB451" s="151"/>
    </row>
    <row r="452" spans="1:28" s="178" customFormat="1" ht="13">
      <c r="A452" s="170"/>
      <c r="B452" s="185" t="s">
        <v>858</v>
      </c>
      <c r="C452" s="177">
        <v>1.2621636469986239</v>
      </c>
      <c r="D452" s="177">
        <v>0</v>
      </c>
      <c r="E452" s="177">
        <v>-2.0171436527713049</v>
      </c>
      <c r="F452" s="177">
        <v>-5.4758215142898123</v>
      </c>
      <c r="G452" s="177">
        <v>-7.7669763024928464</v>
      </c>
      <c r="H452" s="177">
        <v>0.19396238018926887</v>
      </c>
      <c r="I452" s="177">
        <v>-0.28167807379934101</v>
      </c>
      <c r="J452" s="177">
        <v>0</v>
      </c>
      <c r="K452" s="177">
        <v>-8.0467806872252918</v>
      </c>
      <c r="L452" s="177">
        <v>-7.4703902141891447</v>
      </c>
      <c r="M452" s="177">
        <v>-2.6177156902590539</v>
      </c>
      <c r="N452" s="177">
        <v>0</v>
      </c>
      <c r="O452" s="177">
        <v>-6.9807263933452717</v>
      </c>
      <c r="P452" s="177">
        <v>0</v>
      </c>
      <c r="Q452" s="177">
        <v>0</v>
      </c>
      <c r="R452" s="177">
        <v>0</v>
      </c>
      <c r="S452" s="177">
        <v>0</v>
      </c>
      <c r="T452" s="177">
        <v>0</v>
      </c>
      <c r="U452" s="177">
        <v>0</v>
      </c>
      <c r="V452" s="177">
        <v>0</v>
      </c>
      <c r="W452" s="177">
        <v>0</v>
      </c>
      <c r="X452" s="53">
        <v>-1.3811818386989407</v>
      </c>
      <c r="Y452" s="151"/>
      <c r="Z452" s="151"/>
      <c r="AA452" s="151"/>
      <c r="AB452" s="151"/>
    </row>
    <row r="453" spans="1:28" ht="13">
      <c r="A453" s="170"/>
      <c r="B453" s="59" t="s">
        <v>859</v>
      </c>
      <c r="C453" s="179"/>
      <c r="D453" s="179"/>
      <c r="E453" s="179"/>
      <c r="F453" s="179"/>
      <c r="G453" s="179"/>
      <c r="H453" s="179"/>
      <c r="I453" s="180"/>
      <c r="J453" s="179"/>
      <c r="K453" s="179"/>
      <c r="L453" s="179"/>
      <c r="M453" s="179"/>
      <c r="N453" s="179"/>
      <c r="O453" s="180"/>
      <c r="P453" s="179"/>
      <c r="Q453" s="179"/>
      <c r="R453" s="179"/>
      <c r="S453" s="180"/>
      <c r="T453" s="179"/>
      <c r="U453" s="180"/>
      <c r="V453" s="179"/>
      <c r="W453" s="180"/>
      <c r="X453" s="53"/>
      <c r="Y453" s="151"/>
      <c r="Z453" s="151"/>
      <c r="AA453" s="151"/>
      <c r="AB453" s="151"/>
    </row>
    <row r="454" spans="1:28" s="173" customFormat="1" ht="13">
      <c r="A454" s="170"/>
      <c r="B454" s="94" t="s">
        <v>860</v>
      </c>
      <c r="C454" s="171"/>
      <c r="D454" s="171"/>
      <c r="E454" s="171"/>
      <c r="F454" s="171"/>
      <c r="G454" s="171"/>
      <c r="H454" s="171"/>
      <c r="I454" s="172"/>
      <c r="J454" s="171"/>
      <c r="K454" s="171"/>
      <c r="L454" s="171"/>
      <c r="M454" s="171"/>
      <c r="N454" s="171"/>
      <c r="O454" s="172"/>
      <c r="P454" s="171"/>
      <c r="Q454" s="171"/>
      <c r="R454" s="171"/>
      <c r="S454" s="172"/>
      <c r="T454" s="171"/>
      <c r="U454" s="172"/>
      <c r="V454" s="171"/>
      <c r="W454" s="172"/>
      <c r="X454" s="53"/>
      <c r="Y454" s="151"/>
      <c r="Z454" s="151"/>
      <c r="AA454" s="151"/>
      <c r="AB454" s="151"/>
    </row>
    <row r="455" spans="1:28" s="178" customFormat="1" ht="13">
      <c r="A455" s="170"/>
      <c r="B455" s="175" t="s">
        <v>861</v>
      </c>
      <c r="C455" s="176">
        <v>0</v>
      </c>
      <c r="D455" s="176">
        <v>0</v>
      </c>
      <c r="E455" s="176">
        <v>0</v>
      </c>
      <c r="F455" s="176">
        <v>0</v>
      </c>
      <c r="G455" s="176">
        <v>0</v>
      </c>
      <c r="H455" s="176">
        <v>0</v>
      </c>
      <c r="I455" s="177">
        <v>0</v>
      </c>
      <c r="J455" s="176">
        <v>0</v>
      </c>
      <c r="K455" s="176">
        <v>0</v>
      </c>
      <c r="L455" s="176">
        <v>0</v>
      </c>
      <c r="M455" s="176">
        <v>0</v>
      </c>
      <c r="N455" s="176">
        <v>0</v>
      </c>
      <c r="O455" s="177">
        <v>0</v>
      </c>
      <c r="P455" s="176">
        <v>0</v>
      </c>
      <c r="Q455" s="176">
        <v>0</v>
      </c>
      <c r="R455" s="176">
        <v>0</v>
      </c>
      <c r="S455" s="177">
        <v>0</v>
      </c>
      <c r="T455" s="176">
        <v>0</v>
      </c>
      <c r="U455" s="177">
        <v>0</v>
      </c>
      <c r="V455" s="176">
        <v>0</v>
      </c>
      <c r="W455" s="177">
        <v>0</v>
      </c>
      <c r="X455" s="53">
        <v>0</v>
      </c>
      <c r="Y455" s="151"/>
      <c r="Z455" s="151"/>
      <c r="AA455" s="151"/>
      <c r="AB455" s="151"/>
    </row>
    <row r="456" spans="1:28" ht="13">
      <c r="A456" s="170"/>
      <c r="B456" s="59" t="s">
        <v>862</v>
      </c>
      <c r="C456" s="179"/>
      <c r="D456" s="179"/>
      <c r="E456" s="179"/>
      <c r="F456" s="179"/>
      <c r="G456" s="179"/>
      <c r="H456" s="179"/>
      <c r="I456" s="180"/>
      <c r="J456" s="179"/>
      <c r="K456" s="179"/>
      <c r="L456" s="179"/>
      <c r="M456" s="179"/>
      <c r="N456" s="179"/>
      <c r="O456" s="180"/>
      <c r="P456" s="179"/>
      <c r="Q456" s="179"/>
      <c r="R456" s="179"/>
      <c r="S456" s="180"/>
      <c r="T456" s="179"/>
      <c r="U456" s="180"/>
      <c r="V456" s="179"/>
      <c r="W456" s="180"/>
      <c r="X456" s="53"/>
      <c r="Y456" s="151"/>
      <c r="Z456" s="151"/>
      <c r="AA456" s="151"/>
      <c r="AB456" s="151"/>
    </row>
    <row r="457" spans="1:28" s="173" customFormat="1" ht="13">
      <c r="A457" s="170"/>
      <c r="B457" s="94" t="s">
        <v>863</v>
      </c>
      <c r="C457" s="171"/>
      <c r="D457" s="171"/>
      <c r="E457" s="171"/>
      <c r="F457" s="171"/>
      <c r="G457" s="171"/>
      <c r="H457" s="171"/>
      <c r="I457" s="172"/>
      <c r="J457" s="171"/>
      <c r="K457" s="171"/>
      <c r="L457" s="171"/>
      <c r="M457" s="171"/>
      <c r="N457" s="171"/>
      <c r="O457" s="172"/>
      <c r="P457" s="171"/>
      <c r="Q457" s="171"/>
      <c r="R457" s="171"/>
      <c r="S457" s="172"/>
      <c r="T457" s="171"/>
      <c r="U457" s="172"/>
      <c r="V457" s="171"/>
      <c r="W457" s="172"/>
      <c r="X457" s="53"/>
      <c r="Y457" s="151"/>
      <c r="Z457" s="151"/>
      <c r="AA457" s="151"/>
      <c r="AB457" s="151"/>
    </row>
    <row r="458" spans="1:28" s="178" customFormat="1" ht="13">
      <c r="A458" s="170"/>
      <c r="B458" s="175" t="s">
        <v>864</v>
      </c>
      <c r="C458" s="176">
        <v>0</v>
      </c>
      <c r="D458" s="176">
        <v>0</v>
      </c>
      <c r="E458" s="176">
        <v>0</v>
      </c>
      <c r="F458" s="176">
        <v>0</v>
      </c>
      <c r="G458" s="176">
        <v>0</v>
      </c>
      <c r="H458" s="176">
        <v>0</v>
      </c>
      <c r="I458" s="177">
        <v>0</v>
      </c>
      <c r="J458" s="176">
        <v>0</v>
      </c>
      <c r="K458" s="176">
        <v>0</v>
      </c>
      <c r="L458" s="176">
        <v>0</v>
      </c>
      <c r="M458" s="176">
        <v>0</v>
      </c>
      <c r="N458" s="176">
        <v>0</v>
      </c>
      <c r="O458" s="177">
        <v>0</v>
      </c>
      <c r="P458" s="176">
        <v>0</v>
      </c>
      <c r="Q458" s="176">
        <v>0</v>
      </c>
      <c r="R458" s="176">
        <v>0</v>
      </c>
      <c r="S458" s="177">
        <v>0</v>
      </c>
      <c r="T458" s="176">
        <v>0</v>
      </c>
      <c r="U458" s="177">
        <v>0</v>
      </c>
      <c r="V458" s="176">
        <v>0</v>
      </c>
      <c r="W458" s="177">
        <v>0</v>
      </c>
      <c r="X458" s="53">
        <v>0</v>
      </c>
      <c r="Y458" s="151"/>
      <c r="Z458" s="151"/>
      <c r="AA458" s="151"/>
      <c r="AB458" s="151"/>
    </row>
    <row r="459" spans="1:28" ht="13">
      <c r="A459" s="170"/>
      <c r="B459" s="59" t="s">
        <v>865</v>
      </c>
      <c r="C459" s="179"/>
      <c r="D459" s="179"/>
      <c r="E459" s="179"/>
      <c r="F459" s="179"/>
      <c r="G459" s="179"/>
      <c r="H459" s="179"/>
      <c r="I459" s="180"/>
      <c r="J459" s="179"/>
      <c r="K459" s="179"/>
      <c r="L459" s="179"/>
      <c r="M459" s="179"/>
      <c r="N459" s="179"/>
      <c r="O459" s="180"/>
      <c r="P459" s="179"/>
      <c r="Q459" s="179"/>
      <c r="R459" s="179"/>
      <c r="S459" s="180"/>
      <c r="T459" s="179"/>
      <c r="U459" s="180"/>
      <c r="V459" s="179"/>
      <c r="W459" s="180"/>
      <c r="X459" s="53"/>
      <c r="Y459" s="151"/>
      <c r="Z459" s="151"/>
      <c r="AA459" s="151"/>
      <c r="AB459" s="151"/>
    </row>
    <row r="460" spans="1:28" s="173" customFormat="1" ht="13">
      <c r="A460" s="170"/>
      <c r="B460" s="94" t="s">
        <v>866</v>
      </c>
      <c r="C460" s="171"/>
      <c r="D460" s="171"/>
      <c r="E460" s="171"/>
      <c r="F460" s="171"/>
      <c r="G460" s="171"/>
      <c r="H460" s="171"/>
      <c r="I460" s="172"/>
      <c r="J460" s="171"/>
      <c r="K460" s="171"/>
      <c r="L460" s="171"/>
      <c r="M460" s="171"/>
      <c r="N460" s="171"/>
      <c r="O460" s="172"/>
      <c r="P460" s="171"/>
      <c r="Q460" s="171"/>
      <c r="R460" s="171"/>
      <c r="S460" s="172"/>
      <c r="T460" s="171"/>
      <c r="U460" s="172"/>
      <c r="V460" s="171"/>
      <c r="W460" s="172"/>
      <c r="X460" s="53"/>
      <c r="Y460" s="151"/>
      <c r="Z460" s="151"/>
      <c r="AA460" s="151"/>
      <c r="AB460" s="151"/>
    </row>
    <row r="461" spans="1:28" s="178" customFormat="1" ht="13">
      <c r="A461" s="170"/>
      <c r="B461" s="175" t="s">
        <v>867</v>
      </c>
      <c r="C461" s="176">
        <v>0</v>
      </c>
      <c r="D461" s="176">
        <v>0</v>
      </c>
      <c r="E461" s="176">
        <v>0</v>
      </c>
      <c r="F461" s="176">
        <v>0</v>
      </c>
      <c r="G461" s="176">
        <v>0</v>
      </c>
      <c r="H461" s="176">
        <v>0</v>
      </c>
      <c r="I461" s="177">
        <v>0</v>
      </c>
      <c r="J461" s="176">
        <v>0</v>
      </c>
      <c r="K461" s="176">
        <v>0</v>
      </c>
      <c r="L461" s="176">
        <v>0</v>
      </c>
      <c r="M461" s="176">
        <v>0</v>
      </c>
      <c r="N461" s="176">
        <v>0</v>
      </c>
      <c r="O461" s="177">
        <v>0</v>
      </c>
      <c r="P461" s="176">
        <v>0</v>
      </c>
      <c r="Q461" s="176">
        <v>0</v>
      </c>
      <c r="R461" s="176">
        <v>0</v>
      </c>
      <c r="S461" s="177">
        <v>0</v>
      </c>
      <c r="T461" s="176">
        <v>0</v>
      </c>
      <c r="U461" s="177">
        <v>0</v>
      </c>
      <c r="V461" s="176">
        <v>0</v>
      </c>
      <c r="W461" s="177">
        <v>0</v>
      </c>
      <c r="X461" s="53">
        <v>0</v>
      </c>
      <c r="Y461" s="151"/>
      <c r="Z461" s="151"/>
      <c r="AA461" s="151"/>
      <c r="AB461" s="151"/>
    </row>
    <row r="462" spans="1:28" ht="13">
      <c r="A462" s="170"/>
      <c r="B462" s="59" t="s">
        <v>868</v>
      </c>
      <c r="C462" s="179">
        <v>0</v>
      </c>
      <c r="D462" s="179"/>
      <c r="E462" s="179">
        <v>0</v>
      </c>
      <c r="F462" s="179">
        <v>0</v>
      </c>
      <c r="G462" s="179">
        <v>0</v>
      </c>
      <c r="H462" s="179">
        <v>0</v>
      </c>
      <c r="I462" s="180">
        <v>0</v>
      </c>
      <c r="J462" s="179"/>
      <c r="K462" s="179">
        <v>0</v>
      </c>
      <c r="L462" s="179">
        <v>0</v>
      </c>
      <c r="M462" s="179">
        <v>0</v>
      </c>
      <c r="N462" s="179"/>
      <c r="O462" s="180">
        <v>0</v>
      </c>
      <c r="P462" s="179"/>
      <c r="Q462" s="179"/>
      <c r="R462" s="179"/>
      <c r="S462" s="180"/>
      <c r="T462" s="179">
        <v>0</v>
      </c>
      <c r="U462" s="180">
        <v>0</v>
      </c>
      <c r="V462" s="179"/>
      <c r="W462" s="180"/>
      <c r="X462" s="53">
        <v>0</v>
      </c>
      <c r="Y462" s="151"/>
      <c r="Z462" s="151"/>
      <c r="AA462" s="151"/>
      <c r="AB462" s="151"/>
    </row>
    <row r="463" spans="1:28" s="173" customFormat="1" ht="13">
      <c r="A463" s="170"/>
      <c r="B463" s="94" t="s">
        <v>869</v>
      </c>
      <c r="C463" s="171">
        <v>0</v>
      </c>
      <c r="D463" s="171"/>
      <c r="E463" s="171">
        <v>0</v>
      </c>
      <c r="F463" s="171">
        <v>0</v>
      </c>
      <c r="G463" s="171">
        <v>0</v>
      </c>
      <c r="H463" s="171">
        <v>0</v>
      </c>
      <c r="I463" s="172">
        <v>0</v>
      </c>
      <c r="J463" s="171"/>
      <c r="K463" s="171">
        <v>0</v>
      </c>
      <c r="L463" s="171">
        <v>0</v>
      </c>
      <c r="M463" s="171">
        <v>0</v>
      </c>
      <c r="N463" s="171"/>
      <c r="O463" s="172">
        <v>0</v>
      </c>
      <c r="P463" s="171"/>
      <c r="Q463" s="171"/>
      <c r="R463" s="171"/>
      <c r="S463" s="172"/>
      <c r="T463" s="171">
        <v>0</v>
      </c>
      <c r="U463" s="172">
        <v>0</v>
      </c>
      <c r="V463" s="171"/>
      <c r="W463" s="172"/>
      <c r="X463" s="53">
        <v>0</v>
      </c>
      <c r="Y463" s="151"/>
      <c r="Z463" s="151"/>
      <c r="AA463" s="151"/>
      <c r="AB463" s="151"/>
    </row>
    <row r="464" spans="1:28" s="178" customFormat="1" ht="13">
      <c r="A464" s="170"/>
      <c r="B464" s="175" t="s">
        <v>870</v>
      </c>
      <c r="C464" s="176">
        <v>0</v>
      </c>
      <c r="D464" s="176">
        <v>0</v>
      </c>
      <c r="E464" s="176">
        <v>0</v>
      </c>
      <c r="F464" s="176">
        <v>0</v>
      </c>
      <c r="G464" s="176">
        <v>0</v>
      </c>
      <c r="H464" s="176">
        <v>0</v>
      </c>
      <c r="I464" s="177">
        <v>0</v>
      </c>
      <c r="J464" s="176">
        <v>0</v>
      </c>
      <c r="K464" s="176">
        <v>0</v>
      </c>
      <c r="L464" s="176">
        <v>0</v>
      </c>
      <c r="M464" s="176">
        <v>0</v>
      </c>
      <c r="N464" s="176">
        <v>0</v>
      </c>
      <c r="O464" s="177">
        <v>0</v>
      </c>
      <c r="P464" s="176">
        <v>0</v>
      </c>
      <c r="Q464" s="176">
        <v>0</v>
      </c>
      <c r="R464" s="176">
        <v>0</v>
      </c>
      <c r="S464" s="177">
        <v>0</v>
      </c>
      <c r="T464" s="176">
        <v>0</v>
      </c>
      <c r="U464" s="177">
        <v>0</v>
      </c>
      <c r="V464" s="176">
        <v>0</v>
      </c>
      <c r="W464" s="177">
        <v>0</v>
      </c>
      <c r="X464" s="53">
        <v>0</v>
      </c>
      <c r="Y464" s="151"/>
      <c r="Z464" s="151"/>
      <c r="AA464" s="151"/>
      <c r="AB464" s="151"/>
    </row>
    <row r="465" spans="1:28" ht="13">
      <c r="A465" s="170"/>
      <c r="B465" s="59" t="s">
        <v>871</v>
      </c>
      <c r="C465" s="179">
        <v>19091833</v>
      </c>
      <c r="D465" s="179"/>
      <c r="E465" s="179"/>
      <c r="F465" s="179"/>
      <c r="G465" s="179"/>
      <c r="H465" s="179"/>
      <c r="I465" s="180">
        <v>19091833</v>
      </c>
      <c r="J465" s="179"/>
      <c r="K465" s="179"/>
      <c r="L465" s="179"/>
      <c r="M465" s="179"/>
      <c r="N465" s="179"/>
      <c r="O465" s="180"/>
      <c r="P465" s="179"/>
      <c r="Q465" s="179"/>
      <c r="R465" s="179"/>
      <c r="S465" s="180"/>
      <c r="T465" s="179">
        <v>92125689</v>
      </c>
      <c r="U465" s="180">
        <v>92125689</v>
      </c>
      <c r="V465" s="179"/>
      <c r="W465" s="180"/>
      <c r="X465" s="53">
        <v>111217522</v>
      </c>
      <c r="Y465" s="151"/>
      <c r="Z465" s="151"/>
      <c r="AA465" s="151"/>
      <c r="AB465" s="151"/>
    </row>
    <row r="466" spans="1:28" s="173" customFormat="1" ht="13">
      <c r="A466" s="170"/>
      <c r="B466" s="94" t="s">
        <v>872</v>
      </c>
      <c r="C466" s="171">
        <v>19091833</v>
      </c>
      <c r="D466" s="171"/>
      <c r="E466" s="171"/>
      <c r="F466" s="171"/>
      <c r="G466" s="171"/>
      <c r="H466" s="171"/>
      <c r="I466" s="172">
        <v>19091833</v>
      </c>
      <c r="J466" s="171"/>
      <c r="K466" s="171"/>
      <c r="L466" s="171"/>
      <c r="M466" s="171"/>
      <c r="N466" s="171"/>
      <c r="O466" s="172"/>
      <c r="P466" s="171"/>
      <c r="Q466" s="171"/>
      <c r="R466" s="171"/>
      <c r="S466" s="172"/>
      <c r="T466" s="171">
        <v>91902607</v>
      </c>
      <c r="U466" s="172">
        <v>91902607</v>
      </c>
      <c r="V466" s="171"/>
      <c r="W466" s="172"/>
      <c r="X466" s="53">
        <v>110994440</v>
      </c>
      <c r="Y466" s="151"/>
      <c r="Z466" s="151"/>
      <c r="AA466" s="151"/>
      <c r="AB466" s="151"/>
    </row>
    <row r="467" spans="1:28" s="178" customFormat="1" ht="13">
      <c r="A467" s="170"/>
      <c r="B467" s="175" t="s">
        <v>873</v>
      </c>
      <c r="C467" s="176">
        <v>0</v>
      </c>
      <c r="D467" s="176">
        <v>0</v>
      </c>
      <c r="E467" s="176">
        <v>0</v>
      </c>
      <c r="F467" s="176">
        <v>0</v>
      </c>
      <c r="G467" s="176">
        <v>0</v>
      </c>
      <c r="H467" s="176">
        <v>0</v>
      </c>
      <c r="I467" s="177">
        <v>0</v>
      </c>
      <c r="J467" s="176">
        <v>0</v>
      </c>
      <c r="K467" s="176">
        <v>0</v>
      </c>
      <c r="L467" s="176">
        <v>0</v>
      </c>
      <c r="M467" s="176">
        <v>0</v>
      </c>
      <c r="N467" s="176">
        <v>0</v>
      </c>
      <c r="O467" s="177">
        <v>0</v>
      </c>
      <c r="P467" s="176">
        <v>0</v>
      </c>
      <c r="Q467" s="176">
        <v>0</v>
      </c>
      <c r="R467" s="176">
        <v>0</v>
      </c>
      <c r="S467" s="177">
        <v>0</v>
      </c>
      <c r="T467" s="181">
        <v>-0.24214961366530457</v>
      </c>
      <c r="U467" s="177">
        <v>-0.24214961366530457</v>
      </c>
      <c r="V467" s="176">
        <v>0</v>
      </c>
      <c r="W467" s="177">
        <v>0</v>
      </c>
      <c r="X467" s="89">
        <v>-0.20058170330390923</v>
      </c>
      <c r="Y467" s="151"/>
      <c r="Z467" s="151"/>
      <c r="AA467" s="151"/>
      <c r="AB467" s="151"/>
    </row>
    <row r="468" spans="1:28" ht="13">
      <c r="A468" s="170"/>
      <c r="B468" s="59" t="s">
        <v>874</v>
      </c>
      <c r="C468" s="179">
        <v>43184645</v>
      </c>
      <c r="D468" s="179"/>
      <c r="E468" s="179"/>
      <c r="F468" s="179"/>
      <c r="G468" s="179"/>
      <c r="H468" s="179"/>
      <c r="I468" s="180">
        <v>43184645</v>
      </c>
      <c r="J468" s="179"/>
      <c r="K468" s="179"/>
      <c r="L468" s="179"/>
      <c r="M468" s="179"/>
      <c r="N468" s="179"/>
      <c r="O468" s="180"/>
      <c r="P468" s="179"/>
      <c r="Q468" s="179"/>
      <c r="R468" s="179"/>
      <c r="S468" s="180"/>
      <c r="T468" s="179">
        <v>87336515</v>
      </c>
      <c r="U468" s="180">
        <v>87336515</v>
      </c>
      <c r="V468" s="179"/>
      <c r="W468" s="180"/>
      <c r="X468" s="53">
        <v>130521160</v>
      </c>
      <c r="Y468" s="151"/>
      <c r="Z468" s="151"/>
      <c r="AA468" s="151"/>
      <c r="AB468" s="151"/>
    </row>
    <row r="469" spans="1:28" s="173" customFormat="1" ht="13">
      <c r="A469" s="170"/>
      <c r="B469" s="94" t="s">
        <v>875</v>
      </c>
      <c r="C469" s="171"/>
      <c r="D469" s="171"/>
      <c r="E469" s="171"/>
      <c r="F469" s="171"/>
      <c r="G469" s="171"/>
      <c r="H469" s="171"/>
      <c r="I469" s="172"/>
      <c r="J469" s="171"/>
      <c r="K469" s="171"/>
      <c r="L469" s="171"/>
      <c r="M469" s="171"/>
      <c r="N469" s="171"/>
      <c r="O469" s="172"/>
      <c r="P469" s="171"/>
      <c r="Q469" s="171"/>
      <c r="R469" s="171"/>
      <c r="S469" s="172"/>
      <c r="T469" s="171">
        <v>94335528</v>
      </c>
      <c r="U469" s="172">
        <v>94335528</v>
      </c>
      <c r="V469" s="171"/>
      <c r="W469" s="172"/>
      <c r="X469" s="53">
        <v>94335528</v>
      </c>
      <c r="Y469" s="151"/>
      <c r="Z469" s="151"/>
      <c r="AA469" s="151"/>
      <c r="AB469" s="151"/>
    </row>
    <row r="470" spans="1:28" s="178" customFormat="1" ht="13">
      <c r="A470" s="170"/>
      <c r="B470" s="175" t="s">
        <v>876</v>
      </c>
      <c r="C470" s="176">
        <v>-100</v>
      </c>
      <c r="D470" s="176">
        <v>0</v>
      </c>
      <c r="E470" s="176">
        <v>0</v>
      </c>
      <c r="F470" s="176">
        <v>0</v>
      </c>
      <c r="G470" s="176">
        <v>0</v>
      </c>
      <c r="H470" s="176">
        <v>0</v>
      </c>
      <c r="I470" s="177">
        <v>-100</v>
      </c>
      <c r="J470" s="176">
        <v>0</v>
      </c>
      <c r="K470" s="176">
        <v>0</v>
      </c>
      <c r="L470" s="176">
        <v>0</v>
      </c>
      <c r="M470" s="176">
        <v>0</v>
      </c>
      <c r="N470" s="176">
        <v>0</v>
      </c>
      <c r="O470" s="177">
        <v>0</v>
      </c>
      <c r="P470" s="176">
        <v>0</v>
      </c>
      <c r="Q470" s="176">
        <v>0</v>
      </c>
      <c r="R470" s="176">
        <v>0</v>
      </c>
      <c r="S470" s="177">
        <v>0</v>
      </c>
      <c r="T470" s="176">
        <v>8.0138450681252866</v>
      </c>
      <c r="U470" s="177">
        <v>8.0138450681252866</v>
      </c>
      <c r="V470" s="176">
        <v>0</v>
      </c>
      <c r="W470" s="177">
        <v>0</v>
      </c>
      <c r="X470" s="53">
        <v>-27.723958322160176</v>
      </c>
      <c r="Y470" s="151"/>
      <c r="Z470" s="151"/>
      <c r="AA470" s="151"/>
      <c r="AB470" s="151"/>
    </row>
    <row r="471" spans="1:28" ht="13">
      <c r="A471" s="170"/>
      <c r="B471" s="59" t="s">
        <v>877</v>
      </c>
      <c r="C471" s="179">
        <v>1541717077</v>
      </c>
      <c r="D471" s="179"/>
      <c r="E471" s="179">
        <v>385812122</v>
      </c>
      <c r="F471" s="179">
        <v>197384768</v>
      </c>
      <c r="G471" s="179">
        <v>115185131</v>
      </c>
      <c r="H471" s="179">
        <v>199412006</v>
      </c>
      <c r="I471" s="180">
        <v>2439511104</v>
      </c>
      <c r="J471" s="179"/>
      <c r="K471" s="179">
        <v>324392060</v>
      </c>
      <c r="L471" s="179">
        <v>227921179</v>
      </c>
      <c r="M471" s="179">
        <v>111355011</v>
      </c>
      <c r="N471" s="179"/>
      <c r="O471" s="180">
        <v>663668250</v>
      </c>
      <c r="P471" s="179"/>
      <c r="Q471" s="179"/>
      <c r="R471" s="179"/>
      <c r="S471" s="180"/>
      <c r="T471" s="179">
        <v>0</v>
      </c>
      <c r="U471" s="180">
        <v>0</v>
      </c>
      <c r="V471" s="179"/>
      <c r="W471" s="180"/>
      <c r="X471" s="53">
        <v>3103179354</v>
      </c>
      <c r="Y471" s="151"/>
      <c r="Z471" s="151"/>
      <c r="AA471" s="151"/>
      <c r="AB471" s="151"/>
    </row>
    <row r="472" spans="1:28" s="173" customFormat="1" ht="13">
      <c r="A472" s="170"/>
      <c r="B472" s="94" t="s">
        <v>878</v>
      </c>
      <c r="C472" s="171">
        <v>1555616428</v>
      </c>
      <c r="D472" s="171"/>
      <c r="E472" s="171">
        <v>371560142</v>
      </c>
      <c r="F472" s="171">
        <v>188502859</v>
      </c>
      <c r="G472" s="171">
        <v>108740192</v>
      </c>
      <c r="H472" s="171">
        <v>199638120</v>
      </c>
      <c r="I472" s="172">
        <v>2424057741</v>
      </c>
      <c r="J472" s="171"/>
      <c r="K472" s="171">
        <v>305837226</v>
      </c>
      <c r="L472" s="171">
        <v>218653401</v>
      </c>
      <c r="M472" s="171">
        <v>109124994</v>
      </c>
      <c r="N472" s="171"/>
      <c r="O472" s="172">
        <v>633615621</v>
      </c>
      <c r="P472" s="171"/>
      <c r="Q472" s="171"/>
      <c r="R472" s="171"/>
      <c r="S472" s="172"/>
      <c r="T472" s="171">
        <v>0</v>
      </c>
      <c r="U472" s="172">
        <v>0</v>
      </c>
      <c r="V472" s="171"/>
      <c r="W472" s="172"/>
      <c r="X472" s="53">
        <v>3057673362</v>
      </c>
      <c r="Y472" s="151"/>
      <c r="Z472" s="151"/>
      <c r="AA472" s="151"/>
      <c r="AB472" s="151"/>
    </row>
    <row r="473" spans="1:28" s="192" customFormat="1" ht="13.5" thickBot="1">
      <c r="A473" s="186"/>
      <c r="B473" s="187" t="s">
        <v>879</v>
      </c>
      <c r="C473" s="188">
        <v>0.90155004490489921</v>
      </c>
      <c r="D473" s="188">
        <v>0</v>
      </c>
      <c r="E473" s="188">
        <v>-3.6940207907723543</v>
      </c>
      <c r="F473" s="188">
        <v>-4.4997945332843514</v>
      </c>
      <c r="G473" s="188">
        <v>-5.5952872945033159</v>
      </c>
      <c r="H473" s="188">
        <v>0.11339036426924064</v>
      </c>
      <c r="I473" s="189">
        <v>-0.63346147409050702</v>
      </c>
      <c r="J473" s="188">
        <v>0</v>
      </c>
      <c r="K473" s="188">
        <v>-5.7198792103604514</v>
      </c>
      <c r="L473" s="188">
        <v>-4.0662206297204175</v>
      </c>
      <c r="M473" s="188">
        <v>-2.0026193522624682</v>
      </c>
      <c r="N473" s="188">
        <v>0</v>
      </c>
      <c r="O473" s="189">
        <v>-4.5282607688404557</v>
      </c>
      <c r="P473" s="188">
        <v>0</v>
      </c>
      <c r="Q473" s="188">
        <v>0</v>
      </c>
      <c r="R473" s="188">
        <v>0</v>
      </c>
      <c r="S473" s="189">
        <v>0</v>
      </c>
      <c r="T473" s="188">
        <v>0</v>
      </c>
      <c r="U473" s="189">
        <v>0</v>
      </c>
      <c r="V473" s="188">
        <v>0</v>
      </c>
      <c r="W473" s="189">
        <v>0</v>
      </c>
      <c r="X473" s="53">
        <v>-1.4664312567477851</v>
      </c>
      <c r="Y473" s="151"/>
      <c r="Z473" s="151"/>
      <c r="AA473" s="151"/>
      <c r="AB473" s="151"/>
    </row>
    <row r="474" spans="1:28" ht="13.5" thickTop="1">
      <c r="A474" s="147" t="s">
        <v>747</v>
      </c>
      <c r="B474" s="167" t="s">
        <v>754</v>
      </c>
      <c r="C474" s="168">
        <v>385616400</v>
      </c>
      <c r="D474" s="168">
        <v>230169300</v>
      </c>
      <c r="E474" s="168">
        <v>177675700</v>
      </c>
      <c r="F474" s="168">
        <v>36930500</v>
      </c>
      <c r="G474" s="168"/>
      <c r="H474" s="168"/>
      <c r="I474" s="169">
        <v>830391900</v>
      </c>
      <c r="J474" s="168"/>
      <c r="K474" s="168">
        <v>151121200</v>
      </c>
      <c r="L474" s="168">
        <v>134821200</v>
      </c>
      <c r="M474" s="168">
        <v>10781300</v>
      </c>
      <c r="N474" s="168"/>
      <c r="O474" s="169">
        <v>296723700</v>
      </c>
      <c r="P474" s="168"/>
      <c r="Q474" s="168">
        <v>76076100</v>
      </c>
      <c r="R474" s="168"/>
      <c r="S474" s="169">
        <v>76076100</v>
      </c>
      <c r="T474" s="168"/>
      <c r="U474" s="169"/>
      <c r="V474" s="168"/>
      <c r="W474" s="169"/>
      <c r="X474" s="53">
        <v>1203191700</v>
      </c>
      <c r="Y474" s="151"/>
      <c r="Z474" s="151"/>
      <c r="AA474" s="151"/>
      <c r="AB474" s="151"/>
    </row>
    <row r="475" spans="1:28" s="173" customFormat="1" ht="13">
      <c r="A475" s="170"/>
      <c r="B475" s="94" t="s">
        <v>755</v>
      </c>
      <c r="C475" s="171">
        <v>390289600</v>
      </c>
      <c r="D475" s="171">
        <v>230392200</v>
      </c>
      <c r="E475" s="171">
        <v>181288200</v>
      </c>
      <c r="F475" s="171">
        <v>36212200</v>
      </c>
      <c r="G475" s="171"/>
      <c r="H475" s="171"/>
      <c r="I475" s="172">
        <v>838182200</v>
      </c>
      <c r="J475" s="171"/>
      <c r="K475" s="171">
        <v>151976400</v>
      </c>
      <c r="L475" s="171">
        <v>139252100</v>
      </c>
      <c r="M475" s="171">
        <v>11049000</v>
      </c>
      <c r="N475" s="171"/>
      <c r="O475" s="172">
        <v>302277500</v>
      </c>
      <c r="P475" s="171"/>
      <c r="Q475" s="171">
        <v>76509800</v>
      </c>
      <c r="R475" s="171"/>
      <c r="S475" s="172">
        <v>76509800</v>
      </c>
      <c r="T475" s="171"/>
      <c r="U475" s="172"/>
      <c r="V475" s="171"/>
      <c r="W475" s="172"/>
      <c r="X475" s="53">
        <v>1216969500</v>
      </c>
      <c r="Y475" s="151"/>
      <c r="Z475" s="151"/>
      <c r="AA475" s="151"/>
      <c r="AB475" s="151"/>
    </row>
    <row r="476" spans="1:28" s="178" customFormat="1" ht="13">
      <c r="A476" s="174"/>
      <c r="B476" s="175" t="s">
        <v>849</v>
      </c>
      <c r="C476" s="176">
        <v>1.2118779180553525</v>
      </c>
      <c r="D476" s="176">
        <v>9.6841759522229953E-2</v>
      </c>
      <c r="E476" s="176">
        <v>2.0331986872712475</v>
      </c>
      <c r="F476" s="176">
        <v>-1.9450048063253951</v>
      </c>
      <c r="G476" s="176">
        <v>0</v>
      </c>
      <c r="H476" s="176">
        <v>0</v>
      </c>
      <c r="I476" s="177">
        <v>0.93814739763237087</v>
      </c>
      <c r="J476" s="176">
        <v>0</v>
      </c>
      <c r="K476" s="176">
        <v>0.56590339409692358</v>
      </c>
      <c r="L476" s="176">
        <v>3.2865009360545669</v>
      </c>
      <c r="M476" s="176">
        <v>2.4830029773774962</v>
      </c>
      <c r="N476" s="176">
        <v>0</v>
      </c>
      <c r="O476" s="177">
        <v>1.8717075852046869</v>
      </c>
      <c r="P476" s="176">
        <v>0</v>
      </c>
      <c r="Q476" s="176">
        <v>0.57008705756472788</v>
      </c>
      <c r="R476" s="176">
        <v>0</v>
      </c>
      <c r="S476" s="177">
        <v>0.57008705756472788</v>
      </c>
      <c r="T476" s="176">
        <v>0</v>
      </c>
      <c r="U476" s="177">
        <v>0</v>
      </c>
      <c r="V476" s="176">
        <v>0</v>
      </c>
      <c r="W476" s="177">
        <v>0</v>
      </c>
      <c r="X476" s="53">
        <v>1.1451043088146302</v>
      </c>
      <c r="Y476" s="151"/>
      <c r="Z476" s="151"/>
      <c r="AA476" s="151"/>
      <c r="AB476" s="151"/>
    </row>
    <row r="477" spans="1:28" ht="13">
      <c r="A477" s="170"/>
      <c r="B477" s="59" t="s">
        <v>756</v>
      </c>
      <c r="C477" s="179">
        <v>82639700</v>
      </c>
      <c r="D477" s="179">
        <v>10103400</v>
      </c>
      <c r="E477" s="179"/>
      <c r="F477" s="179"/>
      <c r="G477" s="179"/>
      <c r="H477" s="179"/>
      <c r="I477" s="180">
        <v>92743100</v>
      </c>
      <c r="J477" s="179"/>
      <c r="K477" s="179"/>
      <c r="L477" s="179"/>
      <c r="M477" s="179"/>
      <c r="N477" s="179"/>
      <c r="O477" s="180"/>
      <c r="P477" s="179"/>
      <c r="Q477" s="179"/>
      <c r="R477" s="179"/>
      <c r="S477" s="180"/>
      <c r="T477" s="179"/>
      <c r="U477" s="180"/>
      <c r="V477" s="179"/>
      <c r="W477" s="180"/>
      <c r="X477" s="53">
        <v>92743100</v>
      </c>
      <c r="Y477" s="151"/>
      <c r="Z477" s="151"/>
      <c r="AA477" s="151"/>
      <c r="AB477" s="151"/>
    </row>
    <row r="478" spans="1:28" s="173" customFormat="1" ht="13">
      <c r="A478" s="170"/>
      <c r="B478" s="94" t="s">
        <v>757</v>
      </c>
      <c r="C478" s="171">
        <v>83714700</v>
      </c>
      <c r="D478" s="171">
        <v>10179400</v>
      </c>
      <c r="E478" s="171"/>
      <c r="F478" s="171"/>
      <c r="G478" s="171"/>
      <c r="H478" s="171"/>
      <c r="I478" s="172">
        <v>93894100</v>
      </c>
      <c r="J478" s="171"/>
      <c r="K478" s="171"/>
      <c r="L478" s="171"/>
      <c r="M478" s="171"/>
      <c r="N478" s="171"/>
      <c r="O478" s="172"/>
      <c r="P478" s="171"/>
      <c r="Q478" s="171"/>
      <c r="R478" s="171"/>
      <c r="S478" s="172"/>
      <c r="T478" s="171"/>
      <c r="U478" s="172"/>
      <c r="V478" s="171"/>
      <c r="W478" s="172"/>
      <c r="X478" s="53">
        <v>93894100</v>
      </c>
      <c r="Y478" s="151"/>
      <c r="Z478" s="151"/>
      <c r="AA478" s="151"/>
      <c r="AB478" s="151"/>
    </row>
    <row r="479" spans="1:28" s="178" customFormat="1" ht="13">
      <c r="A479" s="170"/>
      <c r="B479" s="175" t="s">
        <v>850</v>
      </c>
      <c r="C479" s="176">
        <v>1.3008275683479005</v>
      </c>
      <c r="D479" s="176">
        <v>0.75222202426905793</v>
      </c>
      <c r="E479" s="176">
        <v>0</v>
      </c>
      <c r="F479" s="176">
        <v>0</v>
      </c>
      <c r="G479" s="176">
        <v>0</v>
      </c>
      <c r="H479" s="176">
        <v>0</v>
      </c>
      <c r="I479" s="177">
        <v>1.2410626774390763</v>
      </c>
      <c r="J479" s="176">
        <v>0</v>
      </c>
      <c r="K479" s="176">
        <v>0</v>
      </c>
      <c r="L479" s="176">
        <v>0</v>
      </c>
      <c r="M479" s="176">
        <v>0</v>
      </c>
      <c r="N479" s="176">
        <v>0</v>
      </c>
      <c r="O479" s="177">
        <v>0</v>
      </c>
      <c r="P479" s="176">
        <v>0</v>
      </c>
      <c r="Q479" s="176">
        <v>0</v>
      </c>
      <c r="R479" s="176">
        <v>0</v>
      </c>
      <c r="S479" s="177">
        <v>0</v>
      </c>
      <c r="T479" s="176">
        <v>0</v>
      </c>
      <c r="U479" s="177">
        <v>0</v>
      </c>
      <c r="V479" s="176">
        <v>0</v>
      </c>
      <c r="W479" s="177">
        <v>0</v>
      </c>
      <c r="X479" s="53">
        <v>1.2410626774390763</v>
      </c>
      <c r="Y479" s="151"/>
      <c r="Z479" s="151"/>
      <c r="AA479" s="151"/>
      <c r="AB479" s="151"/>
    </row>
    <row r="480" spans="1:28" ht="13">
      <c r="A480" s="170"/>
      <c r="B480" s="59" t="s">
        <v>758</v>
      </c>
      <c r="C480" s="179"/>
      <c r="D480" s="179"/>
      <c r="E480" s="179"/>
      <c r="F480" s="179"/>
      <c r="G480" s="179"/>
      <c r="H480" s="179"/>
      <c r="I480" s="180"/>
      <c r="J480" s="179"/>
      <c r="K480" s="179"/>
      <c r="L480" s="179"/>
      <c r="M480" s="179"/>
      <c r="N480" s="179"/>
      <c r="O480" s="180"/>
      <c r="P480" s="179"/>
      <c r="Q480" s="179"/>
      <c r="R480" s="179"/>
      <c r="S480" s="180"/>
      <c r="T480" s="179"/>
      <c r="U480" s="180"/>
      <c r="V480" s="179"/>
      <c r="W480" s="180"/>
      <c r="X480" s="53"/>
      <c r="Y480" s="151"/>
      <c r="Z480" s="151"/>
      <c r="AA480" s="151"/>
      <c r="AB480" s="151"/>
    </row>
    <row r="481" spans="1:28" s="173" customFormat="1" ht="13">
      <c r="A481" s="170"/>
      <c r="B481" s="94" t="s">
        <v>759</v>
      </c>
      <c r="C481" s="171"/>
      <c r="D481" s="171"/>
      <c r="E481" s="171"/>
      <c r="F481" s="171"/>
      <c r="G481" s="171"/>
      <c r="H481" s="171"/>
      <c r="I481" s="172"/>
      <c r="J481" s="171"/>
      <c r="K481" s="171"/>
      <c r="L481" s="171"/>
      <c r="M481" s="171"/>
      <c r="N481" s="171"/>
      <c r="O481" s="172"/>
      <c r="P481" s="171"/>
      <c r="Q481" s="171"/>
      <c r="R481" s="171"/>
      <c r="S481" s="172"/>
      <c r="T481" s="171"/>
      <c r="U481" s="172"/>
      <c r="V481" s="171"/>
      <c r="W481" s="172"/>
      <c r="X481" s="53"/>
      <c r="Y481" s="151"/>
      <c r="Z481" s="151"/>
      <c r="AA481" s="151"/>
      <c r="AB481" s="151"/>
    </row>
    <row r="482" spans="1:28" s="178" customFormat="1" ht="13">
      <c r="A482" s="170"/>
      <c r="B482" s="175" t="s">
        <v>851</v>
      </c>
      <c r="C482" s="176">
        <v>0</v>
      </c>
      <c r="D482" s="176">
        <v>0</v>
      </c>
      <c r="E482" s="176">
        <v>0</v>
      </c>
      <c r="F482" s="176">
        <v>0</v>
      </c>
      <c r="G482" s="176">
        <v>0</v>
      </c>
      <c r="H482" s="176">
        <v>0</v>
      </c>
      <c r="I482" s="177">
        <v>0</v>
      </c>
      <c r="J482" s="176">
        <v>0</v>
      </c>
      <c r="K482" s="176">
        <v>0</v>
      </c>
      <c r="L482" s="176">
        <v>0</v>
      </c>
      <c r="M482" s="176">
        <v>0</v>
      </c>
      <c r="N482" s="176">
        <v>0</v>
      </c>
      <c r="O482" s="177">
        <v>0</v>
      </c>
      <c r="P482" s="176">
        <v>0</v>
      </c>
      <c r="Q482" s="176">
        <v>0</v>
      </c>
      <c r="R482" s="176">
        <v>0</v>
      </c>
      <c r="S482" s="177">
        <v>0</v>
      </c>
      <c r="T482" s="176">
        <v>0</v>
      </c>
      <c r="U482" s="177">
        <v>0</v>
      </c>
      <c r="V482" s="176">
        <v>0</v>
      </c>
      <c r="W482" s="177">
        <v>0</v>
      </c>
      <c r="X482" s="53">
        <v>0</v>
      </c>
      <c r="Y482" s="151"/>
      <c r="Z482" s="151"/>
      <c r="AA482" s="151"/>
      <c r="AB482" s="151"/>
    </row>
    <row r="483" spans="1:28" ht="13">
      <c r="A483" s="170"/>
      <c r="B483" s="59" t="s">
        <v>760</v>
      </c>
      <c r="C483" s="179">
        <v>539390818</v>
      </c>
      <c r="D483" s="179">
        <v>366985122</v>
      </c>
      <c r="E483" s="179">
        <v>251246642</v>
      </c>
      <c r="F483" s="179">
        <v>54847182</v>
      </c>
      <c r="G483" s="179"/>
      <c r="H483" s="179"/>
      <c r="I483" s="180">
        <v>1212469764</v>
      </c>
      <c r="J483" s="179"/>
      <c r="K483" s="179">
        <v>151835400</v>
      </c>
      <c r="L483" s="179">
        <v>132398971</v>
      </c>
      <c r="M483" s="179">
        <v>9144900</v>
      </c>
      <c r="N483" s="179"/>
      <c r="O483" s="180">
        <v>293379271</v>
      </c>
      <c r="P483" s="179"/>
      <c r="Q483" s="179">
        <v>39155550</v>
      </c>
      <c r="R483" s="179"/>
      <c r="S483" s="180">
        <v>39155550</v>
      </c>
      <c r="T483" s="179">
        <v>0</v>
      </c>
      <c r="U483" s="180">
        <v>0</v>
      </c>
      <c r="V483" s="179"/>
      <c r="W483" s="180"/>
      <c r="X483" s="53">
        <v>1545004585</v>
      </c>
      <c r="Y483" s="151"/>
      <c r="Z483" s="151"/>
      <c r="AA483" s="151"/>
      <c r="AB483" s="151"/>
    </row>
    <row r="484" spans="1:28" s="173" customFormat="1" ht="13">
      <c r="A484" s="170"/>
      <c r="B484" s="94" t="s">
        <v>761</v>
      </c>
      <c r="C484" s="171">
        <v>563557718</v>
      </c>
      <c r="D484" s="171">
        <v>359892982</v>
      </c>
      <c r="E484" s="171">
        <v>248827790</v>
      </c>
      <c r="F484" s="171">
        <v>54936182</v>
      </c>
      <c r="G484" s="171"/>
      <c r="H484" s="171"/>
      <c r="I484" s="172">
        <v>1227214672</v>
      </c>
      <c r="J484" s="171"/>
      <c r="K484" s="171">
        <v>137744243</v>
      </c>
      <c r="L484" s="171">
        <v>119889290</v>
      </c>
      <c r="M484" s="171">
        <v>8579900</v>
      </c>
      <c r="N484" s="171"/>
      <c r="O484" s="172">
        <v>266213433</v>
      </c>
      <c r="P484" s="171"/>
      <c r="Q484" s="171">
        <v>39680594</v>
      </c>
      <c r="R484" s="171"/>
      <c r="S484" s="172">
        <v>39680594</v>
      </c>
      <c r="T484" s="171"/>
      <c r="U484" s="172"/>
      <c r="V484" s="171"/>
      <c r="W484" s="172"/>
      <c r="X484" s="53">
        <v>1533108699</v>
      </c>
      <c r="Y484" s="151"/>
      <c r="Z484" s="151"/>
      <c r="AA484" s="151"/>
      <c r="AB484" s="151"/>
    </row>
    <row r="485" spans="1:28" s="178" customFormat="1" ht="13">
      <c r="A485" s="170"/>
      <c r="B485" s="175" t="s">
        <v>852</v>
      </c>
      <c r="C485" s="176">
        <v>4.4804062645352634</v>
      </c>
      <c r="D485" s="176">
        <v>-1.9325415595458391</v>
      </c>
      <c r="E485" s="176">
        <v>-0.96274003136726494</v>
      </c>
      <c r="F485" s="176">
        <v>0.16226904784278615</v>
      </c>
      <c r="G485" s="176">
        <v>0</v>
      </c>
      <c r="H485" s="176">
        <v>0</v>
      </c>
      <c r="I485" s="177">
        <v>1.2161052125007878</v>
      </c>
      <c r="J485" s="176">
        <v>0</v>
      </c>
      <c r="K485" s="176">
        <v>-9.2805478827730568</v>
      </c>
      <c r="L485" s="176">
        <v>-9.4484729794463433</v>
      </c>
      <c r="M485" s="176">
        <v>-6.1783070345219739</v>
      </c>
      <c r="N485" s="176">
        <v>0</v>
      </c>
      <c r="O485" s="177">
        <v>-9.2596310255334977</v>
      </c>
      <c r="P485" s="176">
        <v>0</v>
      </c>
      <c r="Q485" s="176">
        <v>1.3409184649430286</v>
      </c>
      <c r="R485" s="176">
        <v>0</v>
      </c>
      <c r="S485" s="177">
        <v>1.3409184649430286</v>
      </c>
      <c r="T485" s="176">
        <v>0</v>
      </c>
      <c r="U485" s="177">
        <v>0</v>
      </c>
      <c r="V485" s="176">
        <v>0</v>
      </c>
      <c r="W485" s="177">
        <v>0</v>
      </c>
      <c r="X485" s="53">
        <v>-0.76995797394348831</v>
      </c>
      <c r="Y485" s="151"/>
      <c r="Z485" s="151"/>
      <c r="AA485" s="151"/>
      <c r="AB485" s="151"/>
    </row>
    <row r="486" spans="1:28" ht="13">
      <c r="A486" s="170"/>
      <c r="B486" s="59" t="s">
        <v>853</v>
      </c>
      <c r="C486" s="179">
        <v>19572000</v>
      </c>
      <c r="D486" s="179">
        <v>15377700</v>
      </c>
      <c r="E486" s="179">
        <v>7691800</v>
      </c>
      <c r="F486" s="179">
        <v>1730000</v>
      </c>
      <c r="G486" s="179"/>
      <c r="H486" s="179"/>
      <c r="I486" s="180">
        <v>44371500</v>
      </c>
      <c r="J486" s="179"/>
      <c r="K486" s="179">
        <v>300000</v>
      </c>
      <c r="L486" s="179">
        <v>230000</v>
      </c>
      <c r="M486" s="179">
        <v>0</v>
      </c>
      <c r="N486" s="179"/>
      <c r="O486" s="180">
        <v>530000</v>
      </c>
      <c r="P486" s="179"/>
      <c r="Q486" s="179">
        <v>0</v>
      </c>
      <c r="R486" s="179"/>
      <c r="S486" s="180">
        <v>0</v>
      </c>
      <c r="T486" s="179">
        <v>0</v>
      </c>
      <c r="U486" s="180">
        <v>0</v>
      </c>
      <c r="V486" s="179"/>
      <c r="W486" s="180"/>
      <c r="X486" s="53">
        <v>44901500</v>
      </c>
      <c r="Y486" s="151"/>
      <c r="Z486" s="151"/>
      <c r="AA486" s="151"/>
      <c r="AB486" s="151"/>
    </row>
    <row r="487" spans="1:28" s="173" customFormat="1" ht="13">
      <c r="A487" s="170"/>
      <c r="B487" s="94" t="s">
        <v>854</v>
      </c>
      <c r="C487" s="171">
        <v>20172000</v>
      </c>
      <c r="D487" s="171">
        <v>15286700</v>
      </c>
      <c r="E487" s="171">
        <v>7808620</v>
      </c>
      <c r="F487" s="171">
        <v>1700000</v>
      </c>
      <c r="G487" s="171"/>
      <c r="H487" s="171"/>
      <c r="I487" s="172">
        <v>44967320</v>
      </c>
      <c r="J487" s="171"/>
      <c r="K487" s="171">
        <v>130000</v>
      </c>
      <c r="L487" s="171">
        <v>230000</v>
      </c>
      <c r="M487" s="171">
        <v>0</v>
      </c>
      <c r="N487" s="171"/>
      <c r="O487" s="172">
        <v>360000</v>
      </c>
      <c r="P487" s="171"/>
      <c r="Q487" s="171">
        <v>0</v>
      </c>
      <c r="R487" s="171"/>
      <c r="S487" s="172">
        <v>0</v>
      </c>
      <c r="T487" s="171"/>
      <c r="U487" s="172"/>
      <c r="V487" s="171"/>
      <c r="W487" s="172"/>
      <c r="X487" s="53">
        <v>45327320</v>
      </c>
      <c r="Y487" s="151"/>
      <c r="Z487" s="151"/>
      <c r="AA487" s="151"/>
      <c r="AB487" s="151"/>
    </row>
    <row r="488" spans="1:28" s="178" customFormat="1" ht="13">
      <c r="A488" s="170"/>
      <c r="B488" s="175" t="s">
        <v>855</v>
      </c>
      <c r="C488" s="176">
        <v>3.0656039239730228</v>
      </c>
      <c r="D488" s="176">
        <v>-0.59176599881646796</v>
      </c>
      <c r="E488" s="176">
        <v>1.5187602381757197</v>
      </c>
      <c r="F488" s="176">
        <v>-1.7341040462427744</v>
      </c>
      <c r="G488" s="176">
        <v>0</v>
      </c>
      <c r="H488" s="176">
        <v>0</v>
      </c>
      <c r="I488" s="177">
        <v>1.3427988686431607</v>
      </c>
      <c r="J488" s="176">
        <v>0</v>
      </c>
      <c r="K488" s="176">
        <v>-56.666666666666664</v>
      </c>
      <c r="L488" s="176">
        <v>0</v>
      </c>
      <c r="M488" s="176">
        <v>0</v>
      </c>
      <c r="N488" s="176">
        <v>0</v>
      </c>
      <c r="O488" s="177">
        <v>-32.075471698113205</v>
      </c>
      <c r="P488" s="176">
        <v>0</v>
      </c>
      <c r="Q488" s="176">
        <v>0</v>
      </c>
      <c r="R488" s="176">
        <v>0</v>
      </c>
      <c r="S488" s="177">
        <v>0</v>
      </c>
      <c r="T488" s="176">
        <v>0</v>
      </c>
      <c r="U488" s="177">
        <v>0</v>
      </c>
      <c r="V488" s="176">
        <v>0</v>
      </c>
      <c r="W488" s="177">
        <v>0</v>
      </c>
      <c r="X488" s="53">
        <v>0.94834248299054591</v>
      </c>
      <c r="Y488" s="151"/>
      <c r="Z488" s="151"/>
      <c r="AA488" s="151"/>
      <c r="AB488" s="151"/>
    </row>
    <row r="489" spans="1:28" ht="13">
      <c r="A489" s="170"/>
      <c r="B489" s="183" t="s">
        <v>856</v>
      </c>
      <c r="C489" s="180">
        <v>558962818</v>
      </c>
      <c r="D489" s="180">
        <v>382362822</v>
      </c>
      <c r="E489" s="180">
        <v>258938442</v>
      </c>
      <c r="F489" s="180">
        <v>56577182</v>
      </c>
      <c r="G489" s="180"/>
      <c r="H489" s="180"/>
      <c r="I489" s="180">
        <v>1256841264</v>
      </c>
      <c r="J489" s="180"/>
      <c r="K489" s="180">
        <v>152135400</v>
      </c>
      <c r="L489" s="180">
        <v>132628971</v>
      </c>
      <c r="M489" s="180">
        <v>9144900</v>
      </c>
      <c r="N489" s="180"/>
      <c r="O489" s="180">
        <v>293909271</v>
      </c>
      <c r="P489" s="180"/>
      <c r="Q489" s="180">
        <v>39155550</v>
      </c>
      <c r="R489" s="180"/>
      <c r="S489" s="180">
        <v>39155550</v>
      </c>
      <c r="T489" s="180">
        <v>0</v>
      </c>
      <c r="U489" s="180">
        <v>0</v>
      </c>
      <c r="V489" s="180"/>
      <c r="W489" s="180"/>
      <c r="X489" s="53">
        <v>1589906085</v>
      </c>
      <c r="Y489" s="151"/>
      <c r="Z489" s="151"/>
      <c r="AA489" s="151"/>
      <c r="AB489" s="151"/>
    </row>
    <row r="490" spans="1:28" s="173" customFormat="1" ht="13">
      <c r="A490" s="170"/>
      <c r="B490" s="184" t="s">
        <v>857</v>
      </c>
      <c r="C490" s="172">
        <v>583729718</v>
      </c>
      <c r="D490" s="172">
        <v>375179682</v>
      </c>
      <c r="E490" s="172">
        <v>256636410</v>
      </c>
      <c r="F490" s="172">
        <v>56636182</v>
      </c>
      <c r="G490" s="172"/>
      <c r="H490" s="172"/>
      <c r="I490" s="172">
        <v>1272181992</v>
      </c>
      <c r="J490" s="172"/>
      <c r="K490" s="172">
        <v>137874243</v>
      </c>
      <c r="L490" s="172">
        <v>120119290</v>
      </c>
      <c r="M490" s="172">
        <v>8579900</v>
      </c>
      <c r="N490" s="172"/>
      <c r="O490" s="172">
        <v>266573433</v>
      </c>
      <c r="P490" s="172"/>
      <c r="Q490" s="172">
        <v>39680594</v>
      </c>
      <c r="R490" s="172"/>
      <c r="S490" s="172">
        <v>39680594</v>
      </c>
      <c r="T490" s="172">
        <v>0</v>
      </c>
      <c r="U490" s="172">
        <v>0</v>
      </c>
      <c r="V490" s="172"/>
      <c r="W490" s="172"/>
      <c r="X490" s="53">
        <v>1578436019</v>
      </c>
      <c r="Y490" s="151"/>
      <c r="Z490" s="151"/>
      <c r="AA490" s="151"/>
      <c r="AB490" s="151"/>
    </row>
    <row r="491" spans="1:28" s="178" customFormat="1" ht="13">
      <c r="A491" s="170"/>
      <c r="B491" s="185" t="s">
        <v>858</v>
      </c>
      <c r="C491" s="177">
        <v>4.4308671708464153</v>
      </c>
      <c r="D491" s="177">
        <v>-1.8786188370583792</v>
      </c>
      <c r="E491" s="177">
        <v>-0.88902674404752924</v>
      </c>
      <c r="F491" s="177">
        <v>0.10428232356995087</v>
      </c>
      <c r="G491" s="177">
        <v>0</v>
      </c>
      <c r="H491" s="177">
        <v>0</v>
      </c>
      <c r="I491" s="177">
        <v>1.2205780029195477</v>
      </c>
      <c r="J491" s="177">
        <v>0</v>
      </c>
      <c r="K491" s="177">
        <v>-9.3739898800673611</v>
      </c>
      <c r="L491" s="177">
        <v>-9.4320878053106512</v>
      </c>
      <c r="M491" s="177">
        <v>-6.1783070345219739</v>
      </c>
      <c r="N491" s="177">
        <v>0</v>
      </c>
      <c r="O491" s="177">
        <v>-9.3007743195688448</v>
      </c>
      <c r="P491" s="177">
        <v>0</v>
      </c>
      <c r="Q491" s="177">
        <v>1.3409184649430286</v>
      </c>
      <c r="R491" s="177">
        <v>0</v>
      </c>
      <c r="S491" s="177">
        <v>1.3409184649430286</v>
      </c>
      <c r="T491" s="177">
        <v>0</v>
      </c>
      <c r="U491" s="177">
        <v>0</v>
      </c>
      <c r="V491" s="177">
        <v>0</v>
      </c>
      <c r="W491" s="177">
        <v>0</v>
      </c>
      <c r="X491" s="53">
        <v>-0.72143041077800518</v>
      </c>
      <c r="Y491" s="151"/>
      <c r="Z491" s="151"/>
      <c r="AA491" s="151"/>
      <c r="AB491" s="151"/>
    </row>
    <row r="492" spans="1:28" ht="13">
      <c r="A492" s="170"/>
      <c r="B492" s="59" t="s">
        <v>859</v>
      </c>
      <c r="C492" s="179"/>
      <c r="D492" s="179"/>
      <c r="E492" s="179"/>
      <c r="F492" s="179"/>
      <c r="G492" s="179"/>
      <c r="H492" s="179"/>
      <c r="I492" s="180"/>
      <c r="J492" s="179"/>
      <c r="K492" s="179"/>
      <c r="L492" s="179"/>
      <c r="M492" s="179"/>
      <c r="N492" s="179"/>
      <c r="O492" s="180"/>
      <c r="P492" s="179"/>
      <c r="Q492" s="179"/>
      <c r="R492" s="179"/>
      <c r="S492" s="180"/>
      <c r="T492" s="179">
        <v>10340800</v>
      </c>
      <c r="U492" s="180">
        <v>10340800</v>
      </c>
      <c r="V492" s="179"/>
      <c r="W492" s="180"/>
      <c r="X492" s="53">
        <v>10340800</v>
      </c>
      <c r="Y492" s="151"/>
      <c r="Z492" s="151"/>
      <c r="AA492" s="151"/>
      <c r="AB492" s="151"/>
    </row>
    <row r="493" spans="1:28" s="173" customFormat="1" ht="13">
      <c r="A493" s="170"/>
      <c r="B493" s="94" t="s">
        <v>860</v>
      </c>
      <c r="C493" s="171"/>
      <c r="D493" s="171"/>
      <c r="E493" s="171"/>
      <c r="F493" s="171"/>
      <c r="G493" s="171"/>
      <c r="H493" s="171"/>
      <c r="I493" s="172"/>
      <c r="J493" s="171"/>
      <c r="K493" s="171"/>
      <c r="L493" s="171"/>
      <c r="M493" s="171"/>
      <c r="N493" s="171"/>
      <c r="O493" s="172"/>
      <c r="P493" s="171"/>
      <c r="Q493" s="171"/>
      <c r="R493" s="171"/>
      <c r="S493" s="172"/>
      <c r="T493" s="171">
        <v>10914900</v>
      </c>
      <c r="U493" s="172">
        <v>10914900</v>
      </c>
      <c r="V493" s="171"/>
      <c r="W493" s="172"/>
      <c r="X493" s="53">
        <v>10914900</v>
      </c>
      <c r="Y493" s="151"/>
      <c r="Z493" s="151"/>
      <c r="AA493" s="151"/>
      <c r="AB493" s="151"/>
    </row>
    <row r="494" spans="1:28" s="178" customFormat="1" ht="13">
      <c r="A494" s="170"/>
      <c r="B494" s="175" t="s">
        <v>861</v>
      </c>
      <c r="C494" s="176">
        <v>0</v>
      </c>
      <c r="D494" s="176">
        <v>0</v>
      </c>
      <c r="E494" s="176">
        <v>0</v>
      </c>
      <c r="F494" s="176">
        <v>0</v>
      </c>
      <c r="G494" s="176">
        <v>0</v>
      </c>
      <c r="H494" s="176">
        <v>0</v>
      </c>
      <c r="I494" s="177">
        <v>0</v>
      </c>
      <c r="J494" s="176">
        <v>0</v>
      </c>
      <c r="K494" s="176">
        <v>0</v>
      </c>
      <c r="L494" s="176">
        <v>0</v>
      </c>
      <c r="M494" s="176">
        <v>0</v>
      </c>
      <c r="N494" s="176">
        <v>0</v>
      </c>
      <c r="O494" s="177">
        <v>0</v>
      </c>
      <c r="P494" s="176">
        <v>0</v>
      </c>
      <c r="Q494" s="176">
        <v>0</v>
      </c>
      <c r="R494" s="176">
        <v>0</v>
      </c>
      <c r="S494" s="177">
        <v>0</v>
      </c>
      <c r="T494" s="176">
        <v>5.5517948321213062</v>
      </c>
      <c r="U494" s="177">
        <v>5.5517948321213062</v>
      </c>
      <c r="V494" s="176">
        <v>0</v>
      </c>
      <c r="W494" s="177">
        <v>0</v>
      </c>
      <c r="X494" s="53">
        <v>5.5517948321213062</v>
      </c>
      <c r="Y494" s="151"/>
      <c r="Z494" s="151"/>
      <c r="AA494" s="151"/>
      <c r="AB494" s="151"/>
    </row>
    <row r="495" spans="1:28" ht="13">
      <c r="A495" s="170"/>
      <c r="B495" s="59" t="s">
        <v>862</v>
      </c>
      <c r="C495" s="179"/>
      <c r="D495" s="179"/>
      <c r="E495" s="179"/>
      <c r="F495" s="179"/>
      <c r="G495" s="179"/>
      <c r="H495" s="179"/>
      <c r="I495" s="180"/>
      <c r="J495" s="179"/>
      <c r="K495" s="179"/>
      <c r="L495" s="179"/>
      <c r="M495" s="179"/>
      <c r="N495" s="179"/>
      <c r="O495" s="180"/>
      <c r="P495" s="179"/>
      <c r="Q495" s="179"/>
      <c r="R495" s="179"/>
      <c r="S495" s="180"/>
      <c r="T495" s="179">
        <v>1095000</v>
      </c>
      <c r="U495" s="180">
        <v>1095000</v>
      </c>
      <c r="V495" s="179"/>
      <c r="W495" s="180"/>
      <c r="X495" s="53">
        <v>1095000</v>
      </c>
      <c r="Y495" s="151"/>
      <c r="Z495" s="151"/>
      <c r="AA495" s="151"/>
      <c r="AB495" s="151"/>
    </row>
    <row r="496" spans="1:28" s="173" customFormat="1" ht="13">
      <c r="A496" s="170"/>
      <c r="B496" s="94" t="s">
        <v>863</v>
      </c>
      <c r="C496" s="171"/>
      <c r="D496" s="171"/>
      <c r="E496" s="171"/>
      <c r="F496" s="171"/>
      <c r="G496" s="171"/>
      <c r="H496" s="171"/>
      <c r="I496" s="172"/>
      <c r="J496" s="171"/>
      <c r="K496" s="171"/>
      <c r="L496" s="171"/>
      <c r="M496" s="171"/>
      <c r="N496" s="171"/>
      <c r="O496" s="172"/>
      <c r="P496" s="171"/>
      <c r="Q496" s="171"/>
      <c r="R496" s="171"/>
      <c r="S496" s="172"/>
      <c r="T496" s="171">
        <v>997918</v>
      </c>
      <c r="U496" s="172">
        <v>997918</v>
      </c>
      <c r="V496" s="171"/>
      <c r="W496" s="172"/>
      <c r="X496" s="53">
        <v>997918</v>
      </c>
      <c r="Y496" s="151"/>
      <c r="Z496" s="151"/>
      <c r="AA496" s="151"/>
      <c r="AB496" s="151"/>
    </row>
    <row r="497" spans="1:28" s="178" customFormat="1" ht="13">
      <c r="A497" s="170"/>
      <c r="B497" s="175" t="s">
        <v>864</v>
      </c>
      <c r="C497" s="176">
        <v>0</v>
      </c>
      <c r="D497" s="176">
        <v>0</v>
      </c>
      <c r="E497" s="176">
        <v>0</v>
      </c>
      <c r="F497" s="176">
        <v>0</v>
      </c>
      <c r="G497" s="176">
        <v>0</v>
      </c>
      <c r="H497" s="176">
        <v>0</v>
      </c>
      <c r="I497" s="177">
        <v>0</v>
      </c>
      <c r="J497" s="176">
        <v>0</v>
      </c>
      <c r="K497" s="176">
        <v>0</v>
      </c>
      <c r="L497" s="176">
        <v>0</v>
      </c>
      <c r="M497" s="176">
        <v>0</v>
      </c>
      <c r="N497" s="176">
        <v>0</v>
      </c>
      <c r="O497" s="177">
        <v>0</v>
      </c>
      <c r="P497" s="176">
        <v>0</v>
      </c>
      <c r="Q497" s="176">
        <v>0</v>
      </c>
      <c r="R497" s="176">
        <v>0</v>
      </c>
      <c r="S497" s="177">
        <v>0</v>
      </c>
      <c r="T497" s="181">
        <v>-8.8659360730593608</v>
      </c>
      <c r="U497" s="177">
        <v>-8.8659360730593608</v>
      </c>
      <c r="V497" s="176">
        <v>0</v>
      </c>
      <c r="W497" s="177">
        <v>0</v>
      </c>
      <c r="X497" s="53">
        <v>-8.8659360730593608</v>
      </c>
      <c r="Y497" s="151"/>
      <c r="Z497" s="151"/>
      <c r="AA497" s="151"/>
      <c r="AB497" s="151"/>
    </row>
    <row r="498" spans="1:28" ht="13">
      <c r="A498" s="170"/>
      <c r="B498" s="59" t="s">
        <v>865</v>
      </c>
      <c r="C498" s="179"/>
      <c r="D498" s="179"/>
      <c r="E498" s="179"/>
      <c r="F498" s="179"/>
      <c r="G498" s="179"/>
      <c r="H498" s="179"/>
      <c r="I498" s="180"/>
      <c r="J498" s="179"/>
      <c r="K498" s="179"/>
      <c r="L498" s="179"/>
      <c r="M498" s="179"/>
      <c r="N498" s="179"/>
      <c r="O498" s="180"/>
      <c r="P498" s="179"/>
      <c r="Q498" s="179"/>
      <c r="R498" s="179"/>
      <c r="S498" s="180"/>
      <c r="T498" s="179">
        <v>0</v>
      </c>
      <c r="U498" s="180">
        <v>0</v>
      </c>
      <c r="V498" s="179"/>
      <c r="W498" s="180"/>
      <c r="X498" s="53">
        <v>0</v>
      </c>
      <c r="Y498" s="151"/>
      <c r="Z498" s="151"/>
      <c r="AA498" s="151"/>
      <c r="AB498" s="151"/>
    </row>
    <row r="499" spans="1:28" s="173" customFormat="1" ht="13">
      <c r="A499" s="170"/>
      <c r="B499" s="94" t="s">
        <v>866</v>
      </c>
      <c r="C499" s="171"/>
      <c r="D499" s="171"/>
      <c r="E499" s="171"/>
      <c r="F499" s="171"/>
      <c r="G499" s="171"/>
      <c r="H499" s="171"/>
      <c r="I499" s="172"/>
      <c r="J499" s="171"/>
      <c r="K499" s="171"/>
      <c r="L499" s="171"/>
      <c r="M499" s="171"/>
      <c r="N499" s="171"/>
      <c r="O499" s="172"/>
      <c r="P499" s="171"/>
      <c r="Q499" s="171"/>
      <c r="R499" s="171"/>
      <c r="S499" s="172"/>
      <c r="T499" s="171">
        <v>0</v>
      </c>
      <c r="U499" s="172">
        <v>0</v>
      </c>
      <c r="V499" s="171"/>
      <c r="W499" s="172"/>
      <c r="X499" s="53">
        <v>0</v>
      </c>
      <c r="Y499" s="151"/>
      <c r="Z499" s="151"/>
      <c r="AA499" s="151"/>
      <c r="AB499" s="151"/>
    </row>
    <row r="500" spans="1:28" s="178" customFormat="1" ht="13">
      <c r="A500" s="170"/>
      <c r="B500" s="175" t="s">
        <v>867</v>
      </c>
      <c r="C500" s="176">
        <v>0</v>
      </c>
      <c r="D500" s="176">
        <v>0</v>
      </c>
      <c r="E500" s="176">
        <v>0</v>
      </c>
      <c r="F500" s="176">
        <v>0</v>
      </c>
      <c r="G500" s="176">
        <v>0</v>
      </c>
      <c r="H500" s="176">
        <v>0</v>
      </c>
      <c r="I500" s="177">
        <v>0</v>
      </c>
      <c r="J500" s="176">
        <v>0</v>
      </c>
      <c r="K500" s="176">
        <v>0</v>
      </c>
      <c r="L500" s="176">
        <v>0</v>
      </c>
      <c r="M500" s="176">
        <v>0</v>
      </c>
      <c r="N500" s="176">
        <v>0</v>
      </c>
      <c r="O500" s="177">
        <v>0</v>
      </c>
      <c r="P500" s="176">
        <v>0</v>
      </c>
      <c r="Q500" s="176">
        <v>0</v>
      </c>
      <c r="R500" s="176">
        <v>0</v>
      </c>
      <c r="S500" s="177">
        <v>0</v>
      </c>
      <c r="T500" s="176">
        <v>0</v>
      </c>
      <c r="U500" s="177">
        <v>0</v>
      </c>
      <c r="V500" s="176">
        <v>0</v>
      </c>
      <c r="W500" s="177">
        <v>0</v>
      </c>
      <c r="X500" s="53">
        <v>0</v>
      </c>
      <c r="Y500" s="151"/>
      <c r="Z500" s="151"/>
      <c r="AA500" s="151"/>
      <c r="AB500" s="151"/>
    </row>
    <row r="501" spans="1:28" ht="13">
      <c r="A501" s="170"/>
      <c r="B501" s="59" t="s">
        <v>868</v>
      </c>
      <c r="C501" s="179">
        <v>0</v>
      </c>
      <c r="D501" s="179">
        <v>0</v>
      </c>
      <c r="E501" s="179">
        <v>0</v>
      </c>
      <c r="F501" s="179">
        <v>0</v>
      </c>
      <c r="G501" s="179"/>
      <c r="H501" s="179"/>
      <c r="I501" s="180">
        <v>0</v>
      </c>
      <c r="J501" s="179"/>
      <c r="K501" s="179">
        <v>0</v>
      </c>
      <c r="L501" s="179">
        <v>0</v>
      </c>
      <c r="M501" s="179">
        <v>0</v>
      </c>
      <c r="N501" s="179"/>
      <c r="O501" s="180">
        <v>0</v>
      </c>
      <c r="P501" s="179"/>
      <c r="Q501" s="179">
        <v>0</v>
      </c>
      <c r="R501" s="179"/>
      <c r="S501" s="180">
        <v>0</v>
      </c>
      <c r="T501" s="179">
        <v>1095000</v>
      </c>
      <c r="U501" s="180">
        <v>1095000</v>
      </c>
      <c r="V501" s="179"/>
      <c r="W501" s="180"/>
      <c r="X501" s="53">
        <v>1095000</v>
      </c>
      <c r="Y501" s="151"/>
      <c r="Z501" s="151"/>
      <c r="AA501" s="151"/>
      <c r="AB501" s="151"/>
    </row>
    <row r="502" spans="1:28" s="173" customFormat="1" ht="13">
      <c r="A502" s="170"/>
      <c r="B502" s="94" t="s">
        <v>869</v>
      </c>
      <c r="C502" s="171">
        <v>0</v>
      </c>
      <c r="D502" s="171">
        <v>0</v>
      </c>
      <c r="E502" s="171">
        <v>0</v>
      </c>
      <c r="F502" s="171">
        <v>0</v>
      </c>
      <c r="G502" s="171"/>
      <c r="H502" s="171"/>
      <c r="I502" s="172">
        <v>0</v>
      </c>
      <c r="J502" s="171"/>
      <c r="K502" s="171">
        <v>0</v>
      </c>
      <c r="L502" s="171">
        <v>0</v>
      </c>
      <c r="M502" s="171">
        <v>0</v>
      </c>
      <c r="N502" s="171"/>
      <c r="O502" s="172">
        <v>0</v>
      </c>
      <c r="P502" s="171"/>
      <c r="Q502" s="171">
        <v>0</v>
      </c>
      <c r="R502" s="171"/>
      <c r="S502" s="172">
        <v>0</v>
      </c>
      <c r="T502" s="171">
        <v>997918</v>
      </c>
      <c r="U502" s="172">
        <v>997918</v>
      </c>
      <c r="V502" s="171"/>
      <c r="W502" s="172"/>
      <c r="X502" s="53">
        <v>997918</v>
      </c>
      <c r="Y502" s="151"/>
      <c r="Z502" s="151"/>
      <c r="AA502" s="151"/>
      <c r="AB502" s="151"/>
    </row>
    <row r="503" spans="1:28" s="178" customFormat="1" ht="13">
      <c r="A503" s="170"/>
      <c r="B503" s="175" t="s">
        <v>870</v>
      </c>
      <c r="C503" s="176">
        <v>0</v>
      </c>
      <c r="D503" s="176">
        <v>0</v>
      </c>
      <c r="E503" s="176">
        <v>0</v>
      </c>
      <c r="F503" s="176">
        <v>0</v>
      </c>
      <c r="G503" s="176">
        <v>0</v>
      </c>
      <c r="H503" s="176">
        <v>0</v>
      </c>
      <c r="I503" s="177">
        <v>0</v>
      </c>
      <c r="J503" s="176">
        <v>0</v>
      </c>
      <c r="K503" s="176">
        <v>0</v>
      </c>
      <c r="L503" s="176">
        <v>0</v>
      </c>
      <c r="M503" s="176">
        <v>0</v>
      </c>
      <c r="N503" s="176">
        <v>0</v>
      </c>
      <c r="O503" s="177">
        <v>0</v>
      </c>
      <c r="P503" s="176">
        <v>0</v>
      </c>
      <c r="Q503" s="176">
        <v>0</v>
      </c>
      <c r="R503" s="176">
        <v>0</v>
      </c>
      <c r="S503" s="177">
        <v>0</v>
      </c>
      <c r="T503" s="181">
        <v>-8.8659360730593608</v>
      </c>
      <c r="U503" s="177">
        <v>-8.8659360730593608</v>
      </c>
      <c r="V503" s="176">
        <v>0</v>
      </c>
      <c r="W503" s="177">
        <v>0</v>
      </c>
      <c r="X503" s="53">
        <v>-8.8659360730593608</v>
      </c>
      <c r="Y503" s="151"/>
      <c r="Z503" s="151"/>
      <c r="AA503" s="151"/>
      <c r="AB503" s="151"/>
    </row>
    <row r="504" spans="1:28" ht="13">
      <c r="A504" s="170"/>
      <c r="B504" s="59" t="s">
        <v>871</v>
      </c>
      <c r="C504" s="179"/>
      <c r="D504" s="179">
        <v>43359800</v>
      </c>
      <c r="E504" s="179"/>
      <c r="F504" s="179"/>
      <c r="G504" s="179"/>
      <c r="H504" s="179"/>
      <c r="I504" s="180">
        <v>43359800</v>
      </c>
      <c r="J504" s="179"/>
      <c r="K504" s="179"/>
      <c r="L504" s="179"/>
      <c r="M504" s="179"/>
      <c r="N504" s="179"/>
      <c r="O504" s="180"/>
      <c r="P504" s="179"/>
      <c r="Q504" s="179"/>
      <c r="R504" s="179"/>
      <c r="S504" s="180"/>
      <c r="T504" s="179">
        <v>189274300</v>
      </c>
      <c r="U504" s="180">
        <v>189274300</v>
      </c>
      <c r="V504" s="179"/>
      <c r="W504" s="180"/>
      <c r="X504" s="53">
        <v>232634100</v>
      </c>
      <c r="Y504" s="151"/>
      <c r="Z504" s="151"/>
      <c r="AA504" s="151"/>
      <c r="AB504" s="151"/>
    </row>
    <row r="505" spans="1:28" s="173" customFormat="1" ht="13">
      <c r="A505" s="170"/>
      <c r="B505" s="94" t="s">
        <v>872</v>
      </c>
      <c r="C505" s="171"/>
      <c r="D505" s="171">
        <v>45223100</v>
      </c>
      <c r="E505" s="171"/>
      <c r="F505" s="171"/>
      <c r="G505" s="171"/>
      <c r="H505" s="171"/>
      <c r="I505" s="172">
        <v>45223100</v>
      </c>
      <c r="J505" s="171"/>
      <c r="K505" s="171"/>
      <c r="L505" s="171"/>
      <c r="M505" s="171"/>
      <c r="N505" s="171"/>
      <c r="O505" s="172"/>
      <c r="P505" s="171"/>
      <c r="Q505" s="171"/>
      <c r="R505" s="171"/>
      <c r="S505" s="172"/>
      <c r="T505" s="171">
        <v>192612300</v>
      </c>
      <c r="U505" s="172">
        <v>192612300</v>
      </c>
      <c r="V505" s="171"/>
      <c r="W505" s="172"/>
      <c r="X505" s="53">
        <v>237835400</v>
      </c>
      <c r="Y505" s="151"/>
      <c r="Z505" s="151"/>
      <c r="AA505" s="151"/>
      <c r="AB505" s="151"/>
    </row>
    <row r="506" spans="1:28" s="178" customFormat="1" ht="13">
      <c r="A506" s="170"/>
      <c r="B506" s="175" t="s">
        <v>873</v>
      </c>
      <c r="C506" s="176">
        <v>0</v>
      </c>
      <c r="D506" s="176">
        <v>4.2972984192731518</v>
      </c>
      <c r="E506" s="176">
        <v>0</v>
      </c>
      <c r="F506" s="176">
        <v>0</v>
      </c>
      <c r="G506" s="176">
        <v>0</v>
      </c>
      <c r="H506" s="176">
        <v>0</v>
      </c>
      <c r="I506" s="177">
        <v>4.2972984192731518</v>
      </c>
      <c r="J506" s="176">
        <v>0</v>
      </c>
      <c r="K506" s="176">
        <v>0</v>
      </c>
      <c r="L506" s="176">
        <v>0</v>
      </c>
      <c r="M506" s="176">
        <v>0</v>
      </c>
      <c r="N506" s="176">
        <v>0</v>
      </c>
      <c r="O506" s="177">
        <v>0</v>
      </c>
      <c r="P506" s="176">
        <v>0</v>
      </c>
      <c r="Q506" s="176">
        <v>0</v>
      </c>
      <c r="R506" s="176">
        <v>0</v>
      </c>
      <c r="S506" s="177">
        <v>0</v>
      </c>
      <c r="T506" s="176">
        <v>1.7635780451968386</v>
      </c>
      <c r="U506" s="177">
        <v>1.7635780451968386</v>
      </c>
      <c r="V506" s="176">
        <v>0</v>
      </c>
      <c r="W506" s="177">
        <v>0</v>
      </c>
      <c r="X506" s="53">
        <v>2.2358287112680388</v>
      </c>
      <c r="Y506" s="151"/>
      <c r="Z506" s="151"/>
      <c r="AA506" s="151"/>
      <c r="AB506" s="151"/>
    </row>
    <row r="507" spans="1:28" ht="13">
      <c r="A507" s="170"/>
      <c r="B507" s="59" t="s">
        <v>874</v>
      </c>
      <c r="C507" s="179"/>
      <c r="D507" s="179">
        <v>21326000</v>
      </c>
      <c r="E507" s="179"/>
      <c r="F507" s="179"/>
      <c r="G507" s="179"/>
      <c r="H507" s="179"/>
      <c r="I507" s="180">
        <v>21326000</v>
      </c>
      <c r="J507" s="179"/>
      <c r="K507" s="179"/>
      <c r="L507" s="179"/>
      <c r="M507" s="179"/>
      <c r="N507" s="179"/>
      <c r="O507" s="180"/>
      <c r="P507" s="179"/>
      <c r="Q507" s="179"/>
      <c r="R507" s="179"/>
      <c r="S507" s="180"/>
      <c r="T507" s="179">
        <v>94886755</v>
      </c>
      <c r="U507" s="180">
        <v>94886755</v>
      </c>
      <c r="V507" s="179"/>
      <c r="W507" s="180"/>
      <c r="X507" s="53">
        <v>116212755</v>
      </c>
      <c r="Y507" s="151"/>
      <c r="Z507" s="151"/>
      <c r="AA507" s="151"/>
      <c r="AB507" s="151"/>
    </row>
    <row r="508" spans="1:28" s="173" customFormat="1" ht="13">
      <c r="A508" s="170"/>
      <c r="B508" s="94" t="s">
        <v>875</v>
      </c>
      <c r="C508" s="171"/>
      <c r="D508" s="171">
        <v>20072750</v>
      </c>
      <c r="E508" s="171"/>
      <c r="F508" s="171"/>
      <c r="G508" s="171"/>
      <c r="H508" s="171"/>
      <c r="I508" s="172">
        <v>20072750</v>
      </c>
      <c r="J508" s="171"/>
      <c r="K508" s="171"/>
      <c r="L508" s="171"/>
      <c r="M508" s="171"/>
      <c r="N508" s="171"/>
      <c r="O508" s="172"/>
      <c r="P508" s="171"/>
      <c r="Q508" s="171"/>
      <c r="R508" s="171"/>
      <c r="S508" s="172"/>
      <c r="T508" s="171">
        <v>94583822</v>
      </c>
      <c r="U508" s="172">
        <v>94583822</v>
      </c>
      <c r="V508" s="171"/>
      <c r="W508" s="172"/>
      <c r="X508" s="53">
        <v>114656572</v>
      </c>
      <c r="Y508" s="151"/>
      <c r="Z508" s="151"/>
      <c r="AA508" s="151"/>
      <c r="AB508" s="151"/>
    </row>
    <row r="509" spans="1:28" s="178" customFormat="1" ht="13">
      <c r="A509" s="170"/>
      <c r="B509" s="175" t="s">
        <v>876</v>
      </c>
      <c r="C509" s="176">
        <v>0</v>
      </c>
      <c r="D509" s="176">
        <v>-5.8766294663790681</v>
      </c>
      <c r="E509" s="176">
        <v>0</v>
      </c>
      <c r="F509" s="176">
        <v>0</v>
      </c>
      <c r="G509" s="176">
        <v>0</v>
      </c>
      <c r="H509" s="176">
        <v>0</v>
      </c>
      <c r="I509" s="177">
        <v>-5.8766294663790681</v>
      </c>
      <c r="J509" s="176">
        <v>0</v>
      </c>
      <c r="K509" s="176">
        <v>0</v>
      </c>
      <c r="L509" s="176">
        <v>0</v>
      </c>
      <c r="M509" s="176">
        <v>0</v>
      </c>
      <c r="N509" s="176">
        <v>0</v>
      </c>
      <c r="O509" s="177">
        <v>0</v>
      </c>
      <c r="P509" s="176">
        <v>0</v>
      </c>
      <c r="Q509" s="176">
        <v>0</v>
      </c>
      <c r="R509" s="176">
        <v>0</v>
      </c>
      <c r="S509" s="177">
        <v>0</v>
      </c>
      <c r="T509" s="176">
        <v>-0.31925741374546951</v>
      </c>
      <c r="U509" s="177">
        <v>-0.31925741374546951</v>
      </c>
      <c r="V509" s="176">
        <v>0</v>
      </c>
      <c r="W509" s="177">
        <v>0</v>
      </c>
      <c r="X509" s="53">
        <v>-1.3390810673062521</v>
      </c>
      <c r="Y509" s="151"/>
      <c r="Z509" s="151"/>
      <c r="AA509" s="151"/>
      <c r="AB509" s="151"/>
    </row>
    <row r="510" spans="1:28" ht="13">
      <c r="A510" s="170"/>
      <c r="B510" s="59" t="s">
        <v>877</v>
      </c>
      <c r="C510" s="179">
        <v>1007646918</v>
      </c>
      <c r="D510" s="179">
        <v>607257822</v>
      </c>
      <c r="E510" s="179">
        <v>428922342</v>
      </c>
      <c r="F510" s="179">
        <v>91777682</v>
      </c>
      <c r="G510" s="179"/>
      <c r="H510" s="179"/>
      <c r="I510" s="180">
        <v>2135604764</v>
      </c>
      <c r="J510" s="179"/>
      <c r="K510" s="179">
        <v>302956600</v>
      </c>
      <c r="L510" s="179">
        <v>267220171</v>
      </c>
      <c r="M510" s="179">
        <v>19926200</v>
      </c>
      <c r="N510" s="179"/>
      <c r="O510" s="180">
        <v>590102971</v>
      </c>
      <c r="P510" s="179"/>
      <c r="Q510" s="179">
        <v>115231650</v>
      </c>
      <c r="R510" s="179"/>
      <c r="S510" s="180">
        <v>115231650</v>
      </c>
      <c r="T510" s="179">
        <v>0</v>
      </c>
      <c r="U510" s="180">
        <v>0</v>
      </c>
      <c r="V510" s="179"/>
      <c r="W510" s="180"/>
      <c r="X510" s="53">
        <v>2840939385</v>
      </c>
      <c r="Y510" s="151"/>
      <c r="Z510" s="151"/>
      <c r="AA510" s="151"/>
      <c r="AB510" s="151"/>
    </row>
    <row r="511" spans="1:28" s="173" customFormat="1" ht="13">
      <c r="A511" s="170"/>
      <c r="B511" s="94" t="s">
        <v>878</v>
      </c>
      <c r="C511" s="171">
        <v>1037562018</v>
      </c>
      <c r="D511" s="171">
        <v>600464582</v>
      </c>
      <c r="E511" s="171">
        <v>430115990</v>
      </c>
      <c r="F511" s="171">
        <v>91148382</v>
      </c>
      <c r="G511" s="171"/>
      <c r="H511" s="171"/>
      <c r="I511" s="172">
        <v>2159290972</v>
      </c>
      <c r="J511" s="171"/>
      <c r="K511" s="171">
        <v>289720643</v>
      </c>
      <c r="L511" s="171">
        <v>259141390</v>
      </c>
      <c r="M511" s="171">
        <v>19628900</v>
      </c>
      <c r="N511" s="171"/>
      <c r="O511" s="172">
        <v>568490933</v>
      </c>
      <c r="P511" s="171"/>
      <c r="Q511" s="171">
        <v>116190394</v>
      </c>
      <c r="R511" s="171"/>
      <c r="S511" s="172">
        <v>116190394</v>
      </c>
      <c r="T511" s="171">
        <v>0</v>
      </c>
      <c r="U511" s="172">
        <v>0</v>
      </c>
      <c r="V511" s="171"/>
      <c r="W511" s="172"/>
      <c r="X511" s="53">
        <v>2843972299</v>
      </c>
      <c r="Y511" s="151"/>
      <c r="Z511" s="151"/>
      <c r="AA511" s="151"/>
      <c r="AB511" s="151"/>
    </row>
    <row r="512" spans="1:28" s="192" customFormat="1" ht="13.5" thickBot="1">
      <c r="A512" s="186"/>
      <c r="B512" s="187" t="s">
        <v>879</v>
      </c>
      <c r="C512" s="188">
        <v>2.9688077704218214</v>
      </c>
      <c r="D512" s="188">
        <v>-1.1186747628258629</v>
      </c>
      <c r="E512" s="188">
        <v>0.27829000336848858</v>
      </c>
      <c r="F512" s="188">
        <v>-0.68567868166467749</v>
      </c>
      <c r="G512" s="188">
        <v>0</v>
      </c>
      <c r="H512" s="188">
        <v>0</v>
      </c>
      <c r="I512" s="189">
        <v>1.1091100937439191</v>
      </c>
      <c r="J512" s="188">
        <v>0</v>
      </c>
      <c r="K512" s="188">
        <v>-4.3689284207704997</v>
      </c>
      <c r="L512" s="188">
        <v>-3.023267655943533</v>
      </c>
      <c r="M512" s="188">
        <v>-1.4920055002960926</v>
      </c>
      <c r="N512" s="188">
        <v>0</v>
      </c>
      <c r="O512" s="189">
        <v>-3.6624180968578788</v>
      </c>
      <c r="P512" s="188">
        <v>0</v>
      </c>
      <c r="Q512" s="188">
        <v>0.83201446824722214</v>
      </c>
      <c r="R512" s="188">
        <v>0</v>
      </c>
      <c r="S512" s="189">
        <v>0.83201446824722214</v>
      </c>
      <c r="T512" s="188">
        <v>0</v>
      </c>
      <c r="U512" s="189">
        <v>0</v>
      </c>
      <c r="V512" s="188">
        <v>0</v>
      </c>
      <c r="W512" s="189">
        <v>0</v>
      </c>
      <c r="X512" s="53">
        <v>0.10675743438996323</v>
      </c>
      <c r="Y512" s="151"/>
      <c r="Z512" s="151"/>
      <c r="AA512" s="151"/>
      <c r="AB512" s="151"/>
    </row>
    <row r="513" spans="1:28" ht="13.5" thickTop="1">
      <c r="A513" s="147" t="s">
        <v>748</v>
      </c>
      <c r="B513" s="167" t="s">
        <v>754</v>
      </c>
      <c r="C513" s="168">
        <v>2253230685</v>
      </c>
      <c r="D513" s="168">
        <v>311598151</v>
      </c>
      <c r="E513" s="168">
        <v>840615452</v>
      </c>
      <c r="F513" s="168">
        <v>107485523</v>
      </c>
      <c r="G513" s="168">
        <v>22924328</v>
      </c>
      <c r="H513" s="168"/>
      <c r="I513" s="169">
        <v>3535854139</v>
      </c>
      <c r="J513" s="168">
        <v>71719352</v>
      </c>
      <c r="K513" s="168">
        <v>892187039</v>
      </c>
      <c r="L513" s="168">
        <v>238843034</v>
      </c>
      <c r="M513" s="168">
        <v>86297453</v>
      </c>
      <c r="N513" s="168">
        <v>88498671</v>
      </c>
      <c r="O513" s="169">
        <v>1377545549</v>
      </c>
      <c r="P513" s="168"/>
      <c r="Q513" s="168"/>
      <c r="R513" s="168"/>
      <c r="S513" s="169"/>
      <c r="T513" s="168"/>
      <c r="U513" s="169"/>
      <c r="V513" s="168"/>
      <c r="W513" s="169"/>
      <c r="X513" s="53">
        <v>4913399688</v>
      </c>
      <c r="Y513" s="151"/>
      <c r="Z513" s="151"/>
      <c r="AA513" s="151"/>
      <c r="AB513" s="151"/>
    </row>
    <row r="514" spans="1:28" s="173" customFormat="1" ht="13">
      <c r="A514" s="170"/>
      <c r="B514" s="94" t="s">
        <v>755</v>
      </c>
      <c r="C514" s="171">
        <v>2340646018</v>
      </c>
      <c r="D514" s="171">
        <v>297630978</v>
      </c>
      <c r="E514" s="171">
        <v>807936245</v>
      </c>
      <c r="F514" s="171">
        <v>105455613</v>
      </c>
      <c r="G514" s="171">
        <v>22471486</v>
      </c>
      <c r="H514" s="171"/>
      <c r="I514" s="172">
        <v>3574140340</v>
      </c>
      <c r="J514" s="171">
        <v>71719346</v>
      </c>
      <c r="K514" s="171">
        <v>887586163</v>
      </c>
      <c r="L514" s="171">
        <v>239159679</v>
      </c>
      <c r="M514" s="171">
        <v>86436669</v>
      </c>
      <c r="N514" s="171">
        <v>88498679</v>
      </c>
      <c r="O514" s="172">
        <v>1373400536</v>
      </c>
      <c r="P514" s="171"/>
      <c r="Q514" s="171"/>
      <c r="R514" s="171"/>
      <c r="S514" s="172"/>
      <c r="T514" s="171"/>
      <c r="U514" s="172"/>
      <c r="V514" s="171"/>
      <c r="W514" s="172"/>
      <c r="X514" s="53">
        <v>4947540876</v>
      </c>
      <c r="Y514" s="151"/>
      <c r="Z514" s="151"/>
      <c r="AA514" s="151"/>
      <c r="AB514" s="151"/>
    </row>
    <row r="515" spans="1:28" s="178" customFormat="1" ht="13">
      <c r="A515" s="174"/>
      <c r="B515" s="175" t="s">
        <v>849</v>
      </c>
      <c r="C515" s="176">
        <v>3.8795554126762659</v>
      </c>
      <c r="D515" s="176">
        <v>-4.4824312837466103</v>
      </c>
      <c r="E515" s="176">
        <v>-3.8875334639934742</v>
      </c>
      <c r="F515" s="176">
        <v>-1.8885427016994651</v>
      </c>
      <c r="G515" s="176">
        <v>-1.9753774243676847</v>
      </c>
      <c r="H515" s="176">
        <v>0</v>
      </c>
      <c r="I515" s="177">
        <v>1.0827992189414235</v>
      </c>
      <c r="J515" s="176">
        <v>-8.3659428490095669E-6</v>
      </c>
      <c r="K515" s="176">
        <v>-0.51568514211513894</v>
      </c>
      <c r="L515" s="176">
        <v>0.13257451753857724</v>
      </c>
      <c r="M515" s="176">
        <v>0.16132109947671341</v>
      </c>
      <c r="N515" s="176">
        <v>9.0396837710704153E-6</v>
      </c>
      <c r="O515" s="177">
        <v>-0.300898435119549</v>
      </c>
      <c r="P515" s="176">
        <v>0</v>
      </c>
      <c r="Q515" s="176">
        <v>0</v>
      </c>
      <c r="R515" s="176">
        <v>0</v>
      </c>
      <c r="S515" s="177">
        <v>0</v>
      </c>
      <c r="T515" s="176">
        <v>0</v>
      </c>
      <c r="U515" s="177">
        <v>0</v>
      </c>
      <c r="V515" s="176">
        <v>0</v>
      </c>
      <c r="W515" s="177">
        <v>0</v>
      </c>
      <c r="X515" s="53">
        <v>0.69485875703096267</v>
      </c>
      <c r="Y515" s="151"/>
      <c r="Z515" s="151"/>
      <c r="AA515" s="151"/>
      <c r="AB515" s="151"/>
    </row>
    <row r="516" spans="1:28" ht="13">
      <c r="A516" s="170"/>
      <c r="B516" s="59" t="s">
        <v>756</v>
      </c>
      <c r="C516" s="179">
        <v>270141234.23000002</v>
      </c>
      <c r="D516" s="179">
        <v>484851.77</v>
      </c>
      <c r="E516" s="179"/>
      <c r="F516" s="179"/>
      <c r="G516" s="179"/>
      <c r="H516" s="179"/>
      <c r="I516" s="180">
        <v>270626086</v>
      </c>
      <c r="J516" s="179"/>
      <c r="K516" s="179"/>
      <c r="L516" s="179"/>
      <c r="M516" s="179"/>
      <c r="N516" s="179"/>
      <c r="O516" s="180"/>
      <c r="P516" s="179"/>
      <c r="Q516" s="179"/>
      <c r="R516" s="179"/>
      <c r="S516" s="180"/>
      <c r="T516" s="179"/>
      <c r="U516" s="180"/>
      <c r="V516" s="179"/>
      <c r="W516" s="180"/>
      <c r="X516" s="53">
        <v>270626086</v>
      </c>
      <c r="Y516" s="151"/>
      <c r="Z516" s="151"/>
      <c r="AA516" s="151"/>
      <c r="AB516" s="151"/>
    </row>
    <row r="517" spans="1:28" s="173" customFormat="1" ht="13">
      <c r="A517" s="170"/>
      <c r="B517" s="94" t="s">
        <v>757</v>
      </c>
      <c r="C517" s="171">
        <v>254268185.44</v>
      </c>
      <c r="D517" s="171">
        <v>3930929.56</v>
      </c>
      <c r="E517" s="171"/>
      <c r="F517" s="171"/>
      <c r="G517" s="171"/>
      <c r="H517" s="171"/>
      <c r="I517" s="172">
        <v>258199115</v>
      </c>
      <c r="J517" s="171"/>
      <c r="K517" s="171"/>
      <c r="L517" s="171"/>
      <c r="M517" s="171"/>
      <c r="N517" s="171"/>
      <c r="O517" s="172"/>
      <c r="P517" s="171"/>
      <c r="Q517" s="171"/>
      <c r="R517" s="171"/>
      <c r="S517" s="172"/>
      <c r="T517" s="171"/>
      <c r="U517" s="172"/>
      <c r="V517" s="171"/>
      <c r="W517" s="172"/>
      <c r="X517" s="53">
        <v>258199115</v>
      </c>
      <c r="Y517" s="151"/>
      <c r="Z517" s="151"/>
      <c r="AA517" s="151"/>
      <c r="AB517" s="151"/>
    </row>
    <row r="518" spans="1:28" s="178" customFormat="1" ht="13">
      <c r="A518" s="170"/>
      <c r="B518" s="175" t="s">
        <v>850</v>
      </c>
      <c r="C518" s="176">
        <v>-5.8758333711045401</v>
      </c>
      <c r="D518" s="176">
        <v>710.74872842064701</v>
      </c>
      <c r="E518" s="176">
        <v>0</v>
      </c>
      <c r="F518" s="176">
        <v>0</v>
      </c>
      <c r="G518" s="176">
        <v>0</v>
      </c>
      <c r="H518" s="176">
        <v>0</v>
      </c>
      <c r="I518" s="177">
        <v>-4.5919339054402908</v>
      </c>
      <c r="J518" s="176">
        <v>0</v>
      </c>
      <c r="K518" s="176">
        <v>0</v>
      </c>
      <c r="L518" s="176">
        <v>0</v>
      </c>
      <c r="M518" s="176">
        <v>0</v>
      </c>
      <c r="N518" s="176">
        <v>0</v>
      </c>
      <c r="O518" s="177">
        <v>0</v>
      </c>
      <c r="P518" s="176">
        <v>0</v>
      </c>
      <c r="Q518" s="176">
        <v>0</v>
      </c>
      <c r="R518" s="176">
        <v>0</v>
      </c>
      <c r="S518" s="177">
        <v>0</v>
      </c>
      <c r="T518" s="176">
        <v>0</v>
      </c>
      <c r="U518" s="177">
        <v>0</v>
      </c>
      <c r="V518" s="176">
        <v>0</v>
      </c>
      <c r="W518" s="177">
        <v>0</v>
      </c>
      <c r="X518" s="53">
        <v>-4.5919339054402908</v>
      </c>
      <c r="Y518" s="151"/>
      <c r="Z518" s="151"/>
      <c r="AA518" s="151"/>
      <c r="AB518" s="151"/>
    </row>
    <row r="519" spans="1:28" ht="13">
      <c r="A519" s="170"/>
      <c r="B519" s="59" t="s">
        <v>758</v>
      </c>
      <c r="C519" s="179"/>
      <c r="D519" s="179"/>
      <c r="E519" s="179"/>
      <c r="F519" s="179"/>
      <c r="G519" s="179"/>
      <c r="H519" s="179"/>
      <c r="I519" s="180"/>
      <c r="J519" s="179">
        <v>105739924</v>
      </c>
      <c r="K519" s="179">
        <v>1468255692</v>
      </c>
      <c r="L519" s="179">
        <v>190876741</v>
      </c>
      <c r="M519" s="179">
        <v>31730746</v>
      </c>
      <c r="N519" s="179">
        <v>176545503</v>
      </c>
      <c r="O519" s="180">
        <v>1973148606</v>
      </c>
      <c r="P519" s="179"/>
      <c r="Q519" s="179"/>
      <c r="R519" s="179"/>
      <c r="S519" s="180"/>
      <c r="T519" s="179"/>
      <c r="U519" s="180"/>
      <c r="V519" s="179"/>
      <c r="W519" s="180"/>
      <c r="X519" s="53">
        <v>1973148606</v>
      </c>
      <c r="Y519" s="151"/>
      <c r="Z519" s="151"/>
      <c r="AA519" s="151"/>
      <c r="AB519" s="151"/>
    </row>
    <row r="520" spans="1:28" s="173" customFormat="1" ht="13">
      <c r="A520" s="170"/>
      <c r="B520" s="94" t="s">
        <v>759</v>
      </c>
      <c r="C520" s="171"/>
      <c r="D520" s="171"/>
      <c r="E520" s="171"/>
      <c r="F520" s="171"/>
      <c r="G520" s="171"/>
      <c r="H520" s="171"/>
      <c r="I520" s="172"/>
      <c r="J520" s="171">
        <v>111432409</v>
      </c>
      <c r="K520" s="171">
        <v>1570406616</v>
      </c>
      <c r="L520" s="171">
        <v>204853103</v>
      </c>
      <c r="M520" s="171">
        <v>32916062</v>
      </c>
      <c r="N520" s="171">
        <v>187462441</v>
      </c>
      <c r="O520" s="172">
        <v>2107070631</v>
      </c>
      <c r="P520" s="171"/>
      <c r="Q520" s="171"/>
      <c r="R520" s="171"/>
      <c r="S520" s="172"/>
      <c r="T520" s="171"/>
      <c r="U520" s="172"/>
      <c r="V520" s="171"/>
      <c r="W520" s="172"/>
      <c r="X520" s="53">
        <v>2107070631</v>
      </c>
      <c r="Y520" s="151"/>
      <c r="Z520" s="151"/>
      <c r="AA520" s="151"/>
      <c r="AB520" s="151"/>
    </row>
    <row r="521" spans="1:28" s="178" customFormat="1" ht="13">
      <c r="A521" s="170"/>
      <c r="B521" s="175" t="s">
        <v>851</v>
      </c>
      <c r="C521" s="176">
        <v>0</v>
      </c>
      <c r="D521" s="176">
        <v>0</v>
      </c>
      <c r="E521" s="176">
        <v>0</v>
      </c>
      <c r="F521" s="176">
        <v>0</v>
      </c>
      <c r="G521" s="176">
        <v>0</v>
      </c>
      <c r="H521" s="176">
        <v>0</v>
      </c>
      <c r="I521" s="177">
        <v>0</v>
      </c>
      <c r="J521" s="176">
        <v>5.383477483868818</v>
      </c>
      <c r="K521" s="176">
        <v>6.95729800719206</v>
      </c>
      <c r="L521" s="176">
        <v>7.3221922832389517</v>
      </c>
      <c r="M521" s="176">
        <v>3.7355440682043843</v>
      </c>
      <c r="N521" s="176">
        <v>6.1836398064469531</v>
      </c>
      <c r="O521" s="177">
        <v>6.7872244691943902</v>
      </c>
      <c r="P521" s="176">
        <v>0</v>
      </c>
      <c r="Q521" s="176">
        <v>0</v>
      </c>
      <c r="R521" s="176">
        <v>0</v>
      </c>
      <c r="S521" s="177">
        <v>0</v>
      </c>
      <c r="T521" s="176">
        <v>0</v>
      </c>
      <c r="U521" s="177">
        <v>0</v>
      </c>
      <c r="V521" s="176">
        <v>0</v>
      </c>
      <c r="W521" s="177">
        <v>0</v>
      </c>
      <c r="X521" s="53">
        <v>6.7872244691943902</v>
      </c>
      <c r="Y521" s="151"/>
      <c r="Z521" s="151"/>
      <c r="AA521" s="151"/>
      <c r="AB521" s="151"/>
    </row>
    <row r="522" spans="1:28" ht="13">
      <c r="A522" s="170"/>
      <c r="B522" s="59" t="s">
        <v>760</v>
      </c>
      <c r="C522" s="179">
        <v>2798706976</v>
      </c>
      <c r="D522" s="179">
        <v>446343652</v>
      </c>
      <c r="E522" s="179">
        <v>1004215031</v>
      </c>
      <c r="F522" s="179">
        <v>150949842</v>
      </c>
      <c r="G522" s="179">
        <v>21182278</v>
      </c>
      <c r="H522" s="179"/>
      <c r="I522" s="180">
        <v>4421397779</v>
      </c>
      <c r="J522" s="179">
        <v>40858848</v>
      </c>
      <c r="K522" s="179">
        <v>725140690</v>
      </c>
      <c r="L522" s="179">
        <v>158044632</v>
      </c>
      <c r="M522" s="179">
        <v>36806396</v>
      </c>
      <c r="N522" s="179">
        <v>56682644</v>
      </c>
      <c r="O522" s="180">
        <v>1017533210</v>
      </c>
      <c r="P522" s="179"/>
      <c r="Q522" s="179"/>
      <c r="R522" s="179"/>
      <c r="S522" s="180"/>
      <c r="T522" s="179"/>
      <c r="U522" s="180"/>
      <c r="V522" s="179"/>
      <c r="W522" s="180"/>
      <c r="X522" s="53">
        <v>5438930989</v>
      </c>
      <c r="Y522" s="151"/>
      <c r="Z522" s="151"/>
      <c r="AA522" s="151"/>
      <c r="AB522" s="151"/>
    </row>
    <row r="523" spans="1:28" s="173" customFormat="1" ht="13">
      <c r="A523" s="170"/>
      <c r="B523" s="94" t="s">
        <v>761</v>
      </c>
      <c r="C523" s="171">
        <v>2933277664.9406619</v>
      </c>
      <c r="D523" s="171">
        <v>469338881</v>
      </c>
      <c r="E523" s="171">
        <v>1098766512</v>
      </c>
      <c r="F523" s="171">
        <v>163125032</v>
      </c>
      <c r="G523" s="171">
        <v>18625925</v>
      </c>
      <c r="H523" s="171"/>
      <c r="I523" s="172">
        <v>4683134014.9406624</v>
      </c>
      <c r="J523" s="171">
        <v>39251800</v>
      </c>
      <c r="K523" s="171">
        <v>695230768</v>
      </c>
      <c r="L523" s="171">
        <v>147702086</v>
      </c>
      <c r="M523" s="171">
        <v>33554092</v>
      </c>
      <c r="N523" s="171">
        <v>53795869</v>
      </c>
      <c r="O523" s="172">
        <v>969534615</v>
      </c>
      <c r="P523" s="171"/>
      <c r="Q523" s="171"/>
      <c r="R523" s="171"/>
      <c r="S523" s="172"/>
      <c r="T523" s="171"/>
      <c r="U523" s="172"/>
      <c r="V523" s="171"/>
      <c r="W523" s="172"/>
      <c r="X523" s="53">
        <v>5652668629.9406624</v>
      </c>
      <c r="Y523" s="151"/>
      <c r="Z523" s="151"/>
      <c r="AA523" s="151"/>
      <c r="AB523" s="151"/>
    </row>
    <row r="524" spans="1:28" s="178" customFormat="1" ht="13">
      <c r="A524" s="170"/>
      <c r="B524" s="175" t="s">
        <v>852</v>
      </c>
      <c r="C524" s="176">
        <v>4.8083164866725188</v>
      </c>
      <c r="D524" s="176">
        <v>5.1519112900926842</v>
      </c>
      <c r="E524" s="176">
        <v>9.4154616373193871</v>
      </c>
      <c r="F524" s="176">
        <v>8.0657189425875639</v>
      </c>
      <c r="G524" s="176">
        <v>-12.068357331539129</v>
      </c>
      <c r="H524" s="176">
        <v>0</v>
      </c>
      <c r="I524" s="177">
        <v>5.9197622341019045</v>
      </c>
      <c r="J524" s="176">
        <v>-3.9331701177673928</v>
      </c>
      <c r="K524" s="176">
        <v>-4.124706062212562</v>
      </c>
      <c r="L524" s="176">
        <v>-6.5440666153090232</v>
      </c>
      <c r="M524" s="176">
        <v>-8.836246830578034</v>
      </c>
      <c r="N524" s="176">
        <v>-5.0928728730438184</v>
      </c>
      <c r="O524" s="177">
        <v>-4.7171526716066596</v>
      </c>
      <c r="P524" s="176">
        <v>0</v>
      </c>
      <c r="Q524" s="176">
        <v>0</v>
      </c>
      <c r="R524" s="176">
        <v>0</v>
      </c>
      <c r="S524" s="177">
        <v>0</v>
      </c>
      <c r="T524" s="176">
        <v>0</v>
      </c>
      <c r="U524" s="177">
        <v>0</v>
      </c>
      <c r="V524" s="176">
        <v>0</v>
      </c>
      <c r="W524" s="177">
        <v>0</v>
      </c>
      <c r="X524" s="53">
        <v>3.9297729898198268</v>
      </c>
      <c r="Y524" s="151"/>
      <c r="Z524" s="151"/>
      <c r="AA524" s="151"/>
      <c r="AB524" s="151"/>
    </row>
    <row r="525" spans="1:28" ht="13">
      <c r="A525" s="170"/>
      <c r="B525" s="59" t="s">
        <v>853</v>
      </c>
      <c r="C525" s="179"/>
      <c r="D525" s="179"/>
      <c r="E525" s="179"/>
      <c r="F525" s="179"/>
      <c r="G525" s="179"/>
      <c r="H525" s="179"/>
      <c r="I525" s="180"/>
      <c r="J525" s="179"/>
      <c r="K525" s="179"/>
      <c r="L525" s="179"/>
      <c r="M525" s="179"/>
      <c r="N525" s="179"/>
      <c r="O525" s="180"/>
      <c r="P525" s="179"/>
      <c r="Q525" s="179"/>
      <c r="R525" s="179"/>
      <c r="S525" s="180"/>
      <c r="T525" s="179"/>
      <c r="U525" s="180"/>
      <c r="V525" s="179"/>
      <c r="W525" s="180"/>
      <c r="X525" s="53"/>
      <c r="Y525" s="151"/>
      <c r="Z525" s="151"/>
      <c r="AA525" s="151"/>
      <c r="AB525" s="151"/>
    </row>
    <row r="526" spans="1:28" s="173" customFormat="1" ht="13">
      <c r="A526" s="170"/>
      <c r="B526" s="94" t="s">
        <v>854</v>
      </c>
      <c r="C526" s="171"/>
      <c r="D526" s="171"/>
      <c r="E526" s="171"/>
      <c r="F526" s="171"/>
      <c r="G526" s="171"/>
      <c r="H526" s="171"/>
      <c r="I526" s="172"/>
      <c r="J526" s="171"/>
      <c r="K526" s="171"/>
      <c r="L526" s="171"/>
      <c r="M526" s="171"/>
      <c r="N526" s="171"/>
      <c r="O526" s="172"/>
      <c r="P526" s="171"/>
      <c r="Q526" s="171"/>
      <c r="R526" s="171"/>
      <c r="S526" s="172"/>
      <c r="T526" s="171"/>
      <c r="U526" s="172"/>
      <c r="V526" s="171"/>
      <c r="W526" s="172"/>
      <c r="X526" s="53"/>
      <c r="Y526" s="151"/>
      <c r="Z526" s="151"/>
      <c r="AA526" s="151"/>
      <c r="AB526" s="151"/>
    </row>
    <row r="527" spans="1:28" s="178" customFormat="1" ht="13">
      <c r="A527" s="170"/>
      <c r="B527" s="175" t="s">
        <v>855</v>
      </c>
      <c r="C527" s="176">
        <v>0</v>
      </c>
      <c r="D527" s="176">
        <v>0</v>
      </c>
      <c r="E527" s="176">
        <v>0</v>
      </c>
      <c r="F527" s="176">
        <v>0</v>
      </c>
      <c r="G527" s="176">
        <v>0</v>
      </c>
      <c r="H527" s="176">
        <v>0</v>
      </c>
      <c r="I527" s="177">
        <v>0</v>
      </c>
      <c r="J527" s="176">
        <v>0</v>
      </c>
      <c r="K527" s="176">
        <v>0</v>
      </c>
      <c r="L527" s="176">
        <v>0</v>
      </c>
      <c r="M527" s="176">
        <v>0</v>
      </c>
      <c r="N527" s="176">
        <v>0</v>
      </c>
      <c r="O527" s="177">
        <v>0</v>
      </c>
      <c r="P527" s="176">
        <v>0</v>
      </c>
      <c r="Q527" s="176">
        <v>0</v>
      </c>
      <c r="R527" s="176">
        <v>0</v>
      </c>
      <c r="S527" s="177">
        <v>0</v>
      </c>
      <c r="T527" s="176">
        <v>0</v>
      </c>
      <c r="U527" s="177">
        <v>0</v>
      </c>
      <c r="V527" s="176">
        <v>0</v>
      </c>
      <c r="W527" s="177">
        <v>0</v>
      </c>
      <c r="X527" s="53">
        <v>0</v>
      </c>
      <c r="Y527" s="151"/>
      <c r="Z527" s="151"/>
      <c r="AA527" s="151"/>
      <c r="AB527" s="151"/>
    </row>
    <row r="528" spans="1:28" ht="13">
      <c r="A528" s="170"/>
      <c r="B528" s="183" t="s">
        <v>856</v>
      </c>
      <c r="C528" s="180">
        <v>2798706976</v>
      </c>
      <c r="D528" s="180">
        <v>446343652</v>
      </c>
      <c r="E528" s="180">
        <v>1004215031</v>
      </c>
      <c r="F528" s="180">
        <v>150949842</v>
      </c>
      <c r="G528" s="180">
        <v>21182278</v>
      </c>
      <c r="H528" s="180"/>
      <c r="I528" s="180">
        <v>4421397779</v>
      </c>
      <c r="J528" s="180">
        <v>40858848</v>
      </c>
      <c r="K528" s="180">
        <v>725140690</v>
      </c>
      <c r="L528" s="180">
        <v>158044632</v>
      </c>
      <c r="M528" s="180">
        <v>36806396</v>
      </c>
      <c r="N528" s="180">
        <v>56682644</v>
      </c>
      <c r="O528" s="180">
        <v>1017533210</v>
      </c>
      <c r="P528" s="180"/>
      <c r="Q528" s="180"/>
      <c r="R528" s="180"/>
      <c r="S528" s="180"/>
      <c r="T528" s="180">
        <v>0</v>
      </c>
      <c r="U528" s="180">
        <v>0</v>
      </c>
      <c r="V528" s="180"/>
      <c r="W528" s="180"/>
      <c r="X528" s="53">
        <v>5438930989</v>
      </c>
      <c r="Y528" s="151"/>
      <c r="Z528" s="151"/>
      <c r="AA528" s="151"/>
      <c r="AB528" s="151"/>
    </row>
    <row r="529" spans="1:28" s="173" customFormat="1" ht="13">
      <c r="A529" s="170"/>
      <c r="B529" s="184" t="s">
        <v>857</v>
      </c>
      <c r="C529" s="172">
        <v>2933277664.9406619</v>
      </c>
      <c r="D529" s="172">
        <v>469338881</v>
      </c>
      <c r="E529" s="172">
        <v>1098766512</v>
      </c>
      <c r="F529" s="172">
        <v>163125032</v>
      </c>
      <c r="G529" s="172">
        <v>18625925</v>
      </c>
      <c r="H529" s="172"/>
      <c r="I529" s="172">
        <v>4683134014.9406624</v>
      </c>
      <c r="J529" s="172">
        <v>39251800</v>
      </c>
      <c r="K529" s="172">
        <v>695230768</v>
      </c>
      <c r="L529" s="172">
        <v>147702086</v>
      </c>
      <c r="M529" s="172">
        <v>33554092</v>
      </c>
      <c r="N529" s="172">
        <v>53795869</v>
      </c>
      <c r="O529" s="172">
        <v>969534615</v>
      </c>
      <c r="P529" s="172"/>
      <c r="Q529" s="172"/>
      <c r="R529" s="172"/>
      <c r="S529" s="172"/>
      <c r="T529" s="172">
        <v>0</v>
      </c>
      <c r="U529" s="172">
        <v>0</v>
      </c>
      <c r="V529" s="172"/>
      <c r="W529" s="172"/>
      <c r="X529" s="53">
        <v>5652668629.9406624</v>
      </c>
      <c r="Y529" s="151"/>
      <c r="Z529" s="151"/>
      <c r="AA529" s="151"/>
      <c r="AB529" s="151"/>
    </row>
    <row r="530" spans="1:28" s="178" customFormat="1" ht="13">
      <c r="A530" s="170"/>
      <c r="B530" s="185" t="s">
        <v>858</v>
      </c>
      <c r="C530" s="177">
        <v>4.8083164866725188</v>
      </c>
      <c r="D530" s="177">
        <v>5.1519112900926842</v>
      </c>
      <c r="E530" s="177">
        <v>9.4154616373193871</v>
      </c>
      <c r="F530" s="177">
        <v>8.0657189425875639</v>
      </c>
      <c r="G530" s="177">
        <v>-12.068357331539129</v>
      </c>
      <c r="H530" s="177">
        <v>0</v>
      </c>
      <c r="I530" s="177">
        <v>5.9197622341019045</v>
      </c>
      <c r="J530" s="177">
        <v>-3.9331701177673928</v>
      </c>
      <c r="K530" s="177">
        <v>-4.124706062212562</v>
      </c>
      <c r="L530" s="177">
        <v>-6.5440666153090232</v>
      </c>
      <c r="M530" s="177">
        <v>-8.836246830578034</v>
      </c>
      <c r="N530" s="177">
        <v>-5.0928728730438184</v>
      </c>
      <c r="O530" s="177">
        <v>-4.7171526716066596</v>
      </c>
      <c r="P530" s="177">
        <v>0</v>
      </c>
      <c r="Q530" s="177">
        <v>0</v>
      </c>
      <c r="R530" s="177">
        <v>0</v>
      </c>
      <c r="S530" s="177">
        <v>0</v>
      </c>
      <c r="T530" s="177">
        <v>0</v>
      </c>
      <c r="U530" s="177">
        <v>0</v>
      </c>
      <c r="V530" s="177">
        <v>0</v>
      </c>
      <c r="W530" s="177">
        <v>0</v>
      </c>
      <c r="X530" s="53">
        <v>3.9297729898198268</v>
      </c>
      <c r="Y530" s="151"/>
      <c r="Z530" s="151"/>
      <c r="AA530" s="151"/>
      <c r="AB530" s="151"/>
    </row>
    <row r="531" spans="1:28" ht="13">
      <c r="A531" s="170"/>
      <c r="B531" s="59" t="s">
        <v>859</v>
      </c>
      <c r="C531" s="179"/>
      <c r="D531" s="179"/>
      <c r="E531" s="179"/>
      <c r="F531" s="179"/>
      <c r="G531" s="179"/>
      <c r="H531" s="179"/>
      <c r="I531" s="180"/>
      <c r="J531" s="179"/>
      <c r="K531" s="179"/>
      <c r="L531" s="179"/>
      <c r="M531" s="179"/>
      <c r="N531" s="179"/>
      <c r="O531" s="180"/>
      <c r="P531" s="179"/>
      <c r="Q531" s="179"/>
      <c r="R531" s="179"/>
      <c r="S531" s="180"/>
      <c r="T531" s="179"/>
      <c r="U531" s="180"/>
      <c r="V531" s="179"/>
      <c r="W531" s="180"/>
      <c r="X531" s="53"/>
      <c r="Y531" s="151"/>
      <c r="Z531" s="151"/>
      <c r="AA531" s="151"/>
      <c r="AB531" s="151"/>
    </row>
    <row r="532" spans="1:28" s="173" customFormat="1" ht="13">
      <c r="A532" s="170"/>
      <c r="B532" s="94" t="s">
        <v>860</v>
      </c>
      <c r="C532" s="171"/>
      <c r="D532" s="171"/>
      <c r="E532" s="171"/>
      <c r="F532" s="171"/>
      <c r="G532" s="171"/>
      <c r="H532" s="171"/>
      <c r="I532" s="172"/>
      <c r="J532" s="171"/>
      <c r="K532" s="171"/>
      <c r="L532" s="171"/>
      <c r="M532" s="171"/>
      <c r="N532" s="171"/>
      <c r="O532" s="172"/>
      <c r="P532" s="171"/>
      <c r="Q532" s="171"/>
      <c r="R532" s="171"/>
      <c r="S532" s="172"/>
      <c r="T532" s="171"/>
      <c r="U532" s="172"/>
      <c r="V532" s="171"/>
      <c r="W532" s="172"/>
      <c r="X532" s="53"/>
      <c r="Y532" s="151"/>
      <c r="Z532" s="151"/>
      <c r="AA532" s="151"/>
      <c r="AB532" s="151"/>
    </row>
    <row r="533" spans="1:28" s="178" customFormat="1" ht="13">
      <c r="A533" s="170"/>
      <c r="B533" s="175" t="s">
        <v>861</v>
      </c>
      <c r="C533" s="176">
        <v>0</v>
      </c>
      <c r="D533" s="176">
        <v>0</v>
      </c>
      <c r="E533" s="176">
        <v>0</v>
      </c>
      <c r="F533" s="176">
        <v>0</v>
      </c>
      <c r="G533" s="176">
        <v>0</v>
      </c>
      <c r="H533" s="176">
        <v>0</v>
      </c>
      <c r="I533" s="177">
        <v>0</v>
      </c>
      <c r="J533" s="176">
        <v>0</v>
      </c>
      <c r="K533" s="176">
        <v>0</v>
      </c>
      <c r="L533" s="176">
        <v>0</v>
      </c>
      <c r="M533" s="176">
        <v>0</v>
      </c>
      <c r="N533" s="176">
        <v>0</v>
      </c>
      <c r="O533" s="177">
        <v>0</v>
      </c>
      <c r="P533" s="176">
        <v>0</v>
      </c>
      <c r="Q533" s="176">
        <v>0</v>
      </c>
      <c r="R533" s="176">
        <v>0</v>
      </c>
      <c r="S533" s="177">
        <v>0</v>
      </c>
      <c r="T533" s="176">
        <v>0</v>
      </c>
      <c r="U533" s="177">
        <v>0</v>
      </c>
      <c r="V533" s="181">
        <v>0</v>
      </c>
      <c r="W533" s="177">
        <v>0</v>
      </c>
      <c r="X533" s="53">
        <v>0</v>
      </c>
      <c r="Y533" s="151"/>
      <c r="Z533" s="151"/>
      <c r="AA533" s="151"/>
      <c r="AB533" s="151"/>
    </row>
    <row r="534" spans="1:28" ht="13">
      <c r="A534" s="170"/>
      <c r="B534" s="59" t="s">
        <v>862</v>
      </c>
      <c r="C534" s="179"/>
      <c r="D534" s="179"/>
      <c r="E534" s="179"/>
      <c r="F534" s="179"/>
      <c r="G534" s="179"/>
      <c r="H534" s="179"/>
      <c r="I534" s="180"/>
      <c r="J534" s="179"/>
      <c r="K534" s="179"/>
      <c r="L534" s="179"/>
      <c r="M534" s="179"/>
      <c r="N534" s="179"/>
      <c r="O534" s="180"/>
      <c r="P534" s="179"/>
      <c r="Q534" s="179"/>
      <c r="R534" s="179"/>
      <c r="S534" s="180"/>
      <c r="T534" s="179"/>
      <c r="U534" s="180"/>
      <c r="V534" s="179"/>
      <c r="W534" s="180"/>
      <c r="X534" s="53"/>
      <c r="Y534" s="151"/>
      <c r="Z534" s="151"/>
      <c r="AA534" s="151"/>
      <c r="AB534" s="151"/>
    </row>
    <row r="535" spans="1:28" s="173" customFormat="1" ht="13">
      <c r="A535" s="170"/>
      <c r="B535" s="94" t="s">
        <v>863</v>
      </c>
      <c r="C535" s="171"/>
      <c r="D535" s="171"/>
      <c r="E535" s="171"/>
      <c r="F535" s="171"/>
      <c r="G535" s="171"/>
      <c r="H535" s="171"/>
      <c r="I535" s="172"/>
      <c r="J535" s="171"/>
      <c r="K535" s="171"/>
      <c r="L535" s="171"/>
      <c r="M535" s="171"/>
      <c r="N535" s="171"/>
      <c r="O535" s="172"/>
      <c r="P535" s="171"/>
      <c r="Q535" s="171"/>
      <c r="R535" s="171"/>
      <c r="S535" s="172"/>
      <c r="T535" s="171"/>
      <c r="U535" s="172"/>
      <c r="V535" s="171"/>
      <c r="W535" s="172"/>
      <c r="X535" s="53"/>
      <c r="Y535" s="151"/>
      <c r="Z535" s="151"/>
      <c r="AA535" s="151"/>
      <c r="AB535" s="151"/>
    </row>
    <row r="536" spans="1:28" s="178" customFormat="1" ht="13">
      <c r="A536" s="170"/>
      <c r="B536" s="175" t="s">
        <v>864</v>
      </c>
      <c r="C536" s="176">
        <v>0</v>
      </c>
      <c r="D536" s="176">
        <v>0</v>
      </c>
      <c r="E536" s="176">
        <v>0</v>
      </c>
      <c r="F536" s="176">
        <v>0</v>
      </c>
      <c r="G536" s="176">
        <v>0</v>
      </c>
      <c r="H536" s="176">
        <v>0</v>
      </c>
      <c r="I536" s="177">
        <v>0</v>
      </c>
      <c r="J536" s="176">
        <v>0</v>
      </c>
      <c r="K536" s="176">
        <v>0</v>
      </c>
      <c r="L536" s="176">
        <v>0</v>
      </c>
      <c r="M536" s="176">
        <v>0</v>
      </c>
      <c r="N536" s="176">
        <v>0</v>
      </c>
      <c r="O536" s="177">
        <v>0</v>
      </c>
      <c r="P536" s="176">
        <v>0</v>
      </c>
      <c r="Q536" s="176">
        <v>0</v>
      </c>
      <c r="R536" s="176">
        <v>0</v>
      </c>
      <c r="S536" s="177">
        <v>0</v>
      </c>
      <c r="T536" s="176">
        <v>0</v>
      </c>
      <c r="U536" s="177">
        <v>0</v>
      </c>
      <c r="V536" s="176">
        <v>0</v>
      </c>
      <c r="W536" s="177">
        <v>0</v>
      </c>
      <c r="X536" s="53">
        <v>0</v>
      </c>
      <c r="Y536" s="151"/>
      <c r="Z536" s="151"/>
      <c r="AA536" s="151"/>
      <c r="AB536" s="151"/>
    </row>
    <row r="537" spans="1:28" ht="13">
      <c r="A537" s="170"/>
      <c r="B537" s="59" t="s">
        <v>865</v>
      </c>
      <c r="C537" s="179"/>
      <c r="D537" s="179"/>
      <c r="E537" s="179"/>
      <c r="F537" s="179"/>
      <c r="G537" s="179"/>
      <c r="H537" s="179"/>
      <c r="I537" s="180"/>
      <c r="J537" s="179"/>
      <c r="K537" s="179"/>
      <c r="L537" s="179"/>
      <c r="M537" s="179"/>
      <c r="N537" s="179"/>
      <c r="O537" s="180"/>
      <c r="P537" s="179"/>
      <c r="Q537" s="179"/>
      <c r="R537" s="179"/>
      <c r="S537" s="180"/>
      <c r="T537" s="179"/>
      <c r="U537" s="180"/>
      <c r="V537" s="179"/>
      <c r="W537" s="180"/>
      <c r="X537" s="53"/>
      <c r="Y537" s="151"/>
      <c r="Z537" s="151"/>
      <c r="AA537" s="151"/>
      <c r="AB537" s="151"/>
    </row>
    <row r="538" spans="1:28" s="173" customFormat="1" ht="13">
      <c r="A538" s="170"/>
      <c r="B538" s="94" t="s">
        <v>866</v>
      </c>
      <c r="C538" s="171"/>
      <c r="D538" s="171"/>
      <c r="E538" s="171"/>
      <c r="F538" s="171"/>
      <c r="G538" s="171"/>
      <c r="H538" s="171"/>
      <c r="I538" s="172"/>
      <c r="J538" s="171"/>
      <c r="K538" s="171"/>
      <c r="L538" s="171"/>
      <c r="M538" s="171"/>
      <c r="N538" s="171"/>
      <c r="O538" s="172"/>
      <c r="P538" s="171"/>
      <c r="Q538" s="171"/>
      <c r="R538" s="171"/>
      <c r="S538" s="172"/>
      <c r="T538" s="171"/>
      <c r="U538" s="172"/>
      <c r="V538" s="171"/>
      <c r="W538" s="172"/>
      <c r="X538" s="53"/>
      <c r="Y538" s="151"/>
      <c r="Z538" s="151"/>
      <c r="AA538" s="151"/>
      <c r="AB538" s="151"/>
    </row>
    <row r="539" spans="1:28" s="178" customFormat="1" ht="13">
      <c r="A539" s="170"/>
      <c r="B539" s="175" t="s">
        <v>867</v>
      </c>
      <c r="C539" s="176">
        <v>0</v>
      </c>
      <c r="D539" s="176">
        <v>0</v>
      </c>
      <c r="E539" s="176">
        <v>0</v>
      </c>
      <c r="F539" s="176">
        <v>0</v>
      </c>
      <c r="G539" s="176">
        <v>0</v>
      </c>
      <c r="H539" s="176">
        <v>0</v>
      </c>
      <c r="I539" s="177">
        <v>0</v>
      </c>
      <c r="J539" s="176">
        <v>0</v>
      </c>
      <c r="K539" s="176">
        <v>0</v>
      </c>
      <c r="L539" s="176">
        <v>0</v>
      </c>
      <c r="M539" s="176">
        <v>0</v>
      </c>
      <c r="N539" s="176">
        <v>0</v>
      </c>
      <c r="O539" s="177">
        <v>0</v>
      </c>
      <c r="P539" s="176">
        <v>0</v>
      </c>
      <c r="Q539" s="176">
        <v>0</v>
      </c>
      <c r="R539" s="176">
        <v>0</v>
      </c>
      <c r="S539" s="177">
        <v>0</v>
      </c>
      <c r="T539" s="176">
        <v>0</v>
      </c>
      <c r="U539" s="177">
        <v>0</v>
      </c>
      <c r="V539" s="176">
        <v>0</v>
      </c>
      <c r="W539" s="177">
        <v>0</v>
      </c>
      <c r="X539" s="53">
        <v>0</v>
      </c>
      <c r="Y539" s="151"/>
      <c r="Z539" s="151"/>
      <c r="AA539" s="151"/>
      <c r="AB539" s="151"/>
    </row>
    <row r="540" spans="1:28" ht="13">
      <c r="A540" s="170"/>
      <c r="B540" s="59" t="s">
        <v>868</v>
      </c>
      <c r="C540" s="179">
        <v>0</v>
      </c>
      <c r="D540" s="179">
        <v>0</v>
      </c>
      <c r="E540" s="179">
        <v>0</v>
      </c>
      <c r="F540" s="179">
        <v>0</v>
      </c>
      <c r="G540" s="179">
        <v>0</v>
      </c>
      <c r="H540" s="179"/>
      <c r="I540" s="180">
        <v>0</v>
      </c>
      <c r="J540" s="179">
        <v>0</v>
      </c>
      <c r="K540" s="179">
        <v>0</v>
      </c>
      <c r="L540" s="179">
        <v>0</v>
      </c>
      <c r="M540" s="179">
        <v>0</v>
      </c>
      <c r="N540" s="179">
        <v>0</v>
      </c>
      <c r="O540" s="180">
        <v>0</v>
      </c>
      <c r="P540" s="179"/>
      <c r="Q540" s="179"/>
      <c r="R540" s="179"/>
      <c r="S540" s="180"/>
      <c r="T540" s="179">
        <v>0</v>
      </c>
      <c r="U540" s="180">
        <v>0</v>
      </c>
      <c r="V540" s="179"/>
      <c r="W540" s="180"/>
      <c r="X540" s="53">
        <v>0</v>
      </c>
      <c r="Y540" s="151"/>
      <c r="Z540" s="151"/>
      <c r="AA540" s="151"/>
      <c r="AB540" s="151"/>
    </row>
    <row r="541" spans="1:28" s="173" customFormat="1" ht="13">
      <c r="A541" s="170"/>
      <c r="B541" s="94" t="s">
        <v>869</v>
      </c>
      <c r="C541" s="171">
        <v>0</v>
      </c>
      <c r="D541" s="171">
        <v>0</v>
      </c>
      <c r="E541" s="171">
        <v>0</v>
      </c>
      <c r="F541" s="171">
        <v>0</v>
      </c>
      <c r="G541" s="171">
        <v>0</v>
      </c>
      <c r="H541" s="171"/>
      <c r="I541" s="172">
        <v>0</v>
      </c>
      <c r="J541" s="171">
        <v>0</v>
      </c>
      <c r="K541" s="171">
        <v>0</v>
      </c>
      <c r="L541" s="171">
        <v>0</v>
      </c>
      <c r="M541" s="171">
        <v>0</v>
      </c>
      <c r="N541" s="171">
        <v>0</v>
      </c>
      <c r="O541" s="172">
        <v>0</v>
      </c>
      <c r="P541" s="171"/>
      <c r="Q541" s="171"/>
      <c r="R541" s="171"/>
      <c r="S541" s="172"/>
      <c r="T541" s="171">
        <v>0</v>
      </c>
      <c r="U541" s="172">
        <v>0</v>
      </c>
      <c r="V541" s="171"/>
      <c r="W541" s="172"/>
      <c r="X541" s="53">
        <v>0</v>
      </c>
      <c r="Y541" s="151"/>
      <c r="Z541" s="151"/>
      <c r="AA541" s="151"/>
      <c r="AB541" s="151"/>
    </row>
    <row r="542" spans="1:28" s="178" customFormat="1" ht="13">
      <c r="A542" s="170"/>
      <c r="B542" s="175" t="s">
        <v>870</v>
      </c>
      <c r="C542" s="176">
        <v>0</v>
      </c>
      <c r="D542" s="176">
        <v>0</v>
      </c>
      <c r="E542" s="176">
        <v>0</v>
      </c>
      <c r="F542" s="176">
        <v>0</v>
      </c>
      <c r="G542" s="176">
        <v>0</v>
      </c>
      <c r="H542" s="176">
        <v>0</v>
      </c>
      <c r="I542" s="177">
        <v>0</v>
      </c>
      <c r="J542" s="176">
        <v>0</v>
      </c>
      <c r="K542" s="176">
        <v>0</v>
      </c>
      <c r="L542" s="176">
        <v>0</v>
      </c>
      <c r="M542" s="176">
        <v>0</v>
      </c>
      <c r="N542" s="176">
        <v>0</v>
      </c>
      <c r="O542" s="177">
        <v>0</v>
      </c>
      <c r="P542" s="176">
        <v>0</v>
      </c>
      <c r="Q542" s="176">
        <v>0</v>
      </c>
      <c r="R542" s="176">
        <v>0</v>
      </c>
      <c r="S542" s="177">
        <v>0</v>
      </c>
      <c r="T542" s="176">
        <v>0</v>
      </c>
      <c r="U542" s="177">
        <v>0</v>
      </c>
      <c r="V542" s="176">
        <v>0</v>
      </c>
      <c r="W542" s="177">
        <v>0</v>
      </c>
      <c r="X542" s="53">
        <v>0</v>
      </c>
      <c r="Y542" s="151"/>
      <c r="Z542" s="151"/>
      <c r="AA542" s="151"/>
      <c r="AB542" s="151"/>
    </row>
    <row r="543" spans="1:28" ht="13">
      <c r="A543" s="170"/>
      <c r="B543" s="59" t="s">
        <v>871</v>
      </c>
      <c r="C543" s="179">
        <v>41029665</v>
      </c>
      <c r="D543" s="179"/>
      <c r="E543" s="179"/>
      <c r="F543" s="179"/>
      <c r="G543" s="179"/>
      <c r="H543" s="179"/>
      <c r="I543" s="180">
        <v>41029665</v>
      </c>
      <c r="J543" s="179"/>
      <c r="K543" s="179"/>
      <c r="L543" s="179"/>
      <c r="M543" s="179"/>
      <c r="N543" s="179"/>
      <c r="O543" s="180"/>
      <c r="P543" s="179"/>
      <c r="Q543" s="179"/>
      <c r="R543" s="179"/>
      <c r="S543" s="180"/>
      <c r="T543" s="179">
        <v>1700888313</v>
      </c>
      <c r="U543" s="180">
        <v>1700888313</v>
      </c>
      <c r="V543" s="179"/>
      <c r="W543" s="180"/>
      <c r="X543" s="53">
        <v>1741917978</v>
      </c>
      <c r="Y543" s="151"/>
      <c r="Z543" s="151"/>
      <c r="AA543" s="151"/>
      <c r="AB543" s="151"/>
    </row>
    <row r="544" spans="1:28" s="173" customFormat="1" ht="13">
      <c r="A544" s="170"/>
      <c r="B544" s="94" t="s">
        <v>872</v>
      </c>
      <c r="C544" s="171">
        <v>43369987</v>
      </c>
      <c r="D544" s="171"/>
      <c r="E544" s="171"/>
      <c r="F544" s="171"/>
      <c r="G544" s="171"/>
      <c r="H544" s="171"/>
      <c r="I544" s="172">
        <v>43369987</v>
      </c>
      <c r="J544" s="171"/>
      <c r="K544" s="171"/>
      <c r="L544" s="171"/>
      <c r="M544" s="171"/>
      <c r="N544" s="171"/>
      <c r="O544" s="172"/>
      <c r="P544" s="171"/>
      <c r="Q544" s="171"/>
      <c r="R544" s="171"/>
      <c r="S544" s="172"/>
      <c r="T544" s="171">
        <v>1704086933</v>
      </c>
      <c r="U544" s="172">
        <v>1704086933</v>
      </c>
      <c r="V544" s="171"/>
      <c r="W544" s="172"/>
      <c r="X544" s="53">
        <v>1747456920</v>
      </c>
      <c r="Y544" s="151"/>
      <c r="Z544" s="151"/>
      <c r="AA544" s="151"/>
      <c r="AB544" s="151"/>
    </row>
    <row r="545" spans="1:28" s="178" customFormat="1" ht="13">
      <c r="A545" s="170"/>
      <c r="B545" s="175" t="s">
        <v>873</v>
      </c>
      <c r="C545" s="176">
        <v>5.70397540413747</v>
      </c>
      <c r="D545" s="176">
        <v>0</v>
      </c>
      <c r="E545" s="176">
        <v>0</v>
      </c>
      <c r="F545" s="176">
        <v>0</v>
      </c>
      <c r="G545" s="176">
        <v>0</v>
      </c>
      <c r="H545" s="176">
        <v>0</v>
      </c>
      <c r="I545" s="177">
        <v>5.70397540413747</v>
      </c>
      <c r="J545" s="176">
        <v>0</v>
      </c>
      <c r="K545" s="176">
        <v>0</v>
      </c>
      <c r="L545" s="176">
        <v>0</v>
      </c>
      <c r="M545" s="176">
        <v>0</v>
      </c>
      <c r="N545" s="176">
        <v>0</v>
      </c>
      <c r="O545" s="177">
        <v>0</v>
      </c>
      <c r="P545" s="176">
        <v>0</v>
      </c>
      <c r="Q545" s="176">
        <v>0</v>
      </c>
      <c r="R545" s="176">
        <v>0</v>
      </c>
      <c r="S545" s="177">
        <v>0</v>
      </c>
      <c r="T545" s="176">
        <v>0.18805585149552381</v>
      </c>
      <c r="U545" s="177">
        <v>0.18805585149552381</v>
      </c>
      <c r="V545" s="176">
        <v>0</v>
      </c>
      <c r="W545" s="177">
        <v>0</v>
      </c>
      <c r="X545" s="53">
        <v>0.31797949558793748</v>
      </c>
      <c r="Y545" s="151"/>
      <c r="Z545" s="151"/>
      <c r="AA545" s="151"/>
      <c r="AB545" s="151"/>
    </row>
    <row r="546" spans="1:28" ht="13">
      <c r="A546" s="170"/>
      <c r="B546" s="59" t="s">
        <v>874</v>
      </c>
      <c r="C546" s="179">
        <v>22581829</v>
      </c>
      <c r="D546" s="179"/>
      <c r="E546" s="179"/>
      <c r="F546" s="179"/>
      <c r="G546" s="179"/>
      <c r="H546" s="179"/>
      <c r="I546" s="180">
        <v>22581829</v>
      </c>
      <c r="J546" s="179"/>
      <c r="K546" s="179"/>
      <c r="L546" s="179"/>
      <c r="M546" s="179"/>
      <c r="N546" s="179"/>
      <c r="O546" s="180"/>
      <c r="P546" s="179"/>
      <c r="Q546" s="179"/>
      <c r="R546" s="179"/>
      <c r="S546" s="180"/>
      <c r="T546" s="179">
        <v>319781473</v>
      </c>
      <c r="U546" s="180">
        <v>319781473</v>
      </c>
      <c r="V546" s="179"/>
      <c r="W546" s="180"/>
      <c r="X546" s="53">
        <v>342363302</v>
      </c>
      <c r="Y546" s="151"/>
      <c r="Z546" s="151"/>
      <c r="AA546" s="151"/>
      <c r="AB546" s="151"/>
    </row>
    <row r="547" spans="1:28" s="173" customFormat="1" ht="13">
      <c r="A547" s="170"/>
      <c r="B547" s="94" t="s">
        <v>875</v>
      </c>
      <c r="C547" s="171">
        <v>24470880.0593381</v>
      </c>
      <c r="D547" s="171"/>
      <c r="E547" s="171"/>
      <c r="F547" s="171"/>
      <c r="G547" s="171"/>
      <c r="H547" s="171"/>
      <c r="I547" s="172">
        <v>24470880.0593381</v>
      </c>
      <c r="J547" s="171"/>
      <c r="K547" s="171"/>
      <c r="L547" s="171"/>
      <c r="M547" s="171"/>
      <c r="N547" s="171"/>
      <c r="O547" s="172"/>
      <c r="P547" s="171"/>
      <c r="Q547" s="171"/>
      <c r="R547" s="171"/>
      <c r="S547" s="172"/>
      <c r="T547" s="171">
        <v>322565630</v>
      </c>
      <c r="U547" s="172">
        <v>322565630</v>
      </c>
      <c r="V547" s="171"/>
      <c r="W547" s="172"/>
      <c r="X547" s="53">
        <v>347036510.05933809</v>
      </c>
      <c r="Y547" s="151"/>
      <c r="Z547" s="151"/>
      <c r="AA547" s="151"/>
      <c r="AB547" s="151"/>
    </row>
    <row r="548" spans="1:28" s="178" customFormat="1" ht="13">
      <c r="A548" s="170"/>
      <c r="B548" s="175" t="s">
        <v>876</v>
      </c>
      <c r="C548" s="176">
        <v>8.3653589766271832</v>
      </c>
      <c r="D548" s="176">
        <v>0</v>
      </c>
      <c r="E548" s="176">
        <v>0</v>
      </c>
      <c r="F548" s="176">
        <v>0</v>
      </c>
      <c r="G548" s="176">
        <v>0</v>
      </c>
      <c r="H548" s="176">
        <v>0</v>
      </c>
      <c r="I548" s="177">
        <v>8.3653589766271832</v>
      </c>
      <c r="J548" s="176">
        <v>0</v>
      </c>
      <c r="K548" s="176">
        <v>0</v>
      </c>
      <c r="L548" s="176">
        <v>0</v>
      </c>
      <c r="M548" s="176">
        <v>0</v>
      </c>
      <c r="N548" s="176">
        <v>0</v>
      </c>
      <c r="O548" s="177">
        <v>0</v>
      </c>
      <c r="P548" s="176">
        <v>0</v>
      </c>
      <c r="Q548" s="176">
        <v>0</v>
      </c>
      <c r="R548" s="176">
        <v>0</v>
      </c>
      <c r="S548" s="177">
        <v>0</v>
      </c>
      <c r="T548" s="176">
        <v>0.87064362230891335</v>
      </c>
      <c r="U548" s="177">
        <v>0.87064362230891335</v>
      </c>
      <c r="V548" s="176">
        <v>0</v>
      </c>
      <c r="W548" s="177">
        <v>0</v>
      </c>
      <c r="X548" s="53">
        <v>1.3649850997575941</v>
      </c>
      <c r="Y548" s="151"/>
      <c r="Z548" s="151"/>
      <c r="AA548" s="151"/>
      <c r="AB548" s="151"/>
    </row>
    <row r="549" spans="1:28" ht="13">
      <c r="A549" s="170"/>
      <c r="B549" s="59" t="s">
        <v>877</v>
      </c>
      <c r="C549" s="179">
        <v>5322078895.2299995</v>
      </c>
      <c r="D549" s="179">
        <v>758426654.76999998</v>
      </c>
      <c r="E549" s="179">
        <v>1844830483</v>
      </c>
      <c r="F549" s="179">
        <v>258435365</v>
      </c>
      <c r="G549" s="179">
        <v>44106606</v>
      </c>
      <c r="H549" s="179"/>
      <c r="I549" s="180">
        <v>8227878004</v>
      </c>
      <c r="J549" s="179">
        <v>218318124</v>
      </c>
      <c r="K549" s="179">
        <v>3085583421</v>
      </c>
      <c r="L549" s="179">
        <v>587764407</v>
      </c>
      <c r="M549" s="179">
        <v>154834595</v>
      </c>
      <c r="N549" s="179">
        <v>321726818</v>
      </c>
      <c r="O549" s="180">
        <v>4368227365</v>
      </c>
      <c r="P549" s="179"/>
      <c r="Q549" s="179"/>
      <c r="R549" s="179"/>
      <c r="S549" s="180"/>
      <c r="T549" s="179">
        <v>0</v>
      </c>
      <c r="U549" s="180">
        <v>0</v>
      </c>
      <c r="V549" s="179"/>
      <c r="W549" s="180"/>
      <c r="X549" s="53">
        <v>12596105369</v>
      </c>
      <c r="Y549" s="151"/>
      <c r="Z549" s="151"/>
      <c r="AA549" s="151"/>
      <c r="AB549" s="151"/>
    </row>
    <row r="550" spans="1:28" s="173" customFormat="1" ht="13">
      <c r="A550" s="170"/>
      <c r="B550" s="94" t="s">
        <v>878</v>
      </c>
      <c r="C550" s="171">
        <v>5528191868.3806629</v>
      </c>
      <c r="D550" s="171">
        <v>770900788.55999994</v>
      </c>
      <c r="E550" s="171">
        <v>1906702757</v>
      </c>
      <c r="F550" s="171">
        <v>268580645</v>
      </c>
      <c r="G550" s="171">
        <v>41097411</v>
      </c>
      <c r="H550" s="171"/>
      <c r="I550" s="172">
        <v>8515473469.9406624</v>
      </c>
      <c r="J550" s="171">
        <v>222403555</v>
      </c>
      <c r="K550" s="171">
        <v>3153223547</v>
      </c>
      <c r="L550" s="171">
        <v>591714868</v>
      </c>
      <c r="M550" s="171">
        <v>152906823</v>
      </c>
      <c r="N550" s="171">
        <v>329756989</v>
      </c>
      <c r="O550" s="172">
        <v>4450005782</v>
      </c>
      <c r="P550" s="171"/>
      <c r="Q550" s="171"/>
      <c r="R550" s="171"/>
      <c r="S550" s="172"/>
      <c r="T550" s="171">
        <v>0</v>
      </c>
      <c r="U550" s="172">
        <v>0</v>
      </c>
      <c r="V550" s="171"/>
      <c r="W550" s="172"/>
      <c r="X550" s="53">
        <v>12965479251.940662</v>
      </c>
      <c r="Y550" s="151"/>
      <c r="Z550" s="151"/>
      <c r="AA550" s="151"/>
      <c r="AB550" s="151"/>
    </row>
    <row r="551" spans="1:28" s="192" customFormat="1" ht="13.5" thickBot="1">
      <c r="A551" s="186"/>
      <c r="B551" s="187" t="s">
        <v>879</v>
      </c>
      <c r="C551" s="188">
        <v>3.8727906370459015</v>
      </c>
      <c r="D551" s="188">
        <v>1.6447383160317408</v>
      </c>
      <c r="E551" s="188">
        <v>3.3538189318828597</v>
      </c>
      <c r="F551" s="188">
        <v>3.9256546796526863</v>
      </c>
      <c r="G551" s="188">
        <v>-6.8225494385126799</v>
      </c>
      <c r="H551" s="188">
        <v>0</v>
      </c>
      <c r="I551" s="189">
        <v>3.4953783442200681</v>
      </c>
      <c r="J551" s="188">
        <v>1.8713201291524473</v>
      </c>
      <c r="K551" s="188">
        <v>2.1921340884725993</v>
      </c>
      <c r="L551" s="188">
        <v>0.67211640462604605</v>
      </c>
      <c r="M551" s="188">
        <v>-1.2450525026399948</v>
      </c>
      <c r="N551" s="188">
        <v>2.4959594757810959</v>
      </c>
      <c r="O551" s="189">
        <v>1.8721190580701379</v>
      </c>
      <c r="P551" s="188">
        <v>0</v>
      </c>
      <c r="Q551" s="188">
        <v>0</v>
      </c>
      <c r="R551" s="188">
        <v>0</v>
      </c>
      <c r="S551" s="189">
        <v>0</v>
      </c>
      <c r="T551" s="188">
        <v>0</v>
      </c>
      <c r="U551" s="189">
        <v>0</v>
      </c>
      <c r="V551" s="188">
        <v>0</v>
      </c>
      <c r="W551" s="189">
        <v>0</v>
      </c>
      <c r="X551" s="53">
        <v>2.9324451655487129</v>
      </c>
      <c r="Y551" s="151"/>
      <c r="Z551" s="151"/>
      <c r="AA551" s="151"/>
      <c r="AB551" s="151"/>
    </row>
    <row r="552" spans="1:28" ht="13.5" thickTop="1">
      <c r="A552" s="147" t="s">
        <v>750</v>
      </c>
      <c r="B552" s="167" t="s">
        <v>754</v>
      </c>
      <c r="C552" s="168">
        <v>711974932</v>
      </c>
      <c r="D552" s="168">
        <v>47574032</v>
      </c>
      <c r="E552" s="168">
        <v>187367691</v>
      </c>
      <c r="F552" s="168">
        <v>49028930</v>
      </c>
      <c r="G552" s="168">
        <v>90879964</v>
      </c>
      <c r="H552" s="168">
        <v>20553230</v>
      </c>
      <c r="I552" s="169">
        <v>1107378779</v>
      </c>
      <c r="J552" s="168"/>
      <c r="K552" s="168"/>
      <c r="L552" s="168"/>
      <c r="M552" s="168">
        <v>8244744</v>
      </c>
      <c r="N552" s="168">
        <v>379710954</v>
      </c>
      <c r="O552" s="169">
        <v>387955698</v>
      </c>
      <c r="P552" s="168"/>
      <c r="Q552" s="168"/>
      <c r="R552" s="168"/>
      <c r="S552" s="169"/>
      <c r="T552" s="168"/>
      <c r="U552" s="169"/>
      <c r="V552" s="168"/>
      <c r="W552" s="169"/>
      <c r="X552" s="53">
        <v>1495334477</v>
      </c>
      <c r="Y552" s="151"/>
      <c r="Z552" s="151"/>
      <c r="AA552" s="151"/>
      <c r="AB552" s="151"/>
    </row>
    <row r="553" spans="1:28" s="173" customFormat="1" ht="13">
      <c r="A553" s="170"/>
      <c r="B553" s="94" t="s">
        <v>755</v>
      </c>
      <c r="C553" s="171">
        <v>838939374</v>
      </c>
      <c r="D553" s="171">
        <v>53238886</v>
      </c>
      <c r="E553" s="171">
        <v>207751092</v>
      </c>
      <c r="F553" s="171">
        <v>56420122</v>
      </c>
      <c r="G553" s="171">
        <v>101737196</v>
      </c>
      <c r="H553" s="171">
        <v>19887822</v>
      </c>
      <c r="I553" s="172">
        <v>1277974492</v>
      </c>
      <c r="J553" s="171"/>
      <c r="K553" s="171"/>
      <c r="L553" s="171"/>
      <c r="M553" s="171">
        <v>9494914</v>
      </c>
      <c r="N553" s="171">
        <v>427692183</v>
      </c>
      <c r="O553" s="172">
        <v>437187097</v>
      </c>
      <c r="P553" s="171"/>
      <c r="Q553" s="171"/>
      <c r="R553" s="171"/>
      <c r="S553" s="172"/>
      <c r="T553" s="171"/>
      <c r="U553" s="172"/>
      <c r="V553" s="171"/>
      <c r="W553" s="172"/>
      <c r="X553" s="53">
        <v>1715161589</v>
      </c>
      <c r="Y553" s="151"/>
      <c r="Z553" s="151"/>
      <c r="AA553" s="151"/>
      <c r="AB553" s="151"/>
    </row>
    <row r="554" spans="1:28" s="178" customFormat="1" ht="13">
      <c r="A554" s="174"/>
      <c r="B554" s="175" t="s">
        <v>849</v>
      </c>
      <c r="C554" s="176">
        <v>17.832712402295648</v>
      </c>
      <c r="D554" s="176">
        <v>11.907449845747781</v>
      </c>
      <c r="E554" s="176">
        <v>10.878823820271126</v>
      </c>
      <c r="F554" s="176">
        <v>15.075164805758559</v>
      </c>
      <c r="G554" s="176">
        <v>11.946782901454494</v>
      </c>
      <c r="H554" s="176">
        <v>-3.2374862734470446</v>
      </c>
      <c r="I554" s="177">
        <v>15.405362305574757</v>
      </c>
      <c r="J554" s="176">
        <v>0</v>
      </c>
      <c r="K554" s="176">
        <v>0</v>
      </c>
      <c r="L554" s="176">
        <v>0</v>
      </c>
      <c r="M554" s="176">
        <v>15.16323611745859</v>
      </c>
      <c r="N554" s="176">
        <v>12.636250941551715</v>
      </c>
      <c r="O554" s="177">
        <v>12.689953841069759</v>
      </c>
      <c r="P554" s="176">
        <v>0</v>
      </c>
      <c r="Q554" s="176">
        <v>0</v>
      </c>
      <c r="R554" s="176">
        <v>0</v>
      </c>
      <c r="S554" s="177">
        <v>0</v>
      </c>
      <c r="T554" s="176">
        <v>0</v>
      </c>
      <c r="U554" s="177">
        <v>0</v>
      </c>
      <c r="V554" s="176">
        <v>0</v>
      </c>
      <c r="W554" s="177">
        <v>0</v>
      </c>
      <c r="X554" s="53">
        <v>14.700865617773088</v>
      </c>
      <c r="Y554" s="151"/>
      <c r="Z554" s="151"/>
      <c r="AA554" s="151"/>
      <c r="AB554" s="151"/>
    </row>
    <row r="555" spans="1:28" ht="13">
      <c r="A555" s="170"/>
      <c r="B555" s="59" t="s">
        <v>756</v>
      </c>
      <c r="C555" s="179">
        <v>111628932</v>
      </c>
      <c r="D555" s="179">
        <v>24224502</v>
      </c>
      <c r="E555" s="179">
        <v>5590340</v>
      </c>
      <c r="F555" s="179"/>
      <c r="G555" s="179">
        <v>1250000</v>
      </c>
      <c r="H555" s="179"/>
      <c r="I555" s="180">
        <v>142693774</v>
      </c>
      <c r="J555" s="179"/>
      <c r="K555" s="179"/>
      <c r="L555" s="179"/>
      <c r="M555" s="179"/>
      <c r="N555" s="179">
        <v>550000</v>
      </c>
      <c r="O555" s="180">
        <v>550000</v>
      </c>
      <c r="P555" s="179"/>
      <c r="Q555" s="179"/>
      <c r="R555" s="179"/>
      <c r="S555" s="180"/>
      <c r="T555" s="179"/>
      <c r="U555" s="180"/>
      <c r="V555" s="179"/>
      <c r="W555" s="180"/>
      <c r="X555" s="53">
        <v>143243774</v>
      </c>
      <c r="Y555" s="151"/>
      <c r="Z555" s="151"/>
      <c r="AA555" s="151"/>
      <c r="AB555" s="151"/>
    </row>
    <row r="556" spans="1:28" s="173" customFormat="1" ht="13">
      <c r="A556" s="170"/>
      <c r="B556" s="94" t="s">
        <v>757</v>
      </c>
      <c r="C556" s="171">
        <v>113404166</v>
      </c>
      <c r="D556" s="171">
        <v>25233765</v>
      </c>
      <c r="E556" s="171">
        <v>7126822</v>
      </c>
      <c r="F556" s="171"/>
      <c r="G556" s="171">
        <v>1250000</v>
      </c>
      <c r="H556" s="171"/>
      <c r="I556" s="172">
        <v>147014753</v>
      </c>
      <c r="J556" s="171"/>
      <c r="K556" s="171"/>
      <c r="L556" s="171"/>
      <c r="M556" s="171"/>
      <c r="N556" s="171"/>
      <c r="O556" s="172"/>
      <c r="P556" s="171"/>
      <c r="Q556" s="171"/>
      <c r="R556" s="171"/>
      <c r="S556" s="172"/>
      <c r="T556" s="171"/>
      <c r="U556" s="172"/>
      <c r="V556" s="171"/>
      <c r="W556" s="172"/>
      <c r="X556" s="53">
        <v>147014753</v>
      </c>
      <c r="Y556" s="151"/>
      <c r="Z556" s="151"/>
      <c r="AA556" s="151"/>
      <c r="AB556" s="151"/>
    </row>
    <row r="557" spans="1:28" s="178" customFormat="1" ht="13">
      <c r="A557" s="170"/>
      <c r="B557" s="175" t="s">
        <v>850</v>
      </c>
      <c r="C557" s="176">
        <v>1.5902991887443658</v>
      </c>
      <c r="D557" s="176">
        <v>4.1662899819364707</v>
      </c>
      <c r="E557" s="176">
        <v>27.484589488295878</v>
      </c>
      <c r="F557" s="176">
        <v>0</v>
      </c>
      <c r="G557" s="176">
        <v>0</v>
      </c>
      <c r="H557" s="176">
        <v>0</v>
      </c>
      <c r="I557" s="177">
        <v>3.0281482358158107</v>
      </c>
      <c r="J557" s="176">
        <v>0</v>
      </c>
      <c r="K557" s="176">
        <v>0</v>
      </c>
      <c r="L557" s="176">
        <v>0</v>
      </c>
      <c r="M557" s="176">
        <v>0</v>
      </c>
      <c r="N557" s="176">
        <v>-100</v>
      </c>
      <c r="O557" s="177">
        <v>-100</v>
      </c>
      <c r="P557" s="176">
        <v>0</v>
      </c>
      <c r="Q557" s="176">
        <v>0</v>
      </c>
      <c r="R557" s="176">
        <v>0</v>
      </c>
      <c r="S557" s="177">
        <v>0</v>
      </c>
      <c r="T557" s="176">
        <v>0</v>
      </c>
      <c r="U557" s="177">
        <v>0</v>
      </c>
      <c r="V557" s="176">
        <v>0</v>
      </c>
      <c r="W557" s="177">
        <v>0</v>
      </c>
      <c r="X557" s="53">
        <v>2.6325604909013358</v>
      </c>
      <c r="Y557" s="151"/>
      <c r="Z557" s="151"/>
      <c r="AA557" s="151"/>
      <c r="AB557" s="151"/>
    </row>
    <row r="558" spans="1:28" ht="13">
      <c r="A558" s="170"/>
      <c r="B558" s="59" t="s">
        <v>758</v>
      </c>
      <c r="C558" s="179"/>
      <c r="D558" s="179"/>
      <c r="E558" s="179"/>
      <c r="F558" s="179"/>
      <c r="G558" s="179"/>
      <c r="H558" s="179"/>
      <c r="I558" s="180"/>
      <c r="J558" s="179"/>
      <c r="K558" s="179"/>
      <c r="L558" s="179"/>
      <c r="M558" s="179"/>
      <c r="N558" s="179">
        <v>11570690.2857143</v>
      </c>
      <c r="O558" s="180">
        <v>11570690.2857143</v>
      </c>
      <c r="P558" s="179"/>
      <c r="Q558" s="179"/>
      <c r="R558" s="179"/>
      <c r="S558" s="180"/>
      <c r="T558" s="179"/>
      <c r="U558" s="180"/>
      <c r="V558" s="179"/>
      <c r="W558" s="180"/>
      <c r="X558" s="53">
        <v>11570690.2857143</v>
      </c>
      <c r="Y558" s="151"/>
      <c r="Z558" s="151"/>
      <c r="AA558" s="151"/>
      <c r="AB558" s="151"/>
    </row>
    <row r="559" spans="1:28" s="173" customFormat="1" ht="13">
      <c r="A559" s="170"/>
      <c r="B559" s="94" t="s">
        <v>759</v>
      </c>
      <c r="C559" s="171"/>
      <c r="D559" s="171"/>
      <c r="E559" s="171"/>
      <c r="F559" s="171"/>
      <c r="G559" s="171"/>
      <c r="H559" s="171"/>
      <c r="I559" s="172"/>
      <c r="J559" s="171"/>
      <c r="K559" s="171"/>
      <c r="L559" s="171"/>
      <c r="M559" s="171"/>
      <c r="N559" s="171">
        <v>9533038</v>
      </c>
      <c r="O559" s="172">
        <v>9533038</v>
      </c>
      <c r="P559" s="171"/>
      <c r="Q559" s="171"/>
      <c r="R559" s="171"/>
      <c r="S559" s="172"/>
      <c r="T559" s="171"/>
      <c r="U559" s="172"/>
      <c r="V559" s="171"/>
      <c r="W559" s="172"/>
      <c r="X559" s="53">
        <v>9533038</v>
      </c>
      <c r="Y559" s="151"/>
      <c r="Z559" s="151"/>
      <c r="AA559" s="151"/>
      <c r="AB559" s="151"/>
    </row>
    <row r="560" spans="1:28" s="178" customFormat="1" ht="13">
      <c r="A560" s="170"/>
      <c r="B560" s="175" t="s">
        <v>851</v>
      </c>
      <c r="C560" s="176">
        <v>0</v>
      </c>
      <c r="D560" s="176">
        <v>0</v>
      </c>
      <c r="E560" s="176">
        <v>0</v>
      </c>
      <c r="F560" s="176">
        <v>0</v>
      </c>
      <c r="G560" s="176">
        <v>0</v>
      </c>
      <c r="H560" s="176">
        <v>0</v>
      </c>
      <c r="I560" s="177">
        <v>0</v>
      </c>
      <c r="J560" s="176">
        <v>0</v>
      </c>
      <c r="K560" s="176">
        <v>0</v>
      </c>
      <c r="L560" s="176">
        <v>0</v>
      </c>
      <c r="M560" s="176">
        <v>0</v>
      </c>
      <c r="N560" s="176">
        <v>-17.610464331847844</v>
      </c>
      <c r="O560" s="177">
        <v>-17.610464331847844</v>
      </c>
      <c r="P560" s="176">
        <v>0</v>
      </c>
      <c r="Q560" s="176">
        <v>0</v>
      </c>
      <c r="R560" s="176">
        <v>0</v>
      </c>
      <c r="S560" s="177">
        <v>0</v>
      </c>
      <c r="T560" s="176">
        <v>0</v>
      </c>
      <c r="U560" s="177">
        <v>0</v>
      </c>
      <c r="V560" s="176">
        <v>0</v>
      </c>
      <c r="W560" s="177">
        <v>0</v>
      </c>
      <c r="X560" s="53">
        <v>-17.610464331847844</v>
      </c>
      <c r="Y560" s="151"/>
      <c r="Z560" s="151"/>
      <c r="AA560" s="151"/>
      <c r="AB560" s="151"/>
    </row>
    <row r="561" spans="1:28" ht="13">
      <c r="A561" s="170"/>
      <c r="B561" s="59" t="s">
        <v>760</v>
      </c>
      <c r="C561" s="179">
        <v>2397387510.6300001</v>
      </c>
      <c r="D561" s="179">
        <v>223366936</v>
      </c>
      <c r="E561" s="179">
        <v>379311978.57999998</v>
      </c>
      <c r="F561" s="179">
        <v>51051032.399999999</v>
      </c>
      <c r="G561" s="179">
        <v>135439099.78</v>
      </c>
      <c r="H561" s="179">
        <v>11871806</v>
      </c>
      <c r="I561" s="180">
        <v>3198428363.3900003</v>
      </c>
      <c r="J561" s="179"/>
      <c r="K561" s="179"/>
      <c r="L561" s="179"/>
      <c r="M561" s="179">
        <v>6128787.5</v>
      </c>
      <c r="N561" s="179">
        <v>487486108</v>
      </c>
      <c r="O561" s="180">
        <v>493614895.5</v>
      </c>
      <c r="P561" s="179"/>
      <c r="Q561" s="179"/>
      <c r="R561" s="179"/>
      <c r="S561" s="180"/>
      <c r="T561" s="179"/>
      <c r="U561" s="180"/>
      <c r="V561" s="179"/>
      <c r="W561" s="180"/>
      <c r="X561" s="53">
        <v>3692043258.8900003</v>
      </c>
      <c r="Y561" s="151"/>
      <c r="Z561" s="151"/>
      <c r="AA561" s="151"/>
      <c r="AB561" s="151"/>
    </row>
    <row r="562" spans="1:28" s="173" customFormat="1" ht="13">
      <c r="A562" s="170"/>
      <c r="B562" s="94" t="s">
        <v>761</v>
      </c>
      <c r="C562" s="171">
        <v>2566049787.288352</v>
      </c>
      <c r="D562" s="171">
        <v>220188376</v>
      </c>
      <c r="E562" s="171">
        <v>369413639.00999999</v>
      </c>
      <c r="F562" s="171">
        <v>49565701.310000002</v>
      </c>
      <c r="G562" s="171">
        <v>132697675.71000001</v>
      </c>
      <c r="H562" s="171">
        <v>11026665.859999999</v>
      </c>
      <c r="I562" s="172">
        <v>3348941845.1783524</v>
      </c>
      <c r="J562" s="171"/>
      <c r="K562" s="171"/>
      <c r="L562" s="171"/>
      <c r="M562" s="171">
        <v>5877839</v>
      </c>
      <c r="N562" s="171">
        <v>495042262</v>
      </c>
      <c r="O562" s="172">
        <v>500920101</v>
      </c>
      <c r="P562" s="171"/>
      <c r="Q562" s="171"/>
      <c r="R562" s="171"/>
      <c r="S562" s="172"/>
      <c r="T562" s="171"/>
      <c r="U562" s="172"/>
      <c r="V562" s="171"/>
      <c r="W562" s="172"/>
      <c r="X562" s="53">
        <v>3849861946.1783524</v>
      </c>
      <c r="Y562" s="151"/>
      <c r="Z562" s="151"/>
      <c r="AA562" s="151"/>
      <c r="AB562" s="151"/>
    </row>
    <row r="563" spans="1:28" s="178" customFormat="1" ht="13">
      <c r="A563" s="170"/>
      <c r="B563" s="175" t="s">
        <v>852</v>
      </c>
      <c r="C563" s="176">
        <v>7.0352529956256333</v>
      </c>
      <c r="D563" s="176">
        <v>-1.4230217134732956</v>
      </c>
      <c r="E563" s="176">
        <v>-2.6095510105047612</v>
      </c>
      <c r="F563" s="176">
        <v>-2.9095025510199006</v>
      </c>
      <c r="G563" s="176">
        <v>-2.0241009239230139</v>
      </c>
      <c r="H563" s="176">
        <v>-7.1188843550846483</v>
      </c>
      <c r="I563" s="177">
        <v>4.7058575240004261</v>
      </c>
      <c r="J563" s="176">
        <v>0</v>
      </c>
      <c r="K563" s="176">
        <v>0</v>
      </c>
      <c r="L563" s="176">
        <v>0</v>
      </c>
      <c r="M563" s="176">
        <v>-4.0945864088125097</v>
      </c>
      <c r="N563" s="176">
        <v>1.5500244778257353</v>
      </c>
      <c r="O563" s="177">
        <v>1.4799402462521514</v>
      </c>
      <c r="P563" s="176">
        <v>0</v>
      </c>
      <c r="Q563" s="176">
        <v>0</v>
      </c>
      <c r="R563" s="176">
        <v>0</v>
      </c>
      <c r="S563" s="177">
        <v>0</v>
      </c>
      <c r="T563" s="176">
        <v>0</v>
      </c>
      <c r="U563" s="177">
        <v>0</v>
      </c>
      <c r="V563" s="176">
        <v>0</v>
      </c>
      <c r="W563" s="177">
        <v>0</v>
      </c>
      <c r="X563" s="53">
        <v>4.2745622470252318</v>
      </c>
      <c r="Y563" s="151"/>
      <c r="Z563" s="151"/>
      <c r="AA563" s="151"/>
      <c r="AB563" s="151"/>
    </row>
    <row r="564" spans="1:28" ht="13">
      <c r="A564" s="170"/>
      <c r="B564" s="59" t="s">
        <v>853</v>
      </c>
      <c r="C564" s="179">
        <v>16471704</v>
      </c>
      <c r="D564" s="179">
        <v>1639845</v>
      </c>
      <c r="E564" s="179">
        <v>3917850</v>
      </c>
      <c r="F564" s="179">
        <v>420789</v>
      </c>
      <c r="G564" s="179">
        <v>472491</v>
      </c>
      <c r="H564" s="179">
        <v>48330</v>
      </c>
      <c r="I564" s="180">
        <v>22971009</v>
      </c>
      <c r="J564" s="179"/>
      <c r="K564" s="179"/>
      <c r="L564" s="179"/>
      <c r="M564" s="179">
        <v>10830</v>
      </c>
      <c r="N564" s="179">
        <v>3301665</v>
      </c>
      <c r="O564" s="180">
        <v>3312495</v>
      </c>
      <c r="P564" s="179"/>
      <c r="Q564" s="179"/>
      <c r="R564" s="179"/>
      <c r="S564" s="180"/>
      <c r="T564" s="179"/>
      <c r="U564" s="180"/>
      <c r="V564" s="179"/>
      <c r="W564" s="180"/>
      <c r="X564" s="53">
        <v>26283504</v>
      </c>
      <c r="Y564" s="151"/>
      <c r="Z564" s="151"/>
      <c r="AA564" s="151"/>
      <c r="AB564" s="151"/>
    </row>
    <row r="565" spans="1:28" s="173" customFormat="1" ht="13">
      <c r="A565" s="170"/>
      <c r="B565" s="94" t="s">
        <v>854</v>
      </c>
      <c r="C565" s="171">
        <v>16471704</v>
      </c>
      <c r="D565" s="171">
        <v>1639845</v>
      </c>
      <c r="E565" s="171">
        <v>3917850</v>
      </c>
      <c r="F565" s="171">
        <v>420789</v>
      </c>
      <c r="G565" s="171">
        <v>472491</v>
      </c>
      <c r="H565" s="171">
        <v>48330</v>
      </c>
      <c r="I565" s="172">
        <v>22971009</v>
      </c>
      <c r="J565" s="171"/>
      <c r="K565" s="171"/>
      <c r="L565" s="171"/>
      <c r="M565" s="171">
        <v>10830</v>
      </c>
      <c r="N565" s="171">
        <v>3301665</v>
      </c>
      <c r="O565" s="172">
        <v>3312495</v>
      </c>
      <c r="P565" s="171"/>
      <c r="Q565" s="171"/>
      <c r="R565" s="171"/>
      <c r="S565" s="172"/>
      <c r="T565" s="171"/>
      <c r="U565" s="172"/>
      <c r="V565" s="171"/>
      <c r="W565" s="172"/>
      <c r="X565" s="53">
        <v>26283504</v>
      </c>
      <c r="Y565" s="151"/>
      <c r="Z565" s="151"/>
      <c r="AA565" s="151"/>
      <c r="AB565" s="151"/>
    </row>
    <row r="566" spans="1:28" s="178" customFormat="1" ht="13">
      <c r="A566" s="170"/>
      <c r="B566" s="175" t="s">
        <v>855</v>
      </c>
      <c r="C566" s="176">
        <v>0</v>
      </c>
      <c r="D566" s="176">
        <v>0</v>
      </c>
      <c r="E566" s="176">
        <v>0</v>
      </c>
      <c r="F566" s="176">
        <v>0</v>
      </c>
      <c r="G566" s="176">
        <v>0</v>
      </c>
      <c r="H566" s="176">
        <v>0</v>
      </c>
      <c r="I566" s="177">
        <v>0</v>
      </c>
      <c r="J566" s="176">
        <v>0</v>
      </c>
      <c r="K566" s="176">
        <v>0</v>
      </c>
      <c r="L566" s="176">
        <v>0</v>
      </c>
      <c r="M566" s="176">
        <v>0</v>
      </c>
      <c r="N566" s="176">
        <v>0</v>
      </c>
      <c r="O566" s="177">
        <v>0</v>
      </c>
      <c r="P566" s="176">
        <v>0</v>
      </c>
      <c r="Q566" s="176">
        <v>0</v>
      </c>
      <c r="R566" s="176">
        <v>0</v>
      </c>
      <c r="S566" s="177">
        <v>0</v>
      </c>
      <c r="T566" s="176">
        <v>0</v>
      </c>
      <c r="U566" s="177">
        <v>0</v>
      </c>
      <c r="V566" s="176">
        <v>0</v>
      </c>
      <c r="W566" s="177">
        <v>0</v>
      </c>
      <c r="X566" s="53">
        <v>0</v>
      </c>
      <c r="Y566" s="151"/>
      <c r="Z566" s="151"/>
      <c r="AA566" s="151"/>
      <c r="AB566" s="151"/>
    </row>
    <row r="567" spans="1:28" ht="13">
      <c r="A567" s="170"/>
      <c r="B567" s="183" t="s">
        <v>856</v>
      </c>
      <c r="C567" s="180">
        <v>2413859214.6300001</v>
      </c>
      <c r="D567" s="180">
        <v>225006781</v>
      </c>
      <c r="E567" s="180">
        <v>383229828.57999998</v>
      </c>
      <c r="F567" s="180">
        <v>51471821.399999999</v>
      </c>
      <c r="G567" s="180">
        <v>135911590.78</v>
      </c>
      <c r="H567" s="180">
        <v>11920136</v>
      </c>
      <c r="I567" s="180">
        <v>3221399372.3900003</v>
      </c>
      <c r="J567" s="180"/>
      <c r="K567" s="180">
        <v>0</v>
      </c>
      <c r="L567" s="180">
        <v>0</v>
      </c>
      <c r="M567" s="180">
        <v>6139617.5</v>
      </c>
      <c r="N567" s="180">
        <v>490787773</v>
      </c>
      <c r="O567" s="180">
        <v>496927390.5</v>
      </c>
      <c r="P567" s="180"/>
      <c r="Q567" s="180"/>
      <c r="R567" s="180"/>
      <c r="S567" s="180"/>
      <c r="T567" s="180">
        <v>0</v>
      </c>
      <c r="U567" s="180">
        <v>0</v>
      </c>
      <c r="V567" s="180"/>
      <c r="W567" s="180"/>
      <c r="X567" s="53">
        <v>3718326762.8900003</v>
      </c>
      <c r="Y567" s="151"/>
      <c r="Z567" s="151"/>
      <c r="AA567" s="151"/>
      <c r="AB567" s="151"/>
    </row>
    <row r="568" spans="1:28" s="173" customFormat="1" ht="13">
      <c r="A568" s="170"/>
      <c r="B568" s="184" t="s">
        <v>857</v>
      </c>
      <c r="C568" s="172">
        <v>2582521491.288352</v>
      </c>
      <c r="D568" s="172">
        <v>221828221</v>
      </c>
      <c r="E568" s="172">
        <v>373331489.00999999</v>
      </c>
      <c r="F568" s="172">
        <v>49986490.310000002</v>
      </c>
      <c r="G568" s="172">
        <v>133170166.71000001</v>
      </c>
      <c r="H568" s="172">
        <v>11074995.859999999</v>
      </c>
      <c r="I568" s="172">
        <v>3371912854.1783524</v>
      </c>
      <c r="J568" s="172"/>
      <c r="K568" s="172">
        <v>0</v>
      </c>
      <c r="L568" s="172">
        <v>0</v>
      </c>
      <c r="M568" s="172">
        <v>5888669</v>
      </c>
      <c r="N568" s="172">
        <v>498343927</v>
      </c>
      <c r="O568" s="172">
        <v>504232596</v>
      </c>
      <c r="P568" s="172"/>
      <c r="Q568" s="172"/>
      <c r="R568" s="172"/>
      <c r="S568" s="172"/>
      <c r="T568" s="172">
        <v>0</v>
      </c>
      <c r="U568" s="172">
        <v>0</v>
      </c>
      <c r="V568" s="172"/>
      <c r="W568" s="172"/>
      <c r="X568" s="53">
        <v>3876145450.1783524</v>
      </c>
      <c r="Y568" s="151"/>
      <c r="Z568" s="151"/>
      <c r="AA568" s="151"/>
      <c r="AB568" s="151"/>
    </row>
    <row r="569" spans="1:28" s="178" customFormat="1" ht="13">
      <c r="A569" s="170"/>
      <c r="B569" s="185" t="s">
        <v>858</v>
      </c>
      <c r="C569" s="177">
        <v>6.9872458027426712</v>
      </c>
      <c r="D569" s="177">
        <v>-1.4126507591786757</v>
      </c>
      <c r="E569" s="177">
        <v>-2.5828729477235082</v>
      </c>
      <c r="F569" s="177">
        <v>-2.8857169798929947</v>
      </c>
      <c r="G569" s="177">
        <v>-2.0170642211358811</v>
      </c>
      <c r="H569" s="177">
        <v>-7.0900209527810798</v>
      </c>
      <c r="I569" s="177">
        <v>4.6723012079276591</v>
      </c>
      <c r="J569" s="177">
        <v>0</v>
      </c>
      <c r="K569" s="177">
        <v>0</v>
      </c>
      <c r="L569" s="177">
        <v>0</v>
      </c>
      <c r="M569" s="177">
        <v>-4.0873637486374355</v>
      </c>
      <c r="N569" s="177">
        <v>1.5395970347451993</v>
      </c>
      <c r="O569" s="177">
        <v>1.470075033024367</v>
      </c>
      <c r="P569" s="177">
        <v>0</v>
      </c>
      <c r="Q569" s="177">
        <v>0</v>
      </c>
      <c r="R569" s="177">
        <v>0</v>
      </c>
      <c r="S569" s="177">
        <v>0</v>
      </c>
      <c r="T569" s="177">
        <v>0</v>
      </c>
      <c r="U569" s="177">
        <v>0</v>
      </c>
      <c r="V569" s="177">
        <v>0</v>
      </c>
      <c r="W569" s="177">
        <v>0</v>
      </c>
      <c r="X569" s="53">
        <v>4.2443469160222591</v>
      </c>
      <c r="Y569" s="151"/>
      <c r="Z569" s="151"/>
      <c r="AA569" s="151"/>
      <c r="AB569" s="151"/>
    </row>
    <row r="570" spans="1:28" ht="13">
      <c r="A570" s="170"/>
      <c r="B570" s="59" t="s">
        <v>859</v>
      </c>
      <c r="C570" s="179"/>
      <c r="D570" s="179"/>
      <c r="E570" s="179"/>
      <c r="F570" s="179"/>
      <c r="G570" s="179"/>
      <c r="H570" s="179"/>
      <c r="I570" s="180"/>
      <c r="J570" s="179"/>
      <c r="K570" s="179"/>
      <c r="L570" s="179"/>
      <c r="M570" s="179"/>
      <c r="N570" s="179"/>
      <c r="O570" s="180"/>
      <c r="P570" s="179"/>
      <c r="Q570" s="179"/>
      <c r="R570" s="179"/>
      <c r="S570" s="180"/>
      <c r="T570" s="179">
        <v>17811922</v>
      </c>
      <c r="U570" s="180">
        <v>17811922</v>
      </c>
      <c r="V570" s="179"/>
      <c r="W570" s="180"/>
      <c r="X570" s="53">
        <v>17811922</v>
      </c>
      <c r="Y570" s="151"/>
      <c r="Z570" s="151"/>
      <c r="AA570" s="151"/>
      <c r="AB570" s="151"/>
    </row>
    <row r="571" spans="1:28" s="173" customFormat="1" ht="13">
      <c r="A571" s="170"/>
      <c r="B571" s="94" t="s">
        <v>860</v>
      </c>
      <c r="C571" s="171"/>
      <c r="D571" s="171"/>
      <c r="E571" s="171"/>
      <c r="F571" s="171"/>
      <c r="G571" s="171"/>
      <c r="H571" s="171"/>
      <c r="I571" s="172"/>
      <c r="J571" s="171"/>
      <c r="K571" s="171"/>
      <c r="L571" s="171"/>
      <c r="M571" s="171"/>
      <c r="N571" s="171"/>
      <c r="O571" s="172"/>
      <c r="P571" s="171"/>
      <c r="Q571" s="171"/>
      <c r="R571" s="171"/>
      <c r="S571" s="172"/>
      <c r="T571" s="171">
        <v>19296030</v>
      </c>
      <c r="U571" s="172">
        <v>19296030</v>
      </c>
      <c r="V571" s="171"/>
      <c r="W571" s="172"/>
      <c r="X571" s="53">
        <v>19296030</v>
      </c>
      <c r="Y571" s="151"/>
      <c r="Z571" s="151"/>
      <c r="AA571" s="151"/>
      <c r="AB571" s="151"/>
    </row>
    <row r="572" spans="1:28" s="178" customFormat="1" ht="13">
      <c r="A572" s="170"/>
      <c r="B572" s="175" t="s">
        <v>861</v>
      </c>
      <c r="C572" s="176">
        <v>0</v>
      </c>
      <c r="D572" s="176">
        <v>0</v>
      </c>
      <c r="E572" s="176">
        <v>0</v>
      </c>
      <c r="F572" s="176">
        <v>0</v>
      </c>
      <c r="G572" s="176">
        <v>0</v>
      </c>
      <c r="H572" s="176">
        <v>0</v>
      </c>
      <c r="I572" s="177">
        <v>0</v>
      </c>
      <c r="J572" s="176">
        <v>0</v>
      </c>
      <c r="K572" s="176">
        <v>0</v>
      </c>
      <c r="L572" s="176">
        <v>0</v>
      </c>
      <c r="M572" s="176">
        <v>0</v>
      </c>
      <c r="N572" s="176">
        <v>0</v>
      </c>
      <c r="O572" s="177">
        <v>0</v>
      </c>
      <c r="P572" s="176">
        <v>0</v>
      </c>
      <c r="Q572" s="176">
        <v>0</v>
      </c>
      <c r="R572" s="176">
        <v>0</v>
      </c>
      <c r="S572" s="177">
        <v>0</v>
      </c>
      <c r="T572" s="176">
        <v>8.3321047554553633</v>
      </c>
      <c r="U572" s="177">
        <v>8.3321047554553633</v>
      </c>
      <c r="V572" s="176">
        <v>0</v>
      </c>
      <c r="W572" s="177">
        <v>0</v>
      </c>
      <c r="X572" s="53">
        <v>8.3321047554553633</v>
      </c>
      <c r="Y572" s="151"/>
      <c r="Z572" s="151"/>
      <c r="AA572" s="151"/>
      <c r="AB572" s="151"/>
    </row>
    <row r="573" spans="1:28" ht="13">
      <c r="A573" s="170"/>
      <c r="B573" s="59" t="s">
        <v>862</v>
      </c>
      <c r="C573" s="179"/>
      <c r="D573" s="179"/>
      <c r="E573" s="179"/>
      <c r="F573" s="179"/>
      <c r="G573" s="179"/>
      <c r="H573" s="179"/>
      <c r="I573" s="180"/>
      <c r="J573" s="179"/>
      <c r="K573" s="179"/>
      <c r="L573" s="179"/>
      <c r="M573" s="179"/>
      <c r="N573" s="179"/>
      <c r="O573" s="180"/>
      <c r="P573" s="179"/>
      <c r="Q573" s="179"/>
      <c r="R573" s="179"/>
      <c r="S573" s="180"/>
      <c r="T573" s="179">
        <v>32691135</v>
      </c>
      <c r="U573" s="180">
        <v>32691135</v>
      </c>
      <c r="V573" s="179"/>
      <c r="W573" s="180"/>
      <c r="X573" s="53">
        <v>32691135</v>
      </c>
      <c r="Y573" s="151"/>
      <c r="Z573" s="151"/>
      <c r="AA573" s="151"/>
      <c r="AB573" s="151"/>
    </row>
    <row r="574" spans="1:28" s="173" customFormat="1" ht="13">
      <c r="A574" s="170"/>
      <c r="B574" s="94" t="s">
        <v>863</v>
      </c>
      <c r="C574" s="171"/>
      <c r="D574" s="171"/>
      <c r="E574" s="171"/>
      <c r="F574" s="171"/>
      <c r="G574" s="171"/>
      <c r="H574" s="171"/>
      <c r="I574" s="172"/>
      <c r="J574" s="171"/>
      <c r="K574" s="171"/>
      <c r="L574" s="171"/>
      <c r="M574" s="171"/>
      <c r="N574" s="171"/>
      <c r="O574" s="172"/>
      <c r="P574" s="171"/>
      <c r="Q574" s="171"/>
      <c r="R574" s="171"/>
      <c r="S574" s="172"/>
      <c r="T574" s="171">
        <v>33661032</v>
      </c>
      <c r="U574" s="172">
        <v>33661032</v>
      </c>
      <c r="V574" s="171"/>
      <c r="W574" s="172"/>
      <c r="X574" s="53">
        <v>33661032</v>
      </c>
      <c r="Y574" s="151"/>
      <c r="Z574" s="151"/>
      <c r="AA574" s="151"/>
      <c r="AB574" s="151"/>
    </row>
    <row r="575" spans="1:28" s="178" customFormat="1" ht="13">
      <c r="A575" s="170"/>
      <c r="B575" s="175" t="s">
        <v>864</v>
      </c>
      <c r="C575" s="176">
        <v>0</v>
      </c>
      <c r="D575" s="176">
        <v>0</v>
      </c>
      <c r="E575" s="176">
        <v>0</v>
      </c>
      <c r="F575" s="176">
        <v>0</v>
      </c>
      <c r="G575" s="176">
        <v>0</v>
      </c>
      <c r="H575" s="176">
        <v>0</v>
      </c>
      <c r="I575" s="177">
        <v>0</v>
      </c>
      <c r="J575" s="176">
        <v>0</v>
      </c>
      <c r="K575" s="176">
        <v>0</v>
      </c>
      <c r="L575" s="176">
        <v>0</v>
      </c>
      <c r="M575" s="176">
        <v>0</v>
      </c>
      <c r="N575" s="176">
        <v>0</v>
      </c>
      <c r="O575" s="177">
        <v>0</v>
      </c>
      <c r="P575" s="176">
        <v>0</v>
      </c>
      <c r="Q575" s="176">
        <v>0</v>
      </c>
      <c r="R575" s="176">
        <v>0</v>
      </c>
      <c r="S575" s="177">
        <v>0</v>
      </c>
      <c r="T575" s="176">
        <v>2.9668501873673092</v>
      </c>
      <c r="U575" s="177">
        <v>2.9668501873673092</v>
      </c>
      <c r="V575" s="176">
        <v>0</v>
      </c>
      <c r="W575" s="177">
        <v>0</v>
      </c>
      <c r="X575" s="53">
        <v>2.9668501873673092</v>
      </c>
      <c r="Y575" s="151"/>
      <c r="Z575" s="151"/>
      <c r="AA575" s="151"/>
      <c r="AB575" s="151"/>
    </row>
    <row r="576" spans="1:28" ht="13">
      <c r="A576" s="170"/>
      <c r="B576" s="59" t="s">
        <v>865</v>
      </c>
      <c r="C576" s="179"/>
      <c r="D576" s="179"/>
      <c r="E576" s="179"/>
      <c r="F576" s="179"/>
      <c r="G576" s="179"/>
      <c r="H576" s="179"/>
      <c r="I576" s="180"/>
      <c r="J576" s="179"/>
      <c r="K576" s="179"/>
      <c r="L576" s="179"/>
      <c r="M576" s="179"/>
      <c r="N576" s="179"/>
      <c r="O576" s="180"/>
      <c r="P576" s="179"/>
      <c r="Q576" s="179"/>
      <c r="R576" s="179"/>
      <c r="S576" s="180"/>
      <c r="T576" s="179">
        <v>400470</v>
      </c>
      <c r="U576" s="180">
        <v>400470</v>
      </c>
      <c r="V576" s="179"/>
      <c r="W576" s="180"/>
      <c r="X576" s="53">
        <v>400470</v>
      </c>
      <c r="Y576" s="151"/>
      <c r="Z576" s="151"/>
      <c r="AA576" s="151"/>
      <c r="AB576" s="151"/>
    </row>
    <row r="577" spans="1:28" s="173" customFormat="1" ht="13">
      <c r="A577" s="170"/>
      <c r="B577" s="94" t="s">
        <v>866</v>
      </c>
      <c r="C577" s="171"/>
      <c r="D577" s="171"/>
      <c r="E577" s="171"/>
      <c r="F577" s="171"/>
      <c r="G577" s="171"/>
      <c r="H577" s="171"/>
      <c r="I577" s="172"/>
      <c r="J577" s="171"/>
      <c r="K577" s="171"/>
      <c r="L577" s="171"/>
      <c r="M577" s="171"/>
      <c r="N577" s="171"/>
      <c r="O577" s="172"/>
      <c r="P577" s="171"/>
      <c r="Q577" s="171"/>
      <c r="R577" s="171"/>
      <c r="S577" s="172"/>
      <c r="T577" s="171">
        <v>33661032</v>
      </c>
      <c r="U577" s="172">
        <v>33661032</v>
      </c>
      <c r="V577" s="171"/>
      <c r="W577" s="172"/>
      <c r="X577" s="53">
        <v>33661032</v>
      </c>
      <c r="Y577" s="151"/>
      <c r="Z577" s="151"/>
      <c r="AA577" s="151"/>
      <c r="AB577" s="151"/>
    </row>
    <row r="578" spans="1:28" s="178" customFormat="1" ht="13">
      <c r="A578" s="170"/>
      <c r="B578" s="175" t="s">
        <v>867</v>
      </c>
      <c r="C578" s="176">
        <v>0</v>
      </c>
      <c r="D578" s="176">
        <v>0</v>
      </c>
      <c r="E578" s="176">
        <v>0</v>
      </c>
      <c r="F578" s="176">
        <v>0</v>
      </c>
      <c r="G578" s="176">
        <v>0</v>
      </c>
      <c r="H578" s="176">
        <v>0</v>
      </c>
      <c r="I578" s="177">
        <v>0</v>
      </c>
      <c r="J578" s="176">
        <v>0</v>
      </c>
      <c r="K578" s="176">
        <v>0</v>
      </c>
      <c r="L578" s="176">
        <v>0</v>
      </c>
      <c r="M578" s="176">
        <v>0</v>
      </c>
      <c r="N578" s="176">
        <v>0</v>
      </c>
      <c r="O578" s="177">
        <v>0</v>
      </c>
      <c r="P578" s="176">
        <v>0</v>
      </c>
      <c r="Q578" s="176">
        <v>0</v>
      </c>
      <c r="R578" s="176">
        <v>0</v>
      </c>
      <c r="S578" s="177">
        <v>0</v>
      </c>
      <c r="T578" s="176">
        <v>8305.3816765300762</v>
      </c>
      <c r="U578" s="177">
        <v>8305.3816765300762</v>
      </c>
      <c r="V578" s="176">
        <v>0</v>
      </c>
      <c r="W578" s="177">
        <v>0</v>
      </c>
      <c r="X578" s="53">
        <v>8305.3816765300762</v>
      </c>
      <c r="Y578" s="151"/>
      <c r="Z578" s="151"/>
      <c r="AA578" s="151"/>
      <c r="AB578" s="151"/>
    </row>
    <row r="579" spans="1:28" ht="13">
      <c r="A579" s="170"/>
      <c r="B579" s="59" t="s">
        <v>868</v>
      </c>
      <c r="C579" s="179">
        <v>0</v>
      </c>
      <c r="D579" s="179">
        <v>0</v>
      </c>
      <c r="E579" s="179">
        <v>0</v>
      </c>
      <c r="F579" s="179">
        <v>0</v>
      </c>
      <c r="G579" s="179">
        <v>0</v>
      </c>
      <c r="H579" s="179">
        <v>0</v>
      </c>
      <c r="I579" s="180">
        <v>0</v>
      </c>
      <c r="J579" s="179"/>
      <c r="K579" s="179">
        <v>0</v>
      </c>
      <c r="L579" s="179">
        <v>0</v>
      </c>
      <c r="M579" s="179">
        <v>0</v>
      </c>
      <c r="N579" s="179">
        <v>0</v>
      </c>
      <c r="O579" s="180">
        <v>0</v>
      </c>
      <c r="P579" s="179"/>
      <c r="Q579" s="179"/>
      <c r="R579" s="179"/>
      <c r="S579" s="180"/>
      <c r="T579" s="179">
        <v>33091605</v>
      </c>
      <c r="U579" s="180">
        <v>33091605</v>
      </c>
      <c r="V579" s="179"/>
      <c r="W579" s="180"/>
      <c r="X579" s="53">
        <v>33091605</v>
      </c>
      <c r="Y579" s="151"/>
      <c r="Z579" s="151"/>
      <c r="AA579" s="151"/>
      <c r="AB579" s="151"/>
    </row>
    <row r="580" spans="1:28" s="173" customFormat="1" ht="13">
      <c r="A580" s="170"/>
      <c r="B580" s="94" t="s">
        <v>869</v>
      </c>
      <c r="C580" s="171">
        <v>0</v>
      </c>
      <c r="D580" s="171">
        <v>0</v>
      </c>
      <c r="E580" s="171">
        <v>0</v>
      </c>
      <c r="F580" s="171">
        <v>0</v>
      </c>
      <c r="G580" s="171">
        <v>0</v>
      </c>
      <c r="H580" s="171">
        <v>0</v>
      </c>
      <c r="I580" s="172">
        <v>0</v>
      </c>
      <c r="J580" s="171"/>
      <c r="K580" s="171">
        <v>0</v>
      </c>
      <c r="L580" s="171">
        <v>0</v>
      </c>
      <c r="M580" s="171">
        <v>0</v>
      </c>
      <c r="N580" s="171">
        <v>0</v>
      </c>
      <c r="O580" s="172">
        <v>0</v>
      </c>
      <c r="P580" s="171"/>
      <c r="Q580" s="171"/>
      <c r="R580" s="171"/>
      <c r="S580" s="172"/>
      <c r="T580" s="171">
        <v>67322064</v>
      </c>
      <c r="U580" s="172">
        <v>67322064</v>
      </c>
      <c r="V580" s="171"/>
      <c r="W580" s="172"/>
      <c r="X580" s="53">
        <v>67322064</v>
      </c>
      <c r="Y580" s="151"/>
      <c r="Z580" s="151"/>
      <c r="AA580" s="151"/>
      <c r="AB580" s="151"/>
    </row>
    <row r="581" spans="1:28" s="178" customFormat="1" ht="13">
      <c r="A581" s="170"/>
      <c r="B581" s="175" t="s">
        <v>870</v>
      </c>
      <c r="C581" s="176">
        <v>0</v>
      </c>
      <c r="D581" s="176">
        <v>0</v>
      </c>
      <c r="E581" s="176">
        <v>0</v>
      </c>
      <c r="F581" s="176">
        <v>0</v>
      </c>
      <c r="G581" s="176">
        <v>0</v>
      </c>
      <c r="H581" s="176">
        <v>0</v>
      </c>
      <c r="I581" s="177">
        <v>0</v>
      </c>
      <c r="J581" s="176">
        <v>0</v>
      </c>
      <c r="K581" s="176">
        <v>0</v>
      </c>
      <c r="L581" s="176">
        <v>0</v>
      </c>
      <c r="M581" s="176">
        <v>0</v>
      </c>
      <c r="N581" s="176">
        <v>0</v>
      </c>
      <c r="O581" s="177">
        <v>0</v>
      </c>
      <c r="P581" s="176">
        <v>0</v>
      </c>
      <c r="Q581" s="176">
        <v>0</v>
      </c>
      <c r="R581" s="176">
        <v>0</v>
      </c>
      <c r="S581" s="177">
        <v>0</v>
      </c>
      <c r="T581" s="176">
        <v>103.44151938233277</v>
      </c>
      <c r="U581" s="177">
        <v>103.44151938233277</v>
      </c>
      <c r="V581" s="176">
        <v>0</v>
      </c>
      <c r="W581" s="177">
        <v>0</v>
      </c>
      <c r="X581" s="53">
        <v>103.44151938233277</v>
      </c>
      <c r="Y581" s="151"/>
      <c r="Z581" s="151"/>
      <c r="AA581" s="151"/>
      <c r="AB581" s="151"/>
    </row>
    <row r="582" spans="1:28" ht="13">
      <c r="A582" s="170"/>
      <c r="B582" s="59" t="s">
        <v>871</v>
      </c>
      <c r="C582" s="179">
        <v>68054851</v>
      </c>
      <c r="D582" s="179"/>
      <c r="E582" s="179"/>
      <c r="F582" s="179"/>
      <c r="G582" s="179"/>
      <c r="H582" s="179"/>
      <c r="I582" s="180">
        <v>68054851</v>
      </c>
      <c r="J582" s="179"/>
      <c r="K582" s="179"/>
      <c r="L582" s="179"/>
      <c r="M582" s="179"/>
      <c r="N582" s="179"/>
      <c r="O582" s="180"/>
      <c r="P582" s="179"/>
      <c r="Q582" s="179"/>
      <c r="R582" s="179"/>
      <c r="S582" s="180"/>
      <c r="T582" s="179"/>
      <c r="U582" s="180"/>
      <c r="V582" s="179"/>
      <c r="W582" s="180"/>
      <c r="X582" s="53">
        <v>68054851</v>
      </c>
      <c r="Y582" s="151"/>
      <c r="Z582" s="151"/>
      <c r="AA582" s="151"/>
      <c r="AB582" s="151"/>
    </row>
    <row r="583" spans="1:28" s="173" customFormat="1" ht="13">
      <c r="A583" s="170"/>
      <c r="B583" s="94" t="s">
        <v>872</v>
      </c>
      <c r="C583" s="171">
        <v>63635526</v>
      </c>
      <c r="D583" s="171"/>
      <c r="E583" s="171"/>
      <c r="F583" s="171"/>
      <c r="G583" s="171"/>
      <c r="H583" s="171"/>
      <c r="I583" s="172">
        <v>63635526</v>
      </c>
      <c r="J583" s="171"/>
      <c r="K583" s="171"/>
      <c r="L583" s="171"/>
      <c r="M583" s="171"/>
      <c r="N583" s="171"/>
      <c r="O583" s="172"/>
      <c r="P583" s="171"/>
      <c r="Q583" s="171"/>
      <c r="R583" s="171"/>
      <c r="S583" s="172"/>
      <c r="T583" s="171"/>
      <c r="U583" s="172"/>
      <c r="V583" s="171"/>
      <c r="W583" s="172"/>
      <c r="X583" s="53">
        <v>63635526</v>
      </c>
      <c r="Y583" s="151"/>
      <c r="Z583" s="151"/>
      <c r="AA583" s="151"/>
      <c r="AB583" s="151"/>
    </row>
    <row r="584" spans="1:28" s="178" customFormat="1" ht="13">
      <c r="A584" s="170"/>
      <c r="B584" s="175" t="s">
        <v>873</v>
      </c>
      <c r="C584" s="176">
        <v>-6.4937692685566235</v>
      </c>
      <c r="D584" s="176">
        <v>0</v>
      </c>
      <c r="E584" s="176">
        <v>0</v>
      </c>
      <c r="F584" s="176">
        <v>0</v>
      </c>
      <c r="G584" s="176">
        <v>0</v>
      </c>
      <c r="H584" s="176">
        <v>0</v>
      </c>
      <c r="I584" s="177">
        <v>-6.4937692685566235</v>
      </c>
      <c r="J584" s="176">
        <v>0</v>
      </c>
      <c r="K584" s="176">
        <v>0</v>
      </c>
      <c r="L584" s="176">
        <v>0</v>
      </c>
      <c r="M584" s="176">
        <v>0</v>
      </c>
      <c r="N584" s="176">
        <v>0</v>
      </c>
      <c r="O584" s="177">
        <v>0</v>
      </c>
      <c r="P584" s="176">
        <v>0</v>
      </c>
      <c r="Q584" s="176">
        <v>0</v>
      </c>
      <c r="R584" s="176">
        <v>0</v>
      </c>
      <c r="S584" s="177">
        <v>0</v>
      </c>
      <c r="T584" s="176">
        <v>0</v>
      </c>
      <c r="U584" s="177">
        <v>0</v>
      </c>
      <c r="V584" s="176">
        <v>0</v>
      </c>
      <c r="W584" s="177">
        <v>0</v>
      </c>
      <c r="X584" s="53">
        <v>-6.4937692685566235</v>
      </c>
      <c r="Y584" s="151"/>
      <c r="Z584" s="151"/>
      <c r="AA584" s="151"/>
      <c r="AB584" s="151"/>
    </row>
    <row r="585" spans="1:28" ht="13">
      <c r="A585" s="170"/>
      <c r="B585" s="59" t="s">
        <v>874</v>
      </c>
      <c r="C585" s="179">
        <v>134718654</v>
      </c>
      <c r="D585" s="179"/>
      <c r="E585" s="179"/>
      <c r="F585" s="179"/>
      <c r="G585" s="179"/>
      <c r="H585" s="179"/>
      <c r="I585" s="180">
        <v>134718654</v>
      </c>
      <c r="J585" s="179"/>
      <c r="K585" s="179"/>
      <c r="L585" s="179"/>
      <c r="M585" s="179"/>
      <c r="N585" s="179"/>
      <c r="O585" s="180"/>
      <c r="P585" s="179"/>
      <c r="Q585" s="179"/>
      <c r="R585" s="179"/>
      <c r="S585" s="180"/>
      <c r="T585" s="179"/>
      <c r="U585" s="180"/>
      <c r="V585" s="179"/>
      <c r="W585" s="180"/>
      <c r="X585" s="53">
        <v>134718654</v>
      </c>
      <c r="Y585" s="151"/>
      <c r="Z585" s="151"/>
      <c r="AA585" s="151"/>
      <c r="AB585" s="151"/>
    </row>
    <row r="586" spans="1:28" s="173" customFormat="1" ht="13">
      <c r="A586" s="170"/>
      <c r="B586" s="94" t="s">
        <v>875</v>
      </c>
      <c r="C586" s="171">
        <v>143197951</v>
      </c>
      <c r="D586" s="171"/>
      <c r="E586" s="171"/>
      <c r="F586" s="171"/>
      <c r="G586" s="171"/>
      <c r="H586" s="171"/>
      <c r="I586" s="172">
        <v>143197951</v>
      </c>
      <c r="J586" s="171"/>
      <c r="K586" s="171"/>
      <c r="L586" s="171"/>
      <c r="M586" s="171"/>
      <c r="N586" s="171"/>
      <c r="O586" s="172"/>
      <c r="P586" s="171"/>
      <c r="Q586" s="171"/>
      <c r="R586" s="171"/>
      <c r="S586" s="172"/>
      <c r="T586" s="171"/>
      <c r="U586" s="172"/>
      <c r="V586" s="171"/>
      <c r="W586" s="172"/>
      <c r="X586" s="53">
        <v>143197951</v>
      </c>
      <c r="Y586" s="151"/>
      <c r="Z586" s="151"/>
      <c r="AA586" s="151"/>
      <c r="AB586" s="151"/>
    </row>
    <row r="587" spans="1:28" s="178" customFormat="1" ht="13">
      <c r="A587" s="170"/>
      <c r="B587" s="175" t="s">
        <v>876</v>
      </c>
      <c r="C587" s="176">
        <v>6.2940778787769061</v>
      </c>
      <c r="D587" s="176">
        <v>0</v>
      </c>
      <c r="E587" s="176">
        <v>0</v>
      </c>
      <c r="F587" s="176">
        <v>0</v>
      </c>
      <c r="G587" s="176">
        <v>0</v>
      </c>
      <c r="H587" s="176">
        <v>0</v>
      </c>
      <c r="I587" s="177">
        <v>6.2940778787769061</v>
      </c>
      <c r="J587" s="176">
        <v>0</v>
      </c>
      <c r="K587" s="176">
        <v>0</v>
      </c>
      <c r="L587" s="176">
        <v>0</v>
      </c>
      <c r="M587" s="176">
        <v>0</v>
      </c>
      <c r="N587" s="176">
        <v>0</v>
      </c>
      <c r="O587" s="177">
        <v>0</v>
      </c>
      <c r="P587" s="176">
        <v>0</v>
      </c>
      <c r="Q587" s="176">
        <v>0</v>
      </c>
      <c r="R587" s="176">
        <v>0</v>
      </c>
      <c r="S587" s="177">
        <v>0</v>
      </c>
      <c r="T587" s="176">
        <v>0</v>
      </c>
      <c r="U587" s="177">
        <v>0</v>
      </c>
      <c r="V587" s="176">
        <v>0</v>
      </c>
      <c r="W587" s="177">
        <v>0</v>
      </c>
      <c r="X587" s="53">
        <v>6.2940778787769061</v>
      </c>
      <c r="Y587" s="151"/>
      <c r="Z587" s="151"/>
      <c r="AA587" s="151"/>
      <c r="AB587" s="151"/>
    </row>
    <row r="588" spans="1:28" ht="13">
      <c r="A588" s="170"/>
      <c r="B588" s="59" t="s">
        <v>877</v>
      </c>
      <c r="C588" s="179">
        <v>3220991374.6300001</v>
      </c>
      <c r="D588" s="179">
        <v>295165470</v>
      </c>
      <c r="E588" s="179">
        <v>572270009.57999992</v>
      </c>
      <c r="F588" s="179">
        <v>100079962.40000001</v>
      </c>
      <c r="G588" s="179">
        <v>227569063.78</v>
      </c>
      <c r="H588" s="179">
        <v>32425036</v>
      </c>
      <c r="I588" s="180">
        <v>4448500916.3900003</v>
      </c>
      <c r="J588" s="179"/>
      <c r="K588" s="179">
        <v>0</v>
      </c>
      <c r="L588" s="179">
        <v>0</v>
      </c>
      <c r="M588" s="179">
        <v>14373531.5</v>
      </c>
      <c r="N588" s="179">
        <v>879317752.28571439</v>
      </c>
      <c r="O588" s="180">
        <v>893691283.78571439</v>
      </c>
      <c r="P588" s="179"/>
      <c r="Q588" s="179"/>
      <c r="R588" s="179"/>
      <c r="S588" s="180"/>
      <c r="T588" s="179">
        <v>0</v>
      </c>
      <c r="U588" s="180">
        <v>0</v>
      </c>
      <c r="V588" s="179"/>
      <c r="W588" s="180"/>
      <c r="X588" s="53">
        <v>5342192200.1757145</v>
      </c>
      <c r="Y588" s="151"/>
      <c r="Z588" s="151"/>
      <c r="AA588" s="151"/>
      <c r="AB588" s="151"/>
    </row>
    <row r="589" spans="1:28" s="173" customFormat="1" ht="13">
      <c r="A589" s="170"/>
      <c r="B589" s="94" t="s">
        <v>878</v>
      </c>
      <c r="C589" s="171">
        <v>3518393327.288352</v>
      </c>
      <c r="D589" s="171">
        <v>298661027</v>
      </c>
      <c r="E589" s="171">
        <v>584291553.00999999</v>
      </c>
      <c r="F589" s="171">
        <v>105985823.31</v>
      </c>
      <c r="G589" s="171">
        <v>235684871.71000001</v>
      </c>
      <c r="H589" s="171">
        <v>30914487.859999999</v>
      </c>
      <c r="I589" s="172">
        <v>4773931090.1783524</v>
      </c>
      <c r="J589" s="171"/>
      <c r="K589" s="171">
        <v>0</v>
      </c>
      <c r="L589" s="171">
        <v>0</v>
      </c>
      <c r="M589" s="171">
        <v>15372753</v>
      </c>
      <c r="N589" s="171">
        <v>932267483</v>
      </c>
      <c r="O589" s="172">
        <v>947640236</v>
      </c>
      <c r="P589" s="171"/>
      <c r="Q589" s="171"/>
      <c r="R589" s="171"/>
      <c r="S589" s="172"/>
      <c r="T589" s="171">
        <v>0</v>
      </c>
      <c r="U589" s="172">
        <v>0</v>
      </c>
      <c r="V589" s="171"/>
      <c r="W589" s="172"/>
      <c r="X589" s="53">
        <v>5721571326.1783524</v>
      </c>
      <c r="Y589" s="151"/>
      <c r="Z589" s="151"/>
      <c r="AA589" s="151"/>
      <c r="AB589" s="151"/>
    </row>
    <row r="590" spans="1:28" s="192" customFormat="1" ht="13.5" thickBot="1">
      <c r="A590" s="186"/>
      <c r="B590" s="187" t="s">
        <v>879</v>
      </c>
      <c r="C590" s="188">
        <v>9.2332427525520728</v>
      </c>
      <c r="D590" s="188">
        <v>1.1842703009942186</v>
      </c>
      <c r="E590" s="188">
        <v>2.1006768184170457</v>
      </c>
      <c r="F590" s="188">
        <v>5.9011422150574226</v>
      </c>
      <c r="G590" s="188">
        <v>3.5663054525925721</v>
      </c>
      <c r="H590" s="188">
        <v>-4.658585853227736</v>
      </c>
      <c r="I590" s="189">
        <v>7.3155020062902807</v>
      </c>
      <c r="J590" s="188">
        <v>0</v>
      </c>
      <c r="K590" s="188">
        <v>0</v>
      </c>
      <c r="L590" s="188">
        <v>0</v>
      </c>
      <c r="M590" s="188">
        <v>6.9518162603254456</v>
      </c>
      <c r="N590" s="188">
        <v>6.0216833535598626</v>
      </c>
      <c r="O590" s="189">
        <v>6.0366429876943126</v>
      </c>
      <c r="P590" s="188">
        <v>0</v>
      </c>
      <c r="Q590" s="188">
        <v>0</v>
      </c>
      <c r="R590" s="188">
        <v>0</v>
      </c>
      <c r="S590" s="189">
        <v>0</v>
      </c>
      <c r="T590" s="188">
        <v>0</v>
      </c>
      <c r="U590" s="189">
        <v>0</v>
      </c>
      <c r="V590" s="188">
        <v>0</v>
      </c>
      <c r="W590" s="189">
        <v>0</v>
      </c>
      <c r="X590" s="53">
        <v>7.1015626504445013</v>
      </c>
      <c r="Y590" s="151"/>
      <c r="Z590" s="151"/>
      <c r="AA590" s="151"/>
      <c r="AB590" s="151"/>
    </row>
    <row r="591" spans="1:28" ht="13.5" thickTop="1">
      <c r="A591" s="147" t="s">
        <v>751</v>
      </c>
      <c r="B591" s="167" t="s">
        <v>754</v>
      </c>
      <c r="C591" s="168">
        <v>59813761</v>
      </c>
      <c r="D591" s="168"/>
      <c r="E591" s="168">
        <v>45270055</v>
      </c>
      <c r="F591" s="168"/>
      <c r="G591" s="168">
        <v>50863247</v>
      </c>
      <c r="H591" s="168">
        <v>35143805</v>
      </c>
      <c r="I591" s="169">
        <v>191090868</v>
      </c>
      <c r="J591" s="168">
        <v>14831995</v>
      </c>
      <c r="K591" s="168"/>
      <c r="L591" s="168">
        <v>7830842</v>
      </c>
      <c r="M591" s="168">
        <v>45980693</v>
      </c>
      <c r="N591" s="168"/>
      <c r="O591" s="169">
        <v>68643530</v>
      </c>
      <c r="P591" s="168"/>
      <c r="Q591" s="168"/>
      <c r="R591" s="168">
        <v>8781323.6399999987</v>
      </c>
      <c r="S591" s="169">
        <v>8781323.6399999987</v>
      </c>
      <c r="T591" s="168">
        <v>1205677.8799999999</v>
      </c>
      <c r="U591" s="169">
        <v>1205677.8799999999</v>
      </c>
      <c r="V591" s="168"/>
      <c r="W591" s="169"/>
      <c r="X591" s="53">
        <v>269721399.51999998</v>
      </c>
      <c r="Y591" s="151"/>
      <c r="Z591" s="151"/>
      <c r="AA591" s="151"/>
      <c r="AB591" s="151"/>
    </row>
    <row r="592" spans="1:28" s="173" customFormat="1" ht="13">
      <c r="A592" s="170"/>
      <c r="B592" s="94" t="s">
        <v>755</v>
      </c>
      <c r="C592" s="171">
        <v>61050748</v>
      </c>
      <c r="D592" s="171"/>
      <c r="E592" s="171">
        <v>45244442</v>
      </c>
      <c r="F592" s="171"/>
      <c r="G592" s="171">
        <v>50863247</v>
      </c>
      <c r="H592" s="171">
        <v>35143805</v>
      </c>
      <c r="I592" s="172">
        <v>192302242</v>
      </c>
      <c r="J592" s="171">
        <v>14831995</v>
      </c>
      <c r="K592" s="171"/>
      <c r="L592" s="171">
        <v>7830842</v>
      </c>
      <c r="M592" s="171">
        <v>45980693</v>
      </c>
      <c r="N592" s="171"/>
      <c r="O592" s="172">
        <v>68643530</v>
      </c>
      <c r="P592" s="171"/>
      <c r="Q592" s="171"/>
      <c r="R592" s="171">
        <v>9100403</v>
      </c>
      <c r="S592" s="172">
        <v>9100403</v>
      </c>
      <c r="T592" s="171">
        <v>1231517</v>
      </c>
      <c r="U592" s="172">
        <v>1231517</v>
      </c>
      <c r="V592" s="171"/>
      <c r="W592" s="172"/>
      <c r="X592" s="53">
        <v>271277692</v>
      </c>
      <c r="Y592" s="151"/>
      <c r="Z592" s="151"/>
      <c r="AA592" s="151"/>
      <c r="AB592" s="151"/>
    </row>
    <row r="593" spans="1:28" s="178" customFormat="1" ht="13">
      <c r="A593" s="174"/>
      <c r="B593" s="175" t="s">
        <v>849</v>
      </c>
      <c r="C593" s="176">
        <v>2.0680642369236737</v>
      </c>
      <c r="D593" s="176">
        <v>0</v>
      </c>
      <c r="E593" s="176">
        <v>-5.6578239191447853E-2</v>
      </c>
      <c r="F593" s="176">
        <v>0</v>
      </c>
      <c r="G593" s="176">
        <v>0</v>
      </c>
      <c r="H593" s="176">
        <v>0</v>
      </c>
      <c r="I593" s="177">
        <v>0.6339256358393851</v>
      </c>
      <c r="J593" s="176">
        <v>0</v>
      </c>
      <c r="K593" s="176">
        <v>0</v>
      </c>
      <c r="L593" s="176">
        <v>0</v>
      </c>
      <c r="M593" s="176">
        <v>0</v>
      </c>
      <c r="N593" s="176">
        <v>0</v>
      </c>
      <c r="O593" s="177">
        <v>0</v>
      </c>
      <c r="P593" s="176">
        <v>0</v>
      </c>
      <c r="Q593" s="176">
        <v>0</v>
      </c>
      <c r="R593" s="176">
        <v>3.6336134856316642</v>
      </c>
      <c r="S593" s="177">
        <v>3.6336134856316642</v>
      </c>
      <c r="T593" s="181">
        <v>2.1431196863294955</v>
      </c>
      <c r="U593" s="177">
        <v>2.1431196863294955</v>
      </c>
      <c r="V593" s="176">
        <v>0</v>
      </c>
      <c r="W593" s="177">
        <v>0</v>
      </c>
      <c r="X593" s="53">
        <v>0.57700000176830579</v>
      </c>
      <c r="Y593" s="151"/>
      <c r="Z593" s="151"/>
      <c r="AA593" s="151"/>
      <c r="AB593" s="151"/>
    </row>
    <row r="594" spans="1:28" ht="13">
      <c r="A594" s="170"/>
      <c r="B594" s="59" t="s">
        <v>756</v>
      </c>
      <c r="C594" s="179">
        <v>40860045</v>
      </c>
      <c r="D594" s="179"/>
      <c r="E594" s="179">
        <v>2372418</v>
      </c>
      <c r="F594" s="179"/>
      <c r="G594" s="179"/>
      <c r="H594" s="179"/>
      <c r="I594" s="180">
        <v>43232463</v>
      </c>
      <c r="J594" s="179"/>
      <c r="K594" s="179"/>
      <c r="L594" s="179"/>
      <c r="M594" s="179"/>
      <c r="N594" s="179"/>
      <c r="O594" s="180"/>
      <c r="P594" s="179"/>
      <c r="Q594" s="179"/>
      <c r="R594" s="179"/>
      <c r="S594" s="180"/>
      <c r="T594" s="179"/>
      <c r="U594" s="180"/>
      <c r="V594" s="179"/>
      <c r="W594" s="180"/>
      <c r="X594" s="53">
        <v>43232463</v>
      </c>
      <c r="Y594" s="151"/>
      <c r="Z594" s="151"/>
      <c r="AA594" s="151"/>
      <c r="AB594" s="151"/>
    </row>
    <row r="595" spans="1:28" s="173" customFormat="1" ht="13">
      <c r="A595" s="170"/>
      <c r="B595" s="94" t="s">
        <v>757</v>
      </c>
      <c r="C595" s="171">
        <v>39623058</v>
      </c>
      <c r="D595" s="171"/>
      <c r="E595" s="171">
        <v>2372418</v>
      </c>
      <c r="F595" s="171"/>
      <c r="G595" s="171"/>
      <c r="H595" s="171"/>
      <c r="I595" s="172">
        <v>41995476</v>
      </c>
      <c r="J595" s="171"/>
      <c r="K595" s="171"/>
      <c r="L595" s="171"/>
      <c r="M595" s="171"/>
      <c r="N595" s="171"/>
      <c r="O595" s="172"/>
      <c r="P595" s="171"/>
      <c r="Q595" s="171"/>
      <c r="R595" s="171"/>
      <c r="S595" s="172"/>
      <c r="T595" s="171"/>
      <c r="U595" s="172"/>
      <c r="V595" s="171"/>
      <c r="W595" s="172"/>
      <c r="X595" s="53">
        <v>41995476</v>
      </c>
      <c r="Y595" s="151"/>
      <c r="Z595" s="151"/>
      <c r="AA595" s="151"/>
      <c r="AB595" s="151"/>
    </row>
    <row r="596" spans="1:28" s="178" customFormat="1" ht="13">
      <c r="A596" s="170"/>
      <c r="B596" s="175" t="s">
        <v>850</v>
      </c>
      <c r="C596" s="176">
        <v>-3.0273755205115416</v>
      </c>
      <c r="D596" s="176">
        <v>0</v>
      </c>
      <c r="E596" s="176">
        <v>0</v>
      </c>
      <c r="F596" s="176">
        <v>0</v>
      </c>
      <c r="G596" s="176">
        <v>0</v>
      </c>
      <c r="H596" s="176">
        <v>0</v>
      </c>
      <c r="I596" s="177">
        <v>-2.8612457263885243</v>
      </c>
      <c r="J596" s="176">
        <v>0</v>
      </c>
      <c r="K596" s="176">
        <v>0</v>
      </c>
      <c r="L596" s="176">
        <v>0</v>
      </c>
      <c r="M596" s="176">
        <v>0</v>
      </c>
      <c r="N596" s="176">
        <v>0</v>
      </c>
      <c r="O596" s="177">
        <v>0</v>
      </c>
      <c r="P596" s="176">
        <v>0</v>
      </c>
      <c r="Q596" s="176">
        <v>0</v>
      </c>
      <c r="R596" s="176">
        <v>0</v>
      </c>
      <c r="S596" s="177">
        <v>0</v>
      </c>
      <c r="T596" s="176">
        <v>0</v>
      </c>
      <c r="U596" s="177">
        <v>0</v>
      </c>
      <c r="V596" s="176">
        <v>0</v>
      </c>
      <c r="W596" s="177">
        <v>0</v>
      </c>
      <c r="X596" s="53">
        <v>-2.8612457263885243</v>
      </c>
      <c r="Y596" s="151"/>
      <c r="Z596" s="151"/>
      <c r="AA596" s="151"/>
      <c r="AB596" s="151"/>
    </row>
    <row r="597" spans="1:28" ht="13">
      <c r="A597" s="170"/>
      <c r="B597" s="59" t="s">
        <v>758</v>
      </c>
      <c r="C597" s="179"/>
      <c r="D597" s="179"/>
      <c r="E597" s="179"/>
      <c r="F597" s="179"/>
      <c r="G597" s="179"/>
      <c r="H597" s="179"/>
      <c r="I597" s="180"/>
      <c r="J597" s="179"/>
      <c r="K597" s="179"/>
      <c r="L597" s="179"/>
      <c r="M597" s="179"/>
      <c r="N597" s="179"/>
      <c r="O597" s="180"/>
      <c r="P597" s="179"/>
      <c r="Q597" s="179"/>
      <c r="R597" s="179"/>
      <c r="S597" s="180"/>
      <c r="T597" s="179"/>
      <c r="U597" s="180"/>
      <c r="V597" s="179"/>
      <c r="W597" s="180"/>
      <c r="X597" s="53"/>
      <c r="Y597" s="151"/>
      <c r="Z597" s="151"/>
      <c r="AA597" s="151"/>
      <c r="AB597" s="151"/>
    </row>
    <row r="598" spans="1:28" s="173" customFormat="1" ht="13">
      <c r="A598" s="170"/>
      <c r="B598" s="94" t="s">
        <v>759</v>
      </c>
      <c r="C598" s="171"/>
      <c r="D598" s="171"/>
      <c r="E598" s="171"/>
      <c r="F598" s="171"/>
      <c r="G598" s="171"/>
      <c r="H598" s="171"/>
      <c r="I598" s="172"/>
      <c r="J598" s="171"/>
      <c r="K598" s="171"/>
      <c r="L598" s="171"/>
      <c r="M598" s="171"/>
      <c r="N598" s="171"/>
      <c r="O598" s="172"/>
      <c r="P598" s="171"/>
      <c r="Q598" s="171"/>
      <c r="R598" s="171"/>
      <c r="S598" s="172"/>
      <c r="T598" s="171"/>
      <c r="U598" s="172"/>
      <c r="V598" s="171"/>
      <c r="W598" s="172"/>
      <c r="X598" s="53"/>
      <c r="Y598" s="151"/>
      <c r="Z598" s="151"/>
      <c r="AA598" s="151"/>
      <c r="AB598" s="151"/>
    </row>
    <row r="599" spans="1:28" s="178" customFormat="1" ht="13">
      <c r="A599" s="170"/>
      <c r="B599" s="175" t="s">
        <v>851</v>
      </c>
      <c r="C599" s="176">
        <v>0</v>
      </c>
      <c r="D599" s="176">
        <v>0</v>
      </c>
      <c r="E599" s="176">
        <v>0</v>
      </c>
      <c r="F599" s="176">
        <v>0</v>
      </c>
      <c r="G599" s="176">
        <v>0</v>
      </c>
      <c r="H599" s="176">
        <v>0</v>
      </c>
      <c r="I599" s="177">
        <v>0</v>
      </c>
      <c r="J599" s="176">
        <v>0</v>
      </c>
      <c r="K599" s="176">
        <v>0</v>
      </c>
      <c r="L599" s="176">
        <v>0</v>
      </c>
      <c r="M599" s="176">
        <v>0</v>
      </c>
      <c r="N599" s="176">
        <v>0</v>
      </c>
      <c r="O599" s="177">
        <v>0</v>
      </c>
      <c r="P599" s="176">
        <v>0</v>
      </c>
      <c r="Q599" s="176">
        <v>0</v>
      </c>
      <c r="R599" s="176">
        <v>0</v>
      </c>
      <c r="S599" s="177">
        <v>0</v>
      </c>
      <c r="T599" s="176">
        <v>0</v>
      </c>
      <c r="U599" s="177">
        <v>0</v>
      </c>
      <c r="V599" s="176">
        <v>0</v>
      </c>
      <c r="W599" s="177">
        <v>0</v>
      </c>
      <c r="X599" s="53">
        <v>0</v>
      </c>
      <c r="Y599" s="151"/>
      <c r="Z599" s="151"/>
      <c r="AA599" s="151"/>
      <c r="AB599" s="151"/>
    </row>
    <row r="600" spans="1:28" ht="13">
      <c r="A600" s="170"/>
      <c r="B600" s="59" t="s">
        <v>760</v>
      </c>
      <c r="C600" s="179">
        <v>389758238</v>
      </c>
      <c r="D600" s="179"/>
      <c r="E600" s="179">
        <v>111348800</v>
      </c>
      <c r="F600" s="179"/>
      <c r="G600" s="179">
        <v>91753618</v>
      </c>
      <c r="H600" s="179">
        <v>50437105</v>
      </c>
      <c r="I600" s="180">
        <v>643297761</v>
      </c>
      <c r="J600" s="179">
        <v>14935791</v>
      </c>
      <c r="K600" s="179"/>
      <c r="L600" s="179">
        <v>7514455</v>
      </c>
      <c r="M600" s="179">
        <v>37464684</v>
      </c>
      <c r="N600" s="179"/>
      <c r="O600" s="180">
        <v>59914930</v>
      </c>
      <c r="P600" s="179"/>
      <c r="Q600" s="179"/>
      <c r="R600" s="179"/>
      <c r="S600" s="180"/>
      <c r="T600" s="179"/>
      <c r="U600" s="180"/>
      <c r="V600" s="179"/>
      <c r="W600" s="180"/>
      <c r="X600" s="53">
        <v>703212691</v>
      </c>
      <c r="Y600" s="151"/>
      <c r="Z600" s="151"/>
      <c r="AA600" s="151"/>
      <c r="AB600" s="151"/>
    </row>
    <row r="601" spans="1:28" s="173" customFormat="1" ht="13">
      <c r="A601" s="170"/>
      <c r="B601" s="94" t="s">
        <v>761</v>
      </c>
      <c r="C601" s="171">
        <v>389758238</v>
      </c>
      <c r="D601" s="171"/>
      <c r="E601" s="171">
        <v>112816509</v>
      </c>
      <c r="F601" s="171"/>
      <c r="G601" s="171">
        <v>92207969</v>
      </c>
      <c r="H601" s="171">
        <v>51876134</v>
      </c>
      <c r="I601" s="172">
        <v>646658850</v>
      </c>
      <c r="J601" s="171">
        <v>14935791</v>
      </c>
      <c r="K601" s="171"/>
      <c r="L601" s="171">
        <v>7514455</v>
      </c>
      <c r="M601" s="171">
        <v>38771710</v>
      </c>
      <c r="N601" s="171"/>
      <c r="O601" s="172">
        <v>61221956</v>
      </c>
      <c r="P601" s="171"/>
      <c r="Q601" s="171"/>
      <c r="R601" s="171"/>
      <c r="S601" s="172"/>
      <c r="T601" s="171"/>
      <c r="U601" s="172"/>
      <c r="V601" s="171"/>
      <c r="W601" s="172"/>
      <c r="X601" s="53">
        <v>707880806</v>
      </c>
      <c r="Y601" s="151"/>
      <c r="Z601" s="151"/>
      <c r="AA601" s="151"/>
      <c r="AB601" s="151"/>
    </row>
    <row r="602" spans="1:28" s="178" customFormat="1" ht="13">
      <c r="A602" s="170"/>
      <c r="B602" s="175" t="s">
        <v>852</v>
      </c>
      <c r="C602" s="176">
        <v>0</v>
      </c>
      <c r="D602" s="176">
        <v>0</v>
      </c>
      <c r="E602" s="176">
        <v>1.3181183811590245</v>
      </c>
      <c r="F602" s="176">
        <v>0</v>
      </c>
      <c r="G602" s="176">
        <v>0.49518592280470075</v>
      </c>
      <c r="H602" s="176">
        <v>2.8531157765696502</v>
      </c>
      <c r="I602" s="177">
        <v>0.52247795713997514</v>
      </c>
      <c r="J602" s="176">
        <v>0</v>
      </c>
      <c r="K602" s="176">
        <v>0</v>
      </c>
      <c r="L602" s="176">
        <v>0</v>
      </c>
      <c r="M602" s="176">
        <v>3.4886881736410746</v>
      </c>
      <c r="N602" s="176">
        <v>0</v>
      </c>
      <c r="O602" s="177">
        <v>2.1814696270195091</v>
      </c>
      <c r="P602" s="176">
        <v>0</v>
      </c>
      <c r="Q602" s="176">
        <v>0</v>
      </c>
      <c r="R602" s="176">
        <v>0</v>
      </c>
      <c r="S602" s="177">
        <v>0</v>
      </c>
      <c r="T602" s="176">
        <v>0</v>
      </c>
      <c r="U602" s="177">
        <v>0</v>
      </c>
      <c r="V602" s="176">
        <v>0</v>
      </c>
      <c r="W602" s="177">
        <v>0</v>
      </c>
      <c r="X602" s="53">
        <v>0.6638268989943471</v>
      </c>
      <c r="Y602" s="151"/>
      <c r="Z602" s="151"/>
      <c r="AA602" s="151"/>
      <c r="AB602" s="151"/>
    </row>
    <row r="603" spans="1:28" ht="13">
      <c r="A603" s="170"/>
      <c r="B603" s="59" t="s">
        <v>853</v>
      </c>
      <c r="C603" s="179">
        <v>10614313</v>
      </c>
      <c r="D603" s="179"/>
      <c r="E603" s="179">
        <v>1290148</v>
      </c>
      <c r="F603" s="179"/>
      <c r="G603" s="179">
        <v>1034425</v>
      </c>
      <c r="H603" s="179">
        <v>85406</v>
      </c>
      <c r="I603" s="180">
        <v>13024292</v>
      </c>
      <c r="J603" s="179"/>
      <c r="K603" s="179"/>
      <c r="L603" s="179"/>
      <c r="M603" s="179">
        <v>76562</v>
      </c>
      <c r="N603" s="179"/>
      <c r="O603" s="180">
        <v>76562</v>
      </c>
      <c r="P603" s="179"/>
      <c r="Q603" s="179"/>
      <c r="R603" s="179"/>
      <c r="S603" s="180"/>
      <c r="T603" s="179"/>
      <c r="U603" s="180"/>
      <c r="V603" s="179"/>
      <c r="W603" s="180"/>
      <c r="X603" s="53">
        <v>13100854</v>
      </c>
      <c r="Y603" s="151"/>
      <c r="Z603" s="151"/>
      <c r="AA603" s="151"/>
      <c r="AB603" s="151"/>
    </row>
    <row r="604" spans="1:28" s="173" customFormat="1" ht="13">
      <c r="A604" s="170"/>
      <c r="B604" s="94" t="s">
        <v>854</v>
      </c>
      <c r="C604" s="171">
        <v>10617313</v>
      </c>
      <c r="D604" s="171"/>
      <c r="E604" s="171">
        <v>1291745</v>
      </c>
      <c r="F604" s="171"/>
      <c r="G604" s="171">
        <v>1031294</v>
      </c>
      <c r="H604" s="171">
        <v>84843</v>
      </c>
      <c r="I604" s="172">
        <v>13025195</v>
      </c>
      <c r="J604" s="171"/>
      <c r="K604" s="171"/>
      <c r="L604" s="171"/>
      <c r="M604" s="171">
        <v>76159</v>
      </c>
      <c r="N604" s="171"/>
      <c r="O604" s="172">
        <v>76159</v>
      </c>
      <c r="P604" s="171"/>
      <c r="Q604" s="171"/>
      <c r="R604" s="171"/>
      <c r="S604" s="172"/>
      <c r="T604" s="171"/>
      <c r="U604" s="172"/>
      <c r="V604" s="171"/>
      <c r="W604" s="172"/>
      <c r="X604" s="53">
        <v>13101354</v>
      </c>
      <c r="Y604" s="151"/>
      <c r="Z604" s="151"/>
      <c r="AA604" s="151"/>
      <c r="AB604" s="151"/>
    </row>
    <row r="605" spans="1:28" s="178" customFormat="1" ht="13">
      <c r="A605" s="170"/>
      <c r="B605" s="175" t="s">
        <v>855</v>
      </c>
      <c r="C605" s="176">
        <v>2.8263722767549817E-2</v>
      </c>
      <c r="D605" s="176">
        <v>0</v>
      </c>
      <c r="E605" s="176">
        <v>0.12378424800875559</v>
      </c>
      <c r="F605" s="176">
        <v>0</v>
      </c>
      <c r="G605" s="176">
        <v>-0.30268023297967472</v>
      </c>
      <c r="H605" s="176">
        <v>-0.65920427136266768</v>
      </c>
      <c r="I605" s="177">
        <v>6.9331983650243716E-3</v>
      </c>
      <c r="J605" s="176">
        <v>0</v>
      </c>
      <c r="K605" s="176">
        <v>0</v>
      </c>
      <c r="L605" s="176">
        <v>0</v>
      </c>
      <c r="M605" s="176">
        <v>-0.52637078446226582</v>
      </c>
      <c r="N605" s="176">
        <v>0</v>
      </c>
      <c r="O605" s="177">
        <v>-0.52637078446226582</v>
      </c>
      <c r="P605" s="176">
        <v>0</v>
      </c>
      <c r="Q605" s="176">
        <v>0</v>
      </c>
      <c r="R605" s="176">
        <v>0</v>
      </c>
      <c r="S605" s="177">
        <v>0</v>
      </c>
      <c r="T605" s="176">
        <v>0</v>
      </c>
      <c r="U605" s="177">
        <v>0</v>
      </c>
      <c r="V605" s="176">
        <v>0</v>
      </c>
      <c r="W605" s="177">
        <v>0</v>
      </c>
      <c r="X605" s="53">
        <v>3.8165450893506638E-3</v>
      </c>
      <c r="Y605" s="151"/>
      <c r="Z605" s="151"/>
      <c r="AA605" s="151"/>
      <c r="AB605" s="151"/>
    </row>
    <row r="606" spans="1:28" ht="13">
      <c r="A606" s="170"/>
      <c r="B606" s="183" t="s">
        <v>856</v>
      </c>
      <c r="C606" s="180">
        <v>400372551</v>
      </c>
      <c r="D606" s="180"/>
      <c r="E606" s="180">
        <v>112638948</v>
      </c>
      <c r="F606" s="180"/>
      <c r="G606" s="180">
        <v>92788043</v>
      </c>
      <c r="H606" s="180">
        <v>50522511</v>
      </c>
      <c r="I606" s="180">
        <v>656322053</v>
      </c>
      <c r="J606" s="180">
        <v>14935791</v>
      </c>
      <c r="K606" s="180"/>
      <c r="L606" s="180">
        <v>7514455</v>
      </c>
      <c r="M606" s="180">
        <v>37541246</v>
      </c>
      <c r="N606" s="180"/>
      <c r="O606" s="180">
        <v>59991492</v>
      </c>
      <c r="P606" s="180"/>
      <c r="Q606" s="180"/>
      <c r="R606" s="180">
        <v>0</v>
      </c>
      <c r="S606" s="180">
        <v>0</v>
      </c>
      <c r="T606" s="180">
        <v>0</v>
      </c>
      <c r="U606" s="180">
        <v>0</v>
      </c>
      <c r="V606" s="180"/>
      <c r="W606" s="180"/>
      <c r="X606" s="53">
        <v>716313545</v>
      </c>
      <c r="Y606" s="151"/>
      <c r="Z606" s="151"/>
      <c r="AA606" s="151"/>
      <c r="AB606" s="151"/>
    </row>
    <row r="607" spans="1:28" s="173" customFormat="1" ht="13">
      <c r="A607" s="170"/>
      <c r="B607" s="184" t="s">
        <v>857</v>
      </c>
      <c r="C607" s="172">
        <v>400375551</v>
      </c>
      <c r="D607" s="172"/>
      <c r="E607" s="172">
        <v>114108254</v>
      </c>
      <c r="F607" s="172"/>
      <c r="G607" s="172">
        <v>93239263</v>
      </c>
      <c r="H607" s="172">
        <v>51960977</v>
      </c>
      <c r="I607" s="172">
        <v>659684045</v>
      </c>
      <c r="J607" s="172">
        <v>14935791</v>
      </c>
      <c r="K607" s="172"/>
      <c r="L607" s="172">
        <v>7514455</v>
      </c>
      <c r="M607" s="172">
        <v>38847869</v>
      </c>
      <c r="N607" s="172"/>
      <c r="O607" s="172">
        <v>61298115</v>
      </c>
      <c r="P607" s="172"/>
      <c r="Q607" s="172"/>
      <c r="R607" s="172">
        <v>0</v>
      </c>
      <c r="S607" s="172">
        <v>0</v>
      </c>
      <c r="T607" s="172">
        <v>0</v>
      </c>
      <c r="U607" s="172">
        <v>0</v>
      </c>
      <c r="V607" s="172"/>
      <c r="W607" s="172"/>
      <c r="X607" s="53">
        <v>720982160</v>
      </c>
      <c r="Y607" s="151"/>
      <c r="Z607" s="151"/>
      <c r="AA607" s="151"/>
      <c r="AB607" s="151"/>
    </row>
    <row r="608" spans="1:28" s="178" customFormat="1" ht="13">
      <c r="A608" s="170"/>
      <c r="B608" s="185" t="s">
        <v>858</v>
      </c>
      <c r="C608" s="177">
        <v>7.4930211686764705E-4</v>
      </c>
      <c r="D608" s="177">
        <v>0</v>
      </c>
      <c r="E608" s="177">
        <v>1.3044386742674479</v>
      </c>
      <c r="F608" s="177">
        <v>0</v>
      </c>
      <c r="G608" s="177">
        <v>0.48629110541753745</v>
      </c>
      <c r="H608" s="177">
        <v>2.8471783597612559</v>
      </c>
      <c r="I608" s="177">
        <v>0.51224730064037638</v>
      </c>
      <c r="J608" s="177">
        <v>0</v>
      </c>
      <c r="K608" s="177">
        <v>0</v>
      </c>
      <c r="L608" s="177">
        <v>0</v>
      </c>
      <c r="M608" s="177">
        <v>3.4804998214497194</v>
      </c>
      <c r="N608" s="177">
        <v>0</v>
      </c>
      <c r="O608" s="177">
        <v>2.178013842362847</v>
      </c>
      <c r="P608" s="177">
        <v>0</v>
      </c>
      <c r="Q608" s="177">
        <v>0</v>
      </c>
      <c r="R608" s="177">
        <v>0</v>
      </c>
      <c r="S608" s="177">
        <v>0</v>
      </c>
      <c r="T608" s="177">
        <v>0</v>
      </c>
      <c r="U608" s="177">
        <v>0</v>
      </c>
      <c r="V608" s="177">
        <v>0</v>
      </c>
      <c r="W608" s="177">
        <v>0</v>
      </c>
      <c r="X608" s="53">
        <v>0.65175578942877599</v>
      </c>
      <c r="Y608" s="151"/>
      <c r="Z608" s="151"/>
      <c r="AA608" s="151"/>
      <c r="AB608" s="151"/>
    </row>
    <row r="609" spans="1:28" ht="13">
      <c r="A609" s="170"/>
      <c r="B609" s="59" t="s">
        <v>859</v>
      </c>
      <c r="C609" s="179"/>
      <c r="D609" s="179"/>
      <c r="E609" s="179"/>
      <c r="F609" s="179"/>
      <c r="G609" s="179"/>
      <c r="H609" s="179"/>
      <c r="I609" s="180"/>
      <c r="J609" s="179"/>
      <c r="K609" s="179"/>
      <c r="L609" s="179"/>
      <c r="M609" s="179"/>
      <c r="N609" s="179"/>
      <c r="O609" s="180"/>
      <c r="P609" s="179"/>
      <c r="Q609" s="179"/>
      <c r="R609" s="179"/>
      <c r="S609" s="180"/>
      <c r="T609" s="179"/>
      <c r="U609" s="180"/>
      <c r="V609" s="179"/>
      <c r="W609" s="180"/>
      <c r="X609" s="53"/>
      <c r="Y609" s="151"/>
      <c r="Z609" s="151"/>
      <c r="AA609" s="151"/>
      <c r="AB609" s="151"/>
    </row>
    <row r="610" spans="1:28" s="173" customFormat="1" ht="13">
      <c r="A610" s="170"/>
      <c r="B610" s="94" t="s">
        <v>860</v>
      </c>
      <c r="C610" s="171"/>
      <c r="D610" s="171"/>
      <c r="E610" s="171"/>
      <c r="F610" s="171"/>
      <c r="G610" s="171"/>
      <c r="H610" s="171"/>
      <c r="I610" s="172"/>
      <c r="J610" s="171"/>
      <c r="K610" s="171"/>
      <c r="L610" s="171"/>
      <c r="M610" s="171"/>
      <c r="N610" s="171"/>
      <c r="O610" s="172"/>
      <c r="P610" s="171"/>
      <c r="Q610" s="171"/>
      <c r="R610" s="171"/>
      <c r="S610" s="172"/>
      <c r="T610" s="171"/>
      <c r="U610" s="172"/>
      <c r="V610" s="171"/>
      <c r="W610" s="172"/>
      <c r="X610" s="53"/>
      <c r="Y610" s="151"/>
      <c r="Z610" s="151"/>
      <c r="AA610" s="151"/>
      <c r="AB610" s="151"/>
    </row>
    <row r="611" spans="1:28" s="178" customFormat="1" ht="13">
      <c r="A611" s="170"/>
      <c r="B611" s="175" t="s">
        <v>861</v>
      </c>
      <c r="C611" s="176">
        <v>0</v>
      </c>
      <c r="D611" s="176">
        <v>0</v>
      </c>
      <c r="E611" s="176">
        <v>0</v>
      </c>
      <c r="F611" s="176">
        <v>0</v>
      </c>
      <c r="G611" s="176">
        <v>0</v>
      </c>
      <c r="H611" s="176">
        <v>0</v>
      </c>
      <c r="I611" s="177">
        <v>0</v>
      </c>
      <c r="J611" s="176">
        <v>0</v>
      </c>
      <c r="K611" s="176">
        <v>0</v>
      </c>
      <c r="L611" s="176">
        <v>0</v>
      </c>
      <c r="M611" s="176">
        <v>0</v>
      </c>
      <c r="N611" s="176">
        <v>0</v>
      </c>
      <c r="O611" s="177">
        <v>0</v>
      </c>
      <c r="P611" s="176">
        <v>0</v>
      </c>
      <c r="Q611" s="176">
        <v>0</v>
      </c>
      <c r="R611" s="176">
        <v>0</v>
      </c>
      <c r="S611" s="177">
        <v>0</v>
      </c>
      <c r="T611" s="176">
        <v>0</v>
      </c>
      <c r="U611" s="177">
        <v>0</v>
      </c>
      <c r="V611" s="176">
        <v>0</v>
      </c>
      <c r="W611" s="177">
        <v>0</v>
      </c>
      <c r="X611" s="53">
        <v>0</v>
      </c>
      <c r="Y611" s="151"/>
      <c r="Z611" s="151"/>
      <c r="AA611" s="151"/>
      <c r="AB611" s="151"/>
    </row>
    <row r="612" spans="1:28" ht="13">
      <c r="A612" s="170"/>
      <c r="B612" s="59" t="s">
        <v>862</v>
      </c>
      <c r="C612" s="179"/>
      <c r="D612" s="179"/>
      <c r="E612" s="179"/>
      <c r="F612" s="179"/>
      <c r="G612" s="179"/>
      <c r="H612" s="179"/>
      <c r="I612" s="180"/>
      <c r="J612" s="179"/>
      <c r="K612" s="179"/>
      <c r="L612" s="179"/>
      <c r="M612" s="179"/>
      <c r="N612" s="179"/>
      <c r="O612" s="180"/>
      <c r="P612" s="179"/>
      <c r="Q612" s="179"/>
      <c r="R612" s="179"/>
      <c r="S612" s="180"/>
      <c r="T612" s="179"/>
      <c r="U612" s="180"/>
      <c r="V612" s="179"/>
      <c r="W612" s="180"/>
      <c r="X612" s="53"/>
      <c r="Y612" s="151"/>
      <c r="Z612" s="151"/>
      <c r="AA612" s="151"/>
      <c r="AB612" s="151"/>
    </row>
    <row r="613" spans="1:28" s="173" customFormat="1" ht="13">
      <c r="A613" s="170"/>
      <c r="B613" s="94" t="s">
        <v>863</v>
      </c>
      <c r="C613" s="171"/>
      <c r="D613" s="171"/>
      <c r="E613" s="171"/>
      <c r="F613" s="171"/>
      <c r="G613" s="171"/>
      <c r="H613" s="171"/>
      <c r="I613" s="172"/>
      <c r="J613" s="171"/>
      <c r="K613" s="171"/>
      <c r="L613" s="171"/>
      <c r="M613" s="171"/>
      <c r="N613" s="171"/>
      <c r="O613" s="172"/>
      <c r="P613" s="171"/>
      <c r="Q613" s="171"/>
      <c r="R613" s="171"/>
      <c r="S613" s="172"/>
      <c r="T613" s="171"/>
      <c r="U613" s="172"/>
      <c r="V613" s="171"/>
      <c r="W613" s="172"/>
      <c r="X613" s="53"/>
      <c r="Y613" s="151"/>
      <c r="Z613" s="151"/>
      <c r="AA613" s="151"/>
      <c r="AB613" s="151"/>
    </row>
    <row r="614" spans="1:28" s="178" customFormat="1" ht="13">
      <c r="A614" s="170"/>
      <c r="B614" s="175" t="s">
        <v>864</v>
      </c>
      <c r="C614" s="176">
        <v>0</v>
      </c>
      <c r="D614" s="176">
        <v>0</v>
      </c>
      <c r="E614" s="176">
        <v>0</v>
      </c>
      <c r="F614" s="176">
        <v>0</v>
      </c>
      <c r="G614" s="176">
        <v>0</v>
      </c>
      <c r="H614" s="176">
        <v>0</v>
      </c>
      <c r="I614" s="177">
        <v>0</v>
      </c>
      <c r="J614" s="176">
        <v>0</v>
      </c>
      <c r="K614" s="176">
        <v>0</v>
      </c>
      <c r="L614" s="176">
        <v>0</v>
      </c>
      <c r="M614" s="176">
        <v>0</v>
      </c>
      <c r="N614" s="176">
        <v>0</v>
      </c>
      <c r="O614" s="177">
        <v>0</v>
      </c>
      <c r="P614" s="176">
        <v>0</v>
      </c>
      <c r="Q614" s="176">
        <v>0</v>
      </c>
      <c r="R614" s="176">
        <v>0</v>
      </c>
      <c r="S614" s="177">
        <v>0</v>
      </c>
      <c r="T614" s="176">
        <v>0</v>
      </c>
      <c r="U614" s="177">
        <v>0</v>
      </c>
      <c r="V614" s="176">
        <v>0</v>
      </c>
      <c r="W614" s="177">
        <v>0</v>
      </c>
      <c r="X614" s="53">
        <v>0</v>
      </c>
      <c r="Y614" s="151"/>
      <c r="Z614" s="151"/>
      <c r="AA614" s="151"/>
      <c r="AB614" s="151"/>
    </row>
    <row r="615" spans="1:28" ht="13">
      <c r="A615" s="170"/>
      <c r="B615" s="59" t="s">
        <v>865</v>
      </c>
      <c r="C615" s="179"/>
      <c r="D615" s="179"/>
      <c r="E615" s="179"/>
      <c r="F615" s="179"/>
      <c r="G615" s="179"/>
      <c r="H615" s="179"/>
      <c r="I615" s="180"/>
      <c r="J615" s="179"/>
      <c r="K615" s="179"/>
      <c r="L615" s="179"/>
      <c r="M615" s="179"/>
      <c r="N615" s="179"/>
      <c r="O615" s="180"/>
      <c r="P615" s="179"/>
      <c r="Q615" s="179"/>
      <c r="R615" s="179"/>
      <c r="S615" s="180"/>
      <c r="T615" s="179"/>
      <c r="U615" s="180"/>
      <c r="V615" s="179"/>
      <c r="W615" s="180"/>
      <c r="X615" s="53"/>
      <c r="Y615" s="151"/>
      <c r="Z615" s="151"/>
      <c r="AA615" s="151"/>
      <c r="AB615" s="151"/>
    </row>
    <row r="616" spans="1:28" s="173" customFormat="1" ht="13">
      <c r="A616" s="170"/>
      <c r="B616" s="94" t="s">
        <v>866</v>
      </c>
      <c r="C616" s="171"/>
      <c r="D616" s="171"/>
      <c r="E616" s="171"/>
      <c r="F616" s="171"/>
      <c r="G616" s="171"/>
      <c r="H616" s="171"/>
      <c r="I616" s="172"/>
      <c r="J616" s="171"/>
      <c r="K616" s="171"/>
      <c r="L616" s="171"/>
      <c r="M616" s="171"/>
      <c r="N616" s="171"/>
      <c r="O616" s="172"/>
      <c r="P616" s="171"/>
      <c r="Q616" s="171"/>
      <c r="R616" s="171"/>
      <c r="S616" s="172"/>
      <c r="T616" s="171"/>
      <c r="U616" s="172"/>
      <c r="V616" s="171"/>
      <c r="W616" s="172"/>
      <c r="X616" s="53"/>
      <c r="Y616" s="151"/>
      <c r="Z616" s="151"/>
      <c r="AA616" s="151"/>
      <c r="AB616" s="151"/>
    </row>
    <row r="617" spans="1:28" s="178" customFormat="1" ht="13">
      <c r="A617" s="170"/>
      <c r="B617" s="175" t="s">
        <v>867</v>
      </c>
      <c r="C617" s="176">
        <v>0</v>
      </c>
      <c r="D617" s="176">
        <v>0</v>
      </c>
      <c r="E617" s="176">
        <v>0</v>
      </c>
      <c r="F617" s="176">
        <v>0</v>
      </c>
      <c r="G617" s="176">
        <v>0</v>
      </c>
      <c r="H617" s="176">
        <v>0</v>
      </c>
      <c r="I617" s="177">
        <v>0</v>
      </c>
      <c r="J617" s="176">
        <v>0</v>
      </c>
      <c r="K617" s="176">
        <v>0</v>
      </c>
      <c r="L617" s="176">
        <v>0</v>
      </c>
      <c r="M617" s="176">
        <v>0</v>
      </c>
      <c r="N617" s="176">
        <v>0</v>
      </c>
      <c r="O617" s="177">
        <v>0</v>
      </c>
      <c r="P617" s="176">
        <v>0</v>
      </c>
      <c r="Q617" s="176">
        <v>0</v>
      </c>
      <c r="R617" s="176">
        <v>0</v>
      </c>
      <c r="S617" s="177">
        <v>0</v>
      </c>
      <c r="T617" s="176">
        <v>0</v>
      </c>
      <c r="U617" s="177">
        <v>0</v>
      </c>
      <c r="V617" s="176">
        <v>0</v>
      </c>
      <c r="W617" s="177">
        <v>0</v>
      </c>
      <c r="X617" s="53">
        <v>0</v>
      </c>
      <c r="Y617" s="151"/>
      <c r="Z617" s="151"/>
      <c r="AA617" s="151"/>
      <c r="AB617" s="151"/>
    </row>
    <row r="618" spans="1:28" ht="13">
      <c r="A618" s="170"/>
      <c r="B618" s="59" t="s">
        <v>868</v>
      </c>
      <c r="C618" s="179">
        <v>0</v>
      </c>
      <c r="D618" s="179"/>
      <c r="E618" s="179">
        <v>0</v>
      </c>
      <c r="F618" s="179"/>
      <c r="G618" s="179">
        <v>0</v>
      </c>
      <c r="H618" s="179">
        <v>0</v>
      </c>
      <c r="I618" s="180">
        <v>0</v>
      </c>
      <c r="J618" s="179">
        <v>0</v>
      </c>
      <c r="K618" s="179"/>
      <c r="L618" s="179">
        <v>0</v>
      </c>
      <c r="M618" s="179">
        <v>0</v>
      </c>
      <c r="N618" s="179"/>
      <c r="O618" s="180">
        <v>0</v>
      </c>
      <c r="P618" s="179"/>
      <c r="Q618" s="179"/>
      <c r="R618" s="179">
        <v>0</v>
      </c>
      <c r="S618" s="180">
        <v>0</v>
      </c>
      <c r="T618" s="179">
        <v>0</v>
      </c>
      <c r="U618" s="180">
        <v>0</v>
      </c>
      <c r="V618" s="179"/>
      <c r="W618" s="180"/>
      <c r="X618" s="53">
        <v>0</v>
      </c>
      <c r="Y618" s="151"/>
      <c r="Z618" s="151"/>
      <c r="AA618" s="151"/>
      <c r="AB618" s="151"/>
    </row>
    <row r="619" spans="1:28" s="173" customFormat="1" ht="13">
      <c r="A619" s="170"/>
      <c r="B619" s="94" t="s">
        <v>869</v>
      </c>
      <c r="C619" s="171">
        <v>0</v>
      </c>
      <c r="D619" s="171"/>
      <c r="E619" s="171">
        <v>0</v>
      </c>
      <c r="F619" s="171"/>
      <c r="G619" s="171">
        <v>0</v>
      </c>
      <c r="H619" s="171">
        <v>0</v>
      </c>
      <c r="I619" s="172">
        <v>0</v>
      </c>
      <c r="J619" s="171">
        <v>0</v>
      </c>
      <c r="K619" s="171"/>
      <c r="L619" s="171">
        <v>0</v>
      </c>
      <c r="M619" s="171">
        <v>0</v>
      </c>
      <c r="N619" s="171"/>
      <c r="O619" s="172">
        <v>0</v>
      </c>
      <c r="P619" s="171"/>
      <c r="Q619" s="171"/>
      <c r="R619" s="171">
        <v>0</v>
      </c>
      <c r="S619" s="172">
        <v>0</v>
      </c>
      <c r="T619" s="171">
        <v>0</v>
      </c>
      <c r="U619" s="172">
        <v>0</v>
      </c>
      <c r="V619" s="171"/>
      <c r="W619" s="172"/>
      <c r="X619" s="53">
        <v>0</v>
      </c>
      <c r="Y619" s="151"/>
      <c r="Z619" s="151"/>
      <c r="AA619" s="151"/>
      <c r="AB619" s="151"/>
    </row>
    <row r="620" spans="1:28" s="178" customFormat="1" ht="13">
      <c r="A620" s="170"/>
      <c r="B620" s="175" t="s">
        <v>870</v>
      </c>
      <c r="C620" s="176">
        <v>0</v>
      </c>
      <c r="D620" s="176">
        <v>0</v>
      </c>
      <c r="E620" s="176">
        <v>0</v>
      </c>
      <c r="F620" s="176">
        <v>0</v>
      </c>
      <c r="G620" s="176">
        <v>0</v>
      </c>
      <c r="H620" s="176">
        <v>0</v>
      </c>
      <c r="I620" s="177">
        <v>0</v>
      </c>
      <c r="J620" s="176">
        <v>0</v>
      </c>
      <c r="K620" s="176">
        <v>0</v>
      </c>
      <c r="L620" s="176">
        <v>0</v>
      </c>
      <c r="M620" s="176">
        <v>0</v>
      </c>
      <c r="N620" s="176">
        <v>0</v>
      </c>
      <c r="O620" s="177">
        <v>0</v>
      </c>
      <c r="P620" s="176">
        <v>0</v>
      </c>
      <c r="Q620" s="176">
        <v>0</v>
      </c>
      <c r="R620" s="176">
        <v>0</v>
      </c>
      <c r="S620" s="177">
        <v>0</v>
      </c>
      <c r="T620" s="176">
        <v>0</v>
      </c>
      <c r="U620" s="177">
        <v>0</v>
      </c>
      <c r="V620" s="176">
        <v>0</v>
      </c>
      <c r="W620" s="177">
        <v>0</v>
      </c>
      <c r="X620" s="53">
        <v>0</v>
      </c>
      <c r="Y620" s="151"/>
      <c r="Z620" s="151"/>
      <c r="AA620" s="151"/>
      <c r="AB620" s="151"/>
    </row>
    <row r="621" spans="1:28" ht="13">
      <c r="A621" s="170"/>
      <c r="B621" s="59" t="s">
        <v>871</v>
      </c>
      <c r="C621" s="179">
        <v>68096693</v>
      </c>
      <c r="D621" s="179"/>
      <c r="E621" s="179">
        <v>19098685</v>
      </c>
      <c r="F621" s="179"/>
      <c r="G621" s="179"/>
      <c r="H621" s="179"/>
      <c r="I621" s="180">
        <v>87195378</v>
      </c>
      <c r="J621" s="179"/>
      <c r="K621" s="179"/>
      <c r="L621" s="179"/>
      <c r="M621" s="179"/>
      <c r="N621" s="179"/>
      <c r="O621" s="180"/>
      <c r="P621" s="179"/>
      <c r="Q621" s="179"/>
      <c r="R621" s="179"/>
      <c r="S621" s="180"/>
      <c r="T621" s="179">
        <v>9032701</v>
      </c>
      <c r="U621" s="180">
        <v>9032701</v>
      </c>
      <c r="V621" s="179"/>
      <c r="W621" s="180"/>
      <c r="X621" s="53">
        <v>96228079</v>
      </c>
      <c r="Y621" s="151"/>
      <c r="Z621" s="151"/>
      <c r="AA621" s="151"/>
      <c r="AB621" s="151"/>
    </row>
    <row r="622" spans="1:28" s="173" customFormat="1" ht="13">
      <c r="A622" s="170"/>
      <c r="B622" s="94" t="s">
        <v>872</v>
      </c>
      <c r="C622" s="171">
        <v>68096693</v>
      </c>
      <c r="D622" s="171"/>
      <c r="E622" s="171">
        <v>19174298</v>
      </c>
      <c r="F622" s="171"/>
      <c r="G622" s="171"/>
      <c r="H622" s="171"/>
      <c r="I622" s="172">
        <v>87270991</v>
      </c>
      <c r="J622" s="171"/>
      <c r="K622" s="171"/>
      <c r="L622" s="171"/>
      <c r="M622" s="171"/>
      <c r="N622" s="171"/>
      <c r="O622" s="172"/>
      <c r="P622" s="171"/>
      <c r="Q622" s="171"/>
      <c r="R622" s="171"/>
      <c r="S622" s="172"/>
      <c r="T622" s="171">
        <v>9032701</v>
      </c>
      <c r="U622" s="172">
        <v>9032701</v>
      </c>
      <c r="V622" s="171"/>
      <c r="W622" s="172"/>
      <c r="X622" s="53">
        <v>96303692</v>
      </c>
      <c r="Y622" s="151"/>
      <c r="Z622" s="151"/>
      <c r="AA622" s="151"/>
      <c r="AB622" s="151"/>
    </row>
    <row r="623" spans="1:28" s="178" customFormat="1" ht="13">
      <c r="A623" s="170"/>
      <c r="B623" s="175" t="s">
        <v>873</v>
      </c>
      <c r="C623" s="176">
        <v>0</v>
      </c>
      <c r="D623" s="176">
        <v>0</v>
      </c>
      <c r="E623" s="176">
        <v>0.39590683861218717</v>
      </c>
      <c r="F623" s="176">
        <v>0</v>
      </c>
      <c r="G623" s="176">
        <v>0</v>
      </c>
      <c r="H623" s="176">
        <v>0</v>
      </c>
      <c r="I623" s="177">
        <v>8.6716752348960507E-2</v>
      </c>
      <c r="J623" s="176">
        <v>0</v>
      </c>
      <c r="K623" s="176">
        <v>0</v>
      </c>
      <c r="L623" s="176">
        <v>0</v>
      </c>
      <c r="M623" s="176">
        <v>0</v>
      </c>
      <c r="N623" s="176">
        <v>0</v>
      </c>
      <c r="O623" s="177">
        <v>0</v>
      </c>
      <c r="P623" s="176">
        <v>0</v>
      </c>
      <c r="Q623" s="176">
        <v>0</v>
      </c>
      <c r="R623" s="176">
        <v>0</v>
      </c>
      <c r="S623" s="177">
        <v>0</v>
      </c>
      <c r="T623" s="176">
        <v>0</v>
      </c>
      <c r="U623" s="177">
        <v>0</v>
      </c>
      <c r="V623" s="176">
        <v>0</v>
      </c>
      <c r="W623" s="177">
        <v>0</v>
      </c>
      <c r="X623" s="53">
        <v>7.8576856969159697E-2</v>
      </c>
      <c r="Y623" s="151"/>
      <c r="Z623" s="151"/>
      <c r="AA623" s="151"/>
      <c r="AB623" s="151"/>
    </row>
    <row r="624" spans="1:28" ht="13">
      <c r="A624" s="170"/>
      <c r="B624" s="59" t="s">
        <v>874</v>
      </c>
      <c r="C624" s="179">
        <v>92779288</v>
      </c>
      <c r="D624" s="179"/>
      <c r="E624" s="179">
        <v>9803250</v>
      </c>
      <c r="F624" s="179"/>
      <c r="G624" s="179"/>
      <c r="H624" s="179"/>
      <c r="I624" s="180">
        <v>102582538</v>
      </c>
      <c r="J624" s="179"/>
      <c r="K624" s="179"/>
      <c r="L624" s="179"/>
      <c r="M624" s="179"/>
      <c r="N624" s="179"/>
      <c r="O624" s="180"/>
      <c r="P624" s="179"/>
      <c r="Q624" s="179"/>
      <c r="R624" s="179"/>
      <c r="S624" s="180"/>
      <c r="T624" s="179">
        <v>36654489</v>
      </c>
      <c r="U624" s="180">
        <v>36654489</v>
      </c>
      <c r="V624" s="179"/>
      <c r="W624" s="180"/>
      <c r="X624" s="53">
        <v>139237027</v>
      </c>
      <c r="Y624" s="151"/>
      <c r="Z624" s="151"/>
      <c r="AA624" s="151"/>
      <c r="AB624" s="151"/>
    </row>
    <row r="625" spans="1:28" s="173" customFormat="1" ht="13">
      <c r="A625" s="170"/>
      <c r="B625" s="94" t="s">
        <v>875</v>
      </c>
      <c r="C625" s="171">
        <v>92779288</v>
      </c>
      <c r="D625" s="171"/>
      <c r="E625" s="171">
        <v>9803250</v>
      </c>
      <c r="F625" s="171"/>
      <c r="G625" s="171"/>
      <c r="H625" s="171"/>
      <c r="I625" s="172">
        <v>102582538</v>
      </c>
      <c r="J625" s="171"/>
      <c r="K625" s="171"/>
      <c r="L625" s="171"/>
      <c r="M625" s="171"/>
      <c r="N625" s="171"/>
      <c r="O625" s="172"/>
      <c r="P625" s="171"/>
      <c r="Q625" s="171"/>
      <c r="R625" s="171"/>
      <c r="S625" s="172"/>
      <c r="T625" s="171">
        <v>36654489</v>
      </c>
      <c r="U625" s="172">
        <v>36654489</v>
      </c>
      <c r="V625" s="171"/>
      <c r="W625" s="172"/>
      <c r="X625" s="53">
        <v>139237027</v>
      </c>
      <c r="Y625" s="151"/>
      <c r="Z625" s="151"/>
      <c r="AA625" s="151"/>
      <c r="AB625" s="151"/>
    </row>
    <row r="626" spans="1:28" s="178" customFormat="1" ht="13">
      <c r="A626" s="170"/>
      <c r="B626" s="175" t="s">
        <v>876</v>
      </c>
      <c r="C626" s="176">
        <v>0</v>
      </c>
      <c r="D626" s="176">
        <v>0</v>
      </c>
      <c r="E626" s="176">
        <v>0</v>
      </c>
      <c r="F626" s="176">
        <v>0</v>
      </c>
      <c r="G626" s="176">
        <v>0</v>
      </c>
      <c r="H626" s="176">
        <v>0</v>
      </c>
      <c r="I626" s="177">
        <v>0</v>
      </c>
      <c r="J626" s="176">
        <v>0</v>
      </c>
      <c r="K626" s="176">
        <v>0</v>
      </c>
      <c r="L626" s="176">
        <v>0</v>
      </c>
      <c r="M626" s="176">
        <v>0</v>
      </c>
      <c r="N626" s="176">
        <v>0</v>
      </c>
      <c r="O626" s="177">
        <v>0</v>
      </c>
      <c r="P626" s="176">
        <v>0</v>
      </c>
      <c r="Q626" s="176">
        <v>0</v>
      </c>
      <c r="R626" s="176">
        <v>0</v>
      </c>
      <c r="S626" s="177">
        <v>0</v>
      </c>
      <c r="T626" s="176">
        <v>0</v>
      </c>
      <c r="U626" s="177">
        <v>0</v>
      </c>
      <c r="V626" s="176">
        <v>0</v>
      </c>
      <c r="W626" s="177">
        <v>0</v>
      </c>
      <c r="X626" s="53">
        <v>0</v>
      </c>
      <c r="Y626" s="151"/>
      <c r="Z626" s="151"/>
      <c r="AA626" s="151"/>
      <c r="AB626" s="151"/>
    </row>
    <row r="627" spans="1:28" ht="13">
      <c r="A627" s="170"/>
      <c r="B627" s="59" t="s">
        <v>877</v>
      </c>
      <c r="C627" s="179">
        <v>490432044</v>
      </c>
      <c r="D627" s="179"/>
      <c r="E627" s="179">
        <v>158991273</v>
      </c>
      <c r="F627" s="179"/>
      <c r="G627" s="179">
        <v>142616865</v>
      </c>
      <c r="H627" s="179">
        <v>85580910</v>
      </c>
      <c r="I627" s="180">
        <v>877621092</v>
      </c>
      <c r="J627" s="179">
        <v>29767786</v>
      </c>
      <c r="K627" s="179"/>
      <c r="L627" s="179">
        <v>15345297</v>
      </c>
      <c r="M627" s="179">
        <v>83445377</v>
      </c>
      <c r="N627" s="179"/>
      <c r="O627" s="180">
        <v>128558460</v>
      </c>
      <c r="P627" s="179"/>
      <c r="Q627" s="179"/>
      <c r="R627" s="179">
        <v>8781323.6399999987</v>
      </c>
      <c r="S627" s="180">
        <v>8781323.6399999987</v>
      </c>
      <c r="T627" s="179">
        <v>1205677.8799999999</v>
      </c>
      <c r="U627" s="180">
        <v>1205677.8799999999</v>
      </c>
      <c r="V627" s="179"/>
      <c r="W627" s="180"/>
      <c r="X627" s="53">
        <v>1016166553.52</v>
      </c>
      <c r="Y627" s="151"/>
      <c r="Z627" s="151"/>
      <c r="AA627" s="151"/>
      <c r="AB627" s="151"/>
    </row>
    <row r="628" spans="1:28" s="173" customFormat="1" ht="13">
      <c r="A628" s="170"/>
      <c r="B628" s="94" t="s">
        <v>878</v>
      </c>
      <c r="C628" s="171">
        <v>490432044</v>
      </c>
      <c r="D628" s="171"/>
      <c r="E628" s="171">
        <v>160433369</v>
      </c>
      <c r="F628" s="171"/>
      <c r="G628" s="171">
        <v>143071216</v>
      </c>
      <c r="H628" s="171">
        <v>87019939</v>
      </c>
      <c r="I628" s="172">
        <v>880956568</v>
      </c>
      <c r="J628" s="171">
        <v>29767786</v>
      </c>
      <c r="K628" s="171"/>
      <c r="L628" s="171">
        <v>15345297</v>
      </c>
      <c r="M628" s="171">
        <v>84752403</v>
      </c>
      <c r="N628" s="171"/>
      <c r="O628" s="172">
        <v>129865486</v>
      </c>
      <c r="P628" s="171"/>
      <c r="Q628" s="171"/>
      <c r="R628" s="171">
        <v>9100403</v>
      </c>
      <c r="S628" s="172">
        <v>9100403</v>
      </c>
      <c r="T628" s="171">
        <v>1231517</v>
      </c>
      <c r="U628" s="172">
        <v>1231517</v>
      </c>
      <c r="V628" s="171"/>
      <c r="W628" s="172"/>
      <c r="X628" s="53">
        <v>1021153974</v>
      </c>
      <c r="Y628" s="151"/>
      <c r="Z628" s="151"/>
      <c r="AA628" s="151"/>
      <c r="AB628" s="151"/>
    </row>
    <row r="629" spans="1:28" s="192" customFormat="1" ht="13.5" thickBot="1">
      <c r="A629" s="186"/>
      <c r="B629" s="175" t="s">
        <v>879</v>
      </c>
      <c r="C629" s="188">
        <v>0</v>
      </c>
      <c r="D629" s="188">
        <v>0</v>
      </c>
      <c r="E629" s="188">
        <v>0.90702840023175368</v>
      </c>
      <c r="F629" s="188">
        <v>0</v>
      </c>
      <c r="G629" s="188">
        <v>0.31858153662261474</v>
      </c>
      <c r="H629" s="188">
        <v>1.6814836392835739</v>
      </c>
      <c r="I629" s="189">
        <v>0.38005877825917156</v>
      </c>
      <c r="J629" s="188">
        <v>0</v>
      </c>
      <c r="K629" s="188">
        <v>0</v>
      </c>
      <c r="L629" s="188">
        <v>0</v>
      </c>
      <c r="M629" s="188">
        <v>1.5663252381255346</v>
      </c>
      <c r="N629" s="188">
        <v>0</v>
      </c>
      <c r="O629" s="189">
        <v>1.0166783267316675</v>
      </c>
      <c r="P629" s="188">
        <v>0</v>
      </c>
      <c r="Q629" s="188">
        <v>0</v>
      </c>
      <c r="R629" s="188">
        <v>3.6336134856316642</v>
      </c>
      <c r="S629" s="189">
        <v>3.6336134856316642</v>
      </c>
      <c r="T629" s="190">
        <v>2.1431196863294955</v>
      </c>
      <c r="U629" s="189">
        <v>2.1431196863294955</v>
      </c>
      <c r="V629" s="188">
        <v>0</v>
      </c>
      <c r="W629" s="189">
        <v>0</v>
      </c>
      <c r="X629" s="53">
        <v>0.4908073841560322</v>
      </c>
      <c r="Y629" s="151"/>
      <c r="Z629" s="151"/>
      <c r="AA629" s="151"/>
      <c r="AB629" s="151"/>
    </row>
    <row r="630" spans="1:28" ht="13.5" thickTop="1">
      <c r="A630" s="147" t="s">
        <v>880</v>
      </c>
      <c r="B630" s="59"/>
      <c r="C630" s="168">
        <v>7260234405.1800003</v>
      </c>
      <c r="D630" s="168">
        <v>1724782763</v>
      </c>
      <c r="E630" s="168">
        <v>3270741764.5599999</v>
      </c>
      <c r="F630" s="168">
        <v>1020686903</v>
      </c>
      <c r="G630" s="168">
        <v>511319224</v>
      </c>
      <c r="H630" s="168">
        <v>411474175</v>
      </c>
      <c r="I630" s="169">
        <v>14199239234.74</v>
      </c>
      <c r="J630" s="168">
        <v>1260343073</v>
      </c>
      <c r="K630" s="168">
        <v>1930215221</v>
      </c>
      <c r="L630" s="168">
        <v>1232088392</v>
      </c>
      <c r="M630" s="168">
        <v>679878001</v>
      </c>
      <c r="N630" s="168">
        <v>468209625</v>
      </c>
      <c r="O630" s="169">
        <v>5570734312</v>
      </c>
      <c r="P630" s="168">
        <v>370608156</v>
      </c>
      <c r="Q630" s="168">
        <v>191864152</v>
      </c>
      <c r="R630" s="168">
        <v>8781323.6399999987</v>
      </c>
      <c r="S630" s="169">
        <v>571253631.63999999</v>
      </c>
      <c r="T630" s="168">
        <v>5683330.8799999999</v>
      </c>
      <c r="U630" s="169">
        <v>5683330.8799999999</v>
      </c>
      <c r="V630" s="168"/>
      <c r="W630" s="169"/>
      <c r="X630" s="53">
        <v>20346910509.259998</v>
      </c>
      <c r="Y630" s="151"/>
      <c r="Z630" s="151"/>
      <c r="AA630" s="151"/>
      <c r="AB630" s="151"/>
    </row>
    <row r="631" spans="1:28" ht="13">
      <c r="A631" s="170" t="s">
        <v>881</v>
      </c>
      <c r="B631" s="94"/>
      <c r="C631" s="171">
        <v>7442915004</v>
      </c>
      <c r="D631" s="171">
        <v>1699793912</v>
      </c>
      <c r="E631" s="171">
        <v>3212999877</v>
      </c>
      <c r="F631" s="171">
        <v>995013813</v>
      </c>
      <c r="G631" s="171">
        <v>518803591</v>
      </c>
      <c r="H631" s="171">
        <v>392332316</v>
      </c>
      <c r="I631" s="172">
        <v>14261858513</v>
      </c>
      <c r="J631" s="171">
        <v>1278528439</v>
      </c>
      <c r="K631" s="171">
        <v>1946759020</v>
      </c>
      <c r="L631" s="171">
        <v>1240375145</v>
      </c>
      <c r="M631" s="171">
        <v>689196046</v>
      </c>
      <c r="N631" s="171">
        <v>516190862</v>
      </c>
      <c r="O631" s="172">
        <v>5671049512</v>
      </c>
      <c r="P631" s="171">
        <v>342398880.19999999</v>
      </c>
      <c r="Q631" s="171">
        <v>178841176</v>
      </c>
      <c r="R631" s="171">
        <v>9100403</v>
      </c>
      <c r="S631" s="172">
        <v>530340459.19999999</v>
      </c>
      <c r="T631" s="171">
        <v>5139775</v>
      </c>
      <c r="U631" s="172">
        <v>5139775</v>
      </c>
      <c r="V631" s="171"/>
      <c r="W631" s="172"/>
      <c r="X631" s="53">
        <v>20468388259.200001</v>
      </c>
      <c r="Y631" s="151"/>
      <c r="Z631" s="151"/>
      <c r="AA631" s="151"/>
      <c r="AB631" s="151"/>
    </row>
    <row r="632" spans="1:28" ht="13">
      <c r="A632" s="174" t="s">
        <v>882</v>
      </c>
      <c r="B632" s="175"/>
      <c r="C632" s="176">
        <v>2.5161804512766355</v>
      </c>
      <c r="D632" s="176">
        <v>-1.4488114988194603</v>
      </c>
      <c r="E632" s="176">
        <v>-1.765406495421314</v>
      </c>
      <c r="F632" s="176">
        <v>-2.5152757348548049</v>
      </c>
      <c r="G632" s="176">
        <v>1.4637366734327986</v>
      </c>
      <c r="H632" s="176">
        <v>-4.6520195343972688</v>
      </c>
      <c r="I632" s="177">
        <v>0.44100445963890295</v>
      </c>
      <c r="J632" s="176">
        <v>1.4428901455151648</v>
      </c>
      <c r="K632" s="176">
        <v>0.85709608027176565</v>
      </c>
      <c r="L632" s="176">
        <v>0.67257779992135502</v>
      </c>
      <c r="M632" s="176">
        <v>1.3705466254672947</v>
      </c>
      <c r="N632" s="176">
        <v>10.247810903075733</v>
      </c>
      <c r="O632" s="177">
        <v>1.8007536238788047</v>
      </c>
      <c r="P632" s="176">
        <v>-7.6116176461049099</v>
      </c>
      <c r="Q632" s="176">
        <v>-6.7876025115937235</v>
      </c>
      <c r="R632" s="176">
        <v>3.6336134856316642</v>
      </c>
      <c r="S632" s="177">
        <v>-7.1619977841616933</v>
      </c>
      <c r="T632" s="176">
        <v>-9.5640372077017055</v>
      </c>
      <c r="U632" s="177">
        <v>-9.5640372077016913</v>
      </c>
      <c r="V632" s="176">
        <v>0</v>
      </c>
      <c r="W632" s="177">
        <v>0</v>
      </c>
      <c r="X632" s="53">
        <v>0.5970329003251732</v>
      </c>
      <c r="Y632" s="151"/>
      <c r="Z632" s="151"/>
      <c r="AA632" s="151"/>
      <c r="AB632" s="151"/>
    </row>
    <row r="633" spans="1:28" ht="13">
      <c r="A633" s="170" t="s">
        <v>883</v>
      </c>
      <c r="B633" s="59"/>
      <c r="C633" s="179">
        <v>1231806615.23</v>
      </c>
      <c r="D633" s="179">
        <v>58266168.770000003</v>
      </c>
      <c r="E633" s="179">
        <v>45785099</v>
      </c>
      <c r="F633" s="179">
        <v>19207945</v>
      </c>
      <c r="G633" s="179">
        <v>10269190</v>
      </c>
      <c r="H633" s="179">
        <v>1552230</v>
      </c>
      <c r="I633" s="180">
        <v>1366887248</v>
      </c>
      <c r="J633" s="179"/>
      <c r="K633" s="179">
        <v>63150169</v>
      </c>
      <c r="L633" s="179">
        <v>67795682</v>
      </c>
      <c r="M633" s="179">
        <v>43964114</v>
      </c>
      <c r="N633" s="179">
        <v>550000</v>
      </c>
      <c r="O633" s="180">
        <v>175459965</v>
      </c>
      <c r="P633" s="179"/>
      <c r="Q633" s="179"/>
      <c r="R633" s="179"/>
      <c r="S633" s="180"/>
      <c r="T633" s="179"/>
      <c r="U633" s="180"/>
      <c r="V633" s="179">
        <v>0</v>
      </c>
      <c r="W633" s="180">
        <v>0</v>
      </c>
      <c r="X633" s="53">
        <v>1542347213</v>
      </c>
      <c r="Y633" s="151"/>
      <c r="Z633" s="151"/>
      <c r="AA633" s="151"/>
      <c r="AB633" s="151"/>
    </row>
    <row r="634" spans="1:28" ht="13">
      <c r="A634" s="170" t="s">
        <v>884</v>
      </c>
      <c r="B634" s="94"/>
      <c r="C634" s="171">
        <v>1224940797.4400001</v>
      </c>
      <c r="D634" s="171">
        <v>63114437.560000002</v>
      </c>
      <c r="E634" s="171">
        <v>51546351</v>
      </c>
      <c r="F634" s="171">
        <v>20373339</v>
      </c>
      <c r="G634" s="171">
        <v>9630687</v>
      </c>
      <c r="H634" s="171">
        <v>1527230</v>
      </c>
      <c r="I634" s="172">
        <v>1371132842</v>
      </c>
      <c r="J634" s="171"/>
      <c r="K634" s="171">
        <v>63154680</v>
      </c>
      <c r="L634" s="171">
        <v>71931108</v>
      </c>
      <c r="M634" s="171">
        <v>46256964</v>
      </c>
      <c r="N634" s="171"/>
      <c r="O634" s="172">
        <v>181342752</v>
      </c>
      <c r="P634" s="171"/>
      <c r="Q634" s="171"/>
      <c r="R634" s="171"/>
      <c r="S634" s="172"/>
      <c r="T634" s="171"/>
      <c r="U634" s="172"/>
      <c r="V634" s="171">
        <v>250000</v>
      </c>
      <c r="W634" s="172">
        <v>250000</v>
      </c>
      <c r="X634" s="53">
        <v>1552725594</v>
      </c>
      <c r="Y634" s="151"/>
      <c r="Z634" s="151"/>
      <c r="AA634" s="151"/>
      <c r="AB634" s="151"/>
    </row>
    <row r="635" spans="1:28" ht="13">
      <c r="A635" s="170" t="s">
        <v>885</v>
      </c>
      <c r="B635" s="175"/>
      <c r="C635" s="176">
        <v>-0.55737789561375206</v>
      </c>
      <c r="D635" s="176">
        <v>8.3208985460122804</v>
      </c>
      <c r="E635" s="176">
        <v>12.583246789528618</v>
      </c>
      <c r="F635" s="176">
        <v>6.0672497760692261</v>
      </c>
      <c r="G635" s="176">
        <v>-6.2176568940685684</v>
      </c>
      <c r="H635" s="176">
        <v>-1.6105860600555331</v>
      </c>
      <c r="I635" s="177">
        <v>0.31060308787078539</v>
      </c>
      <c r="J635" s="176">
        <v>0</v>
      </c>
      <c r="K635" s="176">
        <v>7.1432904637198993E-3</v>
      </c>
      <c r="L635" s="176">
        <v>6.0998368598165289</v>
      </c>
      <c r="M635" s="176">
        <v>5.2152762591781112</v>
      </c>
      <c r="N635" s="176">
        <v>-100</v>
      </c>
      <c r="O635" s="177">
        <v>3.3527802196928511</v>
      </c>
      <c r="P635" s="176">
        <v>0</v>
      </c>
      <c r="Q635" s="176">
        <v>0</v>
      </c>
      <c r="R635" s="176">
        <v>0</v>
      </c>
      <c r="S635" s="177">
        <v>0</v>
      </c>
      <c r="T635" s="176">
        <v>0</v>
      </c>
      <c r="U635" s="177">
        <v>0</v>
      </c>
      <c r="V635" s="176">
        <v>0</v>
      </c>
      <c r="W635" s="177">
        <v>0</v>
      </c>
      <c r="X635" s="53">
        <v>0.67289524126108691</v>
      </c>
      <c r="Y635" s="151"/>
      <c r="Z635" s="151"/>
      <c r="AA635" s="151"/>
      <c r="AB635" s="151"/>
    </row>
    <row r="636" spans="1:28" ht="13">
      <c r="A636" s="170" t="s">
        <v>886</v>
      </c>
      <c r="B636" s="59"/>
      <c r="C636" s="179">
        <v>27915000</v>
      </c>
      <c r="D636" s="179"/>
      <c r="E636" s="179"/>
      <c r="F636" s="179">
        <v>371557</v>
      </c>
      <c r="G636" s="179"/>
      <c r="H636" s="179">
        <v>6247185</v>
      </c>
      <c r="I636" s="180">
        <v>34533742</v>
      </c>
      <c r="J636" s="179">
        <v>105739924</v>
      </c>
      <c r="K636" s="179">
        <v>1985427543</v>
      </c>
      <c r="L636" s="179">
        <v>392481724</v>
      </c>
      <c r="M636" s="179">
        <v>149678970</v>
      </c>
      <c r="N636" s="179">
        <v>188116193.2857143</v>
      </c>
      <c r="O636" s="180">
        <v>2821444354.2857141</v>
      </c>
      <c r="P636" s="179"/>
      <c r="Q636" s="179"/>
      <c r="R636" s="179"/>
      <c r="S636" s="180"/>
      <c r="T636" s="179"/>
      <c r="U636" s="180"/>
      <c r="V636" s="179"/>
      <c r="W636" s="180"/>
      <c r="X636" s="53">
        <v>2855978096.2857141</v>
      </c>
      <c r="Y636" s="151"/>
      <c r="Z636" s="151"/>
      <c r="AA636" s="151"/>
      <c r="AB636" s="151"/>
    </row>
    <row r="637" spans="1:28" ht="13">
      <c r="A637" s="170" t="s">
        <v>887</v>
      </c>
      <c r="B637" s="94"/>
      <c r="C637" s="171">
        <v>27285000</v>
      </c>
      <c r="D637" s="171"/>
      <c r="E637" s="171"/>
      <c r="F637" s="171">
        <v>1516280</v>
      </c>
      <c r="G637" s="171"/>
      <c r="H637" s="171">
        <v>7246839</v>
      </c>
      <c r="I637" s="172">
        <v>36048119</v>
      </c>
      <c r="J637" s="171">
        <v>111432409</v>
      </c>
      <c r="K637" s="171">
        <v>2101062189</v>
      </c>
      <c r="L637" s="171">
        <v>409170442</v>
      </c>
      <c r="M637" s="171">
        <v>154210835</v>
      </c>
      <c r="N637" s="171">
        <v>196995479</v>
      </c>
      <c r="O637" s="172">
        <v>2972871354</v>
      </c>
      <c r="P637" s="171"/>
      <c r="Q637" s="171"/>
      <c r="R637" s="171"/>
      <c r="S637" s="172"/>
      <c r="T637" s="171"/>
      <c r="U637" s="172"/>
      <c r="V637" s="171"/>
      <c r="W637" s="172"/>
      <c r="X637" s="53">
        <v>3008919473</v>
      </c>
      <c r="Y637" s="151"/>
      <c r="Z637" s="151"/>
      <c r="AA637" s="151"/>
      <c r="AB637" s="151"/>
    </row>
    <row r="638" spans="1:28" ht="13">
      <c r="A638" s="170" t="s">
        <v>888</v>
      </c>
      <c r="B638" s="175"/>
      <c r="C638" s="176">
        <v>-2.2568511552928534</v>
      </c>
      <c r="D638" s="176">
        <v>0</v>
      </c>
      <c r="E638" s="176">
        <v>0</v>
      </c>
      <c r="F638" s="176">
        <v>308.08812645166148</v>
      </c>
      <c r="G638" s="176">
        <v>0</v>
      </c>
      <c r="H638" s="176">
        <v>16.00167115268717</v>
      </c>
      <c r="I638" s="177">
        <v>4.3852096885417167</v>
      </c>
      <c r="J638" s="176">
        <v>5.383477483868818</v>
      </c>
      <c r="K638" s="176">
        <v>5.8241685226787441</v>
      </c>
      <c r="L638" s="176">
        <v>4.2521006659662959</v>
      </c>
      <c r="M638" s="176">
        <v>3.0277232666686573</v>
      </c>
      <c r="N638" s="176">
        <v>4.7201070568123189</v>
      </c>
      <c r="O638" s="177">
        <v>5.3670028786593456</v>
      </c>
      <c r="P638" s="176">
        <v>0</v>
      </c>
      <c r="Q638" s="176">
        <v>0</v>
      </c>
      <c r="R638" s="176">
        <v>0</v>
      </c>
      <c r="S638" s="177">
        <v>0</v>
      </c>
      <c r="T638" s="176">
        <v>0</v>
      </c>
      <c r="U638" s="177">
        <v>0</v>
      </c>
      <c r="V638" s="176">
        <v>0</v>
      </c>
      <c r="W638" s="177">
        <v>0</v>
      </c>
      <c r="X638" s="53">
        <v>5.3551312915596494</v>
      </c>
      <c r="Y638" s="151"/>
      <c r="Z638" s="151"/>
      <c r="AA638" s="151"/>
      <c r="AB638" s="151"/>
    </row>
    <row r="639" spans="1:28" ht="13">
      <c r="A639" s="170" t="s">
        <v>889</v>
      </c>
      <c r="B639" s="59"/>
      <c r="C639" s="179">
        <v>14147981124.170002</v>
      </c>
      <c r="D639" s="179">
        <v>2470047300.6300001</v>
      </c>
      <c r="E639" s="179">
        <v>4832306485.9399996</v>
      </c>
      <c r="F639" s="179">
        <v>1388046007.8700001</v>
      </c>
      <c r="G639" s="179">
        <v>481437849.40999997</v>
      </c>
      <c r="H639" s="179">
        <v>452328836.02999997</v>
      </c>
      <c r="I639" s="180">
        <v>23772147604.049999</v>
      </c>
      <c r="J639" s="179">
        <v>791173989.26999998</v>
      </c>
      <c r="K639" s="179">
        <v>1802663506.71</v>
      </c>
      <c r="L639" s="179">
        <v>1009578759</v>
      </c>
      <c r="M639" s="179">
        <v>450997192.5</v>
      </c>
      <c r="N639" s="179">
        <v>544168752</v>
      </c>
      <c r="O639" s="180">
        <v>4598582199.4799995</v>
      </c>
      <c r="P639" s="179">
        <v>381982829.56999999</v>
      </c>
      <c r="Q639" s="179">
        <v>72555329</v>
      </c>
      <c r="R639" s="179"/>
      <c r="S639" s="180">
        <v>454538158.56999999</v>
      </c>
      <c r="T639" s="179">
        <v>13529672</v>
      </c>
      <c r="U639" s="180">
        <v>13529672</v>
      </c>
      <c r="V639" s="179"/>
      <c r="W639" s="180"/>
      <c r="X639" s="53">
        <v>28838797634.099998</v>
      </c>
      <c r="Y639" s="151"/>
      <c r="Z639" s="151"/>
      <c r="AA639" s="151"/>
      <c r="AB639" s="151"/>
    </row>
    <row r="640" spans="1:28" ht="13">
      <c r="A640" s="170" t="s">
        <v>890</v>
      </c>
      <c r="B640" s="94"/>
      <c r="C640" s="171">
        <v>14489470668.068752</v>
      </c>
      <c r="D640" s="171">
        <v>2478863248.52</v>
      </c>
      <c r="E640" s="171">
        <v>4916016052.1199999</v>
      </c>
      <c r="F640" s="171">
        <v>1382788520.1199999</v>
      </c>
      <c r="G640" s="171">
        <v>468796781.07000005</v>
      </c>
      <c r="H640" s="171">
        <v>452457129.76999998</v>
      </c>
      <c r="I640" s="172">
        <v>24188392399.668755</v>
      </c>
      <c r="J640" s="171">
        <v>734547473.22000003</v>
      </c>
      <c r="K640" s="171">
        <v>1725225826</v>
      </c>
      <c r="L640" s="171">
        <v>961321978.79999995</v>
      </c>
      <c r="M640" s="171">
        <v>440951718</v>
      </c>
      <c r="N640" s="171">
        <v>548838131</v>
      </c>
      <c r="O640" s="172">
        <v>4410885127.0200005</v>
      </c>
      <c r="P640" s="171">
        <v>359481904.15000004</v>
      </c>
      <c r="Q640" s="171">
        <v>71612907</v>
      </c>
      <c r="R640" s="171"/>
      <c r="S640" s="172">
        <v>431094811.15000004</v>
      </c>
      <c r="T640" s="171">
        <v>13967744</v>
      </c>
      <c r="U640" s="172">
        <v>13967744</v>
      </c>
      <c r="V640" s="171"/>
      <c r="W640" s="172"/>
      <c r="X640" s="53">
        <v>29044340081.838753</v>
      </c>
      <c r="Y640" s="151"/>
      <c r="Z640" s="151"/>
      <c r="AA640" s="151"/>
      <c r="AB640" s="151"/>
    </row>
    <row r="641" spans="1:28" ht="13">
      <c r="A641" s="170" t="s">
        <v>891</v>
      </c>
      <c r="B641" s="175"/>
      <c r="C641" s="176">
        <v>2.4136980456905142</v>
      </c>
      <c r="D641" s="176">
        <v>0.35691413228205415</v>
      </c>
      <c r="E641" s="176">
        <v>1.732290085977789</v>
      </c>
      <c r="F641" s="176">
        <v>-0.37876898317426938</v>
      </c>
      <c r="G641" s="176">
        <v>-2.6256905965103385</v>
      </c>
      <c r="H641" s="176">
        <v>2.8362936381862831E-2</v>
      </c>
      <c r="I641" s="177">
        <v>1.7509768261233614</v>
      </c>
      <c r="J641" s="176">
        <v>-7.1572772636583002</v>
      </c>
      <c r="K641" s="176">
        <v>-4.2957368594724468</v>
      </c>
      <c r="L641" s="176">
        <v>-4.7798925809214703</v>
      </c>
      <c r="M641" s="176">
        <v>-2.2273918035531892</v>
      </c>
      <c r="N641" s="176">
        <v>0.85807554785872742</v>
      </c>
      <c r="O641" s="177">
        <v>-4.0816291699912108</v>
      </c>
      <c r="P641" s="176">
        <v>-5.8905593859622876</v>
      </c>
      <c r="Q641" s="176">
        <v>-1.2989011461859679</v>
      </c>
      <c r="R641" s="176">
        <v>0</v>
      </c>
      <c r="S641" s="177">
        <v>-5.1576192180990725</v>
      </c>
      <c r="T641" s="176">
        <v>3.2378611987045955</v>
      </c>
      <c r="U641" s="177">
        <v>3.2378611987045955</v>
      </c>
      <c r="V641" s="176">
        <v>0</v>
      </c>
      <c r="W641" s="177">
        <v>0</v>
      </c>
      <c r="X641" s="53">
        <v>0.71272890897404717</v>
      </c>
      <c r="Y641" s="151"/>
      <c r="Z641" s="151"/>
      <c r="AA641" s="151"/>
      <c r="AB641" s="151"/>
    </row>
    <row r="642" spans="1:28" ht="13">
      <c r="A642" s="170" t="s">
        <v>892</v>
      </c>
      <c r="B642" s="59"/>
      <c r="C642" s="179">
        <v>174515392</v>
      </c>
      <c r="D642" s="179">
        <v>38450176</v>
      </c>
      <c r="E642" s="179">
        <v>85315144</v>
      </c>
      <c r="F642" s="179">
        <v>23258180</v>
      </c>
      <c r="G642" s="179">
        <v>5746927</v>
      </c>
      <c r="H642" s="179">
        <v>6106620</v>
      </c>
      <c r="I642" s="180">
        <v>333392439</v>
      </c>
      <c r="J642" s="179"/>
      <c r="K642" s="179">
        <v>13210229</v>
      </c>
      <c r="L642" s="179">
        <v>13005946</v>
      </c>
      <c r="M642" s="179">
        <v>5455454</v>
      </c>
      <c r="N642" s="179">
        <v>3301665</v>
      </c>
      <c r="O642" s="180">
        <v>34973294</v>
      </c>
      <c r="P642" s="179">
        <v>1392500</v>
      </c>
      <c r="Q642" s="179">
        <v>441000</v>
      </c>
      <c r="R642" s="179"/>
      <c r="S642" s="180">
        <v>1833500</v>
      </c>
      <c r="T642" s="179">
        <v>0</v>
      </c>
      <c r="U642" s="180">
        <v>0</v>
      </c>
      <c r="V642" s="179"/>
      <c r="W642" s="180"/>
      <c r="X642" s="53">
        <v>370199233</v>
      </c>
      <c r="Y642" s="151"/>
      <c r="Z642" s="151"/>
      <c r="AA642" s="151"/>
      <c r="AB642" s="151"/>
    </row>
    <row r="643" spans="1:28" ht="13">
      <c r="A643" s="170" t="s">
        <v>893</v>
      </c>
      <c r="B643" s="94"/>
      <c r="C643" s="171">
        <v>182406277.19</v>
      </c>
      <c r="D643" s="171">
        <v>38469262</v>
      </c>
      <c r="E643" s="171">
        <v>88363486</v>
      </c>
      <c r="F643" s="171">
        <v>25753199</v>
      </c>
      <c r="G643" s="171">
        <v>4604271</v>
      </c>
      <c r="H643" s="171">
        <v>5984795</v>
      </c>
      <c r="I643" s="172">
        <v>345581290.19</v>
      </c>
      <c r="J643" s="171"/>
      <c r="K643" s="171">
        <v>16044403</v>
      </c>
      <c r="L643" s="171">
        <v>18375254</v>
      </c>
      <c r="M643" s="171">
        <v>5898378</v>
      </c>
      <c r="N643" s="171">
        <v>3301665</v>
      </c>
      <c r="O643" s="172">
        <v>43619700</v>
      </c>
      <c r="P643" s="171">
        <v>1689718</v>
      </c>
      <c r="Q643" s="171">
        <v>475846</v>
      </c>
      <c r="R643" s="171"/>
      <c r="S643" s="172">
        <v>2165564</v>
      </c>
      <c r="T643" s="171"/>
      <c r="U643" s="172"/>
      <c r="V643" s="171"/>
      <c r="W643" s="172"/>
      <c r="X643" s="53">
        <v>391366554.19</v>
      </c>
      <c r="Y643" s="151"/>
      <c r="Z643" s="151"/>
      <c r="AA643" s="151"/>
      <c r="AB643" s="151"/>
    </row>
    <row r="644" spans="1:28" ht="13">
      <c r="A644" s="170" t="s">
        <v>894</v>
      </c>
      <c r="B644" s="175"/>
      <c r="C644" s="176">
        <v>4.521598410070327</v>
      </c>
      <c r="D644" s="176">
        <v>4.9638264334602791E-2</v>
      </c>
      <c r="E644" s="176">
        <v>3.5730373965025484</v>
      </c>
      <c r="F644" s="176">
        <v>10.727490285138391</v>
      </c>
      <c r="G644" s="176">
        <v>-19.882904376547675</v>
      </c>
      <c r="H644" s="176">
        <v>-1.9949661187367154</v>
      </c>
      <c r="I644" s="177">
        <v>3.656007084791745</v>
      </c>
      <c r="J644" s="176">
        <v>0</v>
      </c>
      <c r="K644" s="176">
        <v>21.45438962488841</v>
      </c>
      <c r="L644" s="176">
        <v>41.283486799037917</v>
      </c>
      <c r="M644" s="176">
        <v>8.1189209917268101</v>
      </c>
      <c r="N644" s="176">
        <v>0</v>
      </c>
      <c r="O644" s="177">
        <v>24.72288140773929</v>
      </c>
      <c r="P644" s="176">
        <v>21.344201077199283</v>
      </c>
      <c r="Q644" s="176">
        <v>7.901587301587301</v>
      </c>
      <c r="R644" s="176">
        <v>0</v>
      </c>
      <c r="S644" s="177">
        <v>18.110935369511864</v>
      </c>
      <c r="T644" s="176">
        <v>0</v>
      </c>
      <c r="U644" s="177">
        <v>0</v>
      </c>
      <c r="V644" s="176">
        <v>0</v>
      </c>
      <c r="W644" s="177">
        <v>0</v>
      </c>
      <c r="X644" s="53">
        <v>5.7178187589599885</v>
      </c>
      <c r="Y644" s="151"/>
      <c r="Z644" s="151"/>
      <c r="AA644" s="151"/>
      <c r="AB644" s="151"/>
    </row>
    <row r="645" spans="1:28" ht="13">
      <c r="A645" s="170" t="s">
        <v>895</v>
      </c>
      <c r="B645" s="59"/>
      <c r="C645" s="180">
        <v>14322496516.170002</v>
      </c>
      <c r="D645" s="180">
        <v>2508497476.6300001</v>
      </c>
      <c r="E645" s="180">
        <v>4917621629.9399996</v>
      </c>
      <c r="F645" s="180">
        <v>1411304187.8700001</v>
      </c>
      <c r="G645" s="180">
        <v>487184776.40999997</v>
      </c>
      <c r="H645" s="180">
        <v>458435456.02999997</v>
      </c>
      <c r="I645" s="180">
        <v>24105540043.049999</v>
      </c>
      <c r="J645" s="180">
        <v>791173989.26999998</v>
      </c>
      <c r="K645" s="180">
        <v>1815873735.71</v>
      </c>
      <c r="L645" s="180">
        <v>1022584705</v>
      </c>
      <c r="M645" s="180">
        <v>456452646.5</v>
      </c>
      <c r="N645" s="180">
        <v>547470417</v>
      </c>
      <c r="O645" s="180">
        <v>4633555493.4799995</v>
      </c>
      <c r="P645" s="180">
        <v>383375329.56999999</v>
      </c>
      <c r="Q645" s="180">
        <v>72996329</v>
      </c>
      <c r="R645" s="180">
        <v>0</v>
      </c>
      <c r="S645" s="180">
        <v>456371658.56999999</v>
      </c>
      <c r="T645" s="180">
        <v>13529672</v>
      </c>
      <c r="U645" s="180">
        <v>13529672</v>
      </c>
      <c r="V645" s="180">
        <v>0</v>
      </c>
      <c r="W645" s="180">
        <v>0</v>
      </c>
      <c r="X645" s="53">
        <v>29208996867.099998</v>
      </c>
      <c r="Y645" s="151"/>
      <c r="Z645" s="151"/>
      <c r="AA645" s="151"/>
      <c r="AB645" s="151"/>
    </row>
    <row r="646" spans="1:28" ht="13">
      <c r="A646" s="170" t="s">
        <v>896</v>
      </c>
      <c r="B646" s="94"/>
      <c r="C646" s="172">
        <v>14671876945.258755</v>
      </c>
      <c r="D646" s="172">
        <v>2517332510.52</v>
      </c>
      <c r="E646" s="172">
        <v>5004379538.1199999</v>
      </c>
      <c r="F646" s="172">
        <v>1408541719.1199999</v>
      </c>
      <c r="G646" s="172">
        <v>473401052.07000005</v>
      </c>
      <c r="H646" s="172">
        <v>458441924.76999998</v>
      </c>
      <c r="I646" s="172">
        <v>24533973689.858753</v>
      </c>
      <c r="J646" s="172">
        <v>734547473.22000003</v>
      </c>
      <c r="K646" s="172">
        <v>1741270229</v>
      </c>
      <c r="L646" s="172">
        <v>979697232.79999995</v>
      </c>
      <c r="M646" s="172">
        <v>446850096</v>
      </c>
      <c r="N646" s="172">
        <v>552139796</v>
      </c>
      <c r="O646" s="172">
        <v>4454504827.0200005</v>
      </c>
      <c r="P646" s="172">
        <v>361171622.15000004</v>
      </c>
      <c r="Q646" s="172">
        <v>72088753</v>
      </c>
      <c r="R646" s="172">
        <v>0</v>
      </c>
      <c r="S646" s="172">
        <v>433260375.15000004</v>
      </c>
      <c r="T646" s="172">
        <v>13967744</v>
      </c>
      <c r="U646" s="172">
        <v>13967744</v>
      </c>
      <c r="V646" s="172">
        <v>0</v>
      </c>
      <c r="W646" s="172">
        <v>0</v>
      </c>
      <c r="X646" s="53">
        <v>29435706636.028751</v>
      </c>
      <c r="Y646" s="151"/>
      <c r="Z646" s="151"/>
      <c r="AA646" s="151"/>
      <c r="AB646" s="151"/>
    </row>
    <row r="647" spans="1:28" ht="13">
      <c r="A647" s="170" t="s">
        <v>897</v>
      </c>
      <c r="B647" s="175"/>
      <c r="C647" s="177">
        <v>2.4393821893711514</v>
      </c>
      <c r="D647" s="177">
        <v>0.35220421675963365</v>
      </c>
      <c r="E647" s="177">
        <v>1.7642249589067884</v>
      </c>
      <c r="F647" s="177">
        <v>-0.19573871981273383</v>
      </c>
      <c r="G647" s="177">
        <v>-2.8292600687505902</v>
      </c>
      <c r="H647" s="177">
        <v>1.4110470546995E-3</v>
      </c>
      <c r="I647" s="177">
        <v>1.7773244077652517</v>
      </c>
      <c r="J647" s="177">
        <v>-7.1572772636583002</v>
      </c>
      <c r="K647" s="177">
        <v>-4.1084082688618402</v>
      </c>
      <c r="L647" s="177">
        <v>-4.194026371634421</v>
      </c>
      <c r="M647" s="177">
        <v>-2.1037342150671483</v>
      </c>
      <c r="N647" s="177">
        <v>0.85290069655033063</v>
      </c>
      <c r="O647" s="177">
        <v>-3.8642175908316214</v>
      </c>
      <c r="P647" s="177">
        <v>-5.791636995761829</v>
      </c>
      <c r="Q647" s="177">
        <v>-1.2433173180530763</v>
      </c>
      <c r="R647" s="177">
        <v>0</v>
      </c>
      <c r="S647" s="177">
        <v>-5.0641364304735985</v>
      </c>
      <c r="T647" s="177">
        <v>3.2378611987045955</v>
      </c>
      <c r="U647" s="177">
        <v>3.2378611987045955</v>
      </c>
      <c r="V647" s="177">
        <v>0</v>
      </c>
      <c r="W647" s="177">
        <v>0</v>
      </c>
      <c r="X647" s="53">
        <v>0.7761641728412485</v>
      </c>
      <c r="Y647" s="151"/>
      <c r="Z647" s="151"/>
      <c r="AA647" s="151"/>
      <c r="AB647" s="151"/>
    </row>
    <row r="648" spans="1:28" ht="13">
      <c r="A648" s="170" t="s">
        <v>898</v>
      </c>
      <c r="B648" s="59"/>
      <c r="C648" s="179"/>
      <c r="D648" s="179"/>
      <c r="E648" s="179"/>
      <c r="F648" s="179"/>
      <c r="G648" s="179"/>
      <c r="H648" s="179"/>
      <c r="I648" s="180"/>
      <c r="J648" s="179"/>
      <c r="K648" s="179"/>
      <c r="L648" s="179"/>
      <c r="M648" s="179"/>
      <c r="N648" s="179"/>
      <c r="O648" s="180"/>
      <c r="P648" s="179"/>
      <c r="Q648" s="179"/>
      <c r="R648" s="179"/>
      <c r="S648" s="180"/>
      <c r="T648" s="179">
        <v>115283225</v>
      </c>
      <c r="U648" s="180">
        <v>115283225</v>
      </c>
      <c r="V648" s="179"/>
      <c r="W648" s="180"/>
      <c r="X648" s="53">
        <v>115283225</v>
      </c>
      <c r="Y648" s="151"/>
      <c r="Z648" s="151"/>
      <c r="AA648" s="151"/>
      <c r="AB648" s="151"/>
    </row>
    <row r="649" spans="1:28" ht="13">
      <c r="A649" s="170" t="s">
        <v>899</v>
      </c>
      <c r="B649" s="94"/>
      <c r="C649" s="171"/>
      <c r="D649" s="171"/>
      <c r="E649" s="171"/>
      <c r="F649" s="171"/>
      <c r="G649" s="171"/>
      <c r="H649" s="171"/>
      <c r="I649" s="172"/>
      <c r="J649" s="171"/>
      <c r="K649" s="171"/>
      <c r="L649" s="171"/>
      <c r="M649" s="171"/>
      <c r="N649" s="171"/>
      <c r="O649" s="172"/>
      <c r="P649" s="171"/>
      <c r="Q649" s="171"/>
      <c r="R649" s="171"/>
      <c r="S649" s="172"/>
      <c r="T649" s="171">
        <v>117262465</v>
      </c>
      <c r="U649" s="172">
        <v>117262465</v>
      </c>
      <c r="V649" s="171">
        <v>12598916</v>
      </c>
      <c r="W649" s="172">
        <v>12598916</v>
      </c>
      <c r="X649" s="53">
        <v>129861381</v>
      </c>
      <c r="Y649" s="151"/>
      <c r="Z649" s="151"/>
      <c r="AA649" s="151"/>
      <c r="AB649" s="151"/>
    </row>
    <row r="650" spans="1:28" ht="13">
      <c r="A650" s="170" t="s">
        <v>900</v>
      </c>
      <c r="B650" s="175"/>
      <c r="C650" s="176">
        <v>0</v>
      </c>
      <c r="D650" s="176">
        <v>0</v>
      </c>
      <c r="E650" s="176">
        <v>0</v>
      </c>
      <c r="F650" s="176">
        <v>0</v>
      </c>
      <c r="G650" s="176">
        <v>0</v>
      </c>
      <c r="H650" s="176">
        <v>0</v>
      </c>
      <c r="I650" s="177">
        <v>0</v>
      </c>
      <c r="J650" s="176">
        <v>0</v>
      </c>
      <c r="K650" s="176">
        <v>0</v>
      </c>
      <c r="L650" s="176">
        <v>0</v>
      </c>
      <c r="M650" s="176">
        <v>0</v>
      </c>
      <c r="N650" s="176">
        <v>0</v>
      </c>
      <c r="O650" s="177">
        <v>0</v>
      </c>
      <c r="P650" s="176">
        <v>0</v>
      </c>
      <c r="Q650" s="176">
        <v>0</v>
      </c>
      <c r="R650" s="176">
        <v>0</v>
      </c>
      <c r="S650" s="177">
        <v>0</v>
      </c>
      <c r="T650" s="176">
        <v>1.7168499580055989</v>
      </c>
      <c r="U650" s="177">
        <v>1.7168499580055989</v>
      </c>
      <c r="V650" s="176">
        <v>0</v>
      </c>
      <c r="W650" s="177">
        <v>0</v>
      </c>
      <c r="X650" s="53">
        <v>12.645513690304899</v>
      </c>
      <c r="Y650" s="151"/>
      <c r="Z650" s="151"/>
      <c r="AA650" s="151"/>
      <c r="AB650" s="151"/>
    </row>
    <row r="651" spans="1:28" ht="13">
      <c r="A651" s="170" t="s">
        <v>901</v>
      </c>
      <c r="B651" s="59"/>
      <c r="C651" s="179"/>
      <c r="D651" s="179"/>
      <c r="E651" s="179"/>
      <c r="F651" s="179"/>
      <c r="G651" s="179"/>
      <c r="H651" s="179"/>
      <c r="I651" s="180"/>
      <c r="J651" s="179"/>
      <c r="K651" s="179"/>
      <c r="L651" s="179"/>
      <c r="M651" s="179"/>
      <c r="N651" s="179"/>
      <c r="O651" s="180"/>
      <c r="P651" s="179"/>
      <c r="Q651" s="179"/>
      <c r="R651" s="179"/>
      <c r="S651" s="180"/>
      <c r="T651" s="179">
        <v>409598398</v>
      </c>
      <c r="U651" s="180">
        <v>409598398</v>
      </c>
      <c r="V651" s="179"/>
      <c r="W651" s="180"/>
      <c r="X651" s="53">
        <v>409598398</v>
      </c>
      <c r="Y651" s="151"/>
      <c r="Z651" s="151"/>
      <c r="AA651" s="151"/>
      <c r="AB651" s="151"/>
    </row>
    <row r="652" spans="1:28" ht="13">
      <c r="A652" s="170" t="s">
        <v>902</v>
      </c>
      <c r="B652" s="94"/>
      <c r="C652" s="171"/>
      <c r="D652" s="171"/>
      <c r="E652" s="171"/>
      <c r="F652" s="171"/>
      <c r="G652" s="171"/>
      <c r="H652" s="171"/>
      <c r="I652" s="172"/>
      <c r="J652" s="171"/>
      <c r="K652" s="171"/>
      <c r="L652" s="171"/>
      <c r="M652" s="171"/>
      <c r="N652" s="171"/>
      <c r="O652" s="172"/>
      <c r="P652" s="171"/>
      <c r="Q652" s="171"/>
      <c r="R652" s="171"/>
      <c r="S652" s="172"/>
      <c r="T652" s="171">
        <v>424046827</v>
      </c>
      <c r="U652" s="172">
        <v>424046827</v>
      </c>
      <c r="V652" s="171"/>
      <c r="W652" s="172"/>
      <c r="X652" s="53">
        <v>424046827</v>
      </c>
      <c r="Y652" s="151"/>
      <c r="Z652" s="151"/>
      <c r="AA652" s="151"/>
      <c r="AB652" s="151"/>
    </row>
    <row r="653" spans="1:28" ht="13">
      <c r="A653" s="170" t="s">
        <v>903</v>
      </c>
      <c r="B653" s="175"/>
      <c r="C653" s="176">
        <v>0</v>
      </c>
      <c r="D653" s="176">
        <v>0</v>
      </c>
      <c r="E653" s="176">
        <v>0</v>
      </c>
      <c r="F653" s="176">
        <v>0</v>
      </c>
      <c r="G653" s="176">
        <v>0</v>
      </c>
      <c r="H653" s="176">
        <v>0</v>
      </c>
      <c r="I653" s="177">
        <v>0</v>
      </c>
      <c r="J653" s="176">
        <v>0</v>
      </c>
      <c r="K653" s="176">
        <v>0</v>
      </c>
      <c r="L653" s="176">
        <v>0</v>
      </c>
      <c r="M653" s="176">
        <v>0</v>
      </c>
      <c r="N653" s="176">
        <v>0</v>
      </c>
      <c r="O653" s="177">
        <v>0</v>
      </c>
      <c r="P653" s="176">
        <v>0</v>
      </c>
      <c r="Q653" s="176">
        <v>0</v>
      </c>
      <c r="R653" s="176">
        <v>0</v>
      </c>
      <c r="S653" s="177">
        <v>0</v>
      </c>
      <c r="T653" s="176">
        <v>3.5274622827016038</v>
      </c>
      <c r="U653" s="177">
        <v>3.5274622827016038</v>
      </c>
      <c r="V653" s="176">
        <v>0</v>
      </c>
      <c r="W653" s="177">
        <v>0</v>
      </c>
      <c r="X653" s="53">
        <v>3.5274622827016038</v>
      </c>
      <c r="Y653" s="151"/>
      <c r="Z653" s="151"/>
      <c r="AA653" s="151"/>
      <c r="AB653" s="151"/>
    </row>
    <row r="654" spans="1:28" ht="13">
      <c r="A654" s="170" t="s">
        <v>904</v>
      </c>
      <c r="B654" s="59"/>
      <c r="C654" s="179"/>
      <c r="D654" s="179"/>
      <c r="E654" s="179"/>
      <c r="F654" s="179"/>
      <c r="G654" s="179"/>
      <c r="H654" s="179"/>
      <c r="I654" s="180"/>
      <c r="J654" s="179"/>
      <c r="K654" s="179"/>
      <c r="L654" s="179"/>
      <c r="M654" s="179"/>
      <c r="N654" s="179"/>
      <c r="O654" s="180"/>
      <c r="P654" s="179"/>
      <c r="Q654" s="179"/>
      <c r="R654" s="179"/>
      <c r="S654" s="180"/>
      <c r="T654" s="179">
        <v>521013</v>
      </c>
      <c r="U654" s="180">
        <v>521013</v>
      </c>
      <c r="V654" s="179"/>
      <c r="W654" s="180"/>
      <c r="X654" s="53">
        <v>521013</v>
      </c>
      <c r="Y654" s="151"/>
      <c r="Z654" s="151"/>
      <c r="AA654" s="151"/>
      <c r="AB654" s="151"/>
    </row>
    <row r="655" spans="1:28" ht="13">
      <c r="A655" s="170" t="s">
        <v>905</v>
      </c>
      <c r="B655" s="94"/>
      <c r="C655" s="171"/>
      <c r="D655" s="171"/>
      <c r="E655" s="171"/>
      <c r="F655" s="171"/>
      <c r="G655" s="171"/>
      <c r="H655" s="171"/>
      <c r="I655" s="172"/>
      <c r="J655" s="171"/>
      <c r="K655" s="171"/>
      <c r="L655" s="171"/>
      <c r="M655" s="171"/>
      <c r="N655" s="171"/>
      <c r="O655" s="172"/>
      <c r="P655" s="171"/>
      <c r="Q655" s="171"/>
      <c r="R655" s="171"/>
      <c r="S655" s="172"/>
      <c r="T655" s="171">
        <v>33838032</v>
      </c>
      <c r="U655" s="172">
        <v>33838032</v>
      </c>
      <c r="V655" s="171"/>
      <c r="W655" s="172"/>
      <c r="X655" s="53">
        <v>33838032</v>
      </c>
      <c r="Y655" s="151"/>
      <c r="Z655" s="151"/>
      <c r="AA655" s="151"/>
      <c r="AB655" s="151"/>
    </row>
    <row r="656" spans="1:28" ht="13">
      <c r="A656" s="170" t="s">
        <v>906</v>
      </c>
      <c r="B656" s="175"/>
      <c r="C656" s="176">
        <v>0</v>
      </c>
      <c r="D656" s="176">
        <v>0</v>
      </c>
      <c r="E656" s="176">
        <v>0</v>
      </c>
      <c r="F656" s="176">
        <v>0</v>
      </c>
      <c r="G656" s="176">
        <v>0</v>
      </c>
      <c r="H656" s="176">
        <v>0</v>
      </c>
      <c r="I656" s="177">
        <v>0</v>
      </c>
      <c r="J656" s="176">
        <v>0</v>
      </c>
      <c r="K656" s="176">
        <v>0</v>
      </c>
      <c r="L656" s="176">
        <v>0</v>
      </c>
      <c r="M656" s="176">
        <v>0</v>
      </c>
      <c r="N656" s="176">
        <v>0</v>
      </c>
      <c r="O656" s="177">
        <v>0</v>
      </c>
      <c r="P656" s="176">
        <v>0</v>
      </c>
      <c r="Q656" s="176">
        <v>0</v>
      </c>
      <c r="R656" s="176">
        <v>0</v>
      </c>
      <c r="S656" s="177">
        <v>0</v>
      </c>
      <c r="T656" s="176">
        <v>6394.6617454842781</v>
      </c>
      <c r="U656" s="177">
        <v>6394.6617454842781</v>
      </c>
      <c r="V656" s="176">
        <v>0</v>
      </c>
      <c r="W656" s="177">
        <v>0</v>
      </c>
      <c r="X656" s="53">
        <v>6394.6617454842781</v>
      </c>
      <c r="Y656" s="151"/>
      <c r="Z656" s="151"/>
      <c r="AA656" s="151"/>
      <c r="AB656" s="151"/>
    </row>
    <row r="657" spans="1:28" ht="13">
      <c r="A657" s="170" t="s">
        <v>907</v>
      </c>
      <c r="B657" s="59"/>
      <c r="C657" s="179">
        <v>0</v>
      </c>
      <c r="D657" s="179">
        <v>0</v>
      </c>
      <c r="E657" s="179">
        <v>0</v>
      </c>
      <c r="F657" s="179">
        <v>0</v>
      </c>
      <c r="G657" s="179">
        <v>0</v>
      </c>
      <c r="H657" s="179">
        <v>0</v>
      </c>
      <c r="I657" s="180">
        <v>0</v>
      </c>
      <c r="J657" s="179">
        <v>0</v>
      </c>
      <c r="K657" s="179">
        <v>0</v>
      </c>
      <c r="L657" s="179">
        <v>0</v>
      </c>
      <c r="M657" s="179">
        <v>0</v>
      </c>
      <c r="N657" s="179">
        <v>0</v>
      </c>
      <c r="O657" s="180">
        <v>0</v>
      </c>
      <c r="P657" s="179">
        <v>0</v>
      </c>
      <c r="Q657" s="179">
        <v>0</v>
      </c>
      <c r="R657" s="179">
        <v>0</v>
      </c>
      <c r="S657" s="180">
        <v>0</v>
      </c>
      <c r="T657" s="179">
        <v>410119411</v>
      </c>
      <c r="U657" s="180">
        <v>410119411</v>
      </c>
      <c r="V657" s="179">
        <v>0</v>
      </c>
      <c r="W657" s="180">
        <v>0</v>
      </c>
      <c r="X657" s="53">
        <v>410119411</v>
      </c>
      <c r="Y657" s="151"/>
      <c r="Z657" s="151"/>
      <c r="AA657" s="151"/>
      <c r="AB657" s="151"/>
    </row>
    <row r="658" spans="1:28" ht="13">
      <c r="A658" s="170" t="s">
        <v>908</v>
      </c>
      <c r="B658" s="94"/>
      <c r="C658" s="171">
        <v>0</v>
      </c>
      <c r="D658" s="171">
        <v>0</v>
      </c>
      <c r="E658" s="171">
        <v>0</v>
      </c>
      <c r="F658" s="171">
        <v>0</v>
      </c>
      <c r="G658" s="171">
        <v>0</v>
      </c>
      <c r="H658" s="171">
        <v>0</v>
      </c>
      <c r="I658" s="172">
        <v>0</v>
      </c>
      <c r="J658" s="171">
        <v>0</v>
      </c>
      <c r="K658" s="171">
        <v>0</v>
      </c>
      <c r="L658" s="171">
        <v>0</v>
      </c>
      <c r="M658" s="171">
        <v>0</v>
      </c>
      <c r="N658" s="171">
        <v>0</v>
      </c>
      <c r="O658" s="172">
        <v>0</v>
      </c>
      <c r="P658" s="171">
        <v>0</v>
      </c>
      <c r="Q658" s="171">
        <v>0</v>
      </c>
      <c r="R658" s="171">
        <v>0</v>
      </c>
      <c r="S658" s="172">
        <v>0</v>
      </c>
      <c r="T658" s="171">
        <v>457884859</v>
      </c>
      <c r="U658" s="172">
        <v>457884859</v>
      </c>
      <c r="V658" s="171">
        <v>0</v>
      </c>
      <c r="W658" s="172">
        <v>0</v>
      </c>
      <c r="X658" s="53">
        <v>457884859</v>
      </c>
      <c r="Y658" s="151"/>
      <c r="Z658" s="151"/>
      <c r="AA658" s="151"/>
      <c r="AB658" s="151"/>
    </row>
    <row r="659" spans="1:28" ht="13">
      <c r="A659" s="170" t="s">
        <v>909</v>
      </c>
      <c r="B659" s="175"/>
      <c r="C659" s="176">
        <v>0</v>
      </c>
      <c r="D659" s="176">
        <v>0</v>
      </c>
      <c r="E659" s="176">
        <v>0</v>
      </c>
      <c r="F659" s="176">
        <v>0</v>
      </c>
      <c r="G659" s="176">
        <v>0</v>
      </c>
      <c r="H659" s="176">
        <v>0</v>
      </c>
      <c r="I659" s="177">
        <v>0</v>
      </c>
      <c r="J659" s="176">
        <v>0</v>
      </c>
      <c r="K659" s="176">
        <v>0</v>
      </c>
      <c r="L659" s="176">
        <v>0</v>
      </c>
      <c r="M659" s="176">
        <v>0</v>
      </c>
      <c r="N659" s="176">
        <v>0</v>
      </c>
      <c r="O659" s="177">
        <v>0</v>
      </c>
      <c r="P659" s="176">
        <v>0</v>
      </c>
      <c r="Q659" s="176">
        <v>0</v>
      </c>
      <c r="R659" s="176">
        <v>0</v>
      </c>
      <c r="S659" s="177">
        <v>0</v>
      </c>
      <c r="T659" s="176">
        <v>11.646717204516808</v>
      </c>
      <c r="U659" s="177">
        <v>11.646717204516808</v>
      </c>
      <c r="V659" s="176">
        <v>0</v>
      </c>
      <c r="W659" s="177">
        <v>0</v>
      </c>
      <c r="X659" s="53">
        <v>11.646717204516808</v>
      </c>
      <c r="Y659" s="151"/>
      <c r="Z659" s="151"/>
      <c r="AA659" s="151"/>
      <c r="AB659" s="151"/>
    </row>
    <row r="660" spans="1:28" ht="13">
      <c r="A660" s="170" t="s">
        <v>910</v>
      </c>
      <c r="B660" s="59"/>
      <c r="C660" s="179">
        <v>1010469565.0874649</v>
      </c>
      <c r="D660" s="179">
        <v>176614582</v>
      </c>
      <c r="E660" s="179">
        <v>19098685</v>
      </c>
      <c r="F660" s="179">
        <v>224890259</v>
      </c>
      <c r="G660" s="179"/>
      <c r="H660" s="179"/>
      <c r="I660" s="180">
        <v>1431073091.0874648</v>
      </c>
      <c r="J660" s="179"/>
      <c r="K660" s="179"/>
      <c r="L660" s="179"/>
      <c r="M660" s="179"/>
      <c r="N660" s="179"/>
      <c r="O660" s="180"/>
      <c r="P660" s="179"/>
      <c r="Q660" s="179"/>
      <c r="R660" s="179"/>
      <c r="S660" s="180"/>
      <c r="T660" s="179">
        <v>2500216362</v>
      </c>
      <c r="U660" s="180">
        <v>2500216362</v>
      </c>
      <c r="V660" s="179"/>
      <c r="W660" s="180"/>
      <c r="X660" s="53">
        <v>3931289453.0874648</v>
      </c>
      <c r="Y660" s="151"/>
      <c r="Z660" s="151"/>
      <c r="AA660" s="151"/>
      <c r="AB660" s="151"/>
    </row>
    <row r="661" spans="1:28" ht="13">
      <c r="A661" s="170" t="s">
        <v>911</v>
      </c>
      <c r="B661" s="94"/>
      <c r="C661" s="171">
        <v>1008803643</v>
      </c>
      <c r="D661" s="171">
        <v>180163205</v>
      </c>
      <c r="E661" s="171">
        <v>19174298</v>
      </c>
      <c r="F661" s="171">
        <v>214532525</v>
      </c>
      <c r="G661" s="171"/>
      <c r="H661" s="171"/>
      <c r="I661" s="172">
        <v>1422673671</v>
      </c>
      <c r="J661" s="171"/>
      <c r="K661" s="171"/>
      <c r="L661" s="171"/>
      <c r="M661" s="171"/>
      <c r="N661" s="171"/>
      <c r="O661" s="172"/>
      <c r="P661" s="171"/>
      <c r="Q661" s="171"/>
      <c r="R661" s="171"/>
      <c r="S661" s="172"/>
      <c r="T661" s="171">
        <v>2483054649</v>
      </c>
      <c r="U661" s="172">
        <v>2483054649</v>
      </c>
      <c r="V661" s="171"/>
      <c r="W661" s="172"/>
      <c r="X661" s="53">
        <v>3905728320</v>
      </c>
      <c r="Y661" s="151"/>
      <c r="Z661" s="151"/>
      <c r="AA661" s="151"/>
      <c r="AB661" s="151"/>
    </row>
    <row r="662" spans="1:28" ht="13">
      <c r="A662" s="170" t="s">
        <v>912</v>
      </c>
      <c r="B662" s="175"/>
      <c r="C662" s="176">
        <v>-0.16486613204632716</v>
      </c>
      <c r="D662" s="176">
        <v>2.0092468921960251</v>
      </c>
      <c r="E662" s="176">
        <v>0.39590683861218717</v>
      </c>
      <c r="F662" s="176">
        <v>-4.6056836992659607</v>
      </c>
      <c r="G662" s="176">
        <v>0</v>
      </c>
      <c r="H662" s="176">
        <v>0</v>
      </c>
      <c r="I662" s="177">
        <v>-0.58693159278692986</v>
      </c>
      <c r="J662" s="176">
        <v>0</v>
      </c>
      <c r="K662" s="176">
        <v>0</v>
      </c>
      <c r="L662" s="176">
        <v>0</v>
      </c>
      <c r="M662" s="176">
        <v>0</v>
      </c>
      <c r="N662" s="176">
        <v>0</v>
      </c>
      <c r="O662" s="177">
        <v>0</v>
      </c>
      <c r="P662" s="176">
        <v>0</v>
      </c>
      <c r="Q662" s="176">
        <v>0</v>
      </c>
      <c r="R662" s="176">
        <v>0</v>
      </c>
      <c r="S662" s="177">
        <v>0</v>
      </c>
      <c r="T662" s="176">
        <v>-0.68640911486043621</v>
      </c>
      <c r="U662" s="177">
        <v>-0.68640911486043621</v>
      </c>
      <c r="V662" s="176">
        <v>0</v>
      </c>
      <c r="W662" s="177">
        <v>0</v>
      </c>
      <c r="X662" s="53">
        <v>-0.65019717811391886</v>
      </c>
      <c r="Y662" s="151"/>
      <c r="Z662" s="151"/>
      <c r="AA662" s="151"/>
      <c r="AB662" s="151"/>
    </row>
    <row r="663" spans="1:28" ht="13">
      <c r="A663" s="170" t="s">
        <v>913</v>
      </c>
      <c r="B663" s="59"/>
      <c r="C663" s="179">
        <v>756004595</v>
      </c>
      <c r="D663" s="179">
        <v>113815597</v>
      </c>
      <c r="E663" s="179">
        <v>9803250</v>
      </c>
      <c r="F663" s="179">
        <v>72720519</v>
      </c>
      <c r="G663" s="179"/>
      <c r="H663" s="179"/>
      <c r="I663" s="180">
        <v>952343961</v>
      </c>
      <c r="J663" s="179"/>
      <c r="K663" s="179"/>
      <c r="L663" s="179"/>
      <c r="M663" s="179"/>
      <c r="N663" s="179"/>
      <c r="O663" s="180"/>
      <c r="P663" s="179"/>
      <c r="Q663" s="179"/>
      <c r="R663" s="179"/>
      <c r="S663" s="180"/>
      <c r="T663" s="179">
        <v>834475086</v>
      </c>
      <c r="U663" s="180">
        <v>834475086</v>
      </c>
      <c r="V663" s="179"/>
      <c r="W663" s="180"/>
      <c r="X663" s="53">
        <v>1786819047</v>
      </c>
      <c r="Y663" s="151"/>
      <c r="Z663" s="151"/>
      <c r="AA663" s="151"/>
      <c r="AB663" s="151"/>
    </row>
    <row r="664" spans="1:28" ht="13">
      <c r="A664" s="170" t="s">
        <v>914</v>
      </c>
      <c r="B664" s="94"/>
      <c r="C664" s="171">
        <v>755609655.86959946</v>
      </c>
      <c r="D664" s="171">
        <v>111041444</v>
      </c>
      <c r="E664" s="171">
        <v>9803250</v>
      </c>
      <c r="F664" s="171">
        <v>73095620</v>
      </c>
      <c r="G664" s="171"/>
      <c r="H664" s="171"/>
      <c r="I664" s="172">
        <v>949549969.86959946</v>
      </c>
      <c r="J664" s="171"/>
      <c r="K664" s="171"/>
      <c r="L664" s="171"/>
      <c r="M664" s="171"/>
      <c r="N664" s="171"/>
      <c r="O664" s="172"/>
      <c r="P664" s="171"/>
      <c r="Q664" s="171"/>
      <c r="R664" s="171"/>
      <c r="S664" s="172"/>
      <c r="T664" s="171">
        <v>852493524</v>
      </c>
      <c r="U664" s="172">
        <v>852493524</v>
      </c>
      <c r="V664" s="171"/>
      <c r="W664" s="172"/>
      <c r="X664" s="53">
        <v>1802043493.8695993</v>
      </c>
      <c r="Y664" s="151"/>
      <c r="Z664" s="151"/>
      <c r="AA664" s="151"/>
      <c r="AB664" s="151"/>
    </row>
    <row r="665" spans="1:28" ht="13">
      <c r="A665" s="170" t="s">
        <v>915</v>
      </c>
      <c r="B665" s="175"/>
      <c r="C665" s="176">
        <v>-5.2240308195536725E-2</v>
      </c>
      <c r="D665" s="176">
        <v>-2.4374102259464494</v>
      </c>
      <c r="E665" s="176">
        <v>0</v>
      </c>
      <c r="F665" s="176">
        <v>0.51581177521574073</v>
      </c>
      <c r="G665" s="176">
        <v>0</v>
      </c>
      <c r="H665" s="176">
        <v>0</v>
      </c>
      <c r="I665" s="177">
        <v>-0.29338046386798461</v>
      </c>
      <c r="J665" s="176">
        <v>0</v>
      </c>
      <c r="K665" s="176">
        <v>0</v>
      </c>
      <c r="L665" s="176">
        <v>0</v>
      </c>
      <c r="M665" s="176">
        <v>0</v>
      </c>
      <c r="N665" s="176">
        <v>0</v>
      </c>
      <c r="O665" s="177">
        <v>0</v>
      </c>
      <c r="P665" s="176">
        <v>0</v>
      </c>
      <c r="Q665" s="176">
        <v>0</v>
      </c>
      <c r="R665" s="176">
        <v>0</v>
      </c>
      <c r="S665" s="177">
        <v>0</v>
      </c>
      <c r="T665" s="176">
        <v>2.1592541589671854</v>
      </c>
      <c r="U665" s="177">
        <v>2.1592541589671854</v>
      </c>
      <c r="V665" s="176">
        <v>0</v>
      </c>
      <c r="W665" s="177">
        <v>0</v>
      </c>
      <c r="X665" s="53">
        <v>0.85204189507385197</v>
      </c>
      <c r="Y665" s="151"/>
      <c r="Z665" s="151"/>
      <c r="AA665" s="151"/>
      <c r="AB665" s="151"/>
    </row>
    <row r="666" spans="1:28" ht="13">
      <c r="A666" s="170" t="s">
        <v>916</v>
      </c>
      <c r="B666" s="59"/>
      <c r="C666" s="179">
        <v>22667937144.579998</v>
      </c>
      <c r="D666" s="179">
        <v>4253096232.4000001</v>
      </c>
      <c r="E666" s="179">
        <v>8148833349.5</v>
      </c>
      <c r="F666" s="179">
        <v>2428312412.8699999</v>
      </c>
      <c r="G666" s="179">
        <v>1003026263.41</v>
      </c>
      <c r="H666" s="179">
        <v>871602426.02999997</v>
      </c>
      <c r="I666" s="180">
        <v>39372807828.790001</v>
      </c>
      <c r="J666" s="179">
        <v>2157256986.27</v>
      </c>
      <c r="K666" s="179">
        <v>5781456439.71</v>
      </c>
      <c r="L666" s="179">
        <v>2701944557</v>
      </c>
      <c r="M666" s="179">
        <v>1324518277.5</v>
      </c>
      <c r="N666" s="179">
        <v>1201044570.2857144</v>
      </c>
      <c r="O666" s="180">
        <v>13166220830.765715</v>
      </c>
      <c r="P666" s="179">
        <v>752590985.57000005</v>
      </c>
      <c r="Q666" s="179">
        <v>264419481</v>
      </c>
      <c r="R666" s="179">
        <v>8781323.6399999987</v>
      </c>
      <c r="S666" s="180">
        <v>1025791790.21</v>
      </c>
      <c r="T666" s="179">
        <v>19213002.879999999</v>
      </c>
      <c r="U666" s="180">
        <v>19213002.879999999</v>
      </c>
      <c r="V666" s="179">
        <v>0</v>
      </c>
      <c r="W666" s="180">
        <v>0</v>
      </c>
      <c r="X666" s="53">
        <v>53584033452.645706</v>
      </c>
      <c r="Y666" s="151"/>
      <c r="Z666" s="151"/>
      <c r="AA666" s="151"/>
      <c r="AB666" s="151"/>
    </row>
    <row r="667" spans="1:28" ht="13">
      <c r="A667" s="170" t="s">
        <v>917</v>
      </c>
      <c r="B667" s="94"/>
      <c r="C667" s="171">
        <v>23184611469.508755</v>
      </c>
      <c r="D667" s="171">
        <v>4241771598.0799999</v>
      </c>
      <c r="E667" s="171">
        <v>8180562280.1199999</v>
      </c>
      <c r="F667" s="171">
        <v>2399691952.1199999</v>
      </c>
      <c r="G667" s="171">
        <v>997231059.07000005</v>
      </c>
      <c r="H667" s="171">
        <v>853563514.7700001</v>
      </c>
      <c r="I667" s="172">
        <v>39857431873.668755</v>
      </c>
      <c r="J667" s="171">
        <v>2124508321.22</v>
      </c>
      <c r="K667" s="171">
        <v>5836201715</v>
      </c>
      <c r="L667" s="171">
        <v>2682798673.8000002</v>
      </c>
      <c r="M667" s="171">
        <v>1330615563</v>
      </c>
      <c r="N667" s="171">
        <v>1262024472</v>
      </c>
      <c r="O667" s="172">
        <v>13236148745.02</v>
      </c>
      <c r="P667" s="171">
        <v>701880784.3499999</v>
      </c>
      <c r="Q667" s="171">
        <v>250454083</v>
      </c>
      <c r="R667" s="171">
        <v>9100403</v>
      </c>
      <c r="S667" s="172">
        <v>961435270.3499999</v>
      </c>
      <c r="T667" s="171">
        <v>19107519</v>
      </c>
      <c r="U667" s="172">
        <v>19107519</v>
      </c>
      <c r="V667" s="171">
        <v>250000</v>
      </c>
      <c r="W667" s="172">
        <v>250000</v>
      </c>
      <c r="X667" s="53">
        <v>54074373408.03875</v>
      </c>
      <c r="Y667" s="151"/>
      <c r="Z667" s="151"/>
      <c r="AA667" s="151"/>
      <c r="AB667" s="151"/>
    </row>
    <row r="668" spans="1:28" ht="13.5" thickBot="1">
      <c r="A668" s="186" t="s">
        <v>918</v>
      </c>
      <c r="B668" s="175"/>
      <c r="C668" s="176">
        <v>2.2793177942629503</v>
      </c>
      <c r="D668" s="176">
        <v>-0.26626800103250281</v>
      </c>
      <c r="E668" s="176">
        <v>0.38936776909234105</v>
      </c>
      <c r="F668" s="176">
        <v>-1.1786152637655771</v>
      </c>
      <c r="G668" s="176">
        <v>-0.57777194390682163</v>
      </c>
      <c r="H668" s="176">
        <v>-2.0696260957147663</v>
      </c>
      <c r="I668" s="177">
        <v>1.2308597522079416</v>
      </c>
      <c r="J668" s="176">
        <v>-1.5180697180925093</v>
      </c>
      <c r="K668" s="176">
        <v>0.94691148953369964</v>
      </c>
      <c r="L668" s="176">
        <v>-0.70859644956067125</v>
      </c>
      <c r="M668" s="176">
        <v>0.46033985363406965</v>
      </c>
      <c r="N668" s="176">
        <v>5.0772388654801723</v>
      </c>
      <c r="O668" s="177">
        <v>0.53111606704092462</v>
      </c>
      <c r="P668" s="176">
        <v>-6.7380824634237513</v>
      </c>
      <c r="Q668" s="176">
        <v>-5.2815314314908584</v>
      </c>
      <c r="R668" s="176">
        <v>3.6336134856316642</v>
      </c>
      <c r="S668" s="177">
        <v>-6.2738384606124669</v>
      </c>
      <c r="T668" s="176">
        <v>-0.5490233913918976</v>
      </c>
      <c r="U668" s="177">
        <v>-0.5490233913918976</v>
      </c>
      <c r="V668" s="176">
        <v>0</v>
      </c>
      <c r="W668" s="177">
        <v>0</v>
      </c>
      <c r="X668" s="53">
        <v>0.91508593847526609</v>
      </c>
      <c r="Y668" s="151"/>
      <c r="Z668" s="151"/>
      <c r="AA668" s="151"/>
      <c r="AB668" s="151"/>
    </row>
    <row r="669" spans="1:28" ht="13.5" thickTop="1">
      <c r="A669" s="193"/>
      <c r="B669" s="194"/>
      <c r="C669" s="195"/>
      <c r="D669" s="196"/>
      <c r="E669" s="196"/>
      <c r="F669" s="196"/>
      <c r="G669" s="196"/>
      <c r="H669" s="196"/>
      <c r="I669" s="197"/>
      <c r="J669" s="198"/>
      <c r="K669" s="196"/>
      <c r="L669" s="196"/>
      <c r="M669" s="196"/>
      <c r="N669" s="196"/>
      <c r="O669" s="197"/>
      <c r="P669" s="195"/>
      <c r="Q669" s="196"/>
      <c r="R669" s="196"/>
      <c r="S669" s="199"/>
      <c r="T669" s="195"/>
      <c r="U669" s="199"/>
      <c r="V669" s="198"/>
      <c r="W669" s="200"/>
      <c r="X669" s="53"/>
      <c r="Y669" s="201"/>
      <c r="Z669" s="201"/>
      <c r="AA669" s="201"/>
      <c r="AB669" s="201"/>
    </row>
    <row r="670" spans="1:28" ht="13">
      <c r="A670" s="193"/>
      <c r="B670" s="194"/>
      <c r="C670" s="202"/>
      <c r="D670" s="203"/>
      <c r="E670" s="203"/>
      <c r="F670" s="203"/>
      <c r="G670" s="203"/>
      <c r="H670" s="203"/>
      <c r="I670" s="204"/>
      <c r="J670" s="205"/>
      <c r="K670" s="203"/>
      <c r="L670" s="203"/>
      <c r="M670" s="203"/>
      <c r="N670" s="203"/>
      <c r="O670" s="204"/>
      <c r="P670" s="202"/>
      <c r="Q670" s="203"/>
      <c r="R670" s="203"/>
      <c r="S670" s="206"/>
      <c r="T670" s="202"/>
      <c r="U670" s="206"/>
      <c r="V670" s="205"/>
      <c r="W670" s="207"/>
      <c r="X670" s="53"/>
      <c r="Y670" s="201"/>
      <c r="Z670" s="201"/>
      <c r="AA670" s="201"/>
      <c r="AB670" s="201"/>
    </row>
    <row r="671" spans="1:28" ht="13">
      <c r="A671" s="193"/>
      <c r="B671" s="194"/>
      <c r="C671" s="202"/>
      <c r="D671" s="203"/>
      <c r="E671" s="203"/>
      <c r="F671" s="203"/>
      <c r="G671" s="203"/>
      <c r="H671" s="203"/>
      <c r="I671" s="204"/>
      <c r="J671" s="205"/>
      <c r="K671" s="203"/>
      <c r="L671" s="203"/>
      <c r="M671" s="203"/>
      <c r="N671" s="203"/>
      <c r="O671" s="204"/>
      <c r="P671" s="202"/>
      <c r="Q671" s="203"/>
      <c r="R671" s="203"/>
      <c r="S671" s="206"/>
      <c r="T671" s="202"/>
      <c r="U671" s="206"/>
      <c r="V671" s="205"/>
      <c r="W671" s="207"/>
      <c r="X671" s="53"/>
      <c r="Y671" s="201"/>
      <c r="Z671" s="201"/>
      <c r="AA671" s="201"/>
      <c r="AB671" s="201"/>
    </row>
    <row r="672" spans="1:28" ht="13">
      <c r="A672" s="193"/>
      <c r="B672" s="194"/>
      <c r="C672" s="202"/>
      <c r="D672" s="203"/>
      <c r="E672" s="203"/>
      <c r="F672" s="203"/>
      <c r="G672" s="203"/>
      <c r="H672" s="203"/>
      <c r="I672" s="204"/>
      <c r="J672" s="205"/>
      <c r="K672" s="203"/>
      <c r="L672" s="203"/>
      <c r="M672" s="203"/>
      <c r="N672" s="203"/>
      <c r="O672" s="204"/>
      <c r="P672" s="202"/>
      <c r="Q672" s="203"/>
      <c r="R672" s="203"/>
      <c r="S672" s="206"/>
      <c r="T672" s="202"/>
      <c r="U672" s="206"/>
      <c r="V672" s="205"/>
      <c r="W672" s="207"/>
      <c r="X672" s="53"/>
      <c r="Y672" s="201"/>
      <c r="Z672" s="201"/>
      <c r="AA672" s="201"/>
      <c r="AB672" s="201"/>
    </row>
    <row r="673" spans="1:28" ht="13">
      <c r="A673" s="193"/>
      <c r="B673" s="194"/>
      <c r="C673" s="202"/>
      <c r="D673" s="203"/>
      <c r="E673" s="203"/>
      <c r="F673" s="203"/>
      <c r="G673" s="203"/>
      <c r="H673" s="203"/>
      <c r="I673" s="204"/>
      <c r="J673" s="205"/>
      <c r="K673" s="203"/>
      <c r="L673" s="203"/>
      <c r="M673" s="203"/>
      <c r="N673" s="203"/>
      <c r="O673" s="204"/>
      <c r="P673" s="202"/>
      <c r="Q673" s="203"/>
      <c r="R673" s="203"/>
      <c r="S673" s="206"/>
      <c r="T673" s="202"/>
      <c r="U673" s="206"/>
      <c r="V673" s="205"/>
      <c r="W673" s="207"/>
      <c r="X673" s="53"/>
      <c r="Y673" s="201"/>
      <c r="Z673" s="201"/>
      <c r="AA673" s="201"/>
      <c r="AB673" s="201"/>
    </row>
    <row r="674" spans="1:28" ht="13">
      <c r="A674" s="193"/>
      <c r="B674" s="194"/>
      <c r="C674" s="202"/>
      <c r="D674" s="203"/>
      <c r="E674" s="203"/>
      <c r="F674" s="203"/>
      <c r="G674" s="203"/>
      <c r="H674" s="203"/>
      <c r="I674" s="204"/>
      <c r="J674" s="205"/>
      <c r="K674" s="203"/>
      <c r="L674" s="203"/>
      <c r="M674" s="203"/>
      <c r="N674" s="203"/>
      <c r="O674" s="204"/>
      <c r="P674" s="202"/>
      <c r="Q674" s="203"/>
      <c r="R674" s="203"/>
      <c r="S674" s="206"/>
      <c r="T674" s="202"/>
      <c r="U674" s="206"/>
      <c r="V674" s="205"/>
      <c r="W674" s="207"/>
      <c r="X674" s="53"/>
      <c r="Y674" s="201"/>
      <c r="Z674" s="201"/>
      <c r="AA674" s="201"/>
      <c r="AB674" s="201"/>
    </row>
    <row r="675" spans="1:28" ht="13">
      <c r="A675" s="193"/>
      <c r="B675" s="194"/>
      <c r="C675" s="202"/>
      <c r="D675" s="203"/>
      <c r="E675" s="203"/>
      <c r="F675" s="203"/>
      <c r="G675" s="203"/>
      <c r="H675" s="203"/>
      <c r="I675" s="204"/>
      <c r="J675" s="205"/>
      <c r="K675" s="203"/>
      <c r="L675" s="203"/>
      <c r="M675" s="203"/>
      <c r="N675" s="203"/>
      <c r="O675" s="204"/>
      <c r="P675" s="202"/>
      <c r="Q675" s="203"/>
      <c r="R675" s="203"/>
      <c r="S675" s="206"/>
      <c r="T675" s="202"/>
      <c r="U675" s="206"/>
      <c r="V675" s="205"/>
      <c r="W675" s="207"/>
      <c r="X675" s="53"/>
      <c r="Y675" s="201"/>
      <c r="Z675" s="201"/>
      <c r="AA675" s="201"/>
      <c r="AB675" s="201"/>
    </row>
    <row r="676" spans="1:28" ht="13">
      <c r="A676" s="193"/>
      <c r="B676" s="194"/>
      <c r="C676" s="202"/>
      <c r="D676" s="203"/>
      <c r="E676" s="203"/>
      <c r="F676" s="203"/>
      <c r="G676" s="203"/>
      <c r="H676" s="203"/>
      <c r="I676" s="204"/>
      <c r="J676" s="205"/>
      <c r="K676" s="203"/>
      <c r="L676" s="203"/>
      <c r="M676" s="203"/>
      <c r="N676" s="203"/>
      <c r="O676" s="204"/>
      <c r="P676" s="202"/>
      <c r="Q676" s="203"/>
      <c r="R676" s="203"/>
      <c r="S676" s="206"/>
      <c r="T676" s="202"/>
      <c r="U676" s="206"/>
      <c r="V676" s="205"/>
      <c r="W676" s="207"/>
      <c r="X676" s="53"/>
      <c r="Y676" s="201"/>
      <c r="Z676" s="201"/>
      <c r="AA676" s="201"/>
      <c r="AB676" s="201"/>
    </row>
    <row r="677" spans="1:28" ht="13">
      <c r="A677" s="193"/>
      <c r="B677" s="194"/>
      <c r="C677" s="202"/>
      <c r="D677" s="203"/>
      <c r="E677" s="203"/>
      <c r="F677" s="203"/>
      <c r="G677" s="203"/>
      <c r="H677" s="203"/>
      <c r="I677" s="204"/>
      <c r="J677" s="205"/>
      <c r="K677" s="203"/>
      <c r="L677" s="203"/>
      <c r="M677" s="203"/>
      <c r="N677" s="203"/>
      <c r="O677" s="204"/>
      <c r="P677" s="202"/>
      <c r="Q677" s="203"/>
      <c r="R677" s="203"/>
      <c r="S677" s="206"/>
      <c r="T677" s="202"/>
      <c r="U677" s="206"/>
      <c r="V677" s="205"/>
      <c r="W677" s="207"/>
      <c r="X677" s="53"/>
      <c r="Y677" s="201"/>
      <c r="Z677" s="201"/>
      <c r="AA677" s="201"/>
      <c r="AB677" s="201"/>
    </row>
    <row r="678" spans="1:28" ht="13">
      <c r="A678" s="193"/>
      <c r="B678" s="194"/>
      <c r="C678" s="202"/>
      <c r="D678" s="203"/>
      <c r="E678" s="203"/>
      <c r="F678" s="203"/>
      <c r="G678" s="203"/>
      <c r="H678" s="203"/>
      <c r="I678" s="204"/>
      <c r="J678" s="205"/>
      <c r="K678" s="203"/>
      <c r="L678" s="203"/>
      <c r="M678" s="203"/>
      <c r="N678" s="203"/>
      <c r="O678" s="204"/>
      <c r="P678" s="202"/>
      <c r="Q678" s="203"/>
      <c r="R678" s="203"/>
      <c r="S678" s="206"/>
      <c r="T678" s="202"/>
      <c r="U678" s="206"/>
      <c r="V678" s="205"/>
      <c r="W678" s="207"/>
      <c r="X678" s="53"/>
      <c r="Y678" s="201"/>
      <c r="Z678" s="201"/>
      <c r="AA678" s="201"/>
      <c r="AB678" s="201"/>
    </row>
    <row r="679" spans="1:28" ht="13">
      <c r="A679" s="193"/>
      <c r="B679" s="194"/>
      <c r="C679" s="202"/>
      <c r="D679" s="203"/>
      <c r="E679" s="203"/>
      <c r="F679" s="203"/>
      <c r="G679" s="203"/>
      <c r="H679" s="203"/>
      <c r="I679" s="204"/>
      <c r="J679" s="205"/>
      <c r="K679" s="203"/>
      <c r="L679" s="203"/>
      <c r="M679" s="203"/>
      <c r="N679" s="203"/>
      <c r="O679" s="204"/>
      <c r="P679" s="202"/>
      <c r="Q679" s="203"/>
      <c r="R679" s="203"/>
      <c r="S679" s="206"/>
      <c r="T679" s="202"/>
      <c r="U679" s="206"/>
      <c r="V679" s="205"/>
      <c r="W679" s="207"/>
      <c r="X679" s="53"/>
      <c r="Y679" s="201"/>
      <c r="Z679" s="201"/>
      <c r="AA679" s="201"/>
      <c r="AB679" s="201"/>
    </row>
    <row r="680" spans="1:28" ht="13">
      <c r="A680" s="193"/>
      <c r="B680" s="194"/>
      <c r="C680" s="202"/>
      <c r="D680" s="203"/>
      <c r="E680" s="203"/>
      <c r="F680" s="203"/>
      <c r="G680" s="203"/>
      <c r="H680" s="203"/>
      <c r="I680" s="204"/>
      <c r="J680" s="205"/>
      <c r="K680" s="203"/>
      <c r="L680" s="203"/>
      <c r="M680" s="203"/>
      <c r="N680" s="203"/>
      <c r="O680" s="204"/>
      <c r="P680" s="202"/>
      <c r="Q680" s="203"/>
      <c r="R680" s="203"/>
      <c r="S680" s="206"/>
      <c r="T680" s="202"/>
      <c r="U680" s="206"/>
      <c r="V680" s="205"/>
      <c r="W680" s="207"/>
      <c r="X680" s="53"/>
      <c r="Y680" s="201"/>
      <c r="Z680" s="201"/>
      <c r="AA680" s="201"/>
      <c r="AB680" s="201"/>
    </row>
    <row r="681" spans="1:28" ht="13">
      <c r="A681" s="193"/>
      <c r="B681" s="194"/>
      <c r="C681" s="202"/>
      <c r="D681" s="203"/>
      <c r="E681" s="203"/>
      <c r="F681" s="203"/>
      <c r="G681" s="203"/>
      <c r="H681" s="203"/>
      <c r="I681" s="204"/>
      <c r="J681" s="205"/>
      <c r="K681" s="203"/>
      <c r="L681" s="203"/>
      <c r="M681" s="203"/>
      <c r="N681" s="203"/>
      <c r="O681" s="204"/>
      <c r="P681" s="202"/>
      <c r="Q681" s="203"/>
      <c r="R681" s="203"/>
      <c r="S681" s="206"/>
      <c r="T681" s="202"/>
      <c r="U681" s="206"/>
      <c r="V681" s="205"/>
      <c r="W681" s="207"/>
      <c r="X681" s="53"/>
      <c r="Y681" s="201"/>
      <c r="Z681" s="201"/>
      <c r="AA681" s="201"/>
      <c r="AB681" s="201"/>
    </row>
    <row r="682" spans="1:28" ht="13">
      <c r="A682" s="193"/>
      <c r="B682" s="194"/>
      <c r="C682" s="202"/>
      <c r="D682" s="203"/>
      <c r="E682" s="203"/>
      <c r="F682" s="203"/>
      <c r="G682" s="203"/>
      <c r="H682" s="203"/>
      <c r="I682" s="204"/>
      <c r="J682" s="205"/>
      <c r="K682" s="203"/>
      <c r="L682" s="203"/>
      <c r="M682" s="203"/>
      <c r="N682" s="203"/>
      <c r="O682" s="204"/>
      <c r="P682" s="202"/>
      <c r="Q682" s="203"/>
      <c r="R682" s="203"/>
      <c r="S682" s="206"/>
      <c r="T682" s="202"/>
      <c r="U682" s="206"/>
      <c r="V682" s="205"/>
      <c r="W682" s="207"/>
      <c r="X682" s="53"/>
      <c r="Y682" s="201"/>
      <c r="Z682" s="201"/>
      <c r="AA682" s="201"/>
      <c r="AB682" s="201"/>
    </row>
    <row r="683" spans="1:28" ht="13">
      <c r="A683" s="193"/>
      <c r="B683" s="194"/>
      <c r="C683" s="202"/>
      <c r="D683" s="203"/>
      <c r="E683" s="203"/>
      <c r="F683" s="203"/>
      <c r="G683" s="203"/>
      <c r="H683" s="203"/>
      <c r="I683" s="204"/>
      <c r="J683" s="205"/>
      <c r="K683" s="203"/>
      <c r="L683" s="203"/>
      <c r="M683" s="203"/>
      <c r="N683" s="203"/>
      <c r="O683" s="204"/>
      <c r="P683" s="202"/>
      <c r="Q683" s="203"/>
      <c r="R683" s="203"/>
      <c r="S683" s="206"/>
      <c r="T683" s="202"/>
      <c r="U683" s="206"/>
      <c r="V683" s="205"/>
      <c r="W683" s="207"/>
      <c r="X683" s="53"/>
      <c r="Y683" s="201"/>
      <c r="Z683" s="201"/>
      <c r="AA683" s="201"/>
      <c r="AB683" s="201"/>
    </row>
    <row r="684" spans="1:28" ht="13">
      <c r="A684" s="193"/>
      <c r="B684" s="194"/>
      <c r="C684" s="206"/>
      <c r="D684" s="208"/>
      <c r="E684" s="208"/>
      <c r="F684" s="208"/>
      <c r="G684" s="208"/>
      <c r="H684" s="208"/>
      <c r="I684" s="204"/>
      <c r="J684" s="204"/>
      <c r="K684" s="208"/>
      <c r="L684" s="208"/>
      <c r="M684" s="208"/>
      <c r="N684" s="208"/>
      <c r="O684" s="204"/>
      <c r="P684" s="206"/>
      <c r="Q684" s="208"/>
      <c r="R684" s="208"/>
      <c r="S684" s="206"/>
      <c r="T684" s="206"/>
      <c r="U684" s="206"/>
      <c r="V684" s="204"/>
      <c r="W684" s="207"/>
      <c r="X684" s="53"/>
      <c r="Y684" s="201"/>
      <c r="Z684" s="201"/>
      <c r="AA684" s="201"/>
      <c r="AB684" s="201"/>
    </row>
    <row r="685" spans="1:28" ht="13">
      <c r="A685" s="193"/>
      <c r="B685" s="194"/>
      <c r="C685" s="206"/>
      <c r="D685" s="208"/>
      <c r="E685" s="208"/>
      <c r="F685" s="208"/>
      <c r="G685" s="208"/>
      <c r="H685" s="208"/>
      <c r="I685" s="204"/>
      <c r="J685" s="204"/>
      <c r="K685" s="208"/>
      <c r="L685" s="208"/>
      <c r="M685" s="208"/>
      <c r="N685" s="208"/>
      <c r="O685" s="204"/>
      <c r="P685" s="206"/>
      <c r="Q685" s="208"/>
      <c r="R685" s="208"/>
      <c r="S685" s="206"/>
      <c r="T685" s="206"/>
      <c r="U685" s="206"/>
      <c r="V685" s="204"/>
      <c r="W685" s="207"/>
      <c r="X685" s="53"/>
      <c r="Y685" s="201"/>
      <c r="Z685" s="201"/>
      <c r="AA685" s="201"/>
      <c r="AB685" s="201"/>
    </row>
    <row r="686" spans="1:28" ht="13">
      <c r="A686" s="193"/>
      <c r="B686" s="194"/>
      <c r="C686" s="206"/>
      <c r="D686" s="208"/>
      <c r="E686" s="208"/>
      <c r="F686" s="208"/>
      <c r="G686" s="208"/>
      <c r="H686" s="208"/>
      <c r="I686" s="204"/>
      <c r="J686" s="204"/>
      <c r="K686" s="208"/>
      <c r="L686" s="208"/>
      <c r="M686" s="208"/>
      <c r="N686" s="208"/>
      <c r="O686" s="204"/>
      <c r="P686" s="206"/>
      <c r="Q686" s="208"/>
      <c r="R686" s="208"/>
      <c r="S686" s="206"/>
      <c r="T686" s="206"/>
      <c r="U686" s="206"/>
      <c r="V686" s="204"/>
      <c r="W686" s="207"/>
      <c r="X686" s="53"/>
      <c r="Y686" s="201"/>
      <c r="Z686" s="201"/>
      <c r="AA686" s="201"/>
      <c r="AB686" s="201"/>
    </row>
    <row r="687" spans="1:28" ht="13">
      <c r="A687" s="193"/>
      <c r="B687" s="194"/>
      <c r="C687" s="202"/>
      <c r="D687" s="203"/>
      <c r="E687" s="203"/>
      <c r="F687" s="203"/>
      <c r="G687" s="203"/>
      <c r="H687" s="203"/>
      <c r="I687" s="204"/>
      <c r="J687" s="205"/>
      <c r="K687" s="203"/>
      <c r="L687" s="203"/>
      <c r="M687" s="203"/>
      <c r="N687" s="203"/>
      <c r="O687" s="204"/>
      <c r="P687" s="202"/>
      <c r="Q687" s="203"/>
      <c r="R687" s="203"/>
      <c r="S687" s="206"/>
      <c r="T687" s="202"/>
      <c r="U687" s="206"/>
      <c r="V687" s="205"/>
      <c r="W687" s="207"/>
      <c r="X687" s="53"/>
      <c r="Y687" s="201"/>
      <c r="Z687" s="201"/>
      <c r="AA687" s="201"/>
      <c r="AB687" s="201"/>
    </row>
    <row r="688" spans="1:28" ht="13">
      <c r="A688" s="193"/>
      <c r="B688" s="194"/>
      <c r="C688" s="202"/>
      <c r="D688" s="203"/>
      <c r="E688" s="203"/>
      <c r="F688" s="203"/>
      <c r="G688" s="203"/>
      <c r="H688" s="203"/>
      <c r="I688" s="204"/>
      <c r="J688" s="205"/>
      <c r="K688" s="203"/>
      <c r="L688" s="203"/>
      <c r="M688" s="203"/>
      <c r="N688" s="203"/>
      <c r="O688" s="204"/>
      <c r="P688" s="202"/>
      <c r="Q688" s="203"/>
      <c r="R688" s="203"/>
      <c r="S688" s="206"/>
      <c r="T688" s="202"/>
      <c r="U688" s="206"/>
      <c r="V688" s="205"/>
      <c r="W688" s="207"/>
      <c r="X688" s="53"/>
      <c r="Y688" s="201"/>
      <c r="Z688" s="201"/>
      <c r="AA688" s="201"/>
      <c r="AB688" s="201"/>
    </row>
    <row r="689" spans="1:28" ht="13">
      <c r="A689" s="193"/>
      <c r="B689" s="194"/>
      <c r="C689" s="202"/>
      <c r="D689" s="203"/>
      <c r="E689" s="203"/>
      <c r="F689" s="203"/>
      <c r="G689" s="203"/>
      <c r="H689" s="203"/>
      <c r="I689" s="204"/>
      <c r="J689" s="205"/>
      <c r="K689" s="203"/>
      <c r="L689" s="203"/>
      <c r="M689" s="203"/>
      <c r="N689" s="203"/>
      <c r="O689" s="204"/>
      <c r="P689" s="202"/>
      <c r="Q689" s="203"/>
      <c r="R689" s="203"/>
      <c r="S689" s="206"/>
      <c r="T689" s="202"/>
      <c r="U689" s="206"/>
      <c r="V689" s="205"/>
      <c r="W689" s="207"/>
      <c r="X689" s="53"/>
      <c r="Y689" s="201"/>
      <c r="Z689" s="201"/>
      <c r="AA689" s="201"/>
      <c r="AB689" s="201"/>
    </row>
    <row r="690" spans="1:28" ht="13">
      <c r="A690" s="193"/>
      <c r="B690" s="194"/>
      <c r="C690" s="202"/>
      <c r="D690" s="203"/>
      <c r="E690" s="203"/>
      <c r="F690" s="203"/>
      <c r="G690" s="203"/>
      <c r="H690" s="203"/>
      <c r="I690" s="204"/>
      <c r="J690" s="205"/>
      <c r="K690" s="203"/>
      <c r="L690" s="203"/>
      <c r="M690" s="203"/>
      <c r="N690" s="203"/>
      <c r="O690" s="204"/>
      <c r="P690" s="202"/>
      <c r="Q690" s="203"/>
      <c r="R690" s="203"/>
      <c r="S690" s="206"/>
      <c r="T690" s="202"/>
      <c r="U690" s="206"/>
      <c r="V690" s="205"/>
      <c r="W690" s="207"/>
      <c r="X690" s="53"/>
      <c r="Y690" s="201"/>
      <c r="Z690" s="201"/>
      <c r="AA690" s="201"/>
      <c r="AB690" s="201"/>
    </row>
    <row r="691" spans="1:28" ht="13">
      <c r="A691" s="193"/>
      <c r="B691" s="194"/>
      <c r="C691" s="202"/>
      <c r="D691" s="203"/>
      <c r="E691" s="203"/>
      <c r="F691" s="203"/>
      <c r="G691" s="203"/>
      <c r="H691" s="203"/>
      <c r="I691" s="204"/>
      <c r="J691" s="205"/>
      <c r="K691" s="203"/>
      <c r="L691" s="203"/>
      <c r="M691" s="203"/>
      <c r="N691" s="203"/>
      <c r="O691" s="204"/>
      <c r="P691" s="202"/>
      <c r="Q691" s="203"/>
      <c r="R691" s="203"/>
      <c r="S691" s="206"/>
      <c r="T691" s="202"/>
      <c r="U691" s="206"/>
      <c r="V691" s="205"/>
      <c r="W691" s="207"/>
      <c r="X691" s="53"/>
      <c r="Y691" s="201"/>
      <c r="Z691" s="201"/>
      <c r="AA691" s="201"/>
      <c r="AB691" s="201"/>
    </row>
    <row r="692" spans="1:28" ht="13">
      <c r="A692" s="193"/>
      <c r="B692" s="194"/>
      <c r="C692" s="202"/>
      <c r="D692" s="203"/>
      <c r="E692" s="203"/>
      <c r="F692" s="203"/>
      <c r="G692" s="203"/>
      <c r="H692" s="203"/>
      <c r="I692" s="204"/>
      <c r="J692" s="205"/>
      <c r="K692" s="203"/>
      <c r="L692" s="203"/>
      <c r="M692" s="203"/>
      <c r="N692" s="203"/>
      <c r="O692" s="204"/>
      <c r="P692" s="202"/>
      <c r="Q692" s="203"/>
      <c r="R692" s="203"/>
      <c r="S692" s="206"/>
      <c r="T692" s="202"/>
      <c r="U692" s="206"/>
      <c r="V692" s="205"/>
      <c r="W692" s="207"/>
      <c r="X692" s="53"/>
      <c r="Y692" s="201"/>
      <c r="Z692" s="201"/>
      <c r="AA692" s="201"/>
      <c r="AB692" s="201"/>
    </row>
    <row r="693" spans="1:28" ht="13">
      <c r="A693" s="193"/>
      <c r="B693" s="194"/>
      <c r="C693" s="202"/>
      <c r="D693" s="203"/>
      <c r="E693" s="203"/>
      <c r="F693" s="203"/>
      <c r="G693" s="203"/>
      <c r="H693" s="203"/>
      <c r="I693" s="204"/>
      <c r="J693" s="205"/>
      <c r="K693" s="203"/>
      <c r="L693" s="203"/>
      <c r="M693" s="203"/>
      <c r="N693" s="203"/>
      <c r="O693" s="204"/>
      <c r="P693" s="202"/>
      <c r="Q693" s="203"/>
      <c r="R693" s="203"/>
      <c r="S693" s="206"/>
      <c r="T693" s="202"/>
      <c r="U693" s="206"/>
      <c r="V693" s="205"/>
      <c r="W693" s="207"/>
      <c r="X693" s="53"/>
      <c r="Y693" s="201"/>
      <c r="Z693" s="201"/>
      <c r="AA693" s="201"/>
      <c r="AB693" s="201"/>
    </row>
    <row r="694" spans="1:28" ht="13">
      <c r="A694" s="193"/>
      <c r="B694" s="194"/>
      <c r="C694" s="202"/>
      <c r="D694" s="203"/>
      <c r="E694" s="203"/>
      <c r="F694" s="203"/>
      <c r="G694" s="203"/>
      <c r="H694" s="203"/>
      <c r="I694" s="204"/>
      <c r="J694" s="205"/>
      <c r="K694" s="203"/>
      <c r="L694" s="203"/>
      <c r="M694" s="203"/>
      <c r="N694" s="203"/>
      <c r="O694" s="204"/>
      <c r="P694" s="202"/>
      <c r="Q694" s="203"/>
      <c r="R694" s="203"/>
      <c r="S694" s="206"/>
      <c r="T694" s="202"/>
      <c r="U694" s="206"/>
      <c r="V694" s="205"/>
      <c r="W694" s="207"/>
      <c r="X694" s="53"/>
      <c r="Y694" s="201"/>
      <c r="Z694" s="201"/>
      <c r="AA694" s="201"/>
      <c r="AB694" s="201"/>
    </row>
    <row r="695" spans="1:28" ht="13">
      <c r="A695" s="193"/>
      <c r="B695" s="194"/>
      <c r="C695" s="202"/>
      <c r="D695" s="203"/>
      <c r="E695" s="203"/>
      <c r="F695" s="203"/>
      <c r="G695" s="203"/>
      <c r="H695" s="203"/>
      <c r="I695" s="204"/>
      <c r="J695" s="205"/>
      <c r="K695" s="203"/>
      <c r="L695" s="203"/>
      <c r="M695" s="203"/>
      <c r="N695" s="203"/>
      <c r="O695" s="204"/>
      <c r="P695" s="202"/>
      <c r="Q695" s="203"/>
      <c r="R695" s="203"/>
      <c r="S695" s="206"/>
      <c r="T695" s="202"/>
      <c r="U695" s="206"/>
      <c r="V695" s="205"/>
      <c r="W695" s="207"/>
      <c r="X695" s="53"/>
      <c r="Y695" s="201"/>
      <c r="Z695" s="201"/>
      <c r="AA695" s="201"/>
      <c r="AB695" s="201"/>
    </row>
    <row r="696" spans="1:28" ht="13">
      <c r="A696" s="193"/>
      <c r="B696" s="194"/>
      <c r="C696" s="202"/>
      <c r="D696" s="203"/>
      <c r="E696" s="203"/>
      <c r="F696" s="203"/>
      <c r="G696" s="203"/>
      <c r="H696" s="203"/>
      <c r="I696" s="204"/>
      <c r="J696" s="205"/>
      <c r="K696" s="203"/>
      <c r="L696" s="203"/>
      <c r="M696" s="203"/>
      <c r="N696" s="203"/>
      <c r="O696" s="204"/>
      <c r="P696" s="202"/>
      <c r="Q696" s="203"/>
      <c r="R696" s="203"/>
      <c r="S696" s="206"/>
      <c r="T696" s="202"/>
      <c r="U696" s="206"/>
      <c r="V696" s="205"/>
      <c r="W696" s="207"/>
      <c r="X696" s="53"/>
      <c r="Y696" s="201"/>
      <c r="Z696" s="201"/>
      <c r="AA696" s="201"/>
      <c r="AB696" s="201"/>
    </row>
    <row r="697" spans="1:28" ht="13">
      <c r="A697" s="193"/>
      <c r="B697" s="194"/>
      <c r="C697" s="202"/>
      <c r="D697" s="203"/>
      <c r="E697" s="203"/>
      <c r="F697" s="203"/>
      <c r="G697" s="203"/>
      <c r="H697" s="203"/>
      <c r="I697" s="204"/>
      <c r="J697" s="205"/>
      <c r="K697" s="203"/>
      <c r="L697" s="203"/>
      <c r="M697" s="203"/>
      <c r="N697" s="203"/>
      <c r="O697" s="204"/>
      <c r="P697" s="202"/>
      <c r="Q697" s="203"/>
      <c r="R697" s="203"/>
      <c r="S697" s="206"/>
      <c r="T697" s="202"/>
      <c r="U697" s="206"/>
      <c r="V697" s="205"/>
      <c r="W697" s="207"/>
      <c r="X697" s="53"/>
      <c r="Y697" s="201"/>
      <c r="Z697" s="201"/>
      <c r="AA697" s="201"/>
      <c r="AB697" s="201"/>
    </row>
    <row r="698" spans="1:28" ht="13">
      <c r="A698" s="193"/>
      <c r="B698" s="194"/>
      <c r="C698" s="202"/>
      <c r="D698" s="203"/>
      <c r="E698" s="203"/>
      <c r="F698" s="203"/>
      <c r="G698" s="203"/>
      <c r="H698" s="203"/>
      <c r="I698" s="204"/>
      <c r="J698" s="205"/>
      <c r="K698" s="203"/>
      <c r="L698" s="203"/>
      <c r="M698" s="203"/>
      <c r="N698" s="203"/>
      <c r="O698" s="204"/>
      <c r="P698" s="202"/>
      <c r="Q698" s="203"/>
      <c r="R698" s="203"/>
      <c r="S698" s="206"/>
      <c r="T698" s="202"/>
      <c r="U698" s="206"/>
      <c r="V698" s="205"/>
      <c r="W698" s="207"/>
      <c r="X698" s="53"/>
      <c r="Y698" s="201"/>
      <c r="Z698" s="201"/>
      <c r="AA698" s="201"/>
      <c r="AB698" s="201"/>
    </row>
    <row r="699" spans="1:28" ht="13">
      <c r="A699" s="193"/>
      <c r="B699" s="194"/>
      <c r="C699" s="202"/>
      <c r="D699" s="203"/>
      <c r="E699" s="203"/>
      <c r="F699" s="203"/>
      <c r="G699" s="203"/>
      <c r="H699" s="203"/>
      <c r="I699" s="204"/>
      <c r="J699" s="205"/>
      <c r="K699" s="203"/>
      <c r="L699" s="203"/>
      <c r="M699" s="203"/>
      <c r="N699" s="203"/>
      <c r="O699" s="204"/>
      <c r="P699" s="202"/>
      <c r="Q699" s="203"/>
      <c r="R699" s="203"/>
      <c r="S699" s="206"/>
      <c r="T699" s="202"/>
      <c r="U699" s="206"/>
      <c r="V699" s="205"/>
      <c r="W699" s="207"/>
      <c r="X699" s="53"/>
      <c r="Y699" s="201"/>
      <c r="Z699" s="201"/>
      <c r="AA699" s="201"/>
      <c r="AB699" s="201"/>
    </row>
    <row r="700" spans="1:28" ht="13">
      <c r="A700" s="193"/>
      <c r="B700" s="194"/>
      <c r="C700" s="202"/>
      <c r="D700" s="203"/>
      <c r="E700" s="203"/>
      <c r="F700" s="203"/>
      <c r="G700" s="203"/>
      <c r="H700" s="203"/>
      <c r="I700" s="204"/>
      <c r="J700" s="205"/>
      <c r="K700" s="203"/>
      <c r="L700" s="203"/>
      <c r="M700" s="203"/>
      <c r="N700" s="203"/>
      <c r="O700" s="204"/>
      <c r="P700" s="202"/>
      <c r="Q700" s="203"/>
      <c r="R700" s="203"/>
      <c r="S700" s="206"/>
      <c r="T700" s="202"/>
      <c r="U700" s="206"/>
      <c r="V700" s="205"/>
      <c r="W700" s="207"/>
      <c r="X700" s="53"/>
      <c r="Y700" s="201"/>
      <c r="Z700" s="201"/>
      <c r="AA700" s="201"/>
      <c r="AB700" s="201"/>
    </row>
    <row r="701" spans="1:28" ht="13">
      <c r="A701" s="193"/>
      <c r="B701" s="194"/>
      <c r="C701" s="202"/>
      <c r="D701" s="203"/>
      <c r="E701" s="203"/>
      <c r="F701" s="203"/>
      <c r="G701" s="203"/>
      <c r="H701" s="203"/>
      <c r="I701" s="204"/>
      <c r="J701" s="205"/>
      <c r="K701" s="203"/>
      <c r="L701" s="203"/>
      <c r="M701" s="203"/>
      <c r="N701" s="203"/>
      <c r="O701" s="204"/>
      <c r="P701" s="202"/>
      <c r="Q701" s="203"/>
      <c r="R701" s="203"/>
      <c r="S701" s="206"/>
      <c r="T701" s="202"/>
      <c r="U701" s="206"/>
      <c r="V701" s="205"/>
      <c r="W701" s="207"/>
      <c r="X701" s="53"/>
      <c r="Y701" s="201"/>
      <c r="Z701" s="201"/>
      <c r="AA701" s="201"/>
      <c r="AB701" s="201"/>
    </row>
    <row r="702" spans="1:28" ht="13">
      <c r="A702" s="193"/>
      <c r="B702" s="194"/>
      <c r="C702" s="202"/>
      <c r="D702" s="203"/>
      <c r="E702" s="203"/>
      <c r="F702" s="203"/>
      <c r="G702" s="203"/>
      <c r="H702" s="203"/>
      <c r="I702" s="204"/>
      <c r="J702" s="205"/>
      <c r="K702" s="203"/>
      <c r="L702" s="203"/>
      <c r="M702" s="203"/>
      <c r="N702" s="203"/>
      <c r="O702" s="204"/>
      <c r="P702" s="202"/>
      <c r="Q702" s="203"/>
      <c r="R702" s="203"/>
      <c r="S702" s="206"/>
      <c r="T702" s="202"/>
      <c r="U702" s="206"/>
      <c r="V702" s="205"/>
      <c r="W702" s="207"/>
      <c r="X702" s="53"/>
      <c r="Y702" s="201"/>
      <c r="Z702" s="201"/>
      <c r="AA702" s="201"/>
      <c r="AB702" s="201"/>
    </row>
    <row r="703" spans="1:28" ht="13">
      <c r="A703" s="193"/>
      <c r="B703" s="194"/>
      <c r="C703" s="202"/>
      <c r="D703" s="203"/>
      <c r="E703" s="203"/>
      <c r="F703" s="203"/>
      <c r="G703" s="203"/>
      <c r="H703" s="203"/>
      <c r="I703" s="204"/>
      <c r="J703" s="205"/>
      <c r="K703" s="203"/>
      <c r="L703" s="203"/>
      <c r="M703" s="203"/>
      <c r="N703" s="203"/>
      <c r="O703" s="204"/>
      <c r="P703" s="202"/>
      <c r="Q703" s="203"/>
      <c r="R703" s="203"/>
      <c r="S703" s="206"/>
      <c r="T703" s="202"/>
      <c r="U703" s="206"/>
      <c r="V703" s="205"/>
      <c r="W703" s="207"/>
      <c r="X703" s="53"/>
      <c r="Y703" s="201"/>
      <c r="Z703" s="201"/>
      <c r="AA703" s="201"/>
      <c r="AB703" s="201"/>
    </row>
    <row r="704" spans="1:28" ht="13">
      <c r="A704" s="193"/>
      <c r="B704" s="194"/>
      <c r="C704" s="202"/>
      <c r="D704" s="203"/>
      <c r="E704" s="203"/>
      <c r="F704" s="203"/>
      <c r="G704" s="203"/>
      <c r="H704" s="203"/>
      <c r="I704" s="204"/>
      <c r="J704" s="205"/>
      <c r="K704" s="203"/>
      <c r="L704" s="203"/>
      <c r="M704" s="203"/>
      <c r="N704" s="203"/>
      <c r="O704" s="204"/>
      <c r="P704" s="202"/>
      <c r="Q704" s="203"/>
      <c r="R704" s="203"/>
      <c r="S704" s="206"/>
      <c r="T704" s="202"/>
      <c r="U704" s="206"/>
      <c r="V704" s="205"/>
      <c r="W704" s="207"/>
      <c r="X704" s="53"/>
      <c r="Y704" s="201"/>
      <c r="Z704" s="201"/>
      <c r="AA704" s="201"/>
      <c r="AB704" s="201"/>
    </row>
    <row r="705" spans="1:28" ht="13">
      <c r="A705" s="193"/>
      <c r="B705" s="194"/>
      <c r="C705" s="202"/>
      <c r="D705" s="203"/>
      <c r="E705" s="203"/>
      <c r="F705" s="203"/>
      <c r="G705" s="203"/>
      <c r="H705" s="203"/>
      <c r="I705" s="204"/>
      <c r="J705" s="205"/>
      <c r="K705" s="203"/>
      <c r="L705" s="203"/>
      <c r="M705" s="203"/>
      <c r="N705" s="203"/>
      <c r="O705" s="204"/>
      <c r="P705" s="202"/>
      <c r="Q705" s="203"/>
      <c r="R705" s="203"/>
      <c r="S705" s="206"/>
      <c r="T705" s="202"/>
      <c r="U705" s="206"/>
      <c r="V705" s="205"/>
      <c r="W705" s="207"/>
      <c r="X705" s="53"/>
      <c r="Y705" s="201"/>
      <c r="Z705" s="201"/>
      <c r="AA705" s="201"/>
      <c r="AB705" s="201"/>
    </row>
    <row r="706" spans="1:28" ht="13">
      <c r="A706" s="193"/>
      <c r="B706" s="194"/>
      <c r="C706" s="202"/>
      <c r="D706" s="203"/>
      <c r="E706" s="203"/>
      <c r="F706" s="203"/>
      <c r="G706" s="203"/>
      <c r="H706" s="203"/>
      <c r="I706" s="204"/>
      <c r="J706" s="205"/>
      <c r="K706" s="203"/>
      <c r="L706" s="203"/>
      <c r="M706" s="203"/>
      <c r="N706" s="203"/>
      <c r="O706" s="204"/>
      <c r="P706" s="202"/>
      <c r="Q706" s="203"/>
      <c r="R706" s="203"/>
      <c r="S706" s="206"/>
      <c r="T706" s="202"/>
      <c r="U706" s="206"/>
      <c r="V706" s="205"/>
      <c r="W706" s="207"/>
      <c r="X706" s="53"/>
      <c r="Y706" s="201"/>
      <c r="Z706" s="201"/>
      <c r="AA706" s="201"/>
      <c r="AB706" s="201"/>
    </row>
    <row r="707" spans="1:28" ht="13">
      <c r="A707" s="209"/>
      <c r="B707" s="210"/>
      <c r="C707" s="211"/>
      <c r="D707" s="212"/>
      <c r="E707" s="212"/>
      <c r="F707" s="212"/>
      <c r="G707" s="212"/>
      <c r="H707" s="212"/>
      <c r="I707" s="213"/>
      <c r="J707" s="214"/>
      <c r="K707" s="212"/>
      <c r="L707" s="212"/>
      <c r="M707" s="212"/>
      <c r="N707" s="212"/>
      <c r="O707" s="213"/>
      <c r="P707" s="211"/>
      <c r="Q707" s="212"/>
      <c r="R707" s="212"/>
      <c r="S707" s="215"/>
      <c r="T707" s="211"/>
      <c r="U707" s="215"/>
      <c r="V707" s="214"/>
      <c r="W707" s="216"/>
      <c r="X707" s="53"/>
      <c r="Y707" s="201"/>
      <c r="Z707" s="201"/>
      <c r="AA707" s="201"/>
      <c r="AB707" s="201"/>
    </row>
  </sheetData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F2CC-9B40-4F9C-AC16-3174A5ED19A2}">
  <sheetPr codeName="Sheet11">
    <tabColor indexed="17"/>
  </sheetPr>
  <dimension ref="A1:AP707"/>
  <sheetViews>
    <sheetView workbookViewId="0">
      <pane xSplit="4" ySplit="3" topLeftCell="N4" activePane="bottomRight" state="frozen"/>
      <selection pane="topRight" activeCell="E1" sqref="E1"/>
      <selection pane="bottomLeft" activeCell="A4" sqref="A4"/>
      <selection pane="bottomRight" activeCell="O47" sqref="O46:O47"/>
    </sheetView>
  </sheetViews>
  <sheetFormatPr defaultColWidth="8.84375" defaultRowHeight="13"/>
  <cols>
    <col min="1" max="1" width="9.84375" style="55" customWidth="1"/>
    <col min="2" max="2" width="44.4609375" style="56" customWidth="1"/>
    <col min="3" max="3" width="5.765625" style="53" customWidth="1"/>
    <col min="4" max="4" width="7.61328125" style="53" bestFit="1" customWidth="1"/>
    <col min="5" max="22" width="11.921875" style="53" bestFit="1" customWidth="1"/>
    <col min="23" max="25" width="2.07421875" style="53" customWidth="1"/>
    <col min="26" max="26" width="5.765625" style="53" customWidth="1"/>
    <col min="27" max="27" width="4.765625" style="53" customWidth="1"/>
    <col min="28" max="28" width="4.84375" style="53" customWidth="1"/>
    <col min="29" max="29" width="5.3046875" style="53" customWidth="1"/>
    <col min="30" max="30" width="4.53515625" style="53" customWidth="1"/>
    <col min="31" max="32" width="5" style="53" customWidth="1"/>
    <col min="33" max="35" width="5.3046875" style="53" customWidth="1"/>
    <col min="36" max="36" width="4.69140625" style="53" bestFit="1" customWidth="1"/>
    <col min="37" max="37" width="5" style="53" customWidth="1"/>
    <col min="38" max="38" width="4.4609375" style="53" customWidth="1"/>
    <col min="39" max="39" width="5" style="53" customWidth="1"/>
    <col min="40" max="40" width="4.69140625" style="53" customWidth="1"/>
    <col min="41" max="41" width="4.4609375" style="53" bestFit="1" customWidth="1"/>
    <col min="42" max="16384" width="8.84375" style="53"/>
  </cols>
  <sheetData>
    <row r="1" spans="1:42">
      <c r="A1" s="51"/>
      <c r="B1" s="52"/>
      <c r="Z1" s="54" t="s">
        <v>814</v>
      </c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</row>
    <row r="2" spans="1:42">
      <c r="C2" s="1188"/>
      <c r="D2" s="1189"/>
      <c r="E2" s="1178" t="s">
        <v>25</v>
      </c>
      <c r="F2" s="1181"/>
      <c r="G2" s="1181"/>
      <c r="H2" s="1181"/>
      <c r="I2" s="1181"/>
      <c r="J2" s="1181"/>
      <c r="K2" s="1181"/>
      <c r="L2" s="1181"/>
      <c r="M2" s="1181"/>
      <c r="N2" s="1181"/>
      <c r="O2" s="1181"/>
      <c r="P2" s="1181"/>
      <c r="Q2" s="1181"/>
      <c r="R2" s="1181"/>
      <c r="S2" s="1181"/>
      <c r="T2" s="1181"/>
      <c r="U2" s="1190"/>
      <c r="V2" s="1191"/>
      <c r="Z2" s="62" t="s">
        <v>25</v>
      </c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</row>
    <row r="3" spans="1:42">
      <c r="C3" s="1178" t="s">
        <v>26</v>
      </c>
      <c r="D3" s="1178" t="s">
        <v>753</v>
      </c>
      <c r="E3" s="1192" t="s">
        <v>61</v>
      </c>
      <c r="F3" s="1193" t="s">
        <v>197</v>
      </c>
      <c r="G3" s="1193" t="s">
        <v>283</v>
      </c>
      <c r="H3" s="1193" t="s">
        <v>333</v>
      </c>
      <c r="I3" s="1193" t="s">
        <v>365</v>
      </c>
      <c r="J3" s="1193" t="s">
        <v>432</v>
      </c>
      <c r="K3" s="1193" t="s">
        <v>492</v>
      </c>
      <c r="L3" s="1193" t="s">
        <v>549</v>
      </c>
      <c r="M3" s="1193" t="s">
        <v>599</v>
      </c>
      <c r="N3" s="1193" t="s">
        <v>636</v>
      </c>
      <c r="O3" s="1193" t="s">
        <v>745</v>
      </c>
      <c r="P3" s="1193" t="s">
        <v>746</v>
      </c>
      <c r="Q3" s="1193" t="s">
        <v>747</v>
      </c>
      <c r="R3" s="1193" t="s">
        <v>748</v>
      </c>
      <c r="S3" s="1193" t="s">
        <v>750</v>
      </c>
      <c r="T3" s="1193" t="s">
        <v>751</v>
      </c>
      <c r="U3" s="1193" t="s">
        <v>1458</v>
      </c>
      <c r="V3" s="1211" t="s">
        <v>762</v>
      </c>
      <c r="W3" s="67"/>
      <c r="X3" s="67"/>
      <c r="Y3" s="67"/>
      <c r="Z3" s="68" t="s">
        <v>61</v>
      </c>
      <c r="AA3" s="69" t="s">
        <v>197</v>
      </c>
      <c r="AB3" s="69" t="s">
        <v>283</v>
      </c>
      <c r="AC3" s="69" t="s">
        <v>333</v>
      </c>
      <c r="AD3" s="69" t="s">
        <v>365</v>
      </c>
      <c r="AE3" s="69" t="s">
        <v>432</v>
      </c>
      <c r="AF3" s="69" t="s">
        <v>492</v>
      </c>
      <c r="AG3" s="69" t="s">
        <v>549</v>
      </c>
      <c r="AH3" s="69" t="s">
        <v>599</v>
      </c>
      <c r="AI3" s="69" t="s">
        <v>636</v>
      </c>
      <c r="AJ3" s="69" t="s">
        <v>745</v>
      </c>
      <c r="AK3" s="69" t="s">
        <v>746</v>
      </c>
      <c r="AL3" s="69" t="s">
        <v>747</v>
      </c>
      <c r="AM3" s="69" t="s">
        <v>748</v>
      </c>
      <c r="AN3" s="69" t="s">
        <v>750</v>
      </c>
      <c r="AO3" s="69" t="s">
        <v>751</v>
      </c>
    </row>
    <row r="4" spans="1:42" ht="12.75" customHeight="1">
      <c r="A4" s="1305" t="s">
        <v>815</v>
      </c>
      <c r="B4" s="70" t="s">
        <v>816</v>
      </c>
      <c r="C4" s="1194" t="s">
        <v>62</v>
      </c>
      <c r="D4" s="1195" t="s">
        <v>817</v>
      </c>
      <c r="E4" s="1214">
        <v>3569528796</v>
      </c>
      <c r="F4" s="1201">
        <v>1530990058</v>
      </c>
      <c r="G4" s="1201">
        <v>1000946186</v>
      </c>
      <c r="H4" s="1201">
        <v>2013722762</v>
      </c>
      <c r="I4" s="1201">
        <v>4825618252.4200001</v>
      </c>
      <c r="J4" s="1201">
        <v>2331630322</v>
      </c>
      <c r="K4" s="1201">
        <v>1923781297.71</v>
      </c>
      <c r="L4" s="1201">
        <v>3769771782</v>
      </c>
      <c r="M4" s="1201">
        <v>1420808891</v>
      </c>
      <c r="N4" s="1201">
        <v>5358095426.8199997</v>
      </c>
      <c r="O4" s="1201">
        <v>126934166</v>
      </c>
      <c r="P4" s="1201">
        <v>3049893013</v>
      </c>
      <c r="Q4" s="1201">
        <v>2748196285</v>
      </c>
      <c r="R4" s="1201">
        <v>12406590777</v>
      </c>
      <c r="S4" s="1201">
        <v>5239491694.1757145</v>
      </c>
      <c r="T4" s="1201">
        <v>972934090.51999998</v>
      </c>
      <c r="U4" s="1201"/>
      <c r="V4" s="1205">
        <v>52288933799.645706</v>
      </c>
      <c r="W4" s="77"/>
      <c r="X4" s="77"/>
      <c r="Y4" s="77"/>
      <c r="Z4" s="76"/>
      <c r="AA4" s="74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</row>
    <row r="5" spans="1:42">
      <c r="A5" s="1306"/>
      <c r="B5" s="78"/>
      <c r="C5" s="1196"/>
      <c r="D5" s="1197" t="s">
        <v>818</v>
      </c>
      <c r="E5" s="1186">
        <v>3527548098</v>
      </c>
      <c r="F5" s="1202">
        <v>1630260320</v>
      </c>
      <c r="G5" s="1202">
        <v>954016918</v>
      </c>
      <c r="H5" s="1202">
        <v>1981475993</v>
      </c>
      <c r="I5" s="1202">
        <v>4649984062.0599995</v>
      </c>
      <c r="J5" s="1202">
        <v>2317128399.139739</v>
      </c>
      <c r="K5" s="1202">
        <v>1842577004.23</v>
      </c>
      <c r="L5" s="1202">
        <v>3740675294</v>
      </c>
      <c r="M5" s="1202">
        <v>1411014972</v>
      </c>
      <c r="N5" s="1202">
        <v>5464843743</v>
      </c>
      <c r="O5" s="1202">
        <v>111872463</v>
      </c>
      <c r="P5" s="1202">
        <v>2965105682</v>
      </c>
      <c r="Q5" s="1202">
        <v>2750078199</v>
      </c>
      <c r="R5" s="1202">
        <v>12792621004</v>
      </c>
      <c r="S5" s="1202">
        <v>5614412211.1783514</v>
      </c>
      <c r="T5" s="1202">
        <v>979158498</v>
      </c>
      <c r="U5" s="1202"/>
      <c r="V5" s="1206">
        <v>52732772860.608086</v>
      </c>
      <c r="Z5" s="85">
        <f t="shared" ref="Z5:AO5" si="0">IF(E4&gt;0,((E5-E4)/E4),)</f>
        <v>-1.176085147346154E-2</v>
      </c>
      <c r="AA5" s="86">
        <f t="shared" si="0"/>
        <v>6.4840566064603408E-2</v>
      </c>
      <c r="AB5" s="87">
        <f t="shared" si="0"/>
        <v>-4.6884906158181812E-2</v>
      </c>
      <c r="AC5" s="87">
        <f t="shared" si="0"/>
        <v>-1.6013509708741127E-2</v>
      </c>
      <c r="AD5" s="87">
        <f t="shared" si="0"/>
        <v>-3.6396204832804958E-2</v>
      </c>
      <c r="AE5" s="87">
        <f t="shared" si="0"/>
        <v>-6.2196492829196285E-3</v>
      </c>
      <c r="AF5" s="87">
        <f t="shared" si="0"/>
        <v>-4.221077186718817E-2</v>
      </c>
      <c r="AG5" s="87">
        <f t="shared" si="0"/>
        <v>-7.7183685598503958E-3</v>
      </c>
      <c r="AH5" s="87">
        <f t="shared" si="0"/>
        <v>-6.8931994035501855E-3</v>
      </c>
      <c r="AI5" s="87">
        <f t="shared" si="0"/>
        <v>1.9922809818890226E-2</v>
      </c>
      <c r="AJ5" s="88">
        <f t="shared" si="0"/>
        <v>-0.11865759609591636</v>
      </c>
      <c r="AK5" s="87">
        <f t="shared" si="0"/>
        <v>-2.7800100081740147E-2</v>
      </c>
      <c r="AL5" s="87">
        <f t="shared" si="0"/>
        <v>6.8478150933822402E-4</v>
      </c>
      <c r="AM5" s="87">
        <f t="shared" si="0"/>
        <v>3.1114931888915322E-2</v>
      </c>
      <c r="AN5" s="87">
        <f t="shared" si="0"/>
        <v>7.1556658333747011E-2</v>
      </c>
      <c r="AO5" s="87">
        <f t="shared" si="0"/>
        <v>6.3975633505382531E-3</v>
      </c>
      <c r="AP5" s="89"/>
    </row>
    <row r="6" spans="1:42">
      <c r="A6" s="1306"/>
      <c r="B6" s="70" t="s">
        <v>819</v>
      </c>
      <c r="C6" s="1178" t="s">
        <v>67</v>
      </c>
      <c r="D6" s="1178" t="s">
        <v>817</v>
      </c>
      <c r="E6" s="1178">
        <v>0</v>
      </c>
      <c r="F6" s="1179"/>
      <c r="G6" s="1179"/>
      <c r="H6" s="1179"/>
      <c r="I6" s="1179"/>
      <c r="J6" s="1179"/>
      <c r="K6" s="1179"/>
      <c r="L6" s="1179"/>
      <c r="M6" s="1179"/>
      <c r="N6" s="1179"/>
      <c r="O6" s="1179"/>
      <c r="P6" s="1179"/>
      <c r="Q6" s="1179"/>
      <c r="R6" s="1179"/>
      <c r="S6" s="1179"/>
      <c r="T6" s="1179"/>
      <c r="U6" s="1179"/>
      <c r="V6" s="1207">
        <v>0</v>
      </c>
      <c r="Z6" s="92"/>
      <c r="AA6" s="90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</row>
    <row r="7" spans="1:42">
      <c r="A7" s="1306"/>
      <c r="B7" s="53"/>
      <c r="C7" s="1185"/>
      <c r="D7" s="1180" t="s">
        <v>818</v>
      </c>
      <c r="E7" s="1180">
        <v>0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208">
        <v>0</v>
      </c>
      <c r="Y7" s="97"/>
      <c r="Z7" s="85">
        <f t="shared" ref="Z7:AO7" si="1">IF(E6&gt;0,((E7-E6)/E6),)</f>
        <v>0</v>
      </c>
      <c r="AA7" s="86">
        <f t="shared" si="1"/>
        <v>0</v>
      </c>
      <c r="AB7" s="87">
        <f t="shared" si="1"/>
        <v>0</v>
      </c>
      <c r="AC7" s="87">
        <f t="shared" si="1"/>
        <v>0</v>
      </c>
      <c r="AD7" s="87">
        <f t="shared" si="1"/>
        <v>0</v>
      </c>
      <c r="AE7" s="87">
        <f t="shared" si="1"/>
        <v>0</v>
      </c>
      <c r="AF7" s="87">
        <f t="shared" si="1"/>
        <v>0</v>
      </c>
      <c r="AG7" s="87">
        <f t="shared" si="1"/>
        <v>0</v>
      </c>
      <c r="AH7" s="87">
        <f t="shared" si="1"/>
        <v>0</v>
      </c>
      <c r="AI7" s="87">
        <f t="shared" si="1"/>
        <v>0</v>
      </c>
      <c r="AJ7" s="87">
        <f t="shared" si="1"/>
        <v>0</v>
      </c>
      <c r="AK7" s="87">
        <f t="shared" si="1"/>
        <v>0</v>
      </c>
      <c r="AL7" s="87">
        <f t="shared" si="1"/>
        <v>0</v>
      </c>
      <c r="AM7" s="87">
        <f t="shared" si="1"/>
        <v>0</v>
      </c>
      <c r="AN7" s="87">
        <f t="shared" si="1"/>
        <v>0</v>
      </c>
      <c r="AO7" s="87">
        <f t="shared" si="1"/>
        <v>0</v>
      </c>
    </row>
    <row r="8" spans="1:42" ht="12.5">
      <c r="A8" s="1307"/>
      <c r="B8" s="98" t="s">
        <v>70</v>
      </c>
      <c r="C8" s="1178" t="s">
        <v>69</v>
      </c>
      <c r="D8" s="1178" t="s">
        <v>817</v>
      </c>
      <c r="E8" s="1178">
        <v>4002970</v>
      </c>
      <c r="F8" s="1179">
        <v>30613070</v>
      </c>
      <c r="G8" s="1179">
        <v>115950</v>
      </c>
      <c r="H8" s="1179"/>
      <c r="I8" s="1179">
        <v>9106171</v>
      </c>
      <c r="J8" s="1179">
        <v>29128164</v>
      </c>
      <c r="K8" s="1179"/>
      <c r="L8" s="1179"/>
      <c r="M8" s="1179">
        <v>257571</v>
      </c>
      <c r="N8" s="1179">
        <v>9584927</v>
      </c>
      <c r="O8" s="1179"/>
      <c r="P8" s="1179">
        <v>1343957</v>
      </c>
      <c r="Q8" s="1179">
        <v>13046300</v>
      </c>
      <c r="R8" s="1179">
        <v>83903786</v>
      </c>
      <c r="S8" s="1179"/>
      <c r="T8" s="1179"/>
      <c r="U8" s="1179"/>
      <c r="V8" s="1207">
        <v>181102866</v>
      </c>
      <c r="W8" s="56"/>
      <c r="X8" s="56"/>
      <c r="Z8" s="99"/>
      <c r="AA8" s="100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</row>
    <row r="9" spans="1:42">
      <c r="A9" s="1307"/>
      <c r="B9" s="102"/>
      <c r="C9" s="1185"/>
      <c r="D9" s="1180" t="s">
        <v>818</v>
      </c>
      <c r="E9" s="1180">
        <v>4052970</v>
      </c>
      <c r="F9" s="14">
        <v>30750546</v>
      </c>
      <c r="G9" s="14">
        <v>121345</v>
      </c>
      <c r="H9" s="14"/>
      <c r="I9" s="14">
        <v>9435472</v>
      </c>
      <c r="J9" s="14">
        <v>34550146</v>
      </c>
      <c r="K9" s="14"/>
      <c r="L9" s="14"/>
      <c r="M9" s="14">
        <v>253707</v>
      </c>
      <c r="N9" s="14">
        <v>9653695</v>
      </c>
      <c r="O9" s="14"/>
      <c r="P9" s="14">
        <v>1343957</v>
      </c>
      <c r="Q9" s="14">
        <v>13231800</v>
      </c>
      <c r="R9" s="14">
        <v>70451240</v>
      </c>
      <c r="S9" s="14"/>
      <c r="T9" s="14"/>
      <c r="U9" s="14"/>
      <c r="V9" s="1208">
        <v>173844878</v>
      </c>
      <c r="Y9" s="103"/>
      <c r="Z9" s="104">
        <f t="shared" ref="Z9:AO9" si="2">IF(E8&gt;0,((E9-E8)/E8),)</f>
        <v>1.249072563621511E-2</v>
      </c>
      <c r="AA9" s="86">
        <f t="shared" si="2"/>
        <v>4.4907616256716493E-3</v>
      </c>
      <c r="AB9" s="87">
        <f t="shared" si="2"/>
        <v>4.6528676153514449E-2</v>
      </c>
      <c r="AC9" s="87">
        <f t="shared" si="2"/>
        <v>0</v>
      </c>
      <c r="AD9" s="87">
        <f t="shared" si="2"/>
        <v>3.6162400200918696E-2</v>
      </c>
      <c r="AE9" s="87">
        <f t="shared" si="2"/>
        <v>0.18614225050367061</v>
      </c>
      <c r="AF9" s="87">
        <f t="shared" si="2"/>
        <v>0</v>
      </c>
      <c r="AG9" s="87">
        <f t="shared" si="2"/>
        <v>0</v>
      </c>
      <c r="AH9" s="87">
        <f t="shared" si="2"/>
        <v>-1.5001688854723551E-2</v>
      </c>
      <c r="AI9" s="87">
        <f t="shared" si="2"/>
        <v>7.1745981998610946E-3</v>
      </c>
      <c r="AJ9" s="87">
        <f t="shared" si="2"/>
        <v>0</v>
      </c>
      <c r="AK9" s="88">
        <f t="shared" si="2"/>
        <v>0</v>
      </c>
      <c r="AL9" s="87">
        <f t="shared" si="2"/>
        <v>1.4218590711542736E-2</v>
      </c>
      <c r="AM9" s="87">
        <f t="shared" si="2"/>
        <v>-0.16033300332835995</v>
      </c>
      <c r="AN9" s="87">
        <f t="shared" si="2"/>
        <v>0</v>
      </c>
      <c r="AO9" s="87">
        <f t="shared" si="2"/>
        <v>0</v>
      </c>
    </row>
    <row r="10" spans="1:42" ht="12.5">
      <c r="A10" s="1307"/>
      <c r="B10" s="98" t="s">
        <v>72</v>
      </c>
      <c r="C10" s="1178" t="s">
        <v>71</v>
      </c>
      <c r="D10" s="1178" t="s">
        <v>817</v>
      </c>
      <c r="E10" s="1178">
        <v>2759080</v>
      </c>
      <c r="F10" s="1179"/>
      <c r="G10" s="1179"/>
      <c r="H10" s="1179"/>
      <c r="I10" s="1179"/>
      <c r="J10" s="1179"/>
      <c r="K10" s="1179"/>
      <c r="L10" s="1179">
        <v>0</v>
      </c>
      <c r="M10" s="1179"/>
      <c r="N10" s="1179"/>
      <c r="O10" s="1179"/>
      <c r="P10" s="1179"/>
      <c r="Q10" s="1179"/>
      <c r="R10" s="1179"/>
      <c r="S10" s="1179"/>
      <c r="T10" s="1179"/>
      <c r="U10" s="1179"/>
      <c r="V10" s="1207">
        <v>2759080</v>
      </c>
      <c r="W10" s="56"/>
      <c r="X10" s="56"/>
      <c r="Y10" s="77"/>
      <c r="Z10" s="99"/>
      <c r="AA10" s="100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</row>
    <row r="11" spans="1:42">
      <c r="A11" s="1307"/>
      <c r="B11" s="53"/>
      <c r="C11" s="1185"/>
      <c r="D11" s="1180" t="s">
        <v>818</v>
      </c>
      <c r="E11" s="1180">
        <v>2959080</v>
      </c>
      <c r="F11" s="14"/>
      <c r="G11" s="14"/>
      <c r="H11" s="14"/>
      <c r="I11" s="14"/>
      <c r="J11" s="14"/>
      <c r="K11" s="14"/>
      <c r="L11" s="14">
        <v>0</v>
      </c>
      <c r="M11" s="14"/>
      <c r="N11" s="14"/>
      <c r="O11" s="14"/>
      <c r="P11" s="14"/>
      <c r="Q11" s="14"/>
      <c r="R11" s="14"/>
      <c r="S11" s="14"/>
      <c r="T11" s="14"/>
      <c r="U11" s="14"/>
      <c r="V11" s="1208">
        <v>2959080</v>
      </c>
      <c r="Z11" s="85">
        <f t="shared" ref="Z11:AO11" si="3">IF(E10&gt;0,((E11-E10)/E10),)</f>
        <v>7.2487930759528543E-2</v>
      </c>
      <c r="AA11" s="86">
        <f t="shared" si="3"/>
        <v>0</v>
      </c>
      <c r="AB11" s="87">
        <f t="shared" si="3"/>
        <v>0</v>
      </c>
      <c r="AC11" s="87">
        <f t="shared" si="3"/>
        <v>0</v>
      </c>
      <c r="AD11" s="87">
        <f t="shared" si="3"/>
        <v>0</v>
      </c>
      <c r="AE11" s="87">
        <f t="shared" si="3"/>
        <v>0</v>
      </c>
      <c r="AF11" s="87">
        <f t="shared" si="3"/>
        <v>0</v>
      </c>
      <c r="AG11" s="87">
        <f t="shared" si="3"/>
        <v>0</v>
      </c>
      <c r="AH11" s="87">
        <f t="shared" si="3"/>
        <v>0</v>
      </c>
      <c r="AI11" s="87">
        <f t="shared" si="3"/>
        <v>0</v>
      </c>
      <c r="AJ11" s="87">
        <f t="shared" si="3"/>
        <v>0</v>
      </c>
      <c r="AK11" s="87">
        <f t="shared" si="3"/>
        <v>0</v>
      </c>
      <c r="AL11" s="87">
        <f t="shared" si="3"/>
        <v>0</v>
      </c>
      <c r="AM11" s="87">
        <f t="shared" si="3"/>
        <v>0</v>
      </c>
      <c r="AN11" s="87">
        <f t="shared" si="3"/>
        <v>0</v>
      </c>
      <c r="AO11" s="87">
        <f t="shared" si="3"/>
        <v>0</v>
      </c>
    </row>
    <row r="12" spans="1:42" ht="12.5">
      <c r="A12" s="1307"/>
      <c r="B12" s="98" t="s">
        <v>75</v>
      </c>
      <c r="C12" s="1178" t="s">
        <v>74</v>
      </c>
      <c r="D12" s="1182" t="s">
        <v>817</v>
      </c>
      <c r="E12" s="1183">
        <v>43027251</v>
      </c>
      <c r="F12" s="1184"/>
      <c r="G12" s="1184">
        <v>2445000</v>
      </c>
      <c r="H12" s="1184"/>
      <c r="I12" s="1184">
        <v>42437198</v>
      </c>
      <c r="J12" s="1184">
        <v>64390136</v>
      </c>
      <c r="K12" s="1184">
        <v>43933696</v>
      </c>
      <c r="L12" s="1184">
        <v>21977795</v>
      </c>
      <c r="M12" s="1184">
        <v>36770961</v>
      </c>
      <c r="N12" s="1184">
        <v>41032897</v>
      </c>
      <c r="O12" s="1184"/>
      <c r="P12" s="1184">
        <v>51202415</v>
      </c>
      <c r="Q12" s="1184">
        <v>48490400</v>
      </c>
      <c r="R12" s="1184">
        <v>67302119</v>
      </c>
      <c r="S12" s="1184">
        <v>41791030</v>
      </c>
      <c r="T12" s="1184">
        <v>15899167</v>
      </c>
      <c r="U12" s="1184"/>
      <c r="V12" s="1209">
        <v>520700065</v>
      </c>
      <c r="W12" s="56"/>
      <c r="X12" s="56"/>
      <c r="Y12" s="107"/>
      <c r="Z12" s="99"/>
      <c r="AA12" s="100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</row>
    <row r="13" spans="1:42">
      <c r="A13" s="1307"/>
      <c r="B13" s="102"/>
      <c r="C13" s="1185"/>
      <c r="D13" s="1186" t="s">
        <v>818</v>
      </c>
      <c r="E13" s="1180">
        <v>43840255</v>
      </c>
      <c r="F13" s="14"/>
      <c r="G13" s="14">
        <v>2445000</v>
      </c>
      <c r="H13" s="14"/>
      <c r="I13" s="14">
        <v>41953059</v>
      </c>
      <c r="J13" s="14">
        <v>64589454</v>
      </c>
      <c r="K13" s="14">
        <v>47268191</v>
      </c>
      <c r="L13" s="14">
        <v>20985732</v>
      </c>
      <c r="M13" s="14">
        <v>36462498</v>
      </c>
      <c r="N13" s="14">
        <v>41475407</v>
      </c>
      <c r="O13" s="14"/>
      <c r="P13" s="14">
        <v>51034391</v>
      </c>
      <c r="Q13" s="14">
        <v>49098900</v>
      </c>
      <c r="R13" s="14">
        <v>66040528</v>
      </c>
      <c r="S13" s="14">
        <v>44265219</v>
      </c>
      <c r="T13" s="14">
        <v>14856080</v>
      </c>
      <c r="U13" s="14"/>
      <c r="V13" s="1208">
        <v>524314714</v>
      </c>
      <c r="Y13" s="97"/>
      <c r="Z13" s="85">
        <f t="shared" ref="Z13:AO13" si="4">IF(E12&gt;0,((E13-E12)/E12),)</f>
        <v>1.8895095110770612E-2</v>
      </c>
      <c r="AA13" s="86">
        <f t="shared" si="4"/>
        <v>0</v>
      </c>
      <c r="AB13" s="87">
        <f t="shared" si="4"/>
        <v>0</v>
      </c>
      <c r="AC13" s="87">
        <f t="shared" si="4"/>
        <v>0</v>
      </c>
      <c r="AD13" s="87">
        <f t="shared" si="4"/>
        <v>-1.140836395466072E-2</v>
      </c>
      <c r="AE13" s="87">
        <f t="shared" si="4"/>
        <v>3.0954741266581579E-3</v>
      </c>
      <c r="AF13" s="87">
        <f t="shared" si="4"/>
        <v>7.5898349185099287E-2</v>
      </c>
      <c r="AG13" s="88">
        <f t="shared" si="4"/>
        <v>-4.5139332676458213E-2</v>
      </c>
      <c r="AH13" s="87">
        <f t="shared" si="4"/>
        <v>-8.3887663420055842E-3</v>
      </c>
      <c r="AI13" s="87">
        <f t="shared" si="4"/>
        <v>1.0784273896137531E-2</v>
      </c>
      <c r="AJ13" s="87">
        <f t="shared" si="4"/>
        <v>0</v>
      </c>
      <c r="AK13" s="87">
        <f t="shared" si="4"/>
        <v>-3.2815639652934341E-3</v>
      </c>
      <c r="AL13" s="87">
        <f t="shared" si="4"/>
        <v>1.2548875653737647E-2</v>
      </c>
      <c r="AM13" s="87">
        <f t="shared" si="4"/>
        <v>-1.8745189880277024E-2</v>
      </c>
      <c r="AN13" s="87">
        <f t="shared" si="4"/>
        <v>5.9203829147068163E-2</v>
      </c>
      <c r="AO13" s="87">
        <f t="shared" si="4"/>
        <v>-6.560639308965055E-2</v>
      </c>
    </row>
    <row r="14" spans="1:42" ht="12.5">
      <c r="A14" s="1307"/>
      <c r="B14" s="98" t="s">
        <v>77</v>
      </c>
      <c r="C14" s="1178" t="s">
        <v>76</v>
      </c>
      <c r="D14" s="1182" t="s">
        <v>817</v>
      </c>
      <c r="E14" s="1183">
        <v>33681139</v>
      </c>
      <c r="F14" s="1184"/>
      <c r="G14" s="1184">
        <v>680000</v>
      </c>
      <c r="H14" s="1184"/>
      <c r="I14" s="1184">
        <v>45818324</v>
      </c>
      <c r="J14" s="1184"/>
      <c r="K14" s="1184">
        <v>32826906</v>
      </c>
      <c r="L14" s="1184">
        <v>20866153</v>
      </c>
      <c r="M14" s="1184">
        <v>23338327</v>
      </c>
      <c r="N14" s="1184">
        <v>55148401</v>
      </c>
      <c r="O14" s="1184"/>
      <c r="P14" s="1184"/>
      <c r="Q14" s="1184">
        <v>31206400</v>
      </c>
      <c r="R14" s="1184">
        <v>67793667</v>
      </c>
      <c r="S14" s="1184">
        <v>36759974</v>
      </c>
      <c r="T14" s="1184">
        <v>9746705</v>
      </c>
      <c r="U14" s="1184"/>
      <c r="V14" s="1209">
        <v>357865996</v>
      </c>
      <c r="W14" s="56"/>
      <c r="X14" s="56"/>
      <c r="Z14" s="99"/>
      <c r="AA14" s="100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</row>
    <row r="15" spans="1:42">
      <c r="A15" s="1307"/>
      <c r="B15" s="102"/>
      <c r="C15" s="1187"/>
      <c r="D15" s="1186" t="s">
        <v>818</v>
      </c>
      <c r="E15" s="1180">
        <v>34354762</v>
      </c>
      <c r="F15" s="14"/>
      <c r="G15" s="14">
        <v>680000</v>
      </c>
      <c r="H15" s="14"/>
      <c r="I15" s="14">
        <v>45142840</v>
      </c>
      <c r="J15" s="14"/>
      <c r="K15" s="14">
        <v>37860100</v>
      </c>
      <c r="L15" s="14">
        <v>20495273</v>
      </c>
      <c r="M15" s="14">
        <v>22566445</v>
      </c>
      <c r="N15" s="14">
        <v>55527028</v>
      </c>
      <c r="O15" s="14"/>
      <c r="P15" s="14"/>
      <c r="Q15" s="14">
        <v>31563400</v>
      </c>
      <c r="R15" s="14">
        <v>67516728</v>
      </c>
      <c r="S15" s="14">
        <v>37735131</v>
      </c>
      <c r="T15" s="14">
        <v>8240177</v>
      </c>
      <c r="U15" s="14"/>
      <c r="V15" s="1208">
        <v>361681884</v>
      </c>
      <c r="Y15" s="103"/>
      <c r="Z15" s="85">
        <f t="shared" ref="Z15:AO15" si="5">IF(E14&gt;0,((E15-E14)/E14),)</f>
        <v>2.0000006531845613E-2</v>
      </c>
      <c r="AA15" s="86">
        <f t="shared" si="5"/>
        <v>0</v>
      </c>
      <c r="AB15" s="87">
        <f t="shared" si="5"/>
        <v>0</v>
      </c>
      <c r="AC15" s="87">
        <f t="shared" si="5"/>
        <v>0</v>
      </c>
      <c r="AD15" s="87">
        <f t="shared" si="5"/>
        <v>-1.4742660600156391E-2</v>
      </c>
      <c r="AE15" s="87">
        <f t="shared" si="5"/>
        <v>0</v>
      </c>
      <c r="AF15" s="87">
        <f t="shared" si="5"/>
        <v>0.15332526312409706</v>
      </c>
      <c r="AG15" s="88">
        <f t="shared" si="5"/>
        <v>-1.7774239458514467E-2</v>
      </c>
      <c r="AH15" s="87">
        <f t="shared" si="5"/>
        <v>-3.3073578924487604E-2</v>
      </c>
      <c r="AI15" s="87">
        <f t="shared" si="5"/>
        <v>6.8656025040508429E-3</v>
      </c>
      <c r="AJ15" s="87">
        <f t="shared" si="5"/>
        <v>0</v>
      </c>
      <c r="AK15" s="87">
        <f t="shared" si="5"/>
        <v>0</v>
      </c>
      <c r="AL15" s="87">
        <f t="shared" si="5"/>
        <v>1.1439961033634127E-2</v>
      </c>
      <c r="AM15" s="87">
        <f t="shared" si="5"/>
        <v>-4.0850275881964019E-3</v>
      </c>
      <c r="AN15" s="87">
        <f t="shared" si="5"/>
        <v>2.6527684704020737E-2</v>
      </c>
      <c r="AO15" s="87">
        <f t="shared" si="5"/>
        <v>-0.1545679283409111</v>
      </c>
    </row>
    <row r="16" spans="1:42" ht="12.5">
      <c r="A16" s="1307"/>
      <c r="B16" s="98" t="s">
        <v>752</v>
      </c>
      <c r="C16" s="1178" t="s">
        <v>381</v>
      </c>
      <c r="D16" s="1178" t="s">
        <v>817</v>
      </c>
      <c r="E16" s="1178"/>
      <c r="F16" s="1179"/>
      <c r="G16" s="1179"/>
      <c r="H16" s="1179"/>
      <c r="I16" s="1179">
        <v>5855190</v>
      </c>
      <c r="J16" s="1179"/>
      <c r="K16" s="1179"/>
      <c r="L16" s="1179"/>
      <c r="M16" s="1179"/>
      <c r="N16" s="1179"/>
      <c r="O16" s="1179"/>
      <c r="P16" s="1179"/>
      <c r="Q16" s="1179"/>
      <c r="R16" s="1179">
        <v>24445695</v>
      </c>
      <c r="S16" s="1179"/>
      <c r="T16" s="1179">
        <v>6763442</v>
      </c>
      <c r="U16" s="1179"/>
      <c r="V16" s="1207">
        <v>37064327</v>
      </c>
      <c r="W16" s="56"/>
      <c r="X16" s="56"/>
      <c r="Y16" s="77"/>
      <c r="Z16" s="99"/>
      <c r="AA16" s="100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</row>
    <row r="17" spans="1:41">
      <c r="A17" s="1307"/>
      <c r="B17" s="53"/>
      <c r="C17" s="1185"/>
      <c r="D17" s="1180" t="s">
        <v>818</v>
      </c>
      <c r="E17" s="1180"/>
      <c r="F17" s="14"/>
      <c r="G17" s="14"/>
      <c r="H17" s="14"/>
      <c r="I17" s="14">
        <v>5849684</v>
      </c>
      <c r="J17" s="14"/>
      <c r="K17" s="14"/>
      <c r="L17" s="14"/>
      <c r="M17" s="14"/>
      <c r="N17" s="14"/>
      <c r="O17" s="14"/>
      <c r="P17" s="14"/>
      <c r="Q17" s="14"/>
      <c r="R17" s="14">
        <v>26992096</v>
      </c>
      <c r="S17" s="14"/>
      <c r="T17" s="14">
        <v>6423918</v>
      </c>
      <c r="U17" s="14"/>
      <c r="V17" s="1208">
        <v>39265698</v>
      </c>
      <c r="Z17" s="85">
        <f t="shared" ref="Z17:AO17" si="6">IF(E16&gt;0,((E17-E16)/E16),)</f>
        <v>0</v>
      </c>
      <c r="AA17" s="86">
        <f t="shared" si="6"/>
        <v>0</v>
      </c>
      <c r="AB17" s="87">
        <f t="shared" si="6"/>
        <v>0</v>
      </c>
      <c r="AC17" s="87">
        <f t="shared" si="6"/>
        <v>0</v>
      </c>
      <c r="AD17" s="87">
        <f t="shared" si="6"/>
        <v>-9.4036231104370656E-4</v>
      </c>
      <c r="AE17" s="87">
        <f t="shared" si="6"/>
        <v>0</v>
      </c>
      <c r="AF17" s="87">
        <f t="shared" si="6"/>
        <v>0</v>
      </c>
      <c r="AG17" s="87">
        <f t="shared" si="6"/>
        <v>0</v>
      </c>
      <c r="AH17" s="87">
        <f t="shared" si="6"/>
        <v>0</v>
      </c>
      <c r="AI17" s="87">
        <f t="shared" si="6"/>
        <v>0</v>
      </c>
      <c r="AJ17" s="87">
        <f t="shared" si="6"/>
        <v>0</v>
      </c>
      <c r="AK17" s="87">
        <f t="shared" si="6"/>
        <v>0</v>
      </c>
      <c r="AL17" s="87">
        <f t="shared" si="6"/>
        <v>0</v>
      </c>
      <c r="AM17" s="87">
        <f t="shared" si="6"/>
        <v>0.10416562098152661</v>
      </c>
      <c r="AN17" s="87">
        <f t="shared" si="6"/>
        <v>0</v>
      </c>
      <c r="AO17" s="88">
        <f t="shared" si="6"/>
        <v>-5.0199883432134114E-2</v>
      </c>
    </row>
    <row r="18" spans="1:41">
      <c r="A18" s="1307"/>
      <c r="B18" s="98" t="s">
        <v>79</v>
      </c>
      <c r="C18" s="1178" t="s">
        <v>78</v>
      </c>
      <c r="D18" s="1178" t="s">
        <v>817</v>
      </c>
      <c r="E18" s="1178">
        <v>12100125</v>
      </c>
      <c r="F18" s="1179"/>
      <c r="G18" s="1179">
        <v>4084272</v>
      </c>
      <c r="H18" s="1179"/>
      <c r="I18" s="1179">
        <v>13944801</v>
      </c>
      <c r="J18" s="1179">
        <v>8717100</v>
      </c>
      <c r="K18" s="1179"/>
      <c r="L18" s="1179">
        <v>23615565</v>
      </c>
      <c r="M18" s="1179">
        <v>32519011</v>
      </c>
      <c r="N18" s="1179"/>
      <c r="O18" s="1179"/>
      <c r="P18" s="1179">
        <v>3347613</v>
      </c>
      <c r="Q18" s="1179"/>
      <c r="R18" s="1179"/>
      <c r="S18" s="1179">
        <v>24149502</v>
      </c>
      <c r="T18" s="1179">
        <v>5968415</v>
      </c>
      <c r="U18" s="1179"/>
      <c r="V18" s="1207">
        <v>128446404</v>
      </c>
      <c r="W18" s="56"/>
      <c r="X18" s="56"/>
      <c r="Y18" s="103"/>
      <c r="Z18" s="99"/>
      <c r="AA18" s="100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</row>
    <row r="19" spans="1:41">
      <c r="A19" s="1307"/>
      <c r="B19" s="102"/>
      <c r="C19" s="1185"/>
      <c r="D19" s="1180" t="s">
        <v>818</v>
      </c>
      <c r="E19" s="1180">
        <v>12100125</v>
      </c>
      <c r="F19" s="14"/>
      <c r="G19" s="14">
        <v>4166822</v>
      </c>
      <c r="H19" s="14"/>
      <c r="I19" s="14">
        <v>13484632</v>
      </c>
      <c r="J19" s="14">
        <v>8717100</v>
      </c>
      <c r="K19" s="14"/>
      <c r="L19" s="14">
        <v>22066489</v>
      </c>
      <c r="M19" s="14">
        <v>31640151</v>
      </c>
      <c r="N19" s="14"/>
      <c r="O19" s="14"/>
      <c r="P19" s="14">
        <v>3347613</v>
      </c>
      <c r="Q19" s="14"/>
      <c r="R19" s="14"/>
      <c r="S19" s="14">
        <v>25158765</v>
      </c>
      <c r="T19" s="14">
        <v>5683614</v>
      </c>
      <c r="U19" s="14"/>
      <c r="V19" s="1208">
        <v>126365311</v>
      </c>
      <c r="Y19" s="77"/>
      <c r="Z19" s="104">
        <f t="shared" ref="Z19:AO19" si="7">IF(E18&gt;0,((E19-E18)/E18),)</f>
        <v>0</v>
      </c>
      <c r="AA19" s="86">
        <f t="shared" si="7"/>
        <v>0</v>
      </c>
      <c r="AB19" s="87">
        <f t="shared" si="7"/>
        <v>2.0211680319038496E-2</v>
      </c>
      <c r="AC19" s="87">
        <f t="shared" si="7"/>
        <v>0</v>
      </c>
      <c r="AD19" s="87">
        <f t="shared" si="7"/>
        <v>-3.299932354717719E-2</v>
      </c>
      <c r="AE19" s="88">
        <f t="shared" si="7"/>
        <v>0</v>
      </c>
      <c r="AF19" s="87">
        <f t="shared" si="7"/>
        <v>0</v>
      </c>
      <c r="AG19" s="87">
        <f t="shared" si="7"/>
        <v>-6.559555106981349E-2</v>
      </c>
      <c r="AH19" s="87">
        <f t="shared" si="7"/>
        <v>-2.7026037169457583E-2</v>
      </c>
      <c r="AI19" s="87">
        <f t="shared" si="7"/>
        <v>0</v>
      </c>
      <c r="AJ19" s="87">
        <f t="shared" si="7"/>
        <v>0</v>
      </c>
      <c r="AK19" s="88">
        <f t="shared" si="7"/>
        <v>0</v>
      </c>
      <c r="AL19" s="87">
        <f t="shared" si="7"/>
        <v>0</v>
      </c>
      <c r="AM19" s="87">
        <f t="shared" si="7"/>
        <v>0</v>
      </c>
      <c r="AN19" s="87">
        <f t="shared" si="7"/>
        <v>4.179229037518041E-2</v>
      </c>
      <c r="AO19" s="87">
        <f t="shared" si="7"/>
        <v>-4.7718028990946508E-2</v>
      </c>
    </row>
    <row r="20" spans="1:41" ht="12.5">
      <c r="A20" s="1307"/>
      <c r="B20" s="98" t="s">
        <v>820</v>
      </c>
      <c r="C20" s="1178" t="s">
        <v>99</v>
      </c>
      <c r="D20" s="1178" t="s">
        <v>817</v>
      </c>
      <c r="E20" s="1178">
        <v>0</v>
      </c>
      <c r="F20" s="1179"/>
      <c r="G20" s="1179"/>
      <c r="H20" s="1179"/>
      <c r="I20" s="1179"/>
      <c r="J20" s="1179"/>
      <c r="K20" s="1179"/>
      <c r="L20" s="1179"/>
      <c r="M20" s="1179"/>
      <c r="N20" s="1179"/>
      <c r="O20" s="1179"/>
      <c r="P20" s="1179">
        <v>40577001</v>
      </c>
      <c r="Q20" s="1179"/>
      <c r="R20" s="1179"/>
      <c r="S20" s="1179"/>
      <c r="T20" s="1179">
        <v>3094520</v>
      </c>
      <c r="U20" s="1179"/>
      <c r="V20" s="1207">
        <v>43671521</v>
      </c>
      <c r="W20" s="56"/>
      <c r="X20" s="56"/>
      <c r="Z20" s="99"/>
      <c r="AA20" s="100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</row>
    <row r="21" spans="1:41">
      <c r="A21" s="1307"/>
      <c r="B21" s="102"/>
      <c r="C21" s="1185"/>
      <c r="D21" s="1180" t="s">
        <v>818</v>
      </c>
      <c r="E21" s="1180">
        <v>0</v>
      </c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>
        <v>36841719</v>
      </c>
      <c r="Q21" s="14"/>
      <c r="R21" s="14"/>
      <c r="S21" s="14"/>
      <c r="T21" s="14">
        <v>3094520</v>
      </c>
      <c r="U21" s="14"/>
      <c r="V21" s="1208">
        <v>39936239</v>
      </c>
      <c r="Y21" s="103"/>
      <c r="Z21" s="104">
        <f t="shared" ref="Z21:AO21" si="8">IF(E20&gt;0,((E21-E20)/E20),)</f>
        <v>0</v>
      </c>
      <c r="AA21" s="86">
        <f t="shared" si="8"/>
        <v>0</v>
      </c>
      <c r="AB21" s="87">
        <f t="shared" si="8"/>
        <v>0</v>
      </c>
      <c r="AC21" s="88">
        <f t="shared" si="8"/>
        <v>0</v>
      </c>
      <c r="AD21" s="87">
        <f t="shared" si="8"/>
        <v>0</v>
      </c>
      <c r="AE21" s="87">
        <f t="shared" si="8"/>
        <v>0</v>
      </c>
      <c r="AF21" s="87">
        <f t="shared" si="8"/>
        <v>0</v>
      </c>
      <c r="AG21" s="87">
        <f t="shared" si="8"/>
        <v>0</v>
      </c>
      <c r="AH21" s="87">
        <f t="shared" si="8"/>
        <v>0</v>
      </c>
      <c r="AI21" s="87">
        <f t="shared" si="8"/>
        <v>0</v>
      </c>
      <c r="AJ21" s="87">
        <f t="shared" si="8"/>
        <v>0</v>
      </c>
      <c r="AK21" s="87">
        <f t="shared" si="8"/>
        <v>-9.2054166349060648E-2</v>
      </c>
      <c r="AL21" s="87">
        <f t="shared" si="8"/>
        <v>0</v>
      </c>
      <c r="AM21" s="87">
        <f t="shared" si="8"/>
        <v>0</v>
      </c>
      <c r="AN21" s="87">
        <f t="shared" si="8"/>
        <v>0</v>
      </c>
      <c r="AO21" s="87">
        <f t="shared" si="8"/>
        <v>0</v>
      </c>
    </row>
    <row r="22" spans="1:41">
      <c r="A22" s="1307"/>
      <c r="B22" s="70" t="s">
        <v>821</v>
      </c>
      <c r="C22" s="1178" t="s">
        <v>118</v>
      </c>
      <c r="D22" s="1182" t="s">
        <v>817</v>
      </c>
      <c r="E22" s="1183">
        <v>0</v>
      </c>
      <c r="F22" s="1184"/>
      <c r="G22" s="1184"/>
      <c r="H22" s="1184"/>
      <c r="I22" s="1184">
        <v>0</v>
      </c>
      <c r="J22" s="1184"/>
      <c r="K22" s="1184">
        <v>0</v>
      </c>
      <c r="L22" s="1184"/>
      <c r="M22" s="1184">
        <v>0</v>
      </c>
      <c r="N22" s="1184">
        <v>0</v>
      </c>
      <c r="O22" s="1184"/>
      <c r="P22" s="1184"/>
      <c r="Q22" s="1184"/>
      <c r="R22" s="1184">
        <v>0</v>
      </c>
      <c r="S22" s="1184">
        <v>0</v>
      </c>
      <c r="T22" s="1184">
        <v>0</v>
      </c>
      <c r="U22" s="1184"/>
      <c r="V22" s="1209">
        <v>0</v>
      </c>
      <c r="W22" s="56"/>
      <c r="X22" s="56"/>
      <c r="Y22" s="77"/>
      <c r="Z22" s="99"/>
      <c r="AA22" s="100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</row>
    <row r="23" spans="1:41">
      <c r="A23" s="1307"/>
      <c r="B23" s="53"/>
      <c r="C23" s="1185"/>
      <c r="D23" s="1186" t="s">
        <v>818</v>
      </c>
      <c r="E23" s="1180">
        <v>0</v>
      </c>
      <c r="F23" s="14"/>
      <c r="G23" s="14"/>
      <c r="H23" s="14"/>
      <c r="I23" s="14">
        <v>0</v>
      </c>
      <c r="J23" s="14"/>
      <c r="K23" s="14">
        <v>0</v>
      </c>
      <c r="L23" s="14"/>
      <c r="M23" s="14">
        <v>0</v>
      </c>
      <c r="N23" s="14">
        <v>0</v>
      </c>
      <c r="O23" s="14"/>
      <c r="P23" s="14"/>
      <c r="Q23" s="14"/>
      <c r="R23" s="14">
        <v>0</v>
      </c>
      <c r="S23" s="14">
        <v>0</v>
      </c>
      <c r="T23" s="14">
        <v>0</v>
      </c>
      <c r="U23" s="14"/>
      <c r="V23" s="1208">
        <v>0</v>
      </c>
      <c r="Z23" s="85">
        <f t="shared" ref="Z23:AO23" si="9">IF(E22&gt;0,((E23-E22)/E22),)</f>
        <v>0</v>
      </c>
      <c r="AA23" s="86">
        <f t="shared" si="9"/>
        <v>0</v>
      </c>
      <c r="AB23" s="87">
        <f t="shared" si="9"/>
        <v>0</v>
      </c>
      <c r="AC23" s="87">
        <f t="shared" si="9"/>
        <v>0</v>
      </c>
      <c r="AD23" s="87">
        <f t="shared" si="9"/>
        <v>0</v>
      </c>
      <c r="AE23" s="87">
        <f t="shared" si="9"/>
        <v>0</v>
      </c>
      <c r="AF23" s="87">
        <f t="shared" si="9"/>
        <v>0</v>
      </c>
      <c r="AG23" s="87">
        <f t="shared" si="9"/>
        <v>0</v>
      </c>
      <c r="AH23" s="87">
        <f t="shared" si="9"/>
        <v>0</v>
      </c>
      <c r="AI23" s="87">
        <f t="shared" si="9"/>
        <v>0</v>
      </c>
      <c r="AJ23" s="87">
        <f t="shared" si="9"/>
        <v>0</v>
      </c>
      <c r="AK23" s="87">
        <f t="shared" si="9"/>
        <v>0</v>
      </c>
      <c r="AL23" s="87">
        <f t="shared" si="9"/>
        <v>0</v>
      </c>
      <c r="AM23" s="87">
        <f t="shared" si="9"/>
        <v>0</v>
      </c>
      <c r="AN23" s="87">
        <f t="shared" si="9"/>
        <v>0</v>
      </c>
      <c r="AO23" s="87">
        <f t="shared" si="9"/>
        <v>0</v>
      </c>
    </row>
    <row r="24" spans="1:41">
      <c r="A24" s="1307"/>
      <c r="B24" s="98" t="s">
        <v>70</v>
      </c>
      <c r="C24" s="1178" t="s">
        <v>336</v>
      </c>
      <c r="D24" s="1182" t="s">
        <v>817</v>
      </c>
      <c r="E24" s="1183"/>
      <c r="F24" s="1184"/>
      <c r="G24" s="1184"/>
      <c r="H24" s="1184"/>
      <c r="I24" s="1184"/>
      <c r="J24" s="1184">
        <v>9570200</v>
      </c>
      <c r="K24" s="1184">
        <v>532721</v>
      </c>
      <c r="L24" s="1184"/>
      <c r="M24" s="1184">
        <v>693876</v>
      </c>
      <c r="N24" s="1184">
        <v>59533231.600000001</v>
      </c>
      <c r="O24" s="1184"/>
      <c r="P24" s="1184"/>
      <c r="Q24" s="1184"/>
      <c r="R24" s="1184">
        <v>115718016</v>
      </c>
      <c r="S24" s="1184"/>
      <c r="T24" s="1184">
        <v>4641102</v>
      </c>
      <c r="U24" s="1184"/>
      <c r="V24" s="1209">
        <v>190689146.59999999</v>
      </c>
      <c r="W24" s="56"/>
      <c r="X24" s="56"/>
      <c r="Y24" s="103"/>
      <c r="Z24" s="99"/>
      <c r="AA24" s="100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</row>
    <row r="25" spans="1:41">
      <c r="A25" s="1307"/>
      <c r="B25" s="102"/>
      <c r="C25" s="1187"/>
      <c r="D25" s="1186" t="s">
        <v>818</v>
      </c>
      <c r="E25" s="1180"/>
      <c r="F25" s="14"/>
      <c r="G25" s="14"/>
      <c r="H25" s="14"/>
      <c r="I25" s="14"/>
      <c r="J25" s="14">
        <v>8734500</v>
      </c>
      <c r="K25" s="14">
        <v>216362</v>
      </c>
      <c r="L25" s="14"/>
      <c r="M25" s="14">
        <v>683468</v>
      </c>
      <c r="N25" s="14">
        <v>60126547</v>
      </c>
      <c r="O25" s="14"/>
      <c r="P25" s="14"/>
      <c r="Q25" s="14"/>
      <c r="R25" s="14">
        <v>58114178</v>
      </c>
      <c r="S25" s="14"/>
      <c r="T25" s="14">
        <v>4721102</v>
      </c>
      <c r="U25" s="14"/>
      <c r="V25" s="1208">
        <v>132596157</v>
      </c>
      <c r="Y25" s="77"/>
      <c r="Z25" s="85">
        <f t="shared" ref="Z25:AO25" si="10">IF(E24&gt;0,((E25-E24)/E24),)</f>
        <v>0</v>
      </c>
      <c r="AA25" s="86">
        <f t="shared" si="10"/>
        <v>0</v>
      </c>
      <c r="AB25" s="87">
        <f t="shared" si="10"/>
        <v>0</v>
      </c>
      <c r="AC25" s="87">
        <f t="shared" si="10"/>
        <v>0</v>
      </c>
      <c r="AD25" s="87">
        <f t="shared" si="10"/>
        <v>0</v>
      </c>
      <c r="AE25" s="87">
        <f t="shared" si="10"/>
        <v>-8.7323148941505918E-2</v>
      </c>
      <c r="AF25" s="87">
        <f t="shared" si="10"/>
        <v>-0.59385494470839328</v>
      </c>
      <c r="AG25" s="87">
        <f t="shared" si="10"/>
        <v>0</v>
      </c>
      <c r="AH25" s="87">
        <f t="shared" si="10"/>
        <v>-1.4999798234843114E-2</v>
      </c>
      <c r="AI25" s="87">
        <f t="shared" si="10"/>
        <v>9.9661211739091697E-3</v>
      </c>
      <c r="AJ25" s="87">
        <f t="shared" si="10"/>
        <v>0</v>
      </c>
      <c r="AK25" s="87">
        <f t="shared" si="10"/>
        <v>0</v>
      </c>
      <c r="AL25" s="87">
        <f t="shared" si="10"/>
        <v>0</v>
      </c>
      <c r="AM25" s="87">
        <f t="shared" si="10"/>
        <v>-0.49779489824644074</v>
      </c>
      <c r="AN25" s="87">
        <f t="shared" si="10"/>
        <v>0</v>
      </c>
      <c r="AO25" s="87">
        <f t="shared" si="10"/>
        <v>1.7237285455049253E-2</v>
      </c>
    </row>
    <row r="26" spans="1:41" ht="12.5">
      <c r="A26" s="1307"/>
      <c r="B26" s="98" t="s">
        <v>72</v>
      </c>
      <c r="C26" s="1178" t="s">
        <v>685</v>
      </c>
      <c r="D26" s="1178" t="s">
        <v>817</v>
      </c>
      <c r="E26" s="1178"/>
      <c r="F26" s="1179"/>
      <c r="G26" s="1179"/>
      <c r="H26" s="1179"/>
      <c r="I26" s="1179"/>
      <c r="J26" s="1179"/>
      <c r="K26" s="1179"/>
      <c r="L26" s="1179"/>
      <c r="M26" s="1179"/>
      <c r="N26" s="1179">
        <v>149742885</v>
      </c>
      <c r="O26" s="1179"/>
      <c r="P26" s="1179"/>
      <c r="Q26" s="1179"/>
      <c r="R26" s="1179"/>
      <c r="S26" s="1179"/>
      <c r="T26" s="1179">
        <v>234086</v>
      </c>
      <c r="U26" s="1179"/>
      <c r="V26" s="1207">
        <v>149976971</v>
      </c>
      <c r="W26" s="56"/>
      <c r="X26" s="56"/>
      <c r="Z26" s="99"/>
      <c r="AA26" s="100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</row>
    <row r="27" spans="1:41">
      <c r="A27" s="1307"/>
      <c r="B27" s="53"/>
      <c r="C27" s="1185"/>
      <c r="D27" s="1180" t="s">
        <v>818</v>
      </c>
      <c r="E27" s="1180"/>
      <c r="F27" s="14"/>
      <c r="G27" s="14"/>
      <c r="H27" s="14"/>
      <c r="I27" s="14"/>
      <c r="J27" s="14"/>
      <c r="K27" s="14"/>
      <c r="L27" s="14"/>
      <c r="M27" s="14"/>
      <c r="N27" s="14">
        <v>159092474</v>
      </c>
      <c r="O27" s="14"/>
      <c r="P27" s="14"/>
      <c r="Q27" s="14"/>
      <c r="R27" s="14"/>
      <c r="S27" s="14"/>
      <c r="T27" s="14">
        <v>234086</v>
      </c>
      <c r="U27" s="14"/>
      <c r="V27" s="1208">
        <v>159326560</v>
      </c>
      <c r="Y27" s="103"/>
      <c r="Z27" s="85">
        <f t="shared" ref="Z27:AO27" si="11">IF(E26&gt;0,((E27-E26)/E26),)</f>
        <v>0</v>
      </c>
      <c r="AA27" s="86">
        <f t="shared" si="11"/>
        <v>0</v>
      </c>
      <c r="AB27" s="87">
        <f t="shared" si="11"/>
        <v>0</v>
      </c>
      <c r="AC27" s="87">
        <f t="shared" si="11"/>
        <v>0</v>
      </c>
      <c r="AD27" s="87">
        <f t="shared" si="11"/>
        <v>0</v>
      </c>
      <c r="AE27" s="87">
        <f t="shared" si="11"/>
        <v>0</v>
      </c>
      <c r="AF27" s="87">
        <f t="shared" si="11"/>
        <v>0</v>
      </c>
      <c r="AG27" s="87">
        <f t="shared" si="11"/>
        <v>0</v>
      </c>
      <c r="AH27" s="87">
        <f t="shared" si="11"/>
        <v>0</v>
      </c>
      <c r="AI27" s="87">
        <f t="shared" si="11"/>
        <v>6.2437617653753635E-2</v>
      </c>
      <c r="AJ27" s="87">
        <f t="shared" si="11"/>
        <v>0</v>
      </c>
      <c r="AK27" s="87">
        <f t="shared" si="11"/>
        <v>0</v>
      </c>
      <c r="AL27" s="87">
        <f t="shared" si="11"/>
        <v>0</v>
      </c>
      <c r="AM27" s="87">
        <f t="shared" si="11"/>
        <v>0</v>
      </c>
      <c r="AN27" s="87">
        <f t="shared" si="11"/>
        <v>0</v>
      </c>
      <c r="AO27" s="87">
        <f t="shared" si="11"/>
        <v>0</v>
      </c>
    </row>
    <row r="28" spans="1:41" ht="12.5">
      <c r="A28" s="1307"/>
      <c r="B28" s="98" t="s">
        <v>75</v>
      </c>
      <c r="C28" s="1178" t="s">
        <v>199</v>
      </c>
      <c r="D28" s="1178" t="s">
        <v>817</v>
      </c>
      <c r="E28" s="1178"/>
      <c r="F28" s="1179">
        <v>70123228</v>
      </c>
      <c r="G28" s="1179"/>
      <c r="H28" s="1179"/>
      <c r="I28" s="1179"/>
      <c r="J28" s="1179"/>
      <c r="K28" s="1179"/>
      <c r="L28" s="1179"/>
      <c r="M28" s="1179"/>
      <c r="N28" s="1179"/>
      <c r="O28" s="1179"/>
      <c r="P28" s="1179"/>
      <c r="Q28" s="1179"/>
      <c r="R28" s="1179"/>
      <c r="S28" s="1179"/>
      <c r="T28" s="1179"/>
      <c r="U28" s="1179"/>
      <c r="V28" s="1207">
        <v>70123228</v>
      </c>
      <c r="W28" s="56"/>
      <c r="X28" s="56"/>
      <c r="Y28" s="77"/>
      <c r="Z28" s="99"/>
      <c r="AA28" s="100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</row>
    <row r="29" spans="1:41">
      <c r="A29" s="1307"/>
      <c r="B29" s="102"/>
      <c r="C29" s="1185"/>
      <c r="D29" s="1180" t="s">
        <v>818</v>
      </c>
      <c r="E29" s="1180"/>
      <c r="F29" s="14">
        <v>72190502</v>
      </c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208">
        <v>72190502</v>
      </c>
      <c r="Z29" s="85">
        <f t="shared" ref="Z29:AO29" si="12">IF(E28&gt;0,((E29-E28)/E28),)</f>
        <v>0</v>
      </c>
      <c r="AA29" s="86">
        <f t="shared" si="12"/>
        <v>2.9480588087017329E-2</v>
      </c>
      <c r="AB29" s="87">
        <f t="shared" si="12"/>
        <v>0</v>
      </c>
      <c r="AC29" s="87">
        <f t="shared" si="12"/>
        <v>0</v>
      </c>
      <c r="AD29" s="87">
        <f t="shared" si="12"/>
        <v>0</v>
      </c>
      <c r="AE29" s="87">
        <f t="shared" si="12"/>
        <v>0</v>
      </c>
      <c r="AF29" s="87">
        <f t="shared" si="12"/>
        <v>0</v>
      </c>
      <c r="AG29" s="87">
        <f t="shared" si="12"/>
        <v>0</v>
      </c>
      <c r="AH29" s="87">
        <f t="shared" si="12"/>
        <v>0</v>
      </c>
      <c r="AI29" s="87">
        <f t="shared" si="12"/>
        <v>0</v>
      </c>
      <c r="AJ29" s="87">
        <f t="shared" si="12"/>
        <v>0</v>
      </c>
      <c r="AK29" s="87">
        <f t="shared" si="12"/>
        <v>0</v>
      </c>
      <c r="AL29" s="87">
        <f t="shared" si="12"/>
        <v>0</v>
      </c>
      <c r="AM29" s="87">
        <f t="shared" si="12"/>
        <v>0</v>
      </c>
      <c r="AN29" s="87">
        <f t="shared" si="12"/>
        <v>0</v>
      </c>
      <c r="AO29" s="87">
        <f t="shared" si="12"/>
        <v>0</v>
      </c>
    </row>
    <row r="30" spans="1:41">
      <c r="A30" s="1307"/>
      <c r="B30" s="98" t="s">
        <v>752</v>
      </c>
      <c r="C30" s="1178" t="s">
        <v>749</v>
      </c>
      <c r="D30" s="1178" t="s">
        <v>817</v>
      </c>
      <c r="E30" s="1178"/>
      <c r="F30" s="1179"/>
      <c r="G30" s="1179"/>
      <c r="H30" s="1179"/>
      <c r="I30" s="1179"/>
      <c r="J30" s="1179"/>
      <c r="K30" s="1179"/>
      <c r="L30" s="1179"/>
      <c r="M30" s="1179"/>
      <c r="N30" s="1179"/>
      <c r="O30" s="1179"/>
      <c r="P30" s="1179"/>
      <c r="Q30" s="1179"/>
      <c r="R30" s="1179">
        <v>9680819</v>
      </c>
      <c r="S30" s="1179"/>
      <c r="T30" s="1179"/>
      <c r="U30" s="1179"/>
      <c r="V30" s="1207">
        <v>9680819</v>
      </c>
      <c r="W30" s="56"/>
      <c r="X30" s="56"/>
      <c r="Y30" s="103"/>
      <c r="Z30" s="99"/>
      <c r="AA30" s="100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</row>
    <row r="31" spans="1:41">
      <c r="A31" s="1307"/>
      <c r="B31" s="53"/>
      <c r="C31" s="1185"/>
      <c r="D31" s="1180" t="s">
        <v>818</v>
      </c>
      <c r="E31" s="1180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>
        <v>9698523</v>
      </c>
      <c r="S31" s="14"/>
      <c r="T31" s="14"/>
      <c r="U31" s="14"/>
      <c r="V31" s="1208">
        <v>9698523</v>
      </c>
      <c r="Y31" s="77"/>
      <c r="Z31" s="85">
        <f t="shared" ref="Z31:AO31" si="13">IF(E30&gt;0,((E31-E30)/E30),)</f>
        <v>0</v>
      </c>
      <c r="AA31" s="86">
        <f t="shared" si="13"/>
        <v>0</v>
      </c>
      <c r="AB31" s="87">
        <f t="shared" si="13"/>
        <v>0</v>
      </c>
      <c r="AC31" s="87">
        <f t="shared" si="13"/>
        <v>0</v>
      </c>
      <c r="AD31" s="87">
        <f t="shared" si="13"/>
        <v>0</v>
      </c>
      <c r="AE31" s="87">
        <f t="shared" si="13"/>
        <v>0</v>
      </c>
      <c r="AF31" s="87">
        <f t="shared" si="13"/>
        <v>0</v>
      </c>
      <c r="AG31" s="87">
        <f t="shared" si="13"/>
        <v>0</v>
      </c>
      <c r="AH31" s="87">
        <f t="shared" si="13"/>
        <v>0</v>
      </c>
      <c r="AI31" s="87">
        <f t="shared" si="13"/>
        <v>0</v>
      </c>
      <c r="AJ31" s="87">
        <f t="shared" si="13"/>
        <v>0</v>
      </c>
      <c r="AK31" s="87">
        <f t="shared" si="13"/>
        <v>0</v>
      </c>
      <c r="AL31" s="87">
        <f t="shared" si="13"/>
        <v>0</v>
      </c>
      <c r="AM31" s="87">
        <f t="shared" si="13"/>
        <v>1.8287708922148014E-3</v>
      </c>
      <c r="AN31" s="87">
        <f t="shared" si="13"/>
        <v>0</v>
      </c>
      <c r="AO31" s="87">
        <f t="shared" si="13"/>
        <v>0</v>
      </c>
    </row>
    <row r="32" spans="1:41" ht="12.5">
      <c r="A32" s="1307"/>
      <c r="B32" s="98" t="s">
        <v>79</v>
      </c>
      <c r="C32" s="1178" t="s">
        <v>120</v>
      </c>
      <c r="D32" s="1182" t="s">
        <v>817</v>
      </c>
      <c r="E32" s="1183">
        <v>7403241</v>
      </c>
      <c r="F32" s="1184">
        <v>4378781</v>
      </c>
      <c r="G32" s="1184"/>
      <c r="H32" s="1184"/>
      <c r="I32" s="1184">
        <v>44326727</v>
      </c>
      <c r="J32" s="1184"/>
      <c r="K32" s="1184">
        <v>19726023</v>
      </c>
      <c r="L32" s="1184"/>
      <c r="M32" s="1184"/>
      <c r="N32" s="1184">
        <v>4800000</v>
      </c>
      <c r="O32" s="1184"/>
      <c r="P32" s="1184"/>
      <c r="Q32" s="1184"/>
      <c r="R32" s="1184"/>
      <c r="S32" s="1184">
        <v>65325439</v>
      </c>
      <c r="T32" s="1184"/>
      <c r="U32" s="1184"/>
      <c r="V32" s="1209">
        <v>145960211</v>
      </c>
      <c r="W32" s="56"/>
      <c r="X32" s="56"/>
      <c r="Z32" s="99"/>
      <c r="AA32" s="100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</row>
    <row r="33" spans="1:41">
      <c r="A33" s="1307"/>
      <c r="B33" s="78"/>
      <c r="C33" s="1187"/>
      <c r="D33" s="1186" t="s">
        <v>818</v>
      </c>
      <c r="E33" s="1180">
        <v>8403241</v>
      </c>
      <c r="F33" s="14">
        <v>4783596</v>
      </c>
      <c r="G33" s="14"/>
      <c r="H33" s="14"/>
      <c r="I33" s="14">
        <v>44042999</v>
      </c>
      <c r="J33" s="14"/>
      <c r="K33" s="14">
        <v>21854484</v>
      </c>
      <c r="L33" s="14"/>
      <c r="M33" s="14"/>
      <c r="N33" s="14">
        <v>4900000</v>
      </c>
      <c r="O33" s="14"/>
      <c r="P33" s="14"/>
      <c r="Q33" s="14"/>
      <c r="R33" s="14"/>
      <c r="S33" s="14">
        <v>60772683</v>
      </c>
      <c r="T33" s="14"/>
      <c r="U33" s="14"/>
      <c r="V33" s="1208">
        <v>144757003</v>
      </c>
      <c r="Y33" s="103"/>
      <c r="Z33" s="85">
        <f t="shared" ref="Z33:AO33" si="14">IF(E32&gt;0,((E33-E32)/E32),)</f>
        <v>0.13507597550856443</v>
      </c>
      <c r="AA33" s="86">
        <f t="shared" si="14"/>
        <v>9.2449245577707589E-2</v>
      </c>
      <c r="AB33" s="87">
        <f t="shared" si="14"/>
        <v>0</v>
      </c>
      <c r="AC33" s="88">
        <f t="shared" si="14"/>
        <v>0</v>
      </c>
      <c r="AD33" s="87">
        <f t="shared" si="14"/>
        <v>-6.4008335196956909E-3</v>
      </c>
      <c r="AE33" s="87">
        <f t="shared" si="14"/>
        <v>0</v>
      </c>
      <c r="AF33" s="87">
        <f t="shared" si="14"/>
        <v>0.10790117196963625</v>
      </c>
      <c r="AG33" s="87">
        <f t="shared" si="14"/>
        <v>0</v>
      </c>
      <c r="AH33" s="87">
        <f t="shared" si="14"/>
        <v>0</v>
      </c>
      <c r="AI33" s="87">
        <f t="shared" si="14"/>
        <v>2.0833333333333332E-2</v>
      </c>
      <c r="AJ33" s="87">
        <f t="shared" si="14"/>
        <v>0</v>
      </c>
      <c r="AK33" s="87">
        <f t="shared" si="14"/>
        <v>0</v>
      </c>
      <c r="AL33" s="87">
        <f t="shared" si="14"/>
        <v>0</v>
      </c>
      <c r="AM33" s="87">
        <f t="shared" si="14"/>
        <v>0</v>
      </c>
      <c r="AN33" s="88">
        <f t="shared" si="14"/>
        <v>-6.9693461991124167E-2</v>
      </c>
      <c r="AO33" s="87">
        <f t="shared" si="14"/>
        <v>0</v>
      </c>
    </row>
    <row r="34" spans="1:41" ht="12.5">
      <c r="A34" s="1307"/>
      <c r="B34" s="98" t="s">
        <v>822</v>
      </c>
      <c r="C34" s="1178" t="s">
        <v>123</v>
      </c>
      <c r="D34" s="1178" t="s">
        <v>817</v>
      </c>
      <c r="E34" s="1178">
        <v>65705043</v>
      </c>
      <c r="F34" s="1179"/>
      <c r="G34" s="1179"/>
      <c r="H34" s="1179"/>
      <c r="I34" s="1179"/>
      <c r="J34" s="1179"/>
      <c r="K34" s="1179">
        <v>0</v>
      </c>
      <c r="L34" s="1179"/>
      <c r="M34" s="1179"/>
      <c r="N34" s="1179">
        <v>20637626</v>
      </c>
      <c r="O34" s="1179"/>
      <c r="P34" s="1179"/>
      <c r="Q34" s="1179"/>
      <c r="R34" s="1179">
        <v>17890385</v>
      </c>
      <c r="S34" s="1179">
        <v>0</v>
      </c>
      <c r="T34" s="1179"/>
      <c r="U34" s="1179"/>
      <c r="V34" s="1207">
        <v>104233054</v>
      </c>
      <c r="W34" s="56"/>
      <c r="X34" s="56"/>
      <c r="Y34" s="77"/>
      <c r="Z34" s="99"/>
      <c r="AA34" s="100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</row>
    <row r="35" spans="1:41">
      <c r="A35" s="1307"/>
      <c r="B35" s="102"/>
      <c r="C35" s="1185"/>
      <c r="D35" s="1180" t="s">
        <v>818</v>
      </c>
      <c r="E35" s="1180">
        <v>71328428</v>
      </c>
      <c r="F35" s="14"/>
      <c r="G35" s="14"/>
      <c r="H35" s="14"/>
      <c r="I35" s="14"/>
      <c r="J35" s="14"/>
      <c r="K35" s="14">
        <v>0</v>
      </c>
      <c r="L35" s="14"/>
      <c r="M35" s="14"/>
      <c r="N35" s="14">
        <v>21747289</v>
      </c>
      <c r="O35" s="14"/>
      <c r="P35" s="14"/>
      <c r="Q35" s="14"/>
      <c r="R35" s="14">
        <v>16890385</v>
      </c>
      <c r="S35" s="14">
        <v>0</v>
      </c>
      <c r="T35" s="14"/>
      <c r="U35" s="14"/>
      <c r="V35" s="1208">
        <v>109966102</v>
      </c>
      <c r="Z35" s="104">
        <f t="shared" ref="Z35:AO35" si="15">IF(E34&gt;0,((E35-E34)/E34),)</f>
        <v>8.5585287570696819E-2</v>
      </c>
      <c r="AA35" s="86">
        <f t="shared" si="15"/>
        <v>0</v>
      </c>
      <c r="AB35" s="87">
        <f t="shared" si="15"/>
        <v>0</v>
      </c>
      <c r="AC35" s="87">
        <f t="shared" si="15"/>
        <v>0</v>
      </c>
      <c r="AD35" s="87">
        <f t="shared" si="15"/>
        <v>0</v>
      </c>
      <c r="AE35" s="87">
        <f t="shared" si="15"/>
        <v>0</v>
      </c>
      <c r="AF35" s="87">
        <f t="shared" si="15"/>
        <v>0</v>
      </c>
      <c r="AG35" s="87">
        <f t="shared" si="15"/>
        <v>0</v>
      </c>
      <c r="AH35" s="87">
        <f t="shared" si="15"/>
        <v>0</v>
      </c>
      <c r="AI35" s="87">
        <f t="shared" si="15"/>
        <v>5.3768926716667893E-2</v>
      </c>
      <c r="AJ35" s="87">
        <f t="shared" si="15"/>
        <v>0</v>
      </c>
      <c r="AK35" s="87">
        <f t="shared" si="15"/>
        <v>0</v>
      </c>
      <c r="AL35" s="87">
        <f t="shared" si="15"/>
        <v>0</v>
      </c>
      <c r="AM35" s="87">
        <f t="shared" si="15"/>
        <v>-5.5895946342127349E-2</v>
      </c>
      <c r="AN35" s="87">
        <f t="shared" si="15"/>
        <v>0</v>
      </c>
      <c r="AO35" s="87">
        <f t="shared" si="15"/>
        <v>0</v>
      </c>
    </row>
    <row r="36" spans="1:41">
      <c r="A36" s="1307"/>
      <c r="B36" s="70" t="s">
        <v>823</v>
      </c>
      <c r="C36" s="1213" t="s">
        <v>64</v>
      </c>
      <c r="D36" s="1214" t="s">
        <v>817</v>
      </c>
      <c r="E36" s="1183">
        <v>589946377</v>
      </c>
      <c r="F36" s="1184"/>
      <c r="G36" s="1184"/>
      <c r="H36" s="1184"/>
      <c r="I36" s="1184">
        <v>328200286</v>
      </c>
      <c r="J36" s="1184">
        <v>167763667.947465</v>
      </c>
      <c r="K36" s="1184">
        <v>0</v>
      </c>
      <c r="L36" s="1184"/>
      <c r="M36" s="1184">
        <v>32633659</v>
      </c>
      <c r="N36" s="1184">
        <v>465611774.13999999</v>
      </c>
      <c r="O36" s="1184"/>
      <c r="P36" s="1184">
        <v>19091833</v>
      </c>
      <c r="Q36" s="1184">
        <v>64685800</v>
      </c>
      <c r="R36" s="1184">
        <v>1904951770</v>
      </c>
      <c r="S36" s="1184">
        <v>202773505</v>
      </c>
      <c r="T36" s="1184">
        <v>189540155</v>
      </c>
      <c r="U36" s="1184"/>
      <c r="V36" s="1209">
        <v>3965198827.0874648</v>
      </c>
      <c r="W36" s="56"/>
      <c r="X36" s="56"/>
      <c r="Y36" s="103"/>
      <c r="Z36" s="99"/>
      <c r="AA36" s="100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</row>
    <row r="37" spans="1:41">
      <c r="A37" s="1307"/>
      <c r="B37" s="53"/>
      <c r="C37" s="1187"/>
      <c r="D37" s="1186" t="s">
        <v>818</v>
      </c>
      <c r="E37" s="1180">
        <v>609032993</v>
      </c>
      <c r="F37" s="14"/>
      <c r="G37" s="14"/>
      <c r="H37" s="14"/>
      <c r="I37" s="14">
        <v>316901284</v>
      </c>
      <c r="J37" s="14">
        <v>173709776.8102614</v>
      </c>
      <c r="K37" s="14">
        <v>0</v>
      </c>
      <c r="L37" s="14"/>
      <c r="M37" s="14">
        <v>32019701</v>
      </c>
      <c r="N37" s="14">
        <v>482701571</v>
      </c>
      <c r="O37" s="14"/>
      <c r="P37" s="14">
        <v>19091833</v>
      </c>
      <c r="Q37" s="14">
        <v>65295850</v>
      </c>
      <c r="R37" s="14">
        <v>1968538385</v>
      </c>
      <c r="S37" s="14">
        <v>206833477</v>
      </c>
      <c r="T37" s="14">
        <v>191552721</v>
      </c>
      <c r="U37" s="14"/>
      <c r="V37" s="1208">
        <v>4065677591.8102617</v>
      </c>
      <c r="Y37" s="77"/>
      <c r="Z37" s="85">
        <f t="shared" ref="Z37:AO37" si="16">IF(E36&gt;0,((E37-E36)/E36),)</f>
        <v>3.2353137071642703E-2</v>
      </c>
      <c r="AA37" s="86">
        <f t="shared" si="16"/>
        <v>0</v>
      </c>
      <c r="AB37" s="87">
        <f t="shared" si="16"/>
        <v>0</v>
      </c>
      <c r="AC37" s="87">
        <f t="shared" si="16"/>
        <v>0</v>
      </c>
      <c r="AD37" s="88">
        <f t="shared" si="16"/>
        <v>-3.4427154643003569E-2</v>
      </c>
      <c r="AE37" s="88">
        <f t="shared" si="16"/>
        <v>3.5443364678092358E-2</v>
      </c>
      <c r="AF37" s="87">
        <f t="shared" si="16"/>
        <v>0</v>
      </c>
      <c r="AG37" s="87">
        <f t="shared" si="16"/>
        <v>0</v>
      </c>
      <c r="AH37" s="87">
        <f t="shared" si="16"/>
        <v>-1.8813642687140905E-2</v>
      </c>
      <c r="AI37" s="87">
        <f t="shared" si="16"/>
        <v>3.6703961989718627E-2</v>
      </c>
      <c r="AJ37" s="87">
        <f t="shared" si="16"/>
        <v>0</v>
      </c>
      <c r="AK37" s="87">
        <f t="shared" si="16"/>
        <v>0</v>
      </c>
      <c r="AL37" s="87">
        <f t="shared" si="16"/>
        <v>9.4309724854604871E-3</v>
      </c>
      <c r="AM37" s="87">
        <f t="shared" si="16"/>
        <v>3.3379645616959636E-2</v>
      </c>
      <c r="AN37" s="87">
        <f t="shared" si="16"/>
        <v>2.0022201618500404E-2</v>
      </c>
      <c r="AO37" s="87">
        <f t="shared" si="16"/>
        <v>1.0618151071998438E-2</v>
      </c>
    </row>
    <row r="38" spans="1:41">
      <c r="A38" s="1307"/>
      <c r="B38" s="111" t="s">
        <v>824</v>
      </c>
      <c r="C38" s="1178" t="s">
        <v>238</v>
      </c>
      <c r="D38" s="1178" t="s">
        <v>817</v>
      </c>
      <c r="E38" s="1178"/>
      <c r="F38" s="1179">
        <v>155617924</v>
      </c>
      <c r="G38" s="1179"/>
      <c r="H38" s="1179"/>
      <c r="I38" s="1179"/>
      <c r="J38" s="1179"/>
      <c r="K38" s="1179">
        <v>234561427</v>
      </c>
      <c r="L38" s="1179">
        <v>414531862</v>
      </c>
      <c r="M38" s="1179"/>
      <c r="N38" s="1179"/>
      <c r="O38" s="1179"/>
      <c r="P38" s="1179">
        <v>179462204</v>
      </c>
      <c r="Q38" s="1179">
        <v>284161055</v>
      </c>
      <c r="R38" s="1179"/>
      <c r="S38" s="1179"/>
      <c r="T38" s="1179">
        <v>45533785</v>
      </c>
      <c r="U38" s="1179"/>
      <c r="V38" s="1207">
        <v>1313868257</v>
      </c>
      <c r="W38" s="56"/>
      <c r="X38" s="56"/>
      <c r="Z38" s="76"/>
      <c r="AA38" s="100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</row>
    <row r="39" spans="1:41">
      <c r="A39" s="1308"/>
      <c r="B39" s="102"/>
      <c r="C39" s="1185"/>
      <c r="D39" s="1180" t="s">
        <v>818</v>
      </c>
      <c r="E39" s="1180"/>
      <c r="F39" s="14">
        <v>157796026</v>
      </c>
      <c r="G39" s="14"/>
      <c r="H39" s="14"/>
      <c r="I39" s="14"/>
      <c r="J39" s="14"/>
      <c r="K39" s="14">
        <v>222218811</v>
      </c>
      <c r="L39" s="14">
        <v>409759326</v>
      </c>
      <c r="M39" s="14"/>
      <c r="N39" s="14"/>
      <c r="O39" s="14"/>
      <c r="P39" s="14">
        <v>186238135</v>
      </c>
      <c r="Q39" s="14">
        <v>287196122</v>
      </c>
      <c r="R39" s="14"/>
      <c r="S39" s="14"/>
      <c r="T39" s="14">
        <v>45533785</v>
      </c>
      <c r="U39" s="14"/>
      <c r="V39" s="1208">
        <v>1308742205</v>
      </c>
      <c r="Y39" s="103"/>
      <c r="Z39" s="85">
        <f t="shared" ref="Z39:AO39" si="17">IF(E38&gt;0,((E39-E38)/E38),)</f>
        <v>0</v>
      </c>
      <c r="AA39" s="86">
        <f t="shared" si="17"/>
        <v>1.3996472540014092E-2</v>
      </c>
      <c r="AB39" s="87">
        <f t="shared" si="17"/>
        <v>0</v>
      </c>
      <c r="AC39" s="87">
        <f t="shared" si="17"/>
        <v>0</v>
      </c>
      <c r="AD39" s="87">
        <f t="shared" si="17"/>
        <v>0</v>
      </c>
      <c r="AE39" s="87">
        <f t="shared" si="17"/>
        <v>0</v>
      </c>
      <c r="AF39" s="87">
        <f t="shared" si="17"/>
        <v>-5.2619973189368431E-2</v>
      </c>
      <c r="AG39" s="87">
        <f t="shared" si="17"/>
        <v>-1.1513073993815221E-2</v>
      </c>
      <c r="AH39" s="87">
        <f t="shared" si="17"/>
        <v>0</v>
      </c>
      <c r="AI39" s="87">
        <f t="shared" si="17"/>
        <v>0</v>
      </c>
      <c r="AJ39" s="87">
        <f t="shared" si="17"/>
        <v>0</v>
      </c>
      <c r="AK39" s="88">
        <f t="shared" si="17"/>
        <v>3.7756869407443584E-2</v>
      </c>
      <c r="AL39" s="87">
        <f t="shared" si="17"/>
        <v>1.0680798605565424E-2</v>
      </c>
      <c r="AM39" s="87">
        <f t="shared" si="17"/>
        <v>0</v>
      </c>
      <c r="AN39" s="87">
        <f t="shared" si="17"/>
        <v>0</v>
      </c>
      <c r="AO39" s="87">
        <f t="shared" si="17"/>
        <v>0</v>
      </c>
    </row>
    <row r="40" spans="1:41" ht="12.75" customHeight="1">
      <c r="A40" s="1305" t="s">
        <v>825</v>
      </c>
      <c r="B40" s="112" t="s">
        <v>826</v>
      </c>
      <c r="C40" s="1213" t="s">
        <v>116</v>
      </c>
      <c r="D40" s="1214" t="s">
        <v>817</v>
      </c>
      <c r="E40" s="1183">
        <v>12543702</v>
      </c>
      <c r="F40" s="1184"/>
      <c r="G40" s="1184"/>
      <c r="H40" s="1184"/>
      <c r="I40" s="1184">
        <v>110735701</v>
      </c>
      <c r="J40" s="1184"/>
      <c r="K40" s="1184"/>
      <c r="L40" s="1184">
        <v>400528443</v>
      </c>
      <c r="M40" s="1184"/>
      <c r="N40" s="1184">
        <v>49870621</v>
      </c>
      <c r="O40" s="1184"/>
      <c r="P40" s="1184"/>
      <c r="Q40" s="1184">
        <v>11435800</v>
      </c>
      <c r="R40" s="1184"/>
      <c r="S40" s="1184">
        <v>50503057</v>
      </c>
      <c r="T40" s="1184"/>
      <c r="U40" s="1184"/>
      <c r="V40" s="1209">
        <v>635617324</v>
      </c>
      <c r="W40" s="56"/>
      <c r="X40" s="56"/>
      <c r="Y40" s="77"/>
      <c r="Z40" s="99"/>
      <c r="AA40" s="100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</row>
    <row r="41" spans="1:41">
      <c r="A41" s="1307"/>
      <c r="B41" s="113"/>
      <c r="C41" s="1187"/>
      <c r="D41" s="1186" t="s">
        <v>818</v>
      </c>
      <c r="E41" s="1180">
        <v>12487245</v>
      </c>
      <c r="F41" s="14"/>
      <c r="G41" s="14"/>
      <c r="H41" s="14"/>
      <c r="I41" s="14">
        <v>100554107.49000001</v>
      </c>
      <c r="J41" s="14"/>
      <c r="K41" s="14"/>
      <c r="L41" s="14">
        <v>413342024</v>
      </c>
      <c r="M41" s="14"/>
      <c r="N41" s="14">
        <v>50610143</v>
      </c>
      <c r="O41" s="14"/>
      <c r="P41" s="14"/>
      <c r="Q41" s="14">
        <v>11912818</v>
      </c>
      <c r="R41" s="14"/>
      <c r="S41" s="14">
        <v>52957062</v>
      </c>
      <c r="T41" s="14"/>
      <c r="U41" s="14"/>
      <c r="V41" s="1208">
        <v>641863399.49000001</v>
      </c>
      <c r="Z41" s="85">
        <f t="shared" ref="Z41:AO41" si="18">IF(E40&gt;0,((E41-E40)/E40),)</f>
        <v>-4.5008243977734804E-3</v>
      </c>
      <c r="AA41" s="86">
        <f t="shared" si="18"/>
        <v>0</v>
      </c>
      <c r="AB41" s="87">
        <f t="shared" si="18"/>
        <v>0</v>
      </c>
      <c r="AC41" s="87">
        <f t="shared" si="18"/>
        <v>0</v>
      </c>
      <c r="AD41" s="88">
        <f t="shared" si="18"/>
        <v>-9.1944995318176473E-2</v>
      </c>
      <c r="AE41" s="87">
        <f t="shared" si="18"/>
        <v>0</v>
      </c>
      <c r="AF41" s="87">
        <f t="shared" si="18"/>
        <v>0</v>
      </c>
      <c r="AG41" s="87">
        <f t="shared" si="18"/>
        <v>3.1991688040991388E-2</v>
      </c>
      <c r="AH41" s="87">
        <f t="shared" si="18"/>
        <v>0</v>
      </c>
      <c r="AI41" s="87">
        <f t="shared" si="18"/>
        <v>1.4828810734079288E-2</v>
      </c>
      <c r="AJ41" s="87">
        <f t="shared" si="18"/>
        <v>0</v>
      </c>
      <c r="AK41" s="87">
        <f t="shared" si="18"/>
        <v>0</v>
      </c>
      <c r="AL41" s="87">
        <f t="shared" si="18"/>
        <v>4.1712691722485526E-2</v>
      </c>
      <c r="AM41" s="87">
        <f t="shared" si="18"/>
        <v>0</v>
      </c>
      <c r="AN41" s="87">
        <f t="shared" si="18"/>
        <v>4.8591216963361245E-2</v>
      </c>
      <c r="AO41" s="87">
        <f t="shared" si="18"/>
        <v>0</v>
      </c>
    </row>
    <row r="42" spans="1:41">
      <c r="A42" s="1307"/>
      <c r="B42" s="112" t="s">
        <v>827</v>
      </c>
      <c r="C42" s="1178" t="s">
        <v>132</v>
      </c>
      <c r="D42" s="1182" t="s">
        <v>817</v>
      </c>
      <c r="E42" s="1183">
        <v>1508067</v>
      </c>
      <c r="F42" s="1184">
        <v>350000</v>
      </c>
      <c r="G42" s="1184">
        <v>1732900</v>
      </c>
      <c r="H42" s="1184"/>
      <c r="I42" s="1184">
        <v>75243613.620000005</v>
      </c>
      <c r="J42" s="1184">
        <v>26646000</v>
      </c>
      <c r="K42" s="1184">
        <v>11864641</v>
      </c>
      <c r="L42" s="1184">
        <v>6000000</v>
      </c>
      <c r="M42" s="1184">
        <v>0</v>
      </c>
      <c r="N42" s="1212">
        <v>16981145</v>
      </c>
      <c r="O42" s="1184"/>
      <c r="P42" s="1184">
        <v>4489995</v>
      </c>
      <c r="Q42" s="1184">
        <v>719900</v>
      </c>
      <c r="R42" s="1184">
        <v>0</v>
      </c>
      <c r="S42" s="1184">
        <v>131525965</v>
      </c>
      <c r="T42" s="1184">
        <v>10170515</v>
      </c>
      <c r="U42" s="1184">
        <v>1630000</v>
      </c>
      <c r="V42" s="1209">
        <v>288862741.62</v>
      </c>
      <c r="W42" s="56"/>
      <c r="X42" s="56"/>
      <c r="Y42" s="103"/>
      <c r="Z42" s="99"/>
      <c r="AA42" s="100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</row>
    <row r="43" spans="1:41">
      <c r="A43" s="1307"/>
      <c r="B43" s="115"/>
      <c r="C43" s="1187"/>
      <c r="D43" s="1186" t="s">
        <v>818</v>
      </c>
      <c r="E43" s="1180">
        <v>1663067</v>
      </c>
      <c r="F43" s="14">
        <v>350000</v>
      </c>
      <c r="G43" s="14">
        <v>1732900</v>
      </c>
      <c r="H43" s="14"/>
      <c r="I43" s="14">
        <v>70044356.00999999</v>
      </c>
      <c r="J43" s="14">
        <v>26278500</v>
      </c>
      <c r="K43" s="14">
        <v>10231673</v>
      </c>
      <c r="L43" s="14">
        <v>6000000</v>
      </c>
      <c r="M43" s="14">
        <v>0</v>
      </c>
      <c r="N43" s="1202">
        <v>30485758</v>
      </c>
      <c r="O43" s="14"/>
      <c r="P43" s="14">
        <v>4489995</v>
      </c>
      <c r="Q43" s="14">
        <v>741800</v>
      </c>
      <c r="R43" s="14">
        <v>0</v>
      </c>
      <c r="S43" s="14">
        <v>143506492</v>
      </c>
      <c r="T43" s="14">
        <v>8000515</v>
      </c>
      <c r="U43" s="14">
        <v>1630000</v>
      </c>
      <c r="V43" s="1208">
        <v>305155056.00999999</v>
      </c>
      <c r="Y43" s="77"/>
      <c r="Z43" s="88">
        <f t="shared" ref="Z43:AO43" si="19">IF(E42&gt;0,((E43-E42)/E42),)</f>
        <v>0.10278057937744145</v>
      </c>
      <c r="AA43" s="86">
        <f t="shared" si="19"/>
        <v>0</v>
      </c>
      <c r="AB43" s="87">
        <f t="shared" si="19"/>
        <v>0</v>
      </c>
      <c r="AC43" s="87">
        <f t="shared" si="19"/>
        <v>0</v>
      </c>
      <c r="AD43" s="87">
        <f t="shared" si="19"/>
        <v>-6.9098988736208622E-2</v>
      </c>
      <c r="AE43" s="87">
        <f t="shared" si="19"/>
        <v>-1.3791938752533213E-2</v>
      </c>
      <c r="AF43" s="87">
        <f t="shared" si="19"/>
        <v>-0.13763315721057215</v>
      </c>
      <c r="AG43" s="87">
        <f t="shared" si="19"/>
        <v>0</v>
      </c>
      <c r="AH43" s="87">
        <f t="shared" si="19"/>
        <v>0</v>
      </c>
      <c r="AI43" s="88">
        <f t="shared" si="19"/>
        <v>0.79527104915481261</v>
      </c>
      <c r="AJ43" s="87">
        <f t="shared" si="19"/>
        <v>0</v>
      </c>
      <c r="AK43" s="87">
        <f t="shared" si="19"/>
        <v>0</v>
      </c>
      <c r="AL43" s="87">
        <f t="shared" si="19"/>
        <v>3.0420891790526462E-2</v>
      </c>
      <c r="AM43" s="87">
        <f t="shared" si="19"/>
        <v>0</v>
      </c>
      <c r="AN43" s="87">
        <f t="shared" si="19"/>
        <v>9.1088683515836585E-2</v>
      </c>
      <c r="AO43" s="87">
        <f t="shared" si="19"/>
        <v>-0.21336186024011566</v>
      </c>
    </row>
    <row r="44" spans="1:41">
      <c r="A44" s="1307"/>
      <c r="B44" s="112" t="s">
        <v>139</v>
      </c>
      <c r="C44" s="1178" t="s">
        <v>138</v>
      </c>
      <c r="D44" s="1182" t="s">
        <v>817</v>
      </c>
      <c r="E44" s="1183">
        <v>0</v>
      </c>
      <c r="F44" s="1184">
        <v>0</v>
      </c>
      <c r="G44" s="1184">
        <v>0</v>
      </c>
      <c r="H44" s="1184">
        <v>0</v>
      </c>
      <c r="I44" s="1184">
        <v>0</v>
      </c>
      <c r="J44" s="1184">
        <v>0</v>
      </c>
      <c r="K44" s="1184">
        <v>0</v>
      </c>
      <c r="L44" s="1184">
        <v>0</v>
      </c>
      <c r="M44" s="1184">
        <v>0</v>
      </c>
      <c r="N44" s="1184">
        <v>0</v>
      </c>
      <c r="O44" s="1184">
        <v>126934163</v>
      </c>
      <c r="P44" s="1184">
        <v>0</v>
      </c>
      <c r="Q44" s="1184">
        <v>0</v>
      </c>
      <c r="R44" s="1184">
        <v>0</v>
      </c>
      <c r="S44" s="1184">
        <v>0</v>
      </c>
      <c r="T44" s="1184">
        <v>0</v>
      </c>
      <c r="U44" s="1184"/>
      <c r="V44" s="1209">
        <v>126934163</v>
      </c>
      <c r="W44" s="56"/>
      <c r="X44" s="56"/>
      <c r="Z44" s="99"/>
      <c r="AA44" s="100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</row>
    <row r="45" spans="1:41">
      <c r="A45" s="1307"/>
      <c r="B45" s="113"/>
      <c r="C45" s="1185"/>
      <c r="D45" s="1186" t="s">
        <v>818</v>
      </c>
      <c r="E45" s="1180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111811643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/>
      <c r="V45" s="1208">
        <v>111811643</v>
      </c>
      <c r="Y45" s="103"/>
      <c r="Z45" s="85">
        <f t="shared" ref="Z45:AO45" si="20">IF(E44&gt;0,((E45-E44)/E44),)</f>
        <v>0</v>
      </c>
      <c r="AA45" s="86">
        <f t="shared" si="20"/>
        <v>0</v>
      </c>
      <c r="AB45" s="87">
        <f t="shared" si="20"/>
        <v>0</v>
      </c>
      <c r="AC45" s="87">
        <f t="shared" si="20"/>
        <v>0</v>
      </c>
      <c r="AD45" s="87">
        <f t="shared" si="20"/>
        <v>0</v>
      </c>
      <c r="AE45" s="87">
        <f t="shared" si="20"/>
        <v>0</v>
      </c>
      <c r="AF45" s="87">
        <f t="shared" si="20"/>
        <v>0</v>
      </c>
      <c r="AG45" s="87">
        <f t="shared" si="20"/>
        <v>0</v>
      </c>
      <c r="AH45" s="87">
        <f t="shared" si="20"/>
        <v>0</v>
      </c>
      <c r="AI45" s="87">
        <f t="shared" si="20"/>
        <v>0</v>
      </c>
      <c r="AJ45" s="87">
        <f t="shared" si="20"/>
        <v>-0.11913672129385688</v>
      </c>
      <c r="AK45" s="87">
        <f t="shared" si="20"/>
        <v>0</v>
      </c>
      <c r="AL45" s="87">
        <f t="shared" si="20"/>
        <v>0</v>
      </c>
      <c r="AM45" s="87">
        <f t="shared" si="20"/>
        <v>0</v>
      </c>
      <c r="AN45" s="87">
        <f t="shared" si="20"/>
        <v>0</v>
      </c>
      <c r="AO45" s="87">
        <f t="shared" si="20"/>
        <v>0</v>
      </c>
    </row>
    <row r="46" spans="1:41" ht="12.5">
      <c r="A46" s="1307"/>
      <c r="B46" s="116" t="s">
        <v>141</v>
      </c>
      <c r="C46" s="1178" t="s">
        <v>140</v>
      </c>
      <c r="D46" s="1182" t="s">
        <v>817</v>
      </c>
      <c r="E46" s="1183">
        <v>3598466</v>
      </c>
      <c r="F46" s="1184">
        <v>9970052</v>
      </c>
      <c r="G46" s="1184">
        <v>381200</v>
      </c>
      <c r="H46" s="1184"/>
      <c r="I46" s="1184">
        <v>11017100</v>
      </c>
      <c r="J46" s="1184">
        <v>5830700</v>
      </c>
      <c r="K46" s="1184">
        <v>11658202</v>
      </c>
      <c r="L46" s="1184">
        <v>19551549</v>
      </c>
      <c r="M46" s="1184">
        <v>7371089</v>
      </c>
      <c r="N46" s="1184">
        <v>33802925</v>
      </c>
      <c r="O46" s="1184"/>
      <c r="P46" s="1184">
        <v>4042665</v>
      </c>
      <c r="Q46" s="1184">
        <v>32517800</v>
      </c>
      <c r="R46" s="1184">
        <v>215397292.77000001</v>
      </c>
      <c r="S46" s="1184">
        <v>7658118</v>
      </c>
      <c r="T46" s="1184">
        <v>7348198</v>
      </c>
      <c r="U46" s="1184"/>
      <c r="V46" s="1209">
        <v>370145356.76999998</v>
      </c>
      <c r="W46" s="56"/>
      <c r="X46" s="56"/>
      <c r="Y46" s="77"/>
      <c r="Z46" s="99"/>
      <c r="AA46" s="100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</row>
    <row r="47" spans="1:41">
      <c r="A47" s="1307"/>
      <c r="B47" s="113"/>
      <c r="C47" s="1187"/>
      <c r="D47" s="1186" t="s">
        <v>818</v>
      </c>
      <c r="E47" s="1180">
        <v>4068466</v>
      </c>
      <c r="F47" s="14">
        <v>10226515</v>
      </c>
      <c r="G47" s="14">
        <v>381200</v>
      </c>
      <c r="H47" s="14"/>
      <c r="I47" s="14">
        <v>10821119</v>
      </c>
      <c r="J47" s="14">
        <v>4341100</v>
      </c>
      <c r="K47" s="14">
        <v>12685677</v>
      </c>
      <c r="L47" s="14">
        <v>20050755</v>
      </c>
      <c r="M47" s="14">
        <v>7241934</v>
      </c>
      <c r="N47" s="14">
        <v>30363320</v>
      </c>
      <c r="O47" s="14"/>
      <c r="P47" s="14">
        <v>4042665</v>
      </c>
      <c r="Q47" s="14">
        <v>27096800</v>
      </c>
      <c r="R47" s="14">
        <v>300956005.56</v>
      </c>
      <c r="S47" s="14">
        <v>7471303</v>
      </c>
      <c r="T47" s="14">
        <v>7349657</v>
      </c>
      <c r="U47" s="14"/>
      <c r="V47" s="1208">
        <v>447096516.56</v>
      </c>
      <c r="Z47" s="87">
        <f t="shared" ref="Z47:AO47" si="21">IF(E46&gt;0,((E47-E46)/E46),)</f>
        <v>0.13061121044356122</v>
      </c>
      <c r="AA47" s="86">
        <f t="shared" si="21"/>
        <v>2.5723336247393695E-2</v>
      </c>
      <c r="AB47" s="87">
        <f t="shared" si="21"/>
        <v>0</v>
      </c>
      <c r="AC47" s="88">
        <f t="shared" si="21"/>
        <v>0</v>
      </c>
      <c r="AD47" s="88">
        <f t="shared" si="21"/>
        <v>-1.7788801045647222E-2</v>
      </c>
      <c r="AE47" s="87">
        <f t="shared" si="21"/>
        <v>-0.25547532886274377</v>
      </c>
      <c r="AF47" s="88">
        <f t="shared" si="21"/>
        <v>8.8133230149897906E-2</v>
      </c>
      <c r="AG47" s="87">
        <f t="shared" si="21"/>
        <v>2.5532810725124644E-2</v>
      </c>
      <c r="AH47" s="87">
        <f t="shared" si="21"/>
        <v>-1.7521834290699787E-2</v>
      </c>
      <c r="AI47" s="87">
        <f t="shared" si="21"/>
        <v>-0.10175465584709016</v>
      </c>
      <c r="AJ47" s="87">
        <f t="shared" si="21"/>
        <v>0</v>
      </c>
      <c r="AK47" s="87">
        <f t="shared" si="21"/>
        <v>0</v>
      </c>
      <c r="AL47" s="87">
        <f t="shared" si="21"/>
        <v>-0.16670869493016133</v>
      </c>
      <c r="AM47" s="88">
        <f t="shared" si="21"/>
        <v>0.3972135011063444</v>
      </c>
      <c r="AN47" s="88">
        <f t="shared" si="21"/>
        <v>-2.4394374701460594E-2</v>
      </c>
      <c r="AO47" s="88">
        <f t="shared" si="21"/>
        <v>1.9855208038759979E-4</v>
      </c>
    </row>
    <row r="48" spans="1:41">
      <c r="A48" s="1307"/>
      <c r="B48" s="116" t="s">
        <v>143</v>
      </c>
      <c r="C48" s="1178" t="s">
        <v>142</v>
      </c>
      <c r="D48" s="1178" t="s">
        <v>817</v>
      </c>
      <c r="E48" s="1178">
        <v>20424211</v>
      </c>
      <c r="F48" s="1179"/>
      <c r="G48" s="1179">
        <v>12699300</v>
      </c>
      <c r="H48" s="1179">
        <v>2358105.2400000002</v>
      </c>
      <c r="I48" s="1179">
        <v>0</v>
      </c>
      <c r="J48" s="1179">
        <v>25423800</v>
      </c>
      <c r="K48" s="1179">
        <v>20435894</v>
      </c>
      <c r="L48" s="1179"/>
      <c r="M48" s="1179"/>
      <c r="N48" s="1179">
        <v>0</v>
      </c>
      <c r="O48" s="1179">
        <v>0</v>
      </c>
      <c r="P48" s="1179">
        <v>22833718</v>
      </c>
      <c r="Q48" s="1179"/>
      <c r="R48" s="1179">
        <v>9082966</v>
      </c>
      <c r="S48" s="1179">
        <v>32101664</v>
      </c>
      <c r="T48" s="1179">
        <v>738955</v>
      </c>
      <c r="U48" s="1179"/>
      <c r="V48" s="1207">
        <v>146098613.24000001</v>
      </c>
      <c r="W48" s="56"/>
      <c r="X48" s="56"/>
      <c r="Y48" s="103"/>
      <c r="Z48" s="99"/>
      <c r="AA48" s="100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</row>
    <row r="49" spans="1:41">
      <c r="A49" s="1307"/>
      <c r="B49" s="115"/>
      <c r="C49" s="1185"/>
      <c r="D49" s="1180" t="s">
        <v>818</v>
      </c>
      <c r="E49" s="1180">
        <v>25258721</v>
      </c>
      <c r="F49" s="14"/>
      <c r="G49" s="14">
        <v>12591900</v>
      </c>
      <c r="H49" s="14">
        <v>2451005</v>
      </c>
      <c r="I49" s="14">
        <v>0</v>
      </c>
      <c r="J49" s="14">
        <v>26011500</v>
      </c>
      <c r="K49" s="14">
        <v>18416620</v>
      </c>
      <c r="L49" s="14"/>
      <c r="M49" s="14"/>
      <c r="N49" s="14">
        <v>0</v>
      </c>
      <c r="O49" s="14">
        <v>0</v>
      </c>
      <c r="P49" s="14">
        <v>21177353</v>
      </c>
      <c r="Q49" s="14"/>
      <c r="R49" s="14">
        <v>9099871</v>
      </c>
      <c r="S49" s="14">
        <v>33635501</v>
      </c>
      <c r="T49" s="14">
        <v>3238955</v>
      </c>
      <c r="U49" s="14"/>
      <c r="V49" s="1208">
        <v>151881426</v>
      </c>
      <c r="Y49" s="77"/>
      <c r="Z49" s="104">
        <f t="shared" ref="Z49:AO49" si="22">IF(E48&gt;0,((E49-E48)/E48),)</f>
        <v>0.23670485973729904</v>
      </c>
      <c r="AA49" s="86">
        <f t="shared" si="22"/>
        <v>0</v>
      </c>
      <c r="AB49" s="88">
        <f t="shared" si="22"/>
        <v>-8.457159056010962E-3</v>
      </c>
      <c r="AC49" s="88">
        <f t="shared" si="22"/>
        <v>3.9395934678470822E-2</v>
      </c>
      <c r="AD49" s="88">
        <f t="shared" si="22"/>
        <v>0</v>
      </c>
      <c r="AE49" s="88">
        <f t="shared" si="22"/>
        <v>2.3116135274821231E-2</v>
      </c>
      <c r="AF49" s="88">
        <f t="shared" si="22"/>
        <v>-9.8810162158797649E-2</v>
      </c>
      <c r="AG49" s="87">
        <f t="shared" si="22"/>
        <v>0</v>
      </c>
      <c r="AH49" s="87">
        <f t="shared" si="22"/>
        <v>0</v>
      </c>
      <c r="AI49" s="87">
        <f t="shared" si="22"/>
        <v>0</v>
      </c>
      <c r="AJ49" s="87">
        <f t="shared" si="22"/>
        <v>0</v>
      </c>
      <c r="AK49" s="88">
        <f t="shared" si="22"/>
        <v>-7.2540310780749767E-2</v>
      </c>
      <c r="AL49" s="87">
        <f t="shared" si="22"/>
        <v>0</v>
      </c>
      <c r="AM49" s="88">
        <f t="shared" si="22"/>
        <v>1.8611761840790773E-3</v>
      </c>
      <c r="AN49" s="88">
        <f t="shared" si="22"/>
        <v>4.7780607260732653E-2</v>
      </c>
      <c r="AO49" s="87">
        <f t="shared" si="22"/>
        <v>3.3831559431900455</v>
      </c>
    </row>
    <row r="50" spans="1:41" ht="12.5">
      <c r="A50" s="1307"/>
      <c r="B50" s="116" t="s">
        <v>828</v>
      </c>
      <c r="C50" s="1178" t="s">
        <v>145</v>
      </c>
      <c r="D50" s="1182" t="s">
        <v>817</v>
      </c>
      <c r="E50" s="1183">
        <v>272490</v>
      </c>
      <c r="F50" s="1184">
        <v>0</v>
      </c>
      <c r="G50" s="1184">
        <v>368500</v>
      </c>
      <c r="H50" s="1184"/>
      <c r="I50" s="1184">
        <v>708508</v>
      </c>
      <c r="J50" s="1184">
        <v>200000</v>
      </c>
      <c r="K50" s="1184">
        <v>0</v>
      </c>
      <c r="L50" s="1184">
        <v>0</v>
      </c>
      <c r="M50" s="1184">
        <v>0</v>
      </c>
      <c r="N50" s="1184">
        <v>204997</v>
      </c>
      <c r="O50" s="1184"/>
      <c r="P50" s="1184">
        <v>205427</v>
      </c>
      <c r="Q50" s="1184">
        <v>0</v>
      </c>
      <c r="R50" s="1184"/>
      <c r="S50" s="1184">
        <v>0</v>
      </c>
      <c r="T50" s="1184">
        <v>0</v>
      </c>
      <c r="U50" s="1184"/>
      <c r="V50" s="1209">
        <v>1959922</v>
      </c>
      <c r="W50" s="56"/>
      <c r="X50" s="56"/>
      <c r="Z50" s="99"/>
      <c r="AA50" s="100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</row>
    <row r="51" spans="1:41">
      <c r="A51" s="1307"/>
      <c r="B51" s="115"/>
      <c r="C51" s="1185"/>
      <c r="D51" s="1186" t="s">
        <v>818</v>
      </c>
      <c r="E51" s="1180">
        <v>262508</v>
      </c>
      <c r="F51" s="14">
        <v>0</v>
      </c>
      <c r="G51" s="14">
        <v>208508</v>
      </c>
      <c r="H51" s="14"/>
      <c r="I51" s="14">
        <v>708508</v>
      </c>
      <c r="J51" s="14">
        <v>211600</v>
      </c>
      <c r="K51" s="14">
        <v>0</v>
      </c>
      <c r="L51" s="14">
        <v>0</v>
      </c>
      <c r="M51" s="14">
        <v>0</v>
      </c>
      <c r="N51" s="14">
        <v>204997</v>
      </c>
      <c r="O51" s="14"/>
      <c r="P51" s="14">
        <v>208508</v>
      </c>
      <c r="Q51" s="14">
        <v>0</v>
      </c>
      <c r="R51" s="14"/>
      <c r="S51" s="14">
        <v>0</v>
      </c>
      <c r="T51" s="14">
        <v>0</v>
      </c>
      <c r="U51" s="14"/>
      <c r="V51" s="1208">
        <v>1804629</v>
      </c>
      <c r="Y51" s="103"/>
      <c r="Z51" s="85">
        <f t="shared" ref="Z51:AO51" si="23">IF(E50&gt;0,((E51-E50)/E50),)</f>
        <v>-3.6632536973833903E-2</v>
      </c>
      <c r="AA51" s="86">
        <f t="shared" si="23"/>
        <v>0</v>
      </c>
      <c r="AB51" s="88">
        <f t="shared" si="23"/>
        <v>-0.43417096336499322</v>
      </c>
      <c r="AC51" s="87">
        <f t="shared" si="23"/>
        <v>0</v>
      </c>
      <c r="AD51" s="87">
        <f t="shared" si="23"/>
        <v>0</v>
      </c>
      <c r="AE51" s="87">
        <f t="shared" si="23"/>
        <v>5.8000000000000003E-2</v>
      </c>
      <c r="AF51" s="87">
        <f t="shared" si="23"/>
        <v>0</v>
      </c>
      <c r="AG51" s="87">
        <f t="shared" si="23"/>
        <v>0</v>
      </c>
      <c r="AH51" s="87">
        <f t="shared" si="23"/>
        <v>0</v>
      </c>
      <c r="AI51" s="87">
        <f t="shared" si="23"/>
        <v>0</v>
      </c>
      <c r="AJ51" s="87">
        <f t="shared" si="23"/>
        <v>0</v>
      </c>
      <c r="AK51" s="88">
        <f t="shared" si="23"/>
        <v>1.4998028496740935E-2</v>
      </c>
      <c r="AL51" s="87">
        <f t="shared" si="23"/>
        <v>0</v>
      </c>
      <c r="AM51" s="87">
        <f t="shared" si="23"/>
        <v>0</v>
      </c>
      <c r="AN51" s="87">
        <f t="shared" si="23"/>
        <v>0</v>
      </c>
      <c r="AO51" s="87">
        <f t="shared" si="23"/>
        <v>0</v>
      </c>
    </row>
    <row r="52" spans="1:41" ht="12.5">
      <c r="A52" s="1307"/>
      <c r="B52" s="116" t="s">
        <v>829</v>
      </c>
      <c r="C52" s="1178" t="s">
        <v>149</v>
      </c>
      <c r="D52" s="1182" t="s">
        <v>817</v>
      </c>
      <c r="E52" s="1183">
        <v>349561</v>
      </c>
      <c r="F52" s="1184">
        <v>0</v>
      </c>
      <c r="G52" s="1184">
        <v>0</v>
      </c>
      <c r="H52" s="1184"/>
      <c r="I52" s="1184">
        <v>0</v>
      </c>
      <c r="J52" s="1184">
        <v>0</v>
      </c>
      <c r="K52" s="1184">
        <v>10806891</v>
      </c>
      <c r="L52" s="1184">
        <v>0</v>
      </c>
      <c r="M52" s="1184">
        <v>1144696.6299999999</v>
      </c>
      <c r="N52" s="1184">
        <v>0</v>
      </c>
      <c r="O52" s="1184"/>
      <c r="P52" s="1184">
        <v>0</v>
      </c>
      <c r="Q52" s="1184">
        <v>2136400</v>
      </c>
      <c r="R52" s="1184">
        <v>0</v>
      </c>
      <c r="S52" s="1184">
        <v>7231017</v>
      </c>
      <c r="T52" s="1184">
        <v>1613870</v>
      </c>
      <c r="U52" s="1184"/>
      <c r="V52" s="1209">
        <v>23282435.629999999</v>
      </c>
      <c r="W52" s="56"/>
      <c r="X52" s="56"/>
      <c r="Y52" s="77"/>
      <c r="Z52" s="99"/>
      <c r="AA52" s="100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</row>
    <row r="53" spans="1:41">
      <c r="A53" s="1307"/>
      <c r="B53" s="113"/>
      <c r="C53" s="1185"/>
      <c r="D53" s="1186" t="s">
        <v>818</v>
      </c>
      <c r="E53" s="1180">
        <v>575110</v>
      </c>
      <c r="F53" s="14">
        <v>0</v>
      </c>
      <c r="G53" s="14">
        <v>0</v>
      </c>
      <c r="H53" s="14"/>
      <c r="I53" s="14">
        <v>0</v>
      </c>
      <c r="J53" s="14">
        <v>0</v>
      </c>
      <c r="K53" s="14">
        <v>10324187</v>
      </c>
      <c r="L53" s="14">
        <v>0</v>
      </c>
      <c r="M53" s="14">
        <v>1114427</v>
      </c>
      <c r="N53" s="14">
        <v>0</v>
      </c>
      <c r="O53" s="14"/>
      <c r="P53" s="14">
        <v>0</v>
      </c>
      <c r="Q53" s="14">
        <v>2161300</v>
      </c>
      <c r="R53" s="14">
        <v>0</v>
      </c>
      <c r="S53" s="14">
        <v>7231017</v>
      </c>
      <c r="T53" s="14">
        <v>1996881</v>
      </c>
      <c r="U53" s="14"/>
      <c r="V53" s="1208">
        <v>23402922</v>
      </c>
      <c r="Z53" s="104">
        <f t="shared" ref="Z53:AO53" si="24">IF(E52&gt;0,((E53-E52)/E52),)</f>
        <v>0.64523502335786886</v>
      </c>
      <c r="AA53" s="86">
        <f t="shared" si="24"/>
        <v>0</v>
      </c>
      <c r="AB53" s="87">
        <f t="shared" si="24"/>
        <v>0</v>
      </c>
      <c r="AC53" s="87">
        <f t="shared" si="24"/>
        <v>0</v>
      </c>
      <c r="AD53" s="87">
        <f t="shared" si="24"/>
        <v>0</v>
      </c>
      <c r="AE53" s="87">
        <f t="shared" si="24"/>
        <v>0</v>
      </c>
      <c r="AF53" s="88">
        <f t="shared" si="24"/>
        <v>-4.4666315224239792E-2</v>
      </c>
      <c r="AG53" s="87">
        <f t="shared" si="24"/>
        <v>0</v>
      </c>
      <c r="AH53" s="87">
        <f t="shared" si="24"/>
        <v>-2.6443364299936736E-2</v>
      </c>
      <c r="AI53" s="87">
        <f t="shared" si="24"/>
        <v>0</v>
      </c>
      <c r="AJ53" s="87">
        <f t="shared" si="24"/>
        <v>0</v>
      </c>
      <c r="AK53" s="87">
        <f t="shared" si="24"/>
        <v>0</v>
      </c>
      <c r="AL53" s="87">
        <f t="shared" si="24"/>
        <v>1.1655120763901891E-2</v>
      </c>
      <c r="AM53" s="87">
        <f t="shared" si="24"/>
        <v>0</v>
      </c>
      <c r="AN53" s="87">
        <f t="shared" si="24"/>
        <v>0</v>
      </c>
      <c r="AO53" s="87">
        <f t="shared" si="24"/>
        <v>0.23732456765414811</v>
      </c>
    </row>
    <row r="54" spans="1:41">
      <c r="A54" s="1307"/>
      <c r="B54" s="112" t="s">
        <v>306</v>
      </c>
      <c r="C54" s="1178" t="s">
        <v>151</v>
      </c>
      <c r="D54" s="1182" t="s">
        <v>817</v>
      </c>
      <c r="E54" s="1183">
        <v>15705538</v>
      </c>
      <c r="F54" s="1184">
        <v>0</v>
      </c>
      <c r="G54" s="1184">
        <v>0</v>
      </c>
      <c r="H54" s="1184"/>
      <c r="I54" s="1184">
        <v>60780946</v>
      </c>
      <c r="J54" s="1184">
        <v>0</v>
      </c>
      <c r="K54" s="1184">
        <v>0</v>
      </c>
      <c r="L54" s="1184">
        <v>59024905</v>
      </c>
      <c r="M54" s="1184">
        <v>0</v>
      </c>
      <c r="N54" s="1184">
        <v>0</v>
      </c>
      <c r="O54" s="1184"/>
      <c r="P54" s="1184">
        <v>8300000</v>
      </c>
      <c r="Q54" s="1184">
        <v>0</v>
      </c>
      <c r="R54" s="1184">
        <v>48444436</v>
      </c>
      <c r="S54" s="1184">
        <v>0</v>
      </c>
      <c r="T54" s="1184">
        <v>0</v>
      </c>
      <c r="U54" s="1184"/>
      <c r="V54" s="1209">
        <v>192255825</v>
      </c>
      <c r="W54" s="56"/>
      <c r="X54" s="56"/>
      <c r="Y54" s="103"/>
      <c r="Z54" s="99"/>
      <c r="AA54" s="100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</row>
    <row r="55" spans="1:41">
      <c r="A55" s="1307"/>
      <c r="B55" s="113"/>
      <c r="C55" s="1185"/>
      <c r="D55" s="1186" t="s">
        <v>818</v>
      </c>
      <c r="E55" s="1180">
        <v>16930538</v>
      </c>
      <c r="F55" s="14">
        <v>0</v>
      </c>
      <c r="G55" s="14">
        <v>0</v>
      </c>
      <c r="H55" s="14"/>
      <c r="I55" s="14">
        <v>61080740</v>
      </c>
      <c r="J55" s="14">
        <v>0</v>
      </c>
      <c r="K55" s="14">
        <v>0</v>
      </c>
      <c r="L55" s="14">
        <v>59024905</v>
      </c>
      <c r="M55" s="14">
        <v>0</v>
      </c>
      <c r="N55" s="14">
        <v>0</v>
      </c>
      <c r="O55" s="14"/>
      <c r="P55" s="14">
        <v>5697754</v>
      </c>
      <c r="Q55" s="14">
        <v>0</v>
      </c>
      <c r="R55" s="14">
        <v>48426485</v>
      </c>
      <c r="S55" s="14">
        <v>0</v>
      </c>
      <c r="T55" s="14">
        <v>0</v>
      </c>
      <c r="U55" s="14"/>
      <c r="V55" s="1208">
        <v>191160422</v>
      </c>
      <c r="Y55" s="77"/>
      <c r="Z55" s="85">
        <f t="shared" ref="Z55:AO55" si="25">IF(E54&gt;0,((E55-E54)/E54),)</f>
        <v>7.799796479432923E-2</v>
      </c>
      <c r="AA55" s="86">
        <f t="shared" si="25"/>
        <v>0</v>
      </c>
      <c r="AB55" s="87">
        <f t="shared" si="25"/>
        <v>0</v>
      </c>
      <c r="AC55" s="88">
        <f t="shared" si="25"/>
        <v>0</v>
      </c>
      <c r="AD55" s="88">
        <f t="shared" si="25"/>
        <v>4.9323681141784136E-3</v>
      </c>
      <c r="AE55" s="87">
        <f t="shared" si="25"/>
        <v>0</v>
      </c>
      <c r="AF55" s="87">
        <f t="shared" si="25"/>
        <v>0</v>
      </c>
      <c r="AG55" s="87">
        <f t="shared" si="25"/>
        <v>0</v>
      </c>
      <c r="AH55" s="87">
        <f t="shared" si="25"/>
        <v>0</v>
      </c>
      <c r="AI55" s="87">
        <f t="shared" si="25"/>
        <v>0</v>
      </c>
      <c r="AJ55" s="87">
        <f t="shared" si="25"/>
        <v>0</v>
      </c>
      <c r="AK55" s="88">
        <f t="shared" si="25"/>
        <v>-0.31352361445783133</v>
      </c>
      <c r="AL55" s="87">
        <f t="shared" si="25"/>
        <v>0</v>
      </c>
      <c r="AM55" s="87">
        <f t="shared" si="25"/>
        <v>-3.7054822972859048E-4</v>
      </c>
      <c r="AN55" s="87">
        <f t="shared" si="25"/>
        <v>0</v>
      </c>
      <c r="AO55" s="87">
        <f t="shared" si="25"/>
        <v>0</v>
      </c>
    </row>
    <row r="56" spans="1:41">
      <c r="A56" s="1307"/>
      <c r="B56" s="112" t="s">
        <v>307</v>
      </c>
      <c r="C56" s="1178" t="s">
        <v>248</v>
      </c>
      <c r="D56" s="1182" t="s">
        <v>817</v>
      </c>
      <c r="E56" s="1183"/>
      <c r="F56" s="1184">
        <v>0</v>
      </c>
      <c r="G56" s="1184">
        <v>0</v>
      </c>
      <c r="H56" s="1184"/>
      <c r="I56" s="1184">
        <v>0</v>
      </c>
      <c r="J56" s="1184">
        <v>0</v>
      </c>
      <c r="K56" s="1184">
        <v>0</v>
      </c>
      <c r="L56" s="1184">
        <v>0</v>
      </c>
      <c r="M56" s="1184">
        <v>0</v>
      </c>
      <c r="N56" s="1184">
        <v>0</v>
      </c>
      <c r="O56" s="1184"/>
      <c r="P56" s="1184">
        <v>0</v>
      </c>
      <c r="Q56" s="1184">
        <v>0</v>
      </c>
      <c r="R56" s="1184"/>
      <c r="S56" s="1184">
        <v>0</v>
      </c>
      <c r="T56" s="1184">
        <v>0</v>
      </c>
      <c r="U56" s="1184"/>
      <c r="V56" s="1209">
        <v>0</v>
      </c>
      <c r="W56" s="56"/>
      <c r="X56" s="56"/>
      <c r="Z56" s="99"/>
      <c r="AA56" s="100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</row>
    <row r="57" spans="1:41">
      <c r="A57" s="1307"/>
      <c r="B57" s="115"/>
      <c r="C57" s="1185"/>
      <c r="D57" s="1186" t="s">
        <v>818</v>
      </c>
      <c r="E57" s="1180"/>
      <c r="F57" s="14">
        <v>0</v>
      </c>
      <c r="G57" s="14">
        <v>0</v>
      </c>
      <c r="H57" s="14"/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/>
      <c r="P57" s="14">
        <v>0</v>
      </c>
      <c r="Q57" s="14">
        <v>0</v>
      </c>
      <c r="R57" s="14"/>
      <c r="S57" s="14">
        <v>0</v>
      </c>
      <c r="T57" s="14">
        <v>0</v>
      </c>
      <c r="U57" s="14"/>
      <c r="V57" s="1208">
        <v>0</v>
      </c>
      <c r="Y57" s="103"/>
      <c r="Z57" s="85">
        <f t="shared" ref="Z57:AO57" si="26">IF(E56&gt;0,((E57-E56)/E56),)</f>
        <v>0</v>
      </c>
      <c r="AA57" s="86">
        <f t="shared" si="26"/>
        <v>0</v>
      </c>
      <c r="AB57" s="87">
        <f t="shared" si="26"/>
        <v>0</v>
      </c>
      <c r="AC57" s="87">
        <f t="shared" si="26"/>
        <v>0</v>
      </c>
      <c r="AD57" s="87">
        <f t="shared" si="26"/>
        <v>0</v>
      </c>
      <c r="AE57" s="87">
        <f t="shared" si="26"/>
        <v>0</v>
      </c>
      <c r="AF57" s="87">
        <f t="shared" si="26"/>
        <v>0</v>
      </c>
      <c r="AG57" s="87">
        <f t="shared" si="26"/>
        <v>0</v>
      </c>
      <c r="AH57" s="87">
        <f t="shared" si="26"/>
        <v>0</v>
      </c>
      <c r="AI57" s="87">
        <f t="shared" si="26"/>
        <v>0</v>
      </c>
      <c r="AJ57" s="87">
        <f t="shared" si="26"/>
        <v>0</v>
      </c>
      <c r="AK57" s="87">
        <f t="shared" si="26"/>
        <v>0</v>
      </c>
      <c r="AL57" s="87">
        <f t="shared" si="26"/>
        <v>0</v>
      </c>
      <c r="AM57" s="87">
        <f t="shared" si="26"/>
        <v>0</v>
      </c>
      <c r="AN57" s="87">
        <f t="shared" si="26"/>
        <v>0</v>
      </c>
      <c r="AO57" s="87">
        <f t="shared" si="26"/>
        <v>0</v>
      </c>
    </row>
    <row r="58" spans="1:41" ht="12.5">
      <c r="A58" s="1307"/>
      <c r="B58" s="117" t="s">
        <v>830</v>
      </c>
      <c r="C58" s="1178" t="s">
        <v>250</v>
      </c>
      <c r="D58" s="1182" t="s">
        <v>817</v>
      </c>
      <c r="E58" s="1183"/>
      <c r="F58" s="1184">
        <v>444900</v>
      </c>
      <c r="G58" s="1184">
        <v>1980200</v>
      </c>
      <c r="H58" s="1184"/>
      <c r="I58" s="1184">
        <v>460800</v>
      </c>
      <c r="J58" s="1184">
        <v>621600</v>
      </c>
      <c r="K58" s="1184">
        <v>0</v>
      </c>
      <c r="L58" s="1184">
        <v>0</v>
      </c>
      <c r="M58" s="1184">
        <v>460800</v>
      </c>
      <c r="N58" s="1184">
        <v>0</v>
      </c>
      <c r="O58" s="1184"/>
      <c r="P58" s="1184">
        <v>388100</v>
      </c>
      <c r="Q58" s="1184">
        <v>2037900</v>
      </c>
      <c r="R58" s="1184"/>
      <c r="S58" s="1184">
        <v>20000</v>
      </c>
      <c r="T58" s="1184"/>
      <c r="U58" s="1184"/>
      <c r="V58" s="1209">
        <v>6414300</v>
      </c>
      <c r="W58" s="56"/>
      <c r="X58" s="56"/>
      <c r="Y58" s="77"/>
      <c r="Z58" s="99"/>
      <c r="AA58" s="100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</row>
    <row r="59" spans="1:41">
      <c r="A59" s="1307"/>
      <c r="B59" s="118"/>
      <c r="C59" s="1185"/>
      <c r="D59" s="1186" t="s">
        <v>818</v>
      </c>
      <c r="E59" s="1180"/>
      <c r="F59" s="14">
        <v>449700</v>
      </c>
      <c r="G59" s="14">
        <v>1980200</v>
      </c>
      <c r="H59" s="14"/>
      <c r="I59" s="14">
        <v>475200</v>
      </c>
      <c r="J59" s="14">
        <v>569600</v>
      </c>
      <c r="K59" s="14">
        <v>0</v>
      </c>
      <c r="L59" s="14">
        <v>0</v>
      </c>
      <c r="M59" s="14">
        <v>441600</v>
      </c>
      <c r="N59" s="14">
        <v>0</v>
      </c>
      <c r="O59" s="14"/>
      <c r="P59" s="14">
        <v>555600</v>
      </c>
      <c r="Q59" s="14">
        <v>2037900</v>
      </c>
      <c r="R59" s="14"/>
      <c r="S59" s="14">
        <v>20000</v>
      </c>
      <c r="T59" s="14"/>
      <c r="U59" s="14"/>
      <c r="V59" s="1208">
        <v>6529800</v>
      </c>
      <c r="Z59" s="85">
        <f t="shared" ref="Z59:AO59" si="27">IF(E58&gt;0,((E59-E58)/E58),)</f>
        <v>0</v>
      </c>
      <c r="AA59" s="86">
        <f t="shared" si="27"/>
        <v>1.078894133513149E-2</v>
      </c>
      <c r="AB59" s="87">
        <f t="shared" si="27"/>
        <v>0</v>
      </c>
      <c r="AC59" s="87">
        <f t="shared" si="27"/>
        <v>0</v>
      </c>
      <c r="AD59" s="87">
        <f t="shared" si="27"/>
        <v>3.125E-2</v>
      </c>
      <c r="AE59" s="87">
        <f t="shared" si="27"/>
        <v>-8.3655083655083659E-2</v>
      </c>
      <c r="AF59" s="87">
        <f t="shared" si="27"/>
        <v>0</v>
      </c>
      <c r="AG59" s="87">
        <f t="shared" si="27"/>
        <v>0</v>
      </c>
      <c r="AH59" s="88">
        <f t="shared" si="27"/>
        <v>-4.1666666666666664E-2</v>
      </c>
      <c r="AI59" s="87">
        <f t="shared" si="27"/>
        <v>0</v>
      </c>
      <c r="AJ59" s="87">
        <f t="shared" si="27"/>
        <v>0</v>
      </c>
      <c r="AK59" s="87">
        <f t="shared" si="27"/>
        <v>0.43158979644421541</v>
      </c>
      <c r="AL59" s="87">
        <f t="shared" si="27"/>
        <v>0</v>
      </c>
      <c r="AM59" s="87">
        <f t="shared" si="27"/>
        <v>0</v>
      </c>
      <c r="AN59" s="87">
        <f t="shared" si="27"/>
        <v>0</v>
      </c>
      <c r="AO59" s="87">
        <f t="shared" si="27"/>
        <v>0</v>
      </c>
    </row>
    <row r="60" spans="1:41">
      <c r="A60" s="1307"/>
      <c r="B60" s="116" t="s">
        <v>831</v>
      </c>
      <c r="C60" s="1178" t="s">
        <v>258</v>
      </c>
      <c r="D60" s="1182" t="s">
        <v>817</v>
      </c>
      <c r="E60" s="1183"/>
      <c r="F60" s="1184">
        <v>3826050</v>
      </c>
      <c r="G60" s="1184">
        <v>619500</v>
      </c>
      <c r="H60" s="1184"/>
      <c r="I60" s="1184">
        <v>192000</v>
      </c>
      <c r="J60" s="1184">
        <v>4808000</v>
      </c>
      <c r="K60" s="1184">
        <v>976508</v>
      </c>
      <c r="L60" s="1184">
        <v>0</v>
      </c>
      <c r="M60" s="1184">
        <v>124800</v>
      </c>
      <c r="N60" s="1184">
        <v>0</v>
      </c>
      <c r="O60" s="1184"/>
      <c r="P60" s="1184">
        <v>3104050</v>
      </c>
      <c r="Q60" s="1184">
        <v>0</v>
      </c>
      <c r="R60" s="1184"/>
      <c r="S60" s="1184">
        <v>0</v>
      </c>
      <c r="T60" s="1184"/>
      <c r="U60" s="1184"/>
      <c r="V60" s="1209">
        <v>13650908</v>
      </c>
      <c r="W60" s="56"/>
      <c r="X60" s="56"/>
      <c r="Y60" s="103"/>
      <c r="Z60" s="99"/>
      <c r="AA60" s="100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</row>
    <row r="61" spans="1:41">
      <c r="A61" s="1307"/>
      <c r="B61" s="119"/>
      <c r="C61" s="1185"/>
      <c r="D61" s="1186" t="s">
        <v>818</v>
      </c>
      <c r="E61" s="1180"/>
      <c r="F61" s="14">
        <v>3891875</v>
      </c>
      <c r="G61" s="14">
        <v>631500</v>
      </c>
      <c r="H61" s="14"/>
      <c r="I61" s="14">
        <v>198000</v>
      </c>
      <c r="J61" s="14">
        <v>4908800</v>
      </c>
      <c r="K61" s="14">
        <v>976508</v>
      </c>
      <c r="L61" s="14">
        <v>0</v>
      </c>
      <c r="M61" s="14">
        <v>115200</v>
      </c>
      <c r="N61" s="14">
        <v>0</v>
      </c>
      <c r="O61" s="14"/>
      <c r="P61" s="14">
        <v>3111600</v>
      </c>
      <c r="Q61" s="14">
        <v>0</v>
      </c>
      <c r="R61" s="14"/>
      <c r="S61" s="14">
        <v>0</v>
      </c>
      <c r="T61" s="14"/>
      <c r="U61" s="14"/>
      <c r="V61" s="1208">
        <v>13833483</v>
      </c>
      <c r="Y61" s="77"/>
      <c r="Z61" s="85">
        <f t="shared" ref="Z61:AO61" si="28">IF(E60&gt;0,((E61-E60)/E60),)</f>
        <v>0</v>
      </c>
      <c r="AA61" s="86">
        <f t="shared" si="28"/>
        <v>1.7204427542766038E-2</v>
      </c>
      <c r="AB61" s="87">
        <f t="shared" si="28"/>
        <v>1.9370460048426151E-2</v>
      </c>
      <c r="AC61" s="87">
        <f t="shared" si="28"/>
        <v>0</v>
      </c>
      <c r="AD61" s="87">
        <f t="shared" si="28"/>
        <v>3.125E-2</v>
      </c>
      <c r="AE61" s="87">
        <f t="shared" si="28"/>
        <v>2.0965058236272878E-2</v>
      </c>
      <c r="AF61" s="88">
        <f t="shared" si="28"/>
        <v>0</v>
      </c>
      <c r="AG61" s="87">
        <f t="shared" si="28"/>
        <v>0</v>
      </c>
      <c r="AH61" s="88">
        <f t="shared" si="28"/>
        <v>-7.6923076923076927E-2</v>
      </c>
      <c r="AI61" s="87">
        <f t="shared" si="28"/>
        <v>0</v>
      </c>
      <c r="AJ61" s="87">
        <f t="shared" si="28"/>
        <v>0</v>
      </c>
      <c r="AK61" s="87">
        <f t="shared" si="28"/>
        <v>2.432306180634977E-3</v>
      </c>
      <c r="AL61" s="87">
        <f t="shared" si="28"/>
        <v>0</v>
      </c>
      <c r="AM61" s="87">
        <f t="shared" si="28"/>
        <v>0</v>
      </c>
      <c r="AN61" s="87">
        <f t="shared" si="28"/>
        <v>0</v>
      </c>
      <c r="AO61" s="88">
        <f t="shared" si="28"/>
        <v>0</v>
      </c>
    </row>
    <row r="62" spans="1:41" ht="12.5">
      <c r="A62" s="1307"/>
      <c r="B62" s="116" t="s">
        <v>158</v>
      </c>
      <c r="C62" s="1178" t="s">
        <v>157</v>
      </c>
      <c r="D62" s="1182" t="s">
        <v>817</v>
      </c>
      <c r="E62" s="1183">
        <v>0</v>
      </c>
      <c r="F62" s="1184">
        <v>0</v>
      </c>
      <c r="G62" s="1184">
        <v>0</v>
      </c>
      <c r="H62" s="1184"/>
      <c r="I62" s="1184">
        <v>3820783</v>
      </c>
      <c r="J62" s="1184">
        <v>431000</v>
      </c>
      <c r="K62" s="1184">
        <v>0</v>
      </c>
      <c r="L62" s="1184">
        <v>0</v>
      </c>
      <c r="M62" s="1184"/>
      <c r="N62" s="1184">
        <v>0</v>
      </c>
      <c r="O62" s="1184"/>
      <c r="P62" s="1184">
        <v>375000</v>
      </c>
      <c r="Q62" s="1184">
        <v>0</v>
      </c>
      <c r="R62" s="1184"/>
      <c r="S62" s="1184">
        <v>170000</v>
      </c>
      <c r="T62" s="1184">
        <v>1225120</v>
      </c>
      <c r="U62" s="1184"/>
      <c r="V62" s="1209">
        <v>6021903</v>
      </c>
      <c r="W62" s="56"/>
      <c r="X62" s="56"/>
      <c r="Z62" s="99"/>
      <c r="AA62" s="100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</row>
    <row r="63" spans="1:41">
      <c r="A63" s="1307"/>
      <c r="B63" s="115"/>
      <c r="C63" s="1187"/>
      <c r="D63" s="1186" t="s">
        <v>818</v>
      </c>
      <c r="E63" s="1180">
        <v>0</v>
      </c>
      <c r="F63" s="14">
        <v>0</v>
      </c>
      <c r="G63" s="14">
        <v>0</v>
      </c>
      <c r="H63" s="14"/>
      <c r="I63" s="14">
        <v>3820783</v>
      </c>
      <c r="J63" s="14">
        <v>438424</v>
      </c>
      <c r="K63" s="14">
        <v>0</v>
      </c>
      <c r="L63" s="14">
        <v>0</v>
      </c>
      <c r="M63" s="14"/>
      <c r="N63" s="14">
        <v>0</v>
      </c>
      <c r="O63" s="14"/>
      <c r="P63" s="14">
        <v>375000</v>
      </c>
      <c r="Q63" s="14">
        <v>0</v>
      </c>
      <c r="R63" s="14"/>
      <c r="S63" s="14">
        <v>170000</v>
      </c>
      <c r="T63" s="14">
        <v>1225120</v>
      </c>
      <c r="U63" s="14"/>
      <c r="V63" s="1208">
        <v>6029327</v>
      </c>
      <c r="Y63" s="103"/>
      <c r="Z63" s="85">
        <f t="shared" ref="Z63:AO63" si="29">IF(E62&gt;0,((E63-E62)/E62),)</f>
        <v>0</v>
      </c>
      <c r="AA63" s="86">
        <f t="shared" si="29"/>
        <v>0</v>
      </c>
      <c r="AB63" s="87">
        <f t="shared" si="29"/>
        <v>0</v>
      </c>
      <c r="AC63" s="87">
        <f t="shared" si="29"/>
        <v>0</v>
      </c>
      <c r="AD63" s="87">
        <f t="shared" si="29"/>
        <v>0</v>
      </c>
      <c r="AE63" s="87">
        <f t="shared" si="29"/>
        <v>1.7225058004640373E-2</v>
      </c>
      <c r="AF63" s="87">
        <f t="shared" si="29"/>
        <v>0</v>
      </c>
      <c r="AG63" s="87">
        <f t="shared" si="29"/>
        <v>0</v>
      </c>
      <c r="AH63" s="87">
        <f t="shared" si="29"/>
        <v>0</v>
      </c>
      <c r="AI63" s="87">
        <f t="shared" si="29"/>
        <v>0</v>
      </c>
      <c r="AJ63" s="87">
        <f t="shared" si="29"/>
        <v>0</v>
      </c>
      <c r="AK63" s="87">
        <f t="shared" si="29"/>
        <v>0</v>
      </c>
      <c r="AL63" s="87">
        <f t="shared" si="29"/>
        <v>0</v>
      </c>
      <c r="AM63" s="87">
        <f t="shared" si="29"/>
        <v>0</v>
      </c>
      <c r="AN63" s="87">
        <f t="shared" si="29"/>
        <v>0</v>
      </c>
      <c r="AO63" s="88">
        <f t="shared" si="29"/>
        <v>0</v>
      </c>
    </row>
    <row r="64" spans="1:41">
      <c r="A64" s="1307"/>
      <c r="B64" s="120" t="s">
        <v>832</v>
      </c>
      <c r="C64" s="1178" t="s">
        <v>159</v>
      </c>
      <c r="D64" s="1182" t="s">
        <v>817</v>
      </c>
      <c r="E64" s="1183">
        <v>0</v>
      </c>
      <c r="F64" s="1184">
        <v>0</v>
      </c>
      <c r="G64" s="1184">
        <v>0</v>
      </c>
      <c r="H64" s="1184"/>
      <c r="I64" s="1184">
        <v>0</v>
      </c>
      <c r="J64" s="1184">
        <v>0</v>
      </c>
      <c r="K64" s="1184">
        <v>0</v>
      </c>
      <c r="L64" s="1184">
        <v>0</v>
      </c>
      <c r="M64" s="1184">
        <v>0</v>
      </c>
      <c r="N64" s="1184">
        <v>0</v>
      </c>
      <c r="O64" s="1184"/>
      <c r="P64" s="1184">
        <v>0</v>
      </c>
      <c r="Q64" s="1184">
        <v>0</v>
      </c>
      <c r="R64" s="1184">
        <v>0</v>
      </c>
      <c r="S64" s="1184">
        <v>0</v>
      </c>
      <c r="T64" s="1184">
        <v>0</v>
      </c>
      <c r="U64" s="1184"/>
      <c r="V64" s="1209">
        <v>0</v>
      </c>
      <c r="W64" s="56"/>
      <c r="X64" s="56"/>
      <c r="Y64" s="77"/>
      <c r="Z64" s="99"/>
      <c r="AA64" s="100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</row>
    <row r="65" spans="1:41">
      <c r="A65" s="1307"/>
      <c r="B65" s="113"/>
      <c r="C65" s="1185"/>
      <c r="D65" s="1186" t="s">
        <v>818</v>
      </c>
      <c r="E65" s="1180">
        <v>0</v>
      </c>
      <c r="F65" s="14">
        <v>0</v>
      </c>
      <c r="G65" s="14">
        <v>0</v>
      </c>
      <c r="H65" s="14"/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/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/>
      <c r="V65" s="1208">
        <v>0</v>
      </c>
      <c r="Z65" s="85">
        <f t="shared" ref="Z65:AO65" si="30">IF(E64&gt;0,((E65-E64)/E64),)</f>
        <v>0</v>
      </c>
      <c r="AA65" s="86">
        <f t="shared" si="30"/>
        <v>0</v>
      </c>
      <c r="AB65" s="87">
        <f t="shared" si="30"/>
        <v>0</v>
      </c>
      <c r="AC65" s="87">
        <f t="shared" si="30"/>
        <v>0</v>
      </c>
      <c r="AD65" s="87">
        <f t="shared" si="30"/>
        <v>0</v>
      </c>
      <c r="AE65" s="87">
        <f t="shared" si="30"/>
        <v>0</v>
      </c>
      <c r="AF65" s="87">
        <f t="shared" si="30"/>
        <v>0</v>
      </c>
      <c r="AG65" s="87">
        <f t="shared" si="30"/>
        <v>0</v>
      </c>
      <c r="AH65" s="87">
        <f t="shared" si="30"/>
        <v>0</v>
      </c>
      <c r="AI65" s="87">
        <f t="shared" si="30"/>
        <v>0</v>
      </c>
      <c r="AJ65" s="87">
        <f t="shared" si="30"/>
        <v>0</v>
      </c>
      <c r="AK65" s="87">
        <f t="shared" si="30"/>
        <v>0</v>
      </c>
      <c r="AL65" s="87">
        <f t="shared" si="30"/>
        <v>0</v>
      </c>
      <c r="AM65" s="87">
        <f t="shared" si="30"/>
        <v>0</v>
      </c>
      <c r="AN65" s="87">
        <f t="shared" si="30"/>
        <v>0</v>
      </c>
      <c r="AO65" s="87">
        <f t="shared" si="30"/>
        <v>0</v>
      </c>
    </row>
    <row r="66" spans="1:41">
      <c r="A66" s="1307"/>
      <c r="B66" s="121" t="s">
        <v>162</v>
      </c>
      <c r="C66" s="1178" t="s">
        <v>161</v>
      </c>
      <c r="D66" s="1182" t="s">
        <v>817</v>
      </c>
      <c r="E66" s="1183">
        <v>0</v>
      </c>
      <c r="F66" s="1184">
        <v>0</v>
      </c>
      <c r="G66" s="1184">
        <v>0</v>
      </c>
      <c r="H66" s="1184"/>
      <c r="I66" s="1184">
        <v>0</v>
      </c>
      <c r="J66" s="1184">
        <v>0</v>
      </c>
      <c r="K66" s="1184">
        <v>0</v>
      </c>
      <c r="L66" s="1184">
        <v>0</v>
      </c>
      <c r="M66" s="1184">
        <v>0</v>
      </c>
      <c r="N66" s="1184">
        <v>0</v>
      </c>
      <c r="O66" s="1184"/>
      <c r="P66" s="1184">
        <v>0</v>
      </c>
      <c r="Q66" s="1184">
        <v>0</v>
      </c>
      <c r="R66" s="1184">
        <v>582309467</v>
      </c>
      <c r="S66" s="1184">
        <v>0</v>
      </c>
      <c r="T66" s="1184">
        <v>0</v>
      </c>
      <c r="U66" s="1184"/>
      <c r="V66" s="1209">
        <v>582309467</v>
      </c>
      <c r="W66" s="56"/>
      <c r="X66" s="56"/>
      <c r="Y66" s="103"/>
      <c r="Z66" s="99"/>
      <c r="AA66" s="100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</row>
    <row r="67" spans="1:41">
      <c r="A67" s="1307"/>
      <c r="B67" s="113"/>
      <c r="C67" s="1185"/>
      <c r="D67" s="1186" t="s">
        <v>818</v>
      </c>
      <c r="E67" s="1180">
        <v>0</v>
      </c>
      <c r="F67" s="14">
        <v>0</v>
      </c>
      <c r="G67" s="14">
        <v>0</v>
      </c>
      <c r="H67" s="14"/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/>
      <c r="P67" s="14">
        <v>0</v>
      </c>
      <c r="Q67" s="14">
        <v>0</v>
      </c>
      <c r="R67" s="14">
        <v>530892262</v>
      </c>
      <c r="S67" s="14">
        <v>0</v>
      </c>
      <c r="T67" s="14">
        <v>0</v>
      </c>
      <c r="U67" s="14"/>
      <c r="V67" s="1208">
        <v>530892262</v>
      </c>
      <c r="Y67" s="77"/>
      <c r="Z67" s="85">
        <f t="shared" ref="Z67:AO67" si="31">IF(E66&gt;0,((E67-E66)/E66),)</f>
        <v>0</v>
      </c>
      <c r="AA67" s="86">
        <f t="shared" si="31"/>
        <v>0</v>
      </c>
      <c r="AB67" s="88">
        <f t="shared" si="31"/>
        <v>0</v>
      </c>
      <c r="AC67" s="87">
        <f t="shared" si="31"/>
        <v>0</v>
      </c>
      <c r="AD67" s="87">
        <f t="shared" si="31"/>
        <v>0</v>
      </c>
      <c r="AE67" s="87">
        <f t="shared" si="31"/>
        <v>0</v>
      </c>
      <c r="AF67" s="87">
        <f t="shared" si="31"/>
        <v>0</v>
      </c>
      <c r="AG67" s="87">
        <f t="shared" si="31"/>
        <v>0</v>
      </c>
      <c r="AH67" s="87">
        <f t="shared" si="31"/>
        <v>0</v>
      </c>
      <c r="AI67" s="87">
        <f t="shared" si="31"/>
        <v>0</v>
      </c>
      <c r="AJ67" s="87">
        <f t="shared" si="31"/>
        <v>0</v>
      </c>
      <c r="AK67" s="87">
        <f t="shared" si="31"/>
        <v>0</v>
      </c>
      <c r="AL67" s="87">
        <f t="shared" si="31"/>
        <v>0</v>
      </c>
      <c r="AM67" s="88">
        <f t="shared" si="31"/>
        <v>-8.8298761936494496E-2</v>
      </c>
      <c r="AN67" s="87">
        <f t="shared" si="31"/>
        <v>0</v>
      </c>
      <c r="AO67" s="87">
        <f t="shared" si="31"/>
        <v>0</v>
      </c>
    </row>
    <row r="68" spans="1:41" ht="12.5">
      <c r="A68" s="1307"/>
      <c r="B68" s="116" t="s">
        <v>165</v>
      </c>
      <c r="C68" s="1178" t="s">
        <v>164</v>
      </c>
      <c r="D68" s="1182" t="s">
        <v>817</v>
      </c>
      <c r="E68" s="1183">
        <v>10399</v>
      </c>
      <c r="F68" s="1184">
        <v>0</v>
      </c>
      <c r="G68" s="1184">
        <v>0</v>
      </c>
      <c r="H68" s="1184"/>
      <c r="I68" s="1184"/>
      <c r="J68" s="1184"/>
      <c r="K68" s="1184"/>
      <c r="L68" s="1184">
        <v>0</v>
      </c>
      <c r="M68" s="1184"/>
      <c r="N68" s="1184">
        <v>0</v>
      </c>
      <c r="O68" s="1184"/>
      <c r="P68" s="1184"/>
      <c r="Q68" s="1184"/>
      <c r="R68" s="1184"/>
      <c r="S68" s="1184"/>
      <c r="T68" s="1184"/>
      <c r="U68" s="1184"/>
      <c r="V68" s="1209">
        <v>10399</v>
      </c>
      <c r="W68" s="56"/>
      <c r="X68" s="56"/>
      <c r="Z68" s="99"/>
      <c r="AA68" s="100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</row>
    <row r="69" spans="1:41">
      <c r="A69" s="1307"/>
      <c r="B69" s="115"/>
      <c r="C69" s="1185"/>
      <c r="D69" s="1186" t="s">
        <v>818</v>
      </c>
      <c r="E69" s="1180">
        <v>10399</v>
      </c>
      <c r="F69" s="14">
        <v>0</v>
      </c>
      <c r="G69" s="14">
        <v>0</v>
      </c>
      <c r="H69" s="14"/>
      <c r="I69" s="14"/>
      <c r="J69" s="14"/>
      <c r="K69" s="14"/>
      <c r="L69" s="14">
        <v>0</v>
      </c>
      <c r="M69" s="14"/>
      <c r="N69" s="14">
        <v>0</v>
      </c>
      <c r="O69" s="14"/>
      <c r="P69" s="14"/>
      <c r="Q69" s="14"/>
      <c r="R69" s="14"/>
      <c r="S69" s="14"/>
      <c r="T69" s="14"/>
      <c r="U69" s="14"/>
      <c r="V69" s="1208">
        <v>10399</v>
      </c>
      <c r="Y69" s="103"/>
      <c r="Z69" s="85">
        <f t="shared" ref="Z69:AO69" si="32">IF(E68&gt;0,((E69-E68)/E68),)</f>
        <v>0</v>
      </c>
      <c r="AA69" s="86">
        <f t="shared" si="32"/>
        <v>0</v>
      </c>
      <c r="AB69" s="87">
        <f t="shared" si="32"/>
        <v>0</v>
      </c>
      <c r="AC69" s="87">
        <f t="shared" si="32"/>
        <v>0</v>
      </c>
      <c r="AD69" s="87">
        <f t="shared" si="32"/>
        <v>0</v>
      </c>
      <c r="AE69" s="87">
        <f t="shared" si="32"/>
        <v>0</v>
      </c>
      <c r="AF69" s="87">
        <f t="shared" si="32"/>
        <v>0</v>
      </c>
      <c r="AG69" s="87">
        <f t="shared" si="32"/>
        <v>0</v>
      </c>
      <c r="AH69" s="87">
        <f t="shared" si="32"/>
        <v>0</v>
      </c>
      <c r="AI69" s="87">
        <f t="shared" si="32"/>
        <v>0</v>
      </c>
      <c r="AJ69" s="87">
        <f t="shared" si="32"/>
        <v>0</v>
      </c>
      <c r="AK69" s="87">
        <f t="shared" si="32"/>
        <v>0</v>
      </c>
      <c r="AL69" s="87">
        <f t="shared" si="32"/>
        <v>0</v>
      </c>
      <c r="AM69" s="87">
        <f t="shared" si="32"/>
        <v>0</v>
      </c>
      <c r="AN69" s="87">
        <f t="shared" si="32"/>
        <v>0</v>
      </c>
      <c r="AO69" s="87">
        <f t="shared" si="32"/>
        <v>0</v>
      </c>
    </row>
    <row r="70" spans="1:41" ht="12.5">
      <c r="A70" s="1307"/>
      <c r="B70" s="116" t="s">
        <v>167</v>
      </c>
      <c r="C70" s="1178" t="s">
        <v>166</v>
      </c>
      <c r="D70" s="1182" t="s">
        <v>817</v>
      </c>
      <c r="E70" s="1183">
        <v>2287207</v>
      </c>
      <c r="F70" s="1184">
        <v>175000</v>
      </c>
      <c r="G70" s="1184">
        <v>2352968</v>
      </c>
      <c r="H70" s="1184"/>
      <c r="I70" s="1184"/>
      <c r="J70" s="1184"/>
      <c r="K70" s="1184"/>
      <c r="L70" s="1184">
        <v>881107</v>
      </c>
      <c r="M70" s="1184"/>
      <c r="N70" s="1184">
        <v>25515130</v>
      </c>
      <c r="O70" s="1184"/>
      <c r="P70" s="1184"/>
      <c r="Q70" s="1184"/>
      <c r="R70" s="1184">
        <v>18620000</v>
      </c>
      <c r="S70" s="1184"/>
      <c r="T70" s="1184"/>
      <c r="U70" s="1184"/>
      <c r="V70" s="1209">
        <v>49831412</v>
      </c>
      <c r="W70" s="56"/>
      <c r="X70" s="56"/>
      <c r="Y70" s="77"/>
      <c r="Z70" s="99"/>
      <c r="AA70" s="100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</row>
    <row r="71" spans="1:41">
      <c r="A71" s="1307"/>
      <c r="B71" s="122"/>
      <c r="C71" s="1185"/>
      <c r="D71" s="1186" t="s">
        <v>818</v>
      </c>
      <c r="E71" s="1180">
        <v>3787207</v>
      </c>
      <c r="F71" s="14">
        <v>175000</v>
      </c>
      <c r="G71" s="14">
        <v>2607442</v>
      </c>
      <c r="H71" s="14"/>
      <c r="I71" s="14"/>
      <c r="J71" s="14"/>
      <c r="K71" s="14"/>
      <c r="L71" s="14">
        <v>1791413</v>
      </c>
      <c r="M71" s="14"/>
      <c r="N71" s="14">
        <v>25515130</v>
      </c>
      <c r="O71" s="14"/>
      <c r="P71" s="14"/>
      <c r="Q71" s="14"/>
      <c r="R71" s="14">
        <v>18420000</v>
      </c>
      <c r="S71" s="14"/>
      <c r="T71" s="14"/>
      <c r="U71" s="14"/>
      <c r="V71" s="1208">
        <v>52296192</v>
      </c>
      <c r="Z71" s="85">
        <f t="shared" ref="Z71:AO71" si="33">IF(E70&gt;0,((E71-E70)/E70),)</f>
        <v>0.65582170743618751</v>
      </c>
      <c r="AA71" s="86">
        <f t="shared" si="33"/>
        <v>0</v>
      </c>
      <c r="AB71" s="88">
        <f t="shared" si="33"/>
        <v>0.1081502170875252</v>
      </c>
      <c r="AC71" s="88">
        <f t="shared" si="33"/>
        <v>0</v>
      </c>
      <c r="AD71" s="87">
        <f t="shared" si="33"/>
        <v>0</v>
      </c>
      <c r="AE71" s="87">
        <f t="shared" si="33"/>
        <v>0</v>
      </c>
      <c r="AF71" s="87">
        <f t="shared" si="33"/>
        <v>0</v>
      </c>
      <c r="AG71" s="87">
        <f t="shared" si="33"/>
        <v>1.0331389944694571</v>
      </c>
      <c r="AH71" s="88">
        <f t="shared" si="33"/>
        <v>0</v>
      </c>
      <c r="AI71" s="87">
        <f t="shared" si="33"/>
        <v>0</v>
      </c>
      <c r="AJ71" s="87">
        <f t="shared" si="33"/>
        <v>0</v>
      </c>
      <c r="AK71" s="87">
        <f t="shared" si="33"/>
        <v>0</v>
      </c>
      <c r="AL71" s="87">
        <f t="shared" si="33"/>
        <v>0</v>
      </c>
      <c r="AM71" s="88">
        <f t="shared" si="33"/>
        <v>-1.0741138560687433E-2</v>
      </c>
      <c r="AN71" s="87">
        <f t="shared" si="33"/>
        <v>0</v>
      </c>
      <c r="AO71" s="87">
        <f t="shared" si="33"/>
        <v>0</v>
      </c>
    </row>
    <row r="72" spans="1:41">
      <c r="A72" s="1307"/>
      <c r="B72" s="116" t="s">
        <v>313</v>
      </c>
      <c r="C72" s="1178" t="s">
        <v>170</v>
      </c>
      <c r="D72" s="1182" t="s">
        <v>817</v>
      </c>
      <c r="E72" s="1183">
        <v>1205608</v>
      </c>
      <c r="F72" s="1184">
        <v>1455498</v>
      </c>
      <c r="G72" s="1184">
        <v>0</v>
      </c>
      <c r="H72" s="1184"/>
      <c r="I72" s="1184">
        <v>0</v>
      </c>
      <c r="J72" s="1184">
        <v>0</v>
      </c>
      <c r="K72" s="1184">
        <v>0</v>
      </c>
      <c r="L72" s="1184">
        <v>0</v>
      </c>
      <c r="M72" s="1184">
        <v>0</v>
      </c>
      <c r="N72" s="1184">
        <v>0</v>
      </c>
      <c r="O72" s="1184"/>
      <c r="P72" s="1184">
        <v>0</v>
      </c>
      <c r="Q72" s="1184">
        <v>0</v>
      </c>
      <c r="R72" s="1184"/>
      <c r="S72" s="1184">
        <v>0</v>
      </c>
      <c r="T72" s="1184">
        <v>0</v>
      </c>
      <c r="U72" s="1184"/>
      <c r="V72" s="1209">
        <v>2661106</v>
      </c>
      <c r="W72" s="56"/>
      <c r="X72" s="56"/>
      <c r="Y72" s="103"/>
      <c r="Z72" s="99"/>
      <c r="AA72" s="100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</row>
    <row r="73" spans="1:41">
      <c r="A73" s="1307"/>
      <c r="B73" s="119"/>
      <c r="C73" s="1185"/>
      <c r="D73" s="1186" t="s">
        <v>818</v>
      </c>
      <c r="E73" s="1180">
        <v>1205608</v>
      </c>
      <c r="F73" s="14">
        <v>1100958</v>
      </c>
      <c r="G73" s="14">
        <v>0</v>
      </c>
      <c r="H73" s="14"/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/>
      <c r="P73" s="14">
        <v>0</v>
      </c>
      <c r="Q73" s="14">
        <v>0</v>
      </c>
      <c r="R73" s="14"/>
      <c r="S73" s="14">
        <v>0</v>
      </c>
      <c r="T73" s="14">
        <v>0</v>
      </c>
      <c r="U73" s="14"/>
      <c r="V73" s="1208">
        <v>2306566</v>
      </c>
      <c r="Y73" s="77"/>
      <c r="Z73" s="85">
        <f t="shared" ref="Z73:AO73" si="34">IF(E72&gt;0,((E73-E72)/E72),)</f>
        <v>0</v>
      </c>
      <c r="AA73" s="86">
        <f t="shared" si="34"/>
        <v>-0.24358673113944507</v>
      </c>
      <c r="AB73" s="87">
        <f t="shared" si="34"/>
        <v>0</v>
      </c>
      <c r="AC73" s="87">
        <f t="shared" si="34"/>
        <v>0</v>
      </c>
      <c r="AD73" s="87">
        <f t="shared" si="34"/>
        <v>0</v>
      </c>
      <c r="AE73" s="87">
        <f t="shared" si="34"/>
        <v>0</v>
      </c>
      <c r="AF73" s="87">
        <f t="shared" si="34"/>
        <v>0</v>
      </c>
      <c r="AG73" s="87">
        <f t="shared" si="34"/>
        <v>0</v>
      </c>
      <c r="AH73" s="87">
        <f t="shared" si="34"/>
        <v>0</v>
      </c>
      <c r="AI73" s="87">
        <f t="shared" si="34"/>
        <v>0</v>
      </c>
      <c r="AJ73" s="87">
        <f t="shared" si="34"/>
        <v>0</v>
      </c>
      <c r="AK73" s="87">
        <f t="shared" si="34"/>
        <v>0</v>
      </c>
      <c r="AL73" s="87">
        <f t="shared" si="34"/>
        <v>0</v>
      </c>
      <c r="AM73" s="87">
        <f t="shared" si="34"/>
        <v>0</v>
      </c>
      <c r="AN73" s="87">
        <f t="shared" si="34"/>
        <v>0</v>
      </c>
      <c r="AO73" s="87">
        <f t="shared" si="34"/>
        <v>0</v>
      </c>
    </row>
    <row r="74" spans="1:41" ht="12.5">
      <c r="A74" s="1307"/>
      <c r="B74" s="116" t="s">
        <v>165</v>
      </c>
      <c r="C74" s="1178" t="s">
        <v>172</v>
      </c>
      <c r="D74" s="1182" t="s">
        <v>817</v>
      </c>
      <c r="E74" s="1183">
        <v>4507130</v>
      </c>
      <c r="F74" s="1184">
        <v>628750</v>
      </c>
      <c r="G74" s="1184">
        <v>582746</v>
      </c>
      <c r="H74" s="1184"/>
      <c r="I74" s="1184">
        <v>0</v>
      </c>
      <c r="J74" s="1184">
        <v>73030000</v>
      </c>
      <c r="K74" s="1184">
        <v>26021850</v>
      </c>
      <c r="L74" s="1184">
        <v>76865911</v>
      </c>
      <c r="M74" s="1184">
        <v>24615002.5</v>
      </c>
      <c r="N74" s="1184">
        <v>0</v>
      </c>
      <c r="O74" s="1184"/>
      <c r="P74" s="1184">
        <v>25167132</v>
      </c>
      <c r="Q74" s="1184">
        <v>138340729</v>
      </c>
      <c r="R74" s="1184"/>
      <c r="S74" s="1184">
        <v>0</v>
      </c>
      <c r="T74" s="1184">
        <v>48174808</v>
      </c>
      <c r="U74" s="1184"/>
      <c r="V74" s="1209">
        <v>417934058.5</v>
      </c>
      <c r="W74" s="56"/>
      <c r="X74" s="56"/>
      <c r="Z74" s="99"/>
      <c r="AA74" s="100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</row>
    <row r="75" spans="1:41">
      <c r="A75" s="1307"/>
      <c r="B75" s="115"/>
      <c r="C75" s="1187"/>
      <c r="D75" s="1186" t="s">
        <v>818</v>
      </c>
      <c r="E75" s="1180">
        <v>4862533</v>
      </c>
      <c r="F75" s="14">
        <v>105191</v>
      </c>
      <c r="G75" s="14">
        <v>599720</v>
      </c>
      <c r="H75" s="14"/>
      <c r="I75" s="14">
        <v>0</v>
      </c>
      <c r="J75" s="14">
        <v>69257700</v>
      </c>
      <c r="K75" s="14">
        <v>26837122.829999998</v>
      </c>
      <c r="L75" s="14">
        <v>67941352</v>
      </c>
      <c r="M75" s="14">
        <v>24731264</v>
      </c>
      <c r="N75" s="14">
        <v>0</v>
      </c>
      <c r="O75" s="14"/>
      <c r="P75" s="14">
        <v>25779573</v>
      </c>
      <c r="Q75" s="14">
        <v>136635597.43000001</v>
      </c>
      <c r="R75" s="14"/>
      <c r="S75" s="14">
        <v>0</v>
      </c>
      <c r="T75" s="14">
        <v>48214742</v>
      </c>
      <c r="U75" s="14"/>
      <c r="V75" s="1208">
        <v>404964795.25999999</v>
      </c>
      <c r="Y75" s="103"/>
      <c r="Z75" s="104">
        <f t="shared" ref="Z75:AO75" si="35">IF(E74&gt;0,((E75-E74)/E74),)</f>
        <v>7.8853505445815847E-2</v>
      </c>
      <c r="AA75" s="86">
        <f t="shared" si="35"/>
        <v>-0.83269821073558647</v>
      </c>
      <c r="AB75" s="88">
        <f t="shared" si="35"/>
        <v>2.9127613059549102E-2</v>
      </c>
      <c r="AC75" s="87">
        <f t="shared" si="35"/>
        <v>0</v>
      </c>
      <c r="AD75" s="87">
        <f t="shared" si="35"/>
        <v>0</v>
      </c>
      <c r="AE75" s="87">
        <f t="shared" si="35"/>
        <v>-5.1654114747364095E-2</v>
      </c>
      <c r="AF75" s="87">
        <f t="shared" si="35"/>
        <v>3.1330317790625888E-2</v>
      </c>
      <c r="AG75" s="88">
        <f t="shared" si="35"/>
        <v>-0.11610555165345013</v>
      </c>
      <c r="AH75" s="87">
        <f t="shared" si="35"/>
        <v>4.7231967577496693E-3</v>
      </c>
      <c r="AI75" s="87">
        <f t="shared" si="35"/>
        <v>0</v>
      </c>
      <c r="AJ75" s="87">
        <f t="shared" si="35"/>
        <v>0</v>
      </c>
      <c r="AK75" s="87">
        <f t="shared" si="35"/>
        <v>2.4334954018598545E-2</v>
      </c>
      <c r="AL75" s="87">
        <f t="shared" si="35"/>
        <v>-1.2325593354361989E-2</v>
      </c>
      <c r="AM75" s="87">
        <f t="shared" si="35"/>
        <v>0</v>
      </c>
      <c r="AN75" s="88">
        <f t="shared" si="35"/>
        <v>0</v>
      </c>
      <c r="AO75" s="87">
        <f t="shared" si="35"/>
        <v>8.2893947392587424E-4</v>
      </c>
    </row>
    <row r="76" spans="1:41" ht="12.5">
      <c r="A76" s="1307"/>
      <c r="B76" s="116" t="s">
        <v>167</v>
      </c>
      <c r="C76" s="1178" t="s">
        <v>173</v>
      </c>
      <c r="D76" s="1178" t="s">
        <v>817</v>
      </c>
      <c r="E76" s="1178">
        <v>88474530</v>
      </c>
      <c r="F76" s="1179">
        <v>99185333</v>
      </c>
      <c r="G76" s="1179">
        <v>1136822</v>
      </c>
      <c r="H76" s="1179"/>
      <c r="I76" s="1179">
        <v>600000</v>
      </c>
      <c r="J76" s="1179">
        <v>97452700</v>
      </c>
      <c r="K76" s="1179">
        <v>283097916</v>
      </c>
      <c r="L76" s="1179">
        <v>9697446.620000001</v>
      </c>
      <c r="M76" s="1179">
        <v>9508495.6999999993</v>
      </c>
      <c r="N76" s="1179"/>
      <c r="O76" s="1179"/>
      <c r="P76" s="1179">
        <v>304381488.75</v>
      </c>
      <c r="Q76" s="1179">
        <v>269743500</v>
      </c>
      <c r="R76" s="1179"/>
      <c r="S76" s="1179">
        <v>1980000</v>
      </c>
      <c r="T76" s="1179">
        <v>49906400</v>
      </c>
      <c r="U76" s="1179"/>
      <c r="V76" s="1207">
        <v>1215164632.0700002</v>
      </c>
      <c r="W76" s="56"/>
      <c r="X76" s="56"/>
      <c r="Y76" s="77"/>
      <c r="Z76" s="99"/>
      <c r="AA76" s="100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</row>
    <row r="77" spans="1:41">
      <c r="A77" s="1307"/>
      <c r="B77" s="113"/>
      <c r="C77" s="1185"/>
      <c r="D77" s="1180" t="s">
        <v>818</v>
      </c>
      <c r="E77" s="1180">
        <v>89181317</v>
      </c>
      <c r="F77" s="14">
        <v>100812111</v>
      </c>
      <c r="G77" s="14">
        <v>734145</v>
      </c>
      <c r="H77" s="14"/>
      <c r="I77" s="14">
        <v>540000</v>
      </c>
      <c r="J77" s="14">
        <v>96905400</v>
      </c>
      <c r="K77" s="14">
        <v>299623942.72000003</v>
      </c>
      <c r="L77" s="14">
        <v>10054445</v>
      </c>
      <c r="M77" s="14">
        <v>8824582</v>
      </c>
      <c r="N77" s="14"/>
      <c r="O77" s="14"/>
      <c r="P77" s="14">
        <v>319078283.5</v>
      </c>
      <c r="Q77" s="14">
        <v>244148861.30000001</v>
      </c>
      <c r="R77" s="14"/>
      <c r="S77" s="14">
        <v>2130000</v>
      </c>
      <c r="T77" s="14">
        <v>43830957</v>
      </c>
      <c r="U77" s="14"/>
      <c r="V77" s="1208">
        <v>1215864044.52</v>
      </c>
      <c r="Z77" s="85">
        <f t="shared" ref="Z77:AO77" si="36">IF(E76&gt;0,((E77-E76)/E76),)</f>
        <v>7.9885928752602593E-3</v>
      </c>
      <c r="AA77" s="86">
        <f t="shared" si="36"/>
        <v>1.6401396766999813E-2</v>
      </c>
      <c r="AB77" s="87">
        <f t="shared" si="36"/>
        <v>-0.35421288469083112</v>
      </c>
      <c r="AC77" s="87">
        <f t="shared" si="36"/>
        <v>0</v>
      </c>
      <c r="AD77" s="87">
        <f t="shared" si="36"/>
        <v>-0.1</v>
      </c>
      <c r="AE77" s="87">
        <f t="shared" si="36"/>
        <v>-5.6160578413938251E-3</v>
      </c>
      <c r="AF77" s="87">
        <f t="shared" si="36"/>
        <v>5.8375656569651428E-2</v>
      </c>
      <c r="AG77" s="87">
        <f t="shared" si="36"/>
        <v>3.6813647343386866E-2</v>
      </c>
      <c r="AH77" s="87">
        <f t="shared" si="36"/>
        <v>-7.1926592973060852E-2</v>
      </c>
      <c r="AI77" s="87">
        <f t="shared" si="36"/>
        <v>0</v>
      </c>
      <c r="AJ77" s="87">
        <f t="shared" si="36"/>
        <v>0</v>
      </c>
      <c r="AK77" s="88">
        <f t="shared" si="36"/>
        <v>4.8284127955202399E-2</v>
      </c>
      <c r="AL77" s="87">
        <f t="shared" si="36"/>
        <v>-9.4885098992190692E-2</v>
      </c>
      <c r="AM77" s="87">
        <f t="shared" si="36"/>
        <v>0</v>
      </c>
      <c r="AN77" s="88">
        <f t="shared" si="36"/>
        <v>7.575757575757576E-2</v>
      </c>
      <c r="AO77" s="87">
        <f t="shared" si="36"/>
        <v>-0.12173675119824311</v>
      </c>
    </row>
    <row r="78" spans="1:41">
      <c r="A78" s="1307"/>
      <c r="B78" s="116" t="s">
        <v>314</v>
      </c>
      <c r="C78" s="1178" t="s">
        <v>176</v>
      </c>
      <c r="D78" s="1182" t="s">
        <v>817</v>
      </c>
      <c r="E78" s="1183">
        <v>0</v>
      </c>
      <c r="F78" s="1184">
        <v>0</v>
      </c>
      <c r="G78" s="1184">
        <v>0</v>
      </c>
      <c r="H78" s="1184"/>
      <c r="I78" s="1184">
        <v>0</v>
      </c>
      <c r="J78" s="1184">
        <v>0</v>
      </c>
      <c r="K78" s="1184">
        <v>0</v>
      </c>
      <c r="L78" s="1184">
        <v>0</v>
      </c>
      <c r="M78" s="1184">
        <v>0</v>
      </c>
      <c r="N78" s="1184">
        <v>0</v>
      </c>
      <c r="O78" s="1184"/>
      <c r="P78" s="1184">
        <v>0</v>
      </c>
      <c r="Q78" s="1184">
        <v>0</v>
      </c>
      <c r="R78" s="1184"/>
      <c r="S78" s="1184">
        <v>500000</v>
      </c>
      <c r="T78" s="1184">
        <v>0</v>
      </c>
      <c r="U78" s="1184"/>
      <c r="V78" s="1209">
        <v>500000</v>
      </c>
      <c r="W78" s="56"/>
      <c r="X78" s="56"/>
      <c r="Y78" s="103"/>
      <c r="Z78" s="99"/>
      <c r="AA78" s="100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</row>
    <row r="79" spans="1:41">
      <c r="A79" s="1307"/>
      <c r="B79" s="113"/>
      <c r="C79" s="1185"/>
      <c r="D79" s="1186" t="s">
        <v>818</v>
      </c>
      <c r="E79" s="1180">
        <v>0</v>
      </c>
      <c r="F79" s="14">
        <v>0</v>
      </c>
      <c r="G79" s="14">
        <v>0</v>
      </c>
      <c r="H79" s="14"/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/>
      <c r="P79" s="14">
        <v>0</v>
      </c>
      <c r="Q79" s="14">
        <v>0</v>
      </c>
      <c r="R79" s="14"/>
      <c r="S79" s="14">
        <v>500000</v>
      </c>
      <c r="T79" s="14">
        <v>0</v>
      </c>
      <c r="U79" s="14"/>
      <c r="V79" s="1208">
        <v>500000</v>
      </c>
      <c r="Y79" s="77"/>
      <c r="Z79" s="85">
        <f t="shared" ref="Z79:AO79" si="37">IF(E78&gt;0,((E79-E78)/E78),)</f>
        <v>0</v>
      </c>
      <c r="AA79" s="86">
        <f t="shared" si="37"/>
        <v>0</v>
      </c>
      <c r="AB79" s="87">
        <f t="shared" si="37"/>
        <v>0</v>
      </c>
      <c r="AC79" s="87">
        <f t="shared" si="37"/>
        <v>0</v>
      </c>
      <c r="AD79" s="87">
        <f t="shared" si="37"/>
        <v>0</v>
      </c>
      <c r="AE79" s="87">
        <f t="shared" si="37"/>
        <v>0</v>
      </c>
      <c r="AF79" s="87">
        <f t="shared" si="37"/>
        <v>0</v>
      </c>
      <c r="AG79" s="87">
        <f t="shared" si="37"/>
        <v>0</v>
      </c>
      <c r="AH79" s="87">
        <f t="shared" si="37"/>
        <v>0</v>
      </c>
      <c r="AI79" s="87">
        <f t="shared" si="37"/>
        <v>0</v>
      </c>
      <c r="AJ79" s="87">
        <f t="shared" si="37"/>
        <v>0</v>
      </c>
      <c r="AK79" s="87">
        <f t="shared" si="37"/>
        <v>0</v>
      </c>
      <c r="AL79" s="87">
        <f t="shared" si="37"/>
        <v>0</v>
      </c>
      <c r="AM79" s="87">
        <f t="shared" si="37"/>
        <v>0</v>
      </c>
      <c r="AN79" s="87">
        <f t="shared" si="37"/>
        <v>0</v>
      </c>
      <c r="AO79" s="87">
        <f t="shared" si="37"/>
        <v>0</v>
      </c>
    </row>
    <row r="80" spans="1:41" ht="12.5">
      <c r="A80" s="1307"/>
      <c r="B80" s="116" t="s">
        <v>165</v>
      </c>
      <c r="C80" s="1178" t="s">
        <v>180</v>
      </c>
      <c r="D80" s="1182" t="s">
        <v>817</v>
      </c>
      <c r="E80" s="1183">
        <v>795376</v>
      </c>
      <c r="F80" s="1184">
        <v>51685</v>
      </c>
      <c r="G80" s="1184">
        <v>252400</v>
      </c>
      <c r="H80" s="1184"/>
      <c r="I80" s="1184">
        <v>0</v>
      </c>
      <c r="J80" s="1184">
        <v>18516400</v>
      </c>
      <c r="K80" s="1184">
        <v>2407258</v>
      </c>
      <c r="L80" s="1184">
        <v>17743264</v>
      </c>
      <c r="M80" s="1184">
        <v>2293616</v>
      </c>
      <c r="N80" s="1184">
        <v>0</v>
      </c>
      <c r="O80" s="1184"/>
      <c r="P80" s="1184">
        <v>5359686</v>
      </c>
      <c r="Q80" s="1184">
        <v>53229771</v>
      </c>
      <c r="R80" s="1184"/>
      <c r="S80" s="1184">
        <v>0</v>
      </c>
      <c r="T80" s="1184">
        <v>3747920</v>
      </c>
      <c r="U80" s="1184"/>
      <c r="V80" s="1209">
        <v>104397376</v>
      </c>
      <c r="W80" s="56"/>
      <c r="X80" s="56"/>
      <c r="Z80" s="99"/>
      <c r="AA80" s="100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</row>
    <row r="81" spans="1:41">
      <c r="A81" s="1307"/>
      <c r="B81" s="115"/>
      <c r="C81" s="1187"/>
      <c r="D81" s="1186" t="s">
        <v>818</v>
      </c>
      <c r="E81" s="1180">
        <v>858094</v>
      </c>
      <c r="F81" s="14">
        <v>2500</v>
      </c>
      <c r="G81" s="14">
        <v>207500</v>
      </c>
      <c r="H81" s="14"/>
      <c r="I81" s="14">
        <v>0</v>
      </c>
      <c r="J81" s="14">
        <v>20541500</v>
      </c>
      <c r="K81" s="14">
        <v>2505835</v>
      </c>
      <c r="L81" s="14">
        <v>18360775</v>
      </c>
      <c r="M81" s="14">
        <v>2320771</v>
      </c>
      <c r="N81" s="14">
        <v>0</v>
      </c>
      <c r="O81" s="14"/>
      <c r="P81" s="14">
        <v>5305562</v>
      </c>
      <c r="Q81" s="14">
        <v>54122207.359999999</v>
      </c>
      <c r="R81" s="14"/>
      <c r="S81" s="14">
        <v>0</v>
      </c>
      <c r="T81" s="14">
        <v>3442565</v>
      </c>
      <c r="U81" s="14"/>
      <c r="V81" s="1208">
        <v>107667309.36</v>
      </c>
      <c r="Y81" s="103"/>
      <c r="Z81" s="104">
        <f t="shared" ref="Z81:AO81" si="38">IF(E80&gt;0,((E81-E80)/E80),)</f>
        <v>7.8853271911649328E-2</v>
      </c>
      <c r="AA81" s="88">
        <f t="shared" si="38"/>
        <v>-0.95163006675050787</v>
      </c>
      <c r="AB81" s="87">
        <f t="shared" si="38"/>
        <v>-0.17789223454833597</v>
      </c>
      <c r="AC81" s="87">
        <f t="shared" si="38"/>
        <v>0</v>
      </c>
      <c r="AD81" s="87">
        <f t="shared" si="38"/>
        <v>0</v>
      </c>
      <c r="AE81" s="88">
        <f t="shared" si="38"/>
        <v>0.10936791168909724</v>
      </c>
      <c r="AF81" s="87">
        <f t="shared" si="38"/>
        <v>4.0949910645223735E-2</v>
      </c>
      <c r="AG81" s="88">
        <f t="shared" si="38"/>
        <v>3.4802559438894667E-2</v>
      </c>
      <c r="AH81" s="88">
        <f t="shared" si="38"/>
        <v>1.1839383750374953E-2</v>
      </c>
      <c r="AI81" s="87">
        <f t="shared" si="38"/>
        <v>0</v>
      </c>
      <c r="AJ81" s="87">
        <f t="shared" si="38"/>
        <v>0</v>
      </c>
      <c r="AK81" s="88">
        <f t="shared" si="38"/>
        <v>-1.0098352776636541E-2</v>
      </c>
      <c r="AL81" s="87">
        <f t="shared" si="38"/>
        <v>1.6765737354008145E-2</v>
      </c>
      <c r="AM81" s="87">
        <f t="shared" si="38"/>
        <v>0</v>
      </c>
      <c r="AN81" s="88">
        <f t="shared" si="38"/>
        <v>0</v>
      </c>
      <c r="AO81" s="87">
        <f t="shared" si="38"/>
        <v>-8.1473190462976797E-2</v>
      </c>
    </row>
    <row r="82" spans="1:41" ht="12.5">
      <c r="A82" s="1307"/>
      <c r="B82" s="116" t="s">
        <v>167</v>
      </c>
      <c r="C82" s="1178" t="s">
        <v>178</v>
      </c>
      <c r="D82" s="1178" t="s">
        <v>817</v>
      </c>
      <c r="E82" s="1178">
        <v>479368</v>
      </c>
      <c r="F82" s="1179">
        <v>14184010</v>
      </c>
      <c r="G82" s="1179">
        <v>236515</v>
      </c>
      <c r="H82" s="1179"/>
      <c r="I82" s="1179">
        <v>1060500</v>
      </c>
      <c r="J82" s="1179">
        <v>21261900</v>
      </c>
      <c r="K82" s="1179">
        <v>22213311</v>
      </c>
      <c r="L82" s="1179">
        <v>3140757</v>
      </c>
      <c r="M82" s="1179">
        <v>1965283</v>
      </c>
      <c r="N82" s="1179"/>
      <c r="O82" s="1179"/>
      <c r="P82" s="1179">
        <v>51296588</v>
      </c>
      <c r="Q82" s="1179">
        <v>48992790</v>
      </c>
      <c r="R82" s="1179"/>
      <c r="S82" s="1179">
        <v>0</v>
      </c>
      <c r="T82" s="1179">
        <v>1344653</v>
      </c>
      <c r="U82" s="1179"/>
      <c r="V82" s="1207">
        <v>166175675</v>
      </c>
      <c r="W82" s="56"/>
      <c r="X82" s="56"/>
      <c r="Y82" s="77"/>
      <c r="Z82" s="99"/>
      <c r="AA82" s="100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</row>
    <row r="83" spans="1:41">
      <c r="A83" s="1307"/>
      <c r="B83" s="113"/>
      <c r="C83" s="1185"/>
      <c r="D83" s="1180" t="s">
        <v>818</v>
      </c>
      <c r="E83" s="1180">
        <v>474430</v>
      </c>
      <c r="F83" s="14">
        <v>14197041</v>
      </c>
      <c r="G83" s="14">
        <v>596523</v>
      </c>
      <c r="H83" s="14"/>
      <c r="I83" s="14">
        <v>1146950</v>
      </c>
      <c r="J83" s="14">
        <v>21850000</v>
      </c>
      <c r="K83" s="14">
        <v>22143223.91</v>
      </c>
      <c r="L83" s="14">
        <v>1587789</v>
      </c>
      <c r="M83" s="14">
        <v>1840326</v>
      </c>
      <c r="N83" s="14"/>
      <c r="O83" s="14"/>
      <c r="P83" s="14">
        <v>49361489.5</v>
      </c>
      <c r="Q83" s="14">
        <v>50104097.490000002</v>
      </c>
      <c r="R83" s="14"/>
      <c r="S83" s="14">
        <v>0</v>
      </c>
      <c r="T83" s="14">
        <v>4520506</v>
      </c>
      <c r="U83" s="14"/>
      <c r="V83" s="1208">
        <v>167822375.90000001</v>
      </c>
      <c r="Z83" s="85">
        <f t="shared" ref="Z83:AO83" si="39">IF(E82&gt;0,((E83-E82)/E82),)</f>
        <v>-1.0301063066370721E-2</v>
      </c>
      <c r="AA83" s="86">
        <f t="shared" si="39"/>
        <v>9.1871057620517753E-4</v>
      </c>
      <c r="AB83" s="87">
        <f t="shared" si="39"/>
        <v>1.5221360167431242</v>
      </c>
      <c r="AC83" s="87">
        <f t="shared" si="39"/>
        <v>0</v>
      </c>
      <c r="AD83" s="88">
        <f t="shared" si="39"/>
        <v>8.1518151815181517E-2</v>
      </c>
      <c r="AE83" s="87">
        <f t="shared" si="39"/>
        <v>2.7659804627055907E-2</v>
      </c>
      <c r="AF83" s="88">
        <f t="shared" si="39"/>
        <v>-3.1551842946780807E-3</v>
      </c>
      <c r="AG83" s="87">
        <f t="shared" si="39"/>
        <v>-0.49445659119759983</v>
      </c>
      <c r="AH83" s="87">
        <f t="shared" si="39"/>
        <v>-6.358219147064316E-2</v>
      </c>
      <c r="AI83" s="87">
        <f t="shared" si="39"/>
        <v>0</v>
      </c>
      <c r="AJ83" s="87">
        <f t="shared" si="39"/>
        <v>0</v>
      </c>
      <c r="AK83" s="88">
        <f t="shared" si="39"/>
        <v>-3.7723727355901335E-2</v>
      </c>
      <c r="AL83" s="87">
        <f t="shared" si="39"/>
        <v>2.2683082347423E-2</v>
      </c>
      <c r="AM83" s="87">
        <f t="shared" si="39"/>
        <v>0</v>
      </c>
      <c r="AN83" s="87">
        <f t="shared" si="39"/>
        <v>0</v>
      </c>
      <c r="AO83" s="87">
        <f t="shared" si="39"/>
        <v>2.3618383330123089</v>
      </c>
    </row>
    <row r="84" spans="1:41">
      <c r="A84" s="1307"/>
      <c r="B84" s="123" t="s">
        <v>833</v>
      </c>
      <c r="C84" s="1178" t="s">
        <v>187</v>
      </c>
      <c r="D84" s="1182" t="s">
        <v>817</v>
      </c>
      <c r="E84" s="1183">
        <v>0</v>
      </c>
      <c r="F84" s="1184">
        <v>0</v>
      </c>
      <c r="G84" s="1184">
        <v>0</v>
      </c>
      <c r="H84" s="1184"/>
      <c r="I84" s="1184">
        <v>0</v>
      </c>
      <c r="J84" s="1184">
        <v>0</v>
      </c>
      <c r="K84" s="1184">
        <v>0</v>
      </c>
      <c r="L84" s="1184">
        <v>0</v>
      </c>
      <c r="M84" s="1184">
        <v>0</v>
      </c>
      <c r="N84" s="1184">
        <v>0</v>
      </c>
      <c r="O84" s="1184"/>
      <c r="P84" s="1184">
        <v>0</v>
      </c>
      <c r="Q84" s="1184">
        <v>0</v>
      </c>
      <c r="R84" s="1184"/>
      <c r="S84" s="1184">
        <v>3885256</v>
      </c>
      <c r="T84" s="1184"/>
      <c r="U84" s="1184"/>
      <c r="V84" s="1209">
        <v>3885256</v>
      </c>
      <c r="W84" s="56"/>
      <c r="X84" s="56"/>
      <c r="Y84" s="103"/>
      <c r="Z84" s="99"/>
      <c r="AA84" s="100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</row>
    <row r="85" spans="1:41">
      <c r="A85" s="1307"/>
      <c r="B85" s="115"/>
      <c r="C85" s="1185"/>
      <c r="D85" s="1186" t="s">
        <v>818</v>
      </c>
      <c r="E85" s="1180">
        <v>0</v>
      </c>
      <c r="F85" s="14">
        <v>0</v>
      </c>
      <c r="G85" s="14">
        <v>0</v>
      </c>
      <c r="H85" s="14"/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/>
      <c r="P85" s="14">
        <v>0</v>
      </c>
      <c r="Q85" s="14">
        <v>0</v>
      </c>
      <c r="R85" s="14"/>
      <c r="S85" s="14">
        <v>3885256</v>
      </c>
      <c r="T85" s="14"/>
      <c r="U85" s="14"/>
      <c r="V85" s="1208">
        <v>3885256</v>
      </c>
      <c r="Y85" s="77"/>
      <c r="Z85" s="85">
        <f t="shared" ref="Z85:AO85" si="40">IF(E84&gt;0,((E85-E84)/E84),)</f>
        <v>0</v>
      </c>
      <c r="AA85" s="86">
        <f t="shared" si="40"/>
        <v>0</v>
      </c>
      <c r="AB85" s="87">
        <f t="shared" si="40"/>
        <v>0</v>
      </c>
      <c r="AC85" s="87">
        <f t="shared" si="40"/>
        <v>0</v>
      </c>
      <c r="AD85" s="87">
        <f t="shared" si="40"/>
        <v>0</v>
      </c>
      <c r="AE85" s="87">
        <f t="shared" si="40"/>
        <v>0</v>
      </c>
      <c r="AF85" s="87">
        <f t="shared" si="40"/>
        <v>0</v>
      </c>
      <c r="AG85" s="87">
        <f t="shared" si="40"/>
        <v>0</v>
      </c>
      <c r="AH85" s="87">
        <f t="shared" si="40"/>
        <v>0</v>
      </c>
      <c r="AI85" s="87">
        <f t="shared" si="40"/>
        <v>0</v>
      </c>
      <c r="AJ85" s="87">
        <f t="shared" si="40"/>
        <v>0</v>
      </c>
      <c r="AK85" s="87">
        <f t="shared" si="40"/>
        <v>0</v>
      </c>
      <c r="AL85" s="87">
        <f t="shared" si="40"/>
        <v>0</v>
      </c>
      <c r="AM85" s="87">
        <f t="shared" si="40"/>
        <v>0</v>
      </c>
      <c r="AN85" s="87">
        <f t="shared" si="40"/>
        <v>0</v>
      </c>
      <c r="AO85" s="87">
        <f t="shared" si="40"/>
        <v>0</v>
      </c>
    </row>
    <row r="86" spans="1:41" ht="12.5">
      <c r="A86" s="1307"/>
      <c r="B86" s="116" t="s">
        <v>165</v>
      </c>
      <c r="C86" s="1178" t="s">
        <v>190</v>
      </c>
      <c r="D86" s="1182" t="s">
        <v>817</v>
      </c>
      <c r="E86" s="1183">
        <v>0</v>
      </c>
      <c r="F86" s="1184">
        <v>0</v>
      </c>
      <c r="G86" s="1184">
        <v>0</v>
      </c>
      <c r="H86" s="1184"/>
      <c r="I86" s="1184">
        <v>0</v>
      </c>
      <c r="J86" s="1184"/>
      <c r="K86" s="1184">
        <v>0</v>
      </c>
      <c r="L86" s="1184">
        <v>76865911</v>
      </c>
      <c r="M86" s="1184">
        <v>0</v>
      </c>
      <c r="N86" s="1184">
        <v>125930498</v>
      </c>
      <c r="O86" s="1184"/>
      <c r="P86" s="1184"/>
      <c r="Q86" s="1184">
        <v>0</v>
      </c>
      <c r="R86" s="1184"/>
      <c r="S86" s="1184">
        <v>241061101</v>
      </c>
      <c r="T86" s="1184"/>
      <c r="U86" s="1184"/>
      <c r="V86" s="1209">
        <v>443857510</v>
      </c>
      <c r="W86" s="56"/>
      <c r="X86" s="56"/>
      <c r="Z86" s="99"/>
      <c r="AA86" s="100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</row>
    <row r="87" spans="1:41">
      <c r="A87" s="1307"/>
      <c r="B87" s="113"/>
      <c r="C87" s="1185"/>
      <c r="D87" s="1186" t="s">
        <v>818</v>
      </c>
      <c r="E87" s="1180">
        <v>0</v>
      </c>
      <c r="F87" s="14">
        <v>0</v>
      </c>
      <c r="G87" s="14">
        <v>0</v>
      </c>
      <c r="H87" s="14"/>
      <c r="I87" s="14">
        <v>0</v>
      </c>
      <c r="J87" s="14"/>
      <c r="K87" s="14">
        <v>0</v>
      </c>
      <c r="L87" s="14">
        <v>67941352</v>
      </c>
      <c r="M87" s="14">
        <v>0</v>
      </c>
      <c r="N87" s="14">
        <v>125930498</v>
      </c>
      <c r="O87" s="14"/>
      <c r="P87" s="14"/>
      <c r="Q87" s="14">
        <v>0</v>
      </c>
      <c r="R87" s="14"/>
      <c r="S87" s="14">
        <v>249975393</v>
      </c>
      <c r="T87" s="14"/>
      <c r="U87" s="14"/>
      <c r="V87" s="1208">
        <v>443847243</v>
      </c>
      <c r="Y87" s="103"/>
      <c r="Z87" s="85">
        <f t="shared" ref="Z87:AO87" si="41">IF(E86&gt;0,((E87-E86)/E86),)</f>
        <v>0</v>
      </c>
      <c r="AA87" s="86">
        <f t="shared" si="41"/>
        <v>0</v>
      </c>
      <c r="AB87" s="87">
        <f t="shared" si="41"/>
        <v>0</v>
      </c>
      <c r="AC87" s="88">
        <f t="shared" si="41"/>
        <v>0</v>
      </c>
      <c r="AD87" s="87">
        <f t="shared" si="41"/>
        <v>0</v>
      </c>
      <c r="AE87" s="87">
        <f t="shared" si="41"/>
        <v>0</v>
      </c>
      <c r="AF87" s="87">
        <f t="shared" si="41"/>
        <v>0</v>
      </c>
      <c r="AG87" s="87">
        <f t="shared" si="41"/>
        <v>-0.11610555165345013</v>
      </c>
      <c r="AH87" s="88">
        <f t="shared" si="41"/>
        <v>0</v>
      </c>
      <c r="AI87" s="87">
        <f t="shared" si="41"/>
        <v>0</v>
      </c>
      <c r="AJ87" s="87">
        <f t="shared" si="41"/>
        <v>0</v>
      </c>
      <c r="AK87" s="87">
        <f t="shared" si="41"/>
        <v>0</v>
      </c>
      <c r="AL87" s="87">
        <f t="shared" si="41"/>
        <v>0</v>
      </c>
      <c r="AM87" s="87">
        <f t="shared" si="41"/>
        <v>0</v>
      </c>
      <c r="AN87" s="87">
        <f t="shared" si="41"/>
        <v>3.6979388059793186E-2</v>
      </c>
      <c r="AO87" s="87">
        <f t="shared" si="41"/>
        <v>0</v>
      </c>
    </row>
    <row r="88" spans="1:41" ht="12.5">
      <c r="A88" s="1307"/>
      <c r="B88" s="116" t="s">
        <v>167</v>
      </c>
      <c r="C88" s="1178" t="s">
        <v>191</v>
      </c>
      <c r="D88" s="1182" t="s">
        <v>817</v>
      </c>
      <c r="E88" s="1183">
        <v>112500</v>
      </c>
      <c r="F88" s="1184">
        <v>393048</v>
      </c>
      <c r="G88" s="1184">
        <v>0</v>
      </c>
      <c r="H88" s="1184"/>
      <c r="I88" s="1184">
        <v>692988104</v>
      </c>
      <c r="J88" s="1184"/>
      <c r="K88" s="1184">
        <v>160000</v>
      </c>
      <c r="L88" s="1184">
        <v>13418244.620000001</v>
      </c>
      <c r="M88" s="1184">
        <v>6527686</v>
      </c>
      <c r="N88" s="1184">
        <v>3258000</v>
      </c>
      <c r="O88" s="1184"/>
      <c r="P88" s="1184"/>
      <c r="Q88" s="1184">
        <v>0</v>
      </c>
      <c r="R88" s="1184"/>
      <c r="S88" s="1184">
        <v>8156329</v>
      </c>
      <c r="T88" s="1184"/>
      <c r="U88" s="1184"/>
      <c r="V88" s="1209">
        <v>725013911.62</v>
      </c>
      <c r="W88" s="56"/>
      <c r="X88" s="56"/>
      <c r="Y88" s="77"/>
      <c r="Z88" s="99"/>
      <c r="AA88" s="100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</row>
    <row r="89" spans="1:41">
      <c r="A89" s="1307"/>
      <c r="B89" s="113"/>
      <c r="C89" s="1185"/>
      <c r="D89" s="1186" t="s">
        <v>818</v>
      </c>
      <c r="E89" s="1180">
        <v>112500</v>
      </c>
      <c r="F89" s="14">
        <v>377855</v>
      </c>
      <c r="G89" s="14">
        <v>0</v>
      </c>
      <c r="H89" s="14"/>
      <c r="I89" s="14">
        <v>752427712</v>
      </c>
      <c r="J89" s="14"/>
      <c r="K89" s="14">
        <v>160000</v>
      </c>
      <c r="L89" s="14">
        <v>14812872</v>
      </c>
      <c r="M89" s="14">
        <v>6950439</v>
      </c>
      <c r="N89" s="14">
        <v>3258000</v>
      </c>
      <c r="O89" s="14"/>
      <c r="P89" s="14"/>
      <c r="Q89" s="14">
        <v>0</v>
      </c>
      <c r="R89" s="14"/>
      <c r="S89" s="14">
        <v>8156329</v>
      </c>
      <c r="T89" s="14"/>
      <c r="U89" s="14"/>
      <c r="V89" s="1208">
        <v>786255707</v>
      </c>
      <c r="Z89" s="85">
        <f t="shared" ref="Z89:AO89" si="42">IF(E88&gt;0,((E89-E88)/E88),)</f>
        <v>0</v>
      </c>
      <c r="AA89" s="124">
        <f t="shared" si="42"/>
        <v>-3.8654311941544034E-2</v>
      </c>
      <c r="AB89" s="87">
        <f t="shared" si="42"/>
        <v>0</v>
      </c>
      <c r="AC89" s="88">
        <f t="shared" si="42"/>
        <v>0</v>
      </c>
      <c r="AD89" s="87">
        <f t="shared" si="42"/>
        <v>8.5772912488552622E-2</v>
      </c>
      <c r="AE89" s="87">
        <f t="shared" si="42"/>
        <v>0</v>
      </c>
      <c r="AF89" s="87">
        <f t="shared" si="42"/>
        <v>0</v>
      </c>
      <c r="AG89" s="87">
        <f t="shared" si="42"/>
        <v>0.1039351583977904</v>
      </c>
      <c r="AH89" s="87">
        <f t="shared" si="42"/>
        <v>6.4763072243364653E-2</v>
      </c>
      <c r="AI89" s="88">
        <f t="shared" si="42"/>
        <v>0</v>
      </c>
      <c r="AJ89" s="87">
        <f t="shared" si="42"/>
        <v>0</v>
      </c>
      <c r="AK89" s="87">
        <f t="shared" si="42"/>
        <v>0</v>
      </c>
      <c r="AL89" s="87">
        <f t="shared" si="42"/>
        <v>0</v>
      </c>
      <c r="AM89" s="87">
        <f t="shared" si="42"/>
        <v>0</v>
      </c>
      <c r="AN89" s="88">
        <f t="shared" si="42"/>
        <v>0</v>
      </c>
      <c r="AO89" s="87">
        <f t="shared" si="42"/>
        <v>0</v>
      </c>
    </row>
    <row r="90" spans="1:41">
      <c r="A90" s="1307"/>
      <c r="B90" s="123" t="s">
        <v>834</v>
      </c>
      <c r="C90" s="1178" t="s">
        <v>192</v>
      </c>
      <c r="D90" s="1182" t="s">
        <v>817</v>
      </c>
      <c r="E90" s="1183">
        <v>0</v>
      </c>
      <c r="F90" s="1184"/>
      <c r="G90" s="1184">
        <v>0</v>
      </c>
      <c r="H90" s="1184"/>
      <c r="I90" s="1184">
        <v>0</v>
      </c>
      <c r="J90" s="1184">
        <v>0</v>
      </c>
      <c r="K90" s="1184">
        <v>0</v>
      </c>
      <c r="L90" s="1184">
        <v>0</v>
      </c>
      <c r="M90" s="1184">
        <v>0</v>
      </c>
      <c r="N90" s="1184">
        <v>0</v>
      </c>
      <c r="O90" s="1184"/>
      <c r="P90" s="1184">
        <v>0</v>
      </c>
      <c r="Q90" s="1184">
        <v>0</v>
      </c>
      <c r="R90" s="1184"/>
      <c r="S90" s="1184">
        <v>0</v>
      </c>
      <c r="T90" s="1184"/>
      <c r="U90" s="1184"/>
      <c r="V90" s="1209">
        <v>0</v>
      </c>
      <c r="W90" s="56"/>
      <c r="X90" s="56"/>
      <c r="Y90" s="103"/>
      <c r="Z90" s="99"/>
      <c r="AA90" s="100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</row>
    <row r="91" spans="1:41">
      <c r="A91" s="1307"/>
      <c r="B91" s="115"/>
      <c r="C91" s="1185"/>
      <c r="D91" s="1186" t="s">
        <v>818</v>
      </c>
      <c r="E91" s="1180">
        <v>0</v>
      </c>
      <c r="F91" s="14"/>
      <c r="G91" s="14">
        <v>0</v>
      </c>
      <c r="H91" s="14"/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/>
      <c r="P91" s="14">
        <v>0</v>
      </c>
      <c r="Q91" s="14">
        <v>0</v>
      </c>
      <c r="R91" s="14"/>
      <c r="S91" s="14">
        <v>0</v>
      </c>
      <c r="T91" s="14"/>
      <c r="U91" s="14"/>
      <c r="V91" s="1208">
        <v>0</v>
      </c>
      <c r="Y91" s="77"/>
      <c r="Z91" s="85">
        <f t="shared" ref="Z91:AO91" si="43">IF(E90&gt;0,((E91-E90)/E90),)</f>
        <v>0</v>
      </c>
      <c r="AA91" s="86">
        <f t="shared" si="43"/>
        <v>0</v>
      </c>
      <c r="AB91" s="87">
        <f t="shared" si="43"/>
        <v>0</v>
      </c>
      <c r="AC91" s="87">
        <f t="shared" si="43"/>
        <v>0</v>
      </c>
      <c r="AD91" s="87">
        <f t="shared" si="43"/>
        <v>0</v>
      </c>
      <c r="AE91" s="87">
        <f t="shared" si="43"/>
        <v>0</v>
      </c>
      <c r="AF91" s="87">
        <f t="shared" si="43"/>
        <v>0</v>
      </c>
      <c r="AG91" s="87">
        <f t="shared" si="43"/>
        <v>0</v>
      </c>
      <c r="AH91" s="87">
        <f t="shared" si="43"/>
        <v>0</v>
      </c>
      <c r="AI91" s="87">
        <f t="shared" si="43"/>
        <v>0</v>
      </c>
      <c r="AJ91" s="87">
        <f t="shared" si="43"/>
        <v>0</v>
      </c>
      <c r="AK91" s="87">
        <f t="shared" si="43"/>
        <v>0</v>
      </c>
      <c r="AL91" s="87">
        <f t="shared" si="43"/>
        <v>0</v>
      </c>
      <c r="AM91" s="87">
        <f t="shared" si="43"/>
        <v>0</v>
      </c>
      <c r="AN91" s="87">
        <f t="shared" si="43"/>
        <v>0</v>
      </c>
      <c r="AO91" s="87">
        <f t="shared" si="43"/>
        <v>0</v>
      </c>
    </row>
    <row r="92" spans="1:41" ht="12.5">
      <c r="A92" s="1307"/>
      <c r="B92" s="116" t="s">
        <v>165</v>
      </c>
      <c r="C92" s="1178" t="s">
        <v>195</v>
      </c>
      <c r="D92" s="1182" t="s">
        <v>817</v>
      </c>
      <c r="E92" s="1183">
        <v>0</v>
      </c>
      <c r="F92" s="1184"/>
      <c r="G92" s="1184">
        <v>0</v>
      </c>
      <c r="H92" s="1184"/>
      <c r="I92" s="1184">
        <v>62792274</v>
      </c>
      <c r="J92" s="1184">
        <v>35685100</v>
      </c>
      <c r="K92" s="1184">
        <v>0</v>
      </c>
      <c r="L92" s="1184">
        <v>17743264</v>
      </c>
      <c r="M92" s="1184"/>
      <c r="N92" s="1184">
        <v>88886590</v>
      </c>
      <c r="O92" s="1184"/>
      <c r="P92" s="1184">
        <v>37488624</v>
      </c>
      <c r="Q92" s="1184">
        <v>0</v>
      </c>
      <c r="R92" s="1184"/>
      <c r="S92" s="1184">
        <v>0</v>
      </c>
      <c r="T92" s="1184"/>
      <c r="U92" s="1184"/>
      <c r="V92" s="1209">
        <v>242595852</v>
      </c>
      <c r="W92" s="56"/>
      <c r="X92" s="56"/>
      <c r="Z92" s="99"/>
      <c r="AA92" s="100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</row>
    <row r="93" spans="1:41">
      <c r="A93" s="1307"/>
      <c r="B93" s="113"/>
      <c r="C93" s="1185"/>
      <c r="D93" s="1186" t="s">
        <v>818</v>
      </c>
      <c r="E93" s="1180">
        <v>0</v>
      </c>
      <c r="F93" s="14"/>
      <c r="G93" s="14">
        <v>0</v>
      </c>
      <c r="H93" s="14"/>
      <c r="I93" s="14">
        <v>68258147</v>
      </c>
      <c r="J93" s="14">
        <v>35511000</v>
      </c>
      <c r="K93" s="14">
        <v>0</v>
      </c>
      <c r="L93" s="14">
        <v>18360775</v>
      </c>
      <c r="M93" s="14"/>
      <c r="N93" s="14">
        <v>88886590</v>
      </c>
      <c r="O93" s="14"/>
      <c r="P93" s="14">
        <v>37488624</v>
      </c>
      <c r="Q93" s="14">
        <v>0</v>
      </c>
      <c r="R93" s="14"/>
      <c r="S93" s="14">
        <v>0</v>
      </c>
      <c r="T93" s="14"/>
      <c r="U93" s="14"/>
      <c r="V93" s="1208">
        <v>248505136</v>
      </c>
      <c r="Y93" s="103"/>
      <c r="Z93" s="85">
        <f t="shared" ref="Z93:AO93" si="44">IF(E92&gt;0,((E93-E92)/E92),)</f>
        <v>0</v>
      </c>
      <c r="AA93" s="86">
        <f t="shared" si="44"/>
        <v>0</v>
      </c>
      <c r="AB93" s="87">
        <f t="shared" si="44"/>
        <v>0</v>
      </c>
      <c r="AC93" s="87">
        <f t="shared" si="44"/>
        <v>0</v>
      </c>
      <c r="AD93" s="87">
        <f t="shared" si="44"/>
        <v>8.7046903254371713E-2</v>
      </c>
      <c r="AE93" s="87">
        <f t="shared" si="44"/>
        <v>-4.8787869446912015E-3</v>
      </c>
      <c r="AF93" s="87">
        <f t="shared" si="44"/>
        <v>0</v>
      </c>
      <c r="AG93" s="87">
        <f t="shared" si="44"/>
        <v>3.4802559438894667E-2</v>
      </c>
      <c r="AH93" s="87">
        <f t="shared" si="44"/>
        <v>0</v>
      </c>
      <c r="AI93" s="87">
        <f t="shared" si="44"/>
        <v>0</v>
      </c>
      <c r="AJ93" s="87">
        <f t="shared" si="44"/>
        <v>0</v>
      </c>
      <c r="AK93" s="87">
        <f t="shared" si="44"/>
        <v>0</v>
      </c>
      <c r="AL93" s="87">
        <f t="shared" si="44"/>
        <v>0</v>
      </c>
      <c r="AM93" s="87">
        <f t="shared" si="44"/>
        <v>0</v>
      </c>
      <c r="AN93" s="87">
        <f t="shared" si="44"/>
        <v>0</v>
      </c>
      <c r="AO93" s="87">
        <f t="shared" si="44"/>
        <v>0</v>
      </c>
    </row>
    <row r="94" spans="1:41" ht="12.5">
      <c r="A94" s="1307"/>
      <c r="B94" s="116" t="s">
        <v>167</v>
      </c>
      <c r="C94" s="1178" t="s">
        <v>196</v>
      </c>
      <c r="D94" s="1182" t="s">
        <v>817</v>
      </c>
      <c r="E94" s="1183">
        <v>6366482</v>
      </c>
      <c r="F94" s="1184"/>
      <c r="G94" s="1184">
        <v>0</v>
      </c>
      <c r="H94" s="1184"/>
      <c r="I94" s="1184">
        <v>1203240</v>
      </c>
      <c r="J94" s="1184">
        <v>210265</v>
      </c>
      <c r="K94" s="1184">
        <v>0</v>
      </c>
      <c r="L94" s="1184">
        <v>3118941</v>
      </c>
      <c r="M94" s="1184">
        <v>0</v>
      </c>
      <c r="N94" s="1184">
        <v>0</v>
      </c>
      <c r="O94" s="1184"/>
      <c r="P94" s="1184">
        <v>0</v>
      </c>
      <c r="Q94" s="1184">
        <v>0</v>
      </c>
      <c r="R94" s="1184"/>
      <c r="S94" s="1184">
        <v>74426685</v>
      </c>
      <c r="T94" s="1184"/>
      <c r="U94" s="1184"/>
      <c r="V94" s="1209">
        <v>85325613</v>
      </c>
      <c r="W94" s="56"/>
      <c r="X94" s="56"/>
      <c r="Y94" s="77"/>
      <c r="Z94" s="99"/>
      <c r="AA94" s="100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</row>
    <row r="95" spans="1:41">
      <c r="A95" s="1308"/>
      <c r="B95" s="122"/>
      <c r="C95" s="1187"/>
      <c r="D95" s="1186" t="s">
        <v>818</v>
      </c>
      <c r="E95" s="1180">
        <v>6795945</v>
      </c>
      <c r="F95" s="14"/>
      <c r="G95" s="14">
        <v>0</v>
      </c>
      <c r="H95" s="14"/>
      <c r="I95" s="14">
        <v>1082916</v>
      </c>
      <c r="J95" s="14">
        <v>219404</v>
      </c>
      <c r="K95" s="14">
        <v>0</v>
      </c>
      <c r="L95" s="14">
        <v>1566789</v>
      </c>
      <c r="M95" s="14">
        <v>0</v>
      </c>
      <c r="N95" s="14">
        <v>0</v>
      </c>
      <c r="O95" s="14"/>
      <c r="P95" s="14">
        <v>0</v>
      </c>
      <c r="Q95" s="14">
        <v>0</v>
      </c>
      <c r="R95" s="14"/>
      <c r="S95" s="14">
        <v>74426685</v>
      </c>
      <c r="T95" s="14"/>
      <c r="U95" s="14"/>
      <c r="V95" s="1208">
        <v>84091739</v>
      </c>
      <c r="Z95" s="85">
        <f t="shared" ref="Z95:AO95" si="45">IF(E94&gt;0,((E95-E94)/E94),)</f>
        <v>6.7456878068609949E-2</v>
      </c>
      <c r="AA95" s="86">
        <f t="shared" si="45"/>
        <v>0</v>
      </c>
      <c r="AB95" s="87">
        <f t="shared" si="45"/>
        <v>0</v>
      </c>
      <c r="AC95" s="88">
        <f t="shared" si="45"/>
        <v>0</v>
      </c>
      <c r="AD95" s="87">
        <f t="shared" si="45"/>
        <v>-0.1</v>
      </c>
      <c r="AE95" s="87">
        <f t="shared" si="45"/>
        <v>4.3464199938173256E-2</v>
      </c>
      <c r="AF95" s="87">
        <f t="shared" si="45"/>
        <v>0</v>
      </c>
      <c r="AG95" s="87">
        <f t="shared" si="45"/>
        <v>-0.49765353047717159</v>
      </c>
      <c r="AH95" s="87">
        <f t="shared" si="45"/>
        <v>0</v>
      </c>
      <c r="AI95" s="87">
        <f t="shared" si="45"/>
        <v>0</v>
      </c>
      <c r="AJ95" s="87">
        <f t="shared" si="45"/>
        <v>0</v>
      </c>
      <c r="AK95" s="87">
        <f t="shared" si="45"/>
        <v>0</v>
      </c>
      <c r="AL95" s="87">
        <f t="shared" si="45"/>
        <v>0</v>
      </c>
      <c r="AM95" s="87">
        <f t="shared" si="45"/>
        <v>0</v>
      </c>
      <c r="AN95" s="87">
        <f t="shared" si="45"/>
        <v>0</v>
      </c>
      <c r="AO95" s="87">
        <f t="shared" si="45"/>
        <v>0</v>
      </c>
    </row>
    <row r="96" spans="1:41">
      <c r="A96" s="125"/>
      <c r="B96" s="53"/>
      <c r="C96" s="1178" t="s">
        <v>835</v>
      </c>
      <c r="D96" s="1178" t="s">
        <v>817</v>
      </c>
      <c r="E96" s="1178"/>
      <c r="F96" s="1179"/>
      <c r="G96" s="1179"/>
      <c r="H96" s="1179">
        <v>0</v>
      </c>
      <c r="I96" s="1179"/>
      <c r="J96" s="1179"/>
      <c r="K96" s="1179"/>
      <c r="L96" s="1179">
        <v>0</v>
      </c>
      <c r="M96" s="1179">
        <v>0</v>
      </c>
      <c r="N96" s="1179"/>
      <c r="O96" s="1179">
        <v>0</v>
      </c>
      <c r="P96" s="1179"/>
      <c r="Q96" s="1179"/>
      <c r="R96" s="1179">
        <v>55318471</v>
      </c>
      <c r="S96" s="1179">
        <v>13500000</v>
      </c>
      <c r="T96" s="1179"/>
      <c r="U96" s="1179"/>
      <c r="V96" s="1207">
        <v>68818471</v>
      </c>
      <c r="Y96" s="103"/>
    </row>
    <row r="97" spans="1:25">
      <c r="A97" s="125"/>
      <c r="B97" s="53"/>
      <c r="C97" s="1185"/>
      <c r="D97" s="1180" t="s">
        <v>818</v>
      </c>
      <c r="E97" s="1180"/>
      <c r="F97" s="14"/>
      <c r="G97" s="14"/>
      <c r="H97" s="14">
        <v>0</v>
      </c>
      <c r="I97" s="14"/>
      <c r="J97" s="14"/>
      <c r="K97" s="14"/>
      <c r="L97" s="14">
        <v>12598916</v>
      </c>
      <c r="M97" s="14">
        <v>0</v>
      </c>
      <c r="N97" s="14"/>
      <c r="O97" s="14">
        <v>0</v>
      </c>
      <c r="P97" s="14"/>
      <c r="Q97" s="14"/>
      <c r="R97" s="14">
        <v>56704750</v>
      </c>
      <c r="S97" s="14">
        <v>19017500</v>
      </c>
      <c r="T97" s="14"/>
      <c r="U97" s="14"/>
      <c r="V97" s="1208">
        <v>88321166</v>
      </c>
      <c r="Y97" s="103"/>
    </row>
    <row r="98" spans="1:25">
      <c r="A98" s="125"/>
      <c r="B98" s="53"/>
      <c r="C98" s="1203" t="s">
        <v>836</v>
      </c>
      <c r="D98" s="1204"/>
      <c r="E98" s="1199">
        <v>4486794657</v>
      </c>
      <c r="F98" s="1179">
        <v>1922387387</v>
      </c>
      <c r="G98" s="1179">
        <v>1030614459</v>
      </c>
      <c r="H98" s="1179">
        <v>2016080867.24</v>
      </c>
      <c r="I98" s="1179">
        <v>6336910519.04</v>
      </c>
      <c r="J98" s="1179">
        <v>2921317054.9474649</v>
      </c>
      <c r="K98" s="1179">
        <v>2645004541.71</v>
      </c>
      <c r="L98" s="1179">
        <v>4955342900.2399998</v>
      </c>
      <c r="M98" s="1179">
        <v>1601033764.8300002</v>
      </c>
      <c r="N98" s="1179">
        <v>6508637074.5600004</v>
      </c>
      <c r="O98" s="1179">
        <v>253868329</v>
      </c>
      <c r="P98" s="1179">
        <v>3812350509.75</v>
      </c>
      <c r="Q98" s="1179">
        <v>3748940830</v>
      </c>
      <c r="R98" s="1179">
        <v>15627449666.77</v>
      </c>
      <c r="S98" s="1179">
        <v>6183010336.1757145</v>
      </c>
      <c r="T98" s="1179">
        <v>1378625906.52</v>
      </c>
      <c r="U98" s="1179">
        <v>1630000</v>
      </c>
      <c r="V98" s="1207">
        <v>65429998803.783165</v>
      </c>
      <c r="Y98" s="103"/>
    </row>
    <row r="99" spans="1:25">
      <c r="A99" s="125"/>
      <c r="B99" s="53"/>
      <c r="C99" s="1203" t="s">
        <v>837</v>
      </c>
      <c r="D99" s="1204"/>
      <c r="E99" s="1198">
        <v>4482153640</v>
      </c>
      <c r="F99" s="1200">
        <v>2027469736</v>
      </c>
      <c r="G99" s="1200">
        <v>983701623</v>
      </c>
      <c r="H99" s="1200">
        <v>1983926998</v>
      </c>
      <c r="I99" s="1200">
        <v>6197952570.5599995</v>
      </c>
      <c r="J99" s="1200">
        <v>2914473903.9500003</v>
      </c>
      <c r="K99" s="1200">
        <v>2575899741.6899996</v>
      </c>
      <c r="L99" s="1200">
        <v>4927416276</v>
      </c>
      <c r="M99" s="1200">
        <v>1588221485</v>
      </c>
      <c r="N99" s="1200">
        <v>6655322190</v>
      </c>
      <c r="O99" s="1200">
        <v>223684106</v>
      </c>
      <c r="P99" s="1200">
        <v>3739675337</v>
      </c>
      <c r="Q99" s="1200">
        <v>3725425652.5799999</v>
      </c>
      <c r="R99" s="1200">
        <v>16041362440.559999</v>
      </c>
      <c r="S99" s="1200">
        <v>6592260024.1783514</v>
      </c>
      <c r="T99" s="1200">
        <v>1381318399</v>
      </c>
      <c r="U99" s="1200">
        <v>1630000</v>
      </c>
      <c r="V99" s="1210">
        <v>66041894123.518349</v>
      </c>
      <c r="Y99" s="103"/>
    </row>
    <row r="100" spans="1:25">
      <c r="A100" s="125"/>
      <c r="B100" s="53"/>
      <c r="Y100" s="103"/>
    </row>
    <row r="101" spans="1:25">
      <c r="A101" s="125"/>
      <c r="B101" s="53"/>
      <c r="Y101" s="103"/>
    </row>
    <row r="102" spans="1:25">
      <c r="A102" s="125"/>
      <c r="B102" s="53"/>
      <c r="Y102" s="103"/>
    </row>
    <row r="103" spans="1:25">
      <c r="A103" s="125"/>
      <c r="B103" s="53"/>
      <c r="Y103" s="103"/>
    </row>
    <row r="104" spans="1:25" ht="12.5">
      <c r="A104" s="125"/>
      <c r="B104" s="53"/>
    </row>
    <row r="105" spans="1:25">
      <c r="A105" s="125"/>
      <c r="B105" s="53"/>
      <c r="Y105" s="103"/>
    </row>
    <row r="106" spans="1:25" ht="12.5">
      <c r="A106" s="125"/>
      <c r="B106" s="53"/>
      <c r="Y106" s="77"/>
    </row>
    <row r="107" spans="1:25" ht="12.5">
      <c r="A107" s="125"/>
      <c r="B107" s="53"/>
    </row>
    <row r="108" spans="1:25">
      <c r="A108" s="125"/>
      <c r="B108" s="53"/>
      <c r="Y108" s="103"/>
    </row>
    <row r="109" spans="1:25" ht="12.5">
      <c r="A109" s="125"/>
      <c r="B109" s="53"/>
      <c r="Y109" s="77"/>
    </row>
    <row r="110" spans="1:25" ht="12.5">
      <c r="A110" s="125"/>
      <c r="B110" s="53"/>
    </row>
    <row r="111" spans="1:25">
      <c r="A111" s="125"/>
      <c r="B111" s="53"/>
      <c r="Y111" s="103"/>
    </row>
    <row r="112" spans="1:25" ht="12.5">
      <c r="A112" s="125"/>
      <c r="B112" s="53"/>
      <c r="Y112" s="77"/>
    </row>
    <row r="113" spans="1:25" ht="12.5">
      <c r="A113" s="125"/>
      <c r="B113" s="53"/>
    </row>
    <row r="114" spans="1:25">
      <c r="A114" s="125"/>
      <c r="B114" s="53"/>
      <c r="Y114" s="103"/>
    </row>
    <row r="115" spans="1:25" ht="12.5">
      <c r="A115" s="125"/>
      <c r="B115" s="53"/>
      <c r="Y115" s="77"/>
    </row>
    <row r="116" spans="1:25" ht="12.5">
      <c r="A116" s="125"/>
      <c r="B116" s="53"/>
    </row>
    <row r="117" spans="1:25">
      <c r="A117" s="125"/>
      <c r="B117" s="53"/>
      <c r="Y117" s="103"/>
    </row>
    <row r="118" spans="1:25" ht="12.5">
      <c r="A118" s="125"/>
      <c r="B118" s="53"/>
      <c r="Y118" s="77"/>
    </row>
    <row r="119" spans="1:25" ht="12.5">
      <c r="A119" s="125"/>
      <c r="B119" s="53"/>
    </row>
    <row r="120" spans="1:25">
      <c r="A120" s="125"/>
      <c r="B120" s="53"/>
      <c r="Y120" s="103"/>
    </row>
    <row r="121" spans="1:25" ht="12.5">
      <c r="A121" s="125"/>
      <c r="B121" s="53"/>
      <c r="Y121" s="77"/>
    </row>
    <row r="122" spans="1:25" ht="12.5">
      <c r="A122" s="125"/>
      <c r="B122" s="53"/>
    </row>
    <row r="123" spans="1:25">
      <c r="A123" s="125"/>
      <c r="B123" s="53"/>
      <c r="Y123" s="103"/>
    </row>
    <row r="124" spans="1:25" ht="12.5">
      <c r="A124" s="125"/>
      <c r="B124" s="53"/>
      <c r="Y124" s="77"/>
    </row>
    <row r="125" spans="1:25" ht="12.5">
      <c r="A125" s="125"/>
      <c r="B125" s="53"/>
    </row>
    <row r="126" spans="1:25">
      <c r="A126" s="125"/>
      <c r="B126" s="53"/>
      <c r="Y126" s="103"/>
    </row>
    <row r="127" spans="1:25" ht="12.5">
      <c r="A127" s="125"/>
      <c r="B127" s="53"/>
      <c r="Y127" s="77"/>
    </row>
    <row r="128" spans="1:25" ht="12.5">
      <c r="A128" s="125"/>
      <c r="B128" s="53"/>
    </row>
    <row r="129" spans="1:25">
      <c r="A129" s="125"/>
      <c r="B129" s="53"/>
      <c r="Y129" s="103"/>
    </row>
    <row r="130" spans="1:25" ht="12.5">
      <c r="A130" s="125"/>
      <c r="B130" s="53"/>
      <c r="Y130" s="77"/>
    </row>
    <row r="131" spans="1:25" ht="12.5">
      <c r="A131" s="125"/>
      <c r="B131" s="53"/>
    </row>
    <row r="132" spans="1:25">
      <c r="A132" s="125"/>
      <c r="B132" s="53"/>
      <c r="Y132" s="103"/>
    </row>
    <row r="133" spans="1:25" ht="12.5">
      <c r="A133" s="125"/>
      <c r="B133" s="53"/>
      <c r="Y133" s="77"/>
    </row>
    <row r="134" spans="1:25" ht="12.5">
      <c r="A134" s="125"/>
      <c r="B134" s="53"/>
    </row>
    <row r="135" spans="1:25">
      <c r="A135" s="125"/>
      <c r="B135" s="53"/>
      <c r="Y135" s="103"/>
    </row>
    <row r="136" spans="1:25" ht="12.5">
      <c r="A136" s="125"/>
      <c r="B136" s="53"/>
      <c r="Y136" s="77"/>
    </row>
    <row r="137" spans="1:25" ht="12.5">
      <c r="A137" s="125"/>
      <c r="B137" s="53"/>
    </row>
    <row r="138" spans="1:25">
      <c r="A138" s="125"/>
      <c r="B138" s="53"/>
      <c r="Y138" s="103"/>
    </row>
    <row r="139" spans="1:25" ht="12.5">
      <c r="A139" s="125"/>
      <c r="B139" s="53"/>
      <c r="Y139" s="77"/>
    </row>
    <row r="140" spans="1:25" ht="12.5">
      <c r="A140" s="125"/>
      <c r="B140" s="53"/>
    </row>
    <row r="141" spans="1:25">
      <c r="A141" s="132"/>
      <c r="B141" s="133"/>
      <c r="Y141" s="103"/>
    </row>
    <row r="142" spans="1:25">
      <c r="B142" s="134"/>
      <c r="Y142" s="77"/>
    </row>
    <row r="143" spans="1:25">
      <c r="B143" s="135"/>
    </row>
    <row r="144" spans="1:25">
      <c r="A144" s="51"/>
      <c r="B144" s="136"/>
      <c r="Y144" s="103"/>
    </row>
    <row r="145" spans="1:25">
      <c r="B145" s="134"/>
      <c r="C145" s="137"/>
      <c r="D145" s="72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7"/>
      <c r="X145" s="77"/>
      <c r="Y145" s="77"/>
    </row>
    <row r="146" spans="1:25">
      <c r="B146" s="134"/>
      <c r="C146" s="138"/>
      <c r="D146" s="139"/>
    </row>
    <row r="147" spans="1:25">
      <c r="A147" s="51"/>
      <c r="B147" s="140"/>
      <c r="C147" s="141"/>
      <c r="D147" s="142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03"/>
      <c r="X147" s="103"/>
      <c r="Y147" s="103"/>
    </row>
    <row r="148" spans="1:25">
      <c r="B148" s="134"/>
    </row>
    <row r="149" spans="1:25">
      <c r="B149" s="134"/>
    </row>
    <row r="150" spans="1:25">
      <c r="B150" s="134"/>
    </row>
    <row r="161" s="53" customFormat="1" ht="12.5"/>
    <row r="162" s="53" customFormat="1" ht="12.5"/>
    <row r="163" s="53" customFormat="1" ht="12.5"/>
    <row r="164" s="53" customFormat="1" ht="12.5"/>
    <row r="165" s="53" customFormat="1" ht="12.5"/>
    <row r="166" s="53" customFormat="1" ht="12.5"/>
    <row r="167" s="53" customFormat="1" ht="12.5"/>
    <row r="168" s="53" customFormat="1" ht="12.5"/>
    <row r="169" s="53" customFormat="1" ht="12.5"/>
    <row r="170" s="53" customFormat="1" ht="12.5"/>
    <row r="171" s="53" customFormat="1" ht="12.5"/>
    <row r="172" s="53" customFormat="1" ht="12.5"/>
    <row r="173" s="53" customFormat="1" ht="12.5"/>
    <row r="174" s="53" customFormat="1" ht="12.5"/>
    <row r="175" s="53" customFormat="1" ht="12.5"/>
    <row r="176" s="53" customFormat="1" ht="12.5"/>
    <row r="177" s="53" customFormat="1" ht="12.5"/>
    <row r="178" s="53" customFormat="1" ht="12.5"/>
    <row r="179" s="53" customFormat="1" ht="12.5"/>
    <row r="180" s="53" customFormat="1" ht="12.5"/>
    <row r="181" s="53" customFormat="1" ht="12.5"/>
    <row r="182" s="53" customFormat="1" ht="12.5"/>
    <row r="183" s="53" customFormat="1" ht="12.5"/>
    <row r="184" s="53" customFormat="1" ht="12.5"/>
    <row r="185" s="53" customFormat="1" ht="12.5"/>
    <row r="186" s="53" customFormat="1" ht="12.5"/>
    <row r="187" s="53" customFormat="1" ht="12.5"/>
    <row r="188" s="53" customFormat="1" ht="12.5"/>
    <row r="189" s="53" customFormat="1" ht="12.5"/>
    <row r="190" s="53" customFormat="1" ht="12.5"/>
    <row r="191" s="53" customFormat="1" ht="12.5"/>
    <row r="192" s="53" customFormat="1" ht="12.5"/>
    <row r="193" s="53" customFormat="1" ht="12.5"/>
    <row r="194" s="53" customFormat="1" ht="12.5"/>
    <row r="195" s="53" customFormat="1" ht="12.5"/>
    <row r="196" s="53" customFormat="1" ht="12.5"/>
    <row r="197" s="53" customFormat="1" ht="12.5"/>
    <row r="198" s="53" customFormat="1" ht="12.5"/>
    <row r="199" s="53" customFormat="1" ht="12.5"/>
    <row r="200" s="53" customFormat="1" ht="12.5"/>
    <row r="201" s="53" customFormat="1" ht="12.5"/>
    <row r="202" s="53" customFormat="1" ht="12.5"/>
    <row r="203" s="53" customFormat="1" ht="12.5"/>
    <row r="204" s="53" customFormat="1" ht="12.5"/>
    <row r="205" s="53" customFormat="1" ht="12.5"/>
    <row r="206" s="53" customFormat="1" ht="12.5"/>
    <row r="207" s="53" customFormat="1" ht="12.5"/>
    <row r="208" s="53" customFormat="1" ht="12.5"/>
    <row r="209" s="53" customFormat="1" ht="12.5"/>
    <row r="210" s="53" customFormat="1" ht="12.5"/>
    <row r="211" s="53" customFormat="1" ht="12.5"/>
    <row r="212" s="53" customFormat="1" ht="12.5"/>
    <row r="213" s="53" customFormat="1" ht="12.5"/>
    <row r="214" s="53" customFormat="1" ht="12.5"/>
    <row r="215" s="53" customFormat="1" ht="12.5"/>
    <row r="216" s="53" customFormat="1" ht="12.5"/>
    <row r="217" s="53" customFormat="1" ht="12.5"/>
    <row r="218" s="53" customFormat="1" ht="12.5"/>
    <row r="219" s="53" customFormat="1" ht="12.5"/>
    <row r="220" s="53" customFormat="1" ht="12.5"/>
    <row r="221" s="53" customFormat="1" ht="12.5"/>
    <row r="222" s="53" customFormat="1" ht="12.5"/>
    <row r="223" s="53" customFormat="1" ht="12.5"/>
    <row r="224" s="53" customFormat="1" ht="12.5"/>
    <row r="225" s="53" customFormat="1" ht="12.5"/>
    <row r="226" s="53" customFormat="1" ht="12.5"/>
    <row r="227" s="53" customFormat="1" ht="12.5"/>
    <row r="228" s="53" customFormat="1" ht="12.5"/>
    <row r="229" s="53" customFormat="1" ht="12.5"/>
    <row r="230" s="53" customFormat="1" ht="12.5"/>
    <row r="231" s="53" customFormat="1" ht="12.5"/>
    <row r="232" s="53" customFormat="1" ht="12.5"/>
    <row r="233" s="53" customFormat="1" ht="12.5"/>
    <row r="234" s="53" customFormat="1" ht="12.5"/>
    <row r="235" s="53" customFormat="1" ht="12.5"/>
    <row r="236" s="53" customFormat="1" ht="12.5"/>
    <row r="237" s="53" customFormat="1" ht="12.5"/>
    <row r="238" s="53" customFormat="1" ht="12.5"/>
    <row r="239" s="53" customFormat="1" ht="12.5"/>
    <row r="240" s="53" customFormat="1" ht="12.5"/>
    <row r="241" s="53" customFormat="1" ht="12.5"/>
    <row r="242" s="53" customFormat="1" ht="12.5"/>
    <row r="243" s="53" customFormat="1" ht="12.5"/>
    <row r="244" s="53" customFormat="1" ht="12.5"/>
    <row r="245" s="53" customFormat="1" ht="12.5"/>
    <row r="246" s="53" customFormat="1" ht="12.5"/>
    <row r="247" s="53" customFormat="1" ht="12.5"/>
    <row r="248" s="53" customFormat="1" ht="12.5"/>
    <row r="249" s="53" customFormat="1" ht="12.5"/>
    <row r="250" s="53" customFormat="1" ht="12.5"/>
    <row r="251" s="53" customFormat="1" ht="12.5"/>
    <row r="252" s="53" customFormat="1" ht="12.5"/>
    <row r="253" s="53" customFormat="1" ht="12.5"/>
    <row r="254" s="53" customFormat="1" ht="12.5"/>
    <row r="255" s="53" customFormat="1" ht="12.5"/>
    <row r="256" s="53" customFormat="1" ht="12.5"/>
    <row r="257" s="53" customFormat="1" ht="12.5"/>
    <row r="258" s="53" customFormat="1" ht="12.5"/>
    <row r="259" s="53" customFormat="1" ht="12.5"/>
    <row r="260" s="53" customFormat="1" ht="12.5"/>
    <row r="261" s="53" customFormat="1" ht="12.5"/>
    <row r="262" s="53" customFormat="1" ht="12.5"/>
    <row r="263" s="53" customFormat="1" ht="12.5"/>
    <row r="264" s="53" customFormat="1" ht="12.5"/>
    <row r="265" s="53" customFormat="1" ht="12.5"/>
    <row r="266" s="53" customFormat="1" ht="12.5"/>
    <row r="267" s="53" customFormat="1" ht="12.5"/>
    <row r="268" s="53" customFormat="1" ht="12.5"/>
    <row r="269" s="53" customFormat="1" ht="12.5"/>
    <row r="270" s="53" customFormat="1" ht="12.5"/>
    <row r="271" s="53" customFormat="1" ht="12.5"/>
    <row r="272" s="53" customFormat="1" ht="12.5"/>
    <row r="273" s="53" customFormat="1" ht="12.5"/>
    <row r="274" s="53" customFormat="1" ht="12.5"/>
    <row r="275" s="53" customFormat="1" ht="12.5"/>
    <row r="276" s="53" customFormat="1" ht="12.5"/>
    <row r="277" s="53" customFormat="1" ht="12.5"/>
    <row r="278" s="53" customFormat="1" ht="12.5"/>
    <row r="279" s="53" customFormat="1" ht="12.5"/>
    <row r="280" s="53" customFormat="1" ht="12.5"/>
    <row r="281" s="53" customFormat="1" ht="12.5"/>
    <row r="282" s="53" customFormat="1" ht="12.5"/>
    <row r="283" s="53" customFormat="1" ht="12.5"/>
    <row r="284" s="53" customFormat="1" ht="12.5"/>
    <row r="285" s="53" customFormat="1" ht="12.5"/>
    <row r="286" s="53" customFormat="1" ht="12.5"/>
    <row r="287" s="53" customFormat="1" ht="12.5"/>
    <row r="288" s="53" customFormat="1" ht="12.5"/>
    <row r="289" s="53" customFormat="1" ht="12.5"/>
    <row r="290" s="53" customFormat="1" ht="12.5"/>
    <row r="291" s="53" customFormat="1" ht="12.5"/>
    <row r="292" s="53" customFormat="1" ht="12.5"/>
    <row r="293" s="53" customFormat="1" ht="12.5"/>
    <row r="294" s="53" customFormat="1" ht="12.5"/>
    <row r="295" s="53" customFormat="1" ht="12.5"/>
    <row r="296" s="53" customFormat="1" ht="12.5"/>
    <row r="297" s="53" customFormat="1" ht="12.5"/>
    <row r="298" s="53" customFormat="1" ht="12.5"/>
    <row r="299" s="53" customFormat="1" ht="12.5"/>
    <row r="300" s="53" customFormat="1" ht="12.5"/>
    <row r="301" s="53" customFormat="1" ht="12.5"/>
    <row r="302" s="53" customFormat="1" ht="12.5"/>
    <row r="303" s="53" customFormat="1" ht="12.5"/>
    <row r="304" s="53" customFormat="1" ht="12.5"/>
    <row r="305" s="53" customFormat="1" ht="12.5"/>
    <row r="306" s="53" customFormat="1" ht="12.5"/>
    <row r="307" s="53" customFormat="1" ht="12.5"/>
    <row r="308" s="53" customFormat="1" ht="12.5"/>
    <row r="309" s="53" customFormat="1" ht="12.5"/>
    <row r="310" s="53" customFormat="1" ht="12.5"/>
    <row r="311" s="53" customFormat="1" ht="12.5"/>
    <row r="312" s="53" customFormat="1" ht="12.5"/>
    <row r="313" s="53" customFormat="1" ht="12.5"/>
    <row r="314" s="53" customFormat="1" ht="12.5"/>
    <row r="315" s="53" customFormat="1" ht="12.5"/>
    <row r="316" s="53" customFormat="1" ht="12.5"/>
    <row r="317" s="53" customFormat="1" ht="12.5"/>
    <row r="318" s="53" customFormat="1" ht="12.5"/>
    <row r="319" s="53" customFormat="1" ht="12.5"/>
    <row r="320" s="53" customFormat="1" ht="12.5"/>
    <row r="321" s="53" customFormat="1" ht="12.5"/>
    <row r="322" s="53" customFormat="1" ht="12.5"/>
    <row r="323" s="53" customFormat="1" ht="12.5"/>
    <row r="324" s="53" customFormat="1" ht="12.5"/>
    <row r="325" s="53" customFormat="1" ht="12.5"/>
    <row r="326" s="53" customFormat="1" ht="12.5"/>
    <row r="327" s="53" customFormat="1" ht="12.5"/>
    <row r="328" s="53" customFormat="1" ht="12.5"/>
    <row r="329" s="53" customFormat="1" ht="12.5"/>
    <row r="330" s="53" customFormat="1" ht="12.5"/>
    <row r="331" s="53" customFormat="1" ht="12.5"/>
    <row r="332" s="53" customFormat="1" ht="12.5"/>
    <row r="333" s="53" customFormat="1" ht="12.5"/>
    <row r="334" s="53" customFormat="1" ht="12.5"/>
    <row r="335" s="53" customFormat="1" ht="12.5"/>
    <row r="336" s="53" customFormat="1" ht="12.5"/>
    <row r="337" s="53" customFormat="1" ht="12.5"/>
    <row r="338" s="53" customFormat="1" ht="12.5"/>
    <row r="339" s="53" customFormat="1" ht="12.5"/>
    <row r="340" s="53" customFormat="1" ht="12.5"/>
    <row r="341" s="53" customFormat="1" ht="12.5"/>
    <row r="342" s="53" customFormat="1" ht="12.5"/>
    <row r="343" s="53" customFormat="1" ht="12.5"/>
    <row r="344" s="53" customFormat="1" ht="12.5"/>
    <row r="345" s="53" customFormat="1" ht="12.5"/>
    <row r="346" s="53" customFormat="1" ht="12.5"/>
    <row r="347" s="53" customFormat="1" ht="12.5"/>
    <row r="348" s="53" customFormat="1" ht="12.5"/>
    <row r="349" s="53" customFormat="1" ht="12.5"/>
    <row r="350" s="53" customFormat="1" ht="12.5"/>
    <row r="351" s="53" customFormat="1" ht="12.5"/>
    <row r="352" s="53" customFormat="1" ht="12.5"/>
    <row r="353" s="53" customFormat="1" ht="12.5"/>
    <row r="354" s="53" customFormat="1" ht="12.5"/>
    <row r="355" s="53" customFormat="1" ht="12.5"/>
    <row r="356" s="53" customFormat="1" ht="12.5"/>
    <row r="357" s="53" customFormat="1" ht="12.5"/>
    <row r="358" s="53" customFormat="1" ht="12.5"/>
    <row r="359" s="53" customFormat="1" ht="12.5"/>
    <row r="360" s="53" customFormat="1" ht="12.5"/>
    <row r="361" s="53" customFormat="1" ht="12.5"/>
    <row r="362" s="53" customFormat="1" ht="12.5"/>
    <row r="363" s="53" customFormat="1" ht="12.5"/>
    <row r="364" s="53" customFormat="1" ht="12.5"/>
    <row r="365" s="53" customFormat="1" ht="12.5"/>
    <row r="366" s="53" customFormat="1" ht="12.5"/>
    <row r="367" s="53" customFormat="1" ht="12.5"/>
    <row r="368" s="53" customFormat="1" ht="12.5"/>
    <row r="369" s="53" customFormat="1" ht="12.5"/>
    <row r="370" s="53" customFormat="1" ht="12.5"/>
    <row r="371" s="53" customFormat="1" ht="12.5"/>
    <row r="372" s="53" customFormat="1" ht="12.5"/>
    <row r="373" s="53" customFormat="1" ht="12.5"/>
    <row r="374" s="53" customFormat="1" ht="12.5"/>
    <row r="375" s="53" customFormat="1" ht="12.5"/>
    <row r="376" s="53" customFormat="1" ht="12.5"/>
    <row r="377" s="53" customFormat="1" ht="12.5"/>
    <row r="378" s="53" customFormat="1" ht="12.5"/>
    <row r="379" s="53" customFormat="1" ht="12.5"/>
    <row r="380" s="53" customFormat="1" ht="12.5"/>
    <row r="381" s="53" customFormat="1" ht="12.5"/>
    <row r="382" s="53" customFormat="1" ht="12.5"/>
    <row r="383" s="53" customFormat="1" ht="12.5"/>
    <row r="384" s="53" customFormat="1" ht="12.5"/>
    <row r="385" s="53" customFormat="1" ht="12.5"/>
    <row r="386" s="53" customFormat="1" ht="12.5"/>
    <row r="387" s="53" customFormat="1" ht="12.5"/>
    <row r="388" s="53" customFormat="1" ht="12.5"/>
    <row r="389" s="53" customFormat="1" ht="12.5"/>
    <row r="390" s="53" customFormat="1" ht="12.5"/>
    <row r="391" s="53" customFormat="1" ht="12.5"/>
    <row r="392" s="53" customFormat="1" ht="12.5"/>
    <row r="393" s="53" customFormat="1" ht="12.5"/>
    <row r="394" s="53" customFormat="1" ht="12.5"/>
    <row r="395" s="53" customFormat="1" ht="12.5"/>
    <row r="396" s="53" customFormat="1" ht="12.5"/>
    <row r="397" s="53" customFormat="1" ht="12.5"/>
    <row r="398" s="53" customFormat="1" ht="12.5"/>
    <row r="399" s="53" customFormat="1" ht="12.5"/>
    <row r="400" s="53" customFormat="1" ht="12.5"/>
    <row r="401" s="53" customFormat="1" ht="12.5"/>
    <row r="402" s="53" customFormat="1" ht="12.5"/>
    <row r="403" s="53" customFormat="1" ht="12.5"/>
    <row r="404" s="53" customFormat="1" ht="12.5"/>
    <row r="405" s="53" customFormat="1" ht="12.5"/>
    <row r="406" s="53" customFormat="1" ht="12.5"/>
    <row r="407" s="53" customFormat="1" ht="12.5"/>
    <row r="408" s="53" customFormat="1" ht="12.5"/>
    <row r="409" s="53" customFormat="1" ht="12.5"/>
    <row r="410" s="53" customFormat="1" ht="12.5"/>
    <row r="411" s="53" customFormat="1" ht="12.5"/>
    <row r="412" s="53" customFormat="1" ht="12.5"/>
    <row r="413" s="53" customFormat="1" ht="12.5"/>
    <row r="414" s="53" customFormat="1" ht="12.5"/>
    <row r="415" s="53" customFormat="1" ht="12.5"/>
    <row r="416" s="53" customFormat="1" ht="12.5"/>
    <row r="417" s="53" customFormat="1" ht="12.5"/>
    <row r="418" s="53" customFormat="1" ht="12.5"/>
    <row r="419" s="53" customFormat="1" ht="12.5"/>
    <row r="420" s="53" customFormat="1" ht="12.5"/>
    <row r="421" s="53" customFormat="1" ht="12.5"/>
    <row r="422" s="53" customFormat="1" ht="12.5"/>
    <row r="423" s="53" customFormat="1" ht="12.5"/>
    <row r="424" s="53" customFormat="1" ht="12.5"/>
    <row r="425" s="53" customFormat="1" ht="12.5"/>
    <row r="426" s="53" customFormat="1" ht="12.5"/>
    <row r="427" s="53" customFormat="1" ht="12.5"/>
    <row r="428" s="53" customFormat="1" ht="12.5"/>
    <row r="429" s="53" customFormat="1" ht="12.5"/>
    <row r="430" s="53" customFormat="1" ht="12.5"/>
    <row r="431" s="53" customFormat="1" ht="12.5"/>
    <row r="432" s="53" customFormat="1" ht="12.5"/>
    <row r="433" s="53" customFormat="1" ht="12.5"/>
    <row r="434" s="53" customFormat="1" ht="12.5"/>
    <row r="435" s="53" customFormat="1" ht="12.5"/>
    <row r="436" s="53" customFormat="1" ht="12.5"/>
    <row r="437" s="53" customFormat="1" ht="12.5"/>
    <row r="438" s="53" customFormat="1" ht="12.5"/>
    <row r="439" s="53" customFormat="1" ht="12.5"/>
    <row r="440" s="53" customFormat="1" ht="12.5"/>
    <row r="441" s="53" customFormat="1" ht="12.5"/>
    <row r="442" s="53" customFormat="1" ht="12.5"/>
    <row r="443" s="53" customFormat="1" ht="12.5"/>
    <row r="444" s="53" customFormat="1" ht="12.5"/>
    <row r="445" s="53" customFormat="1" ht="12.5"/>
    <row r="446" s="53" customFormat="1" ht="12.5"/>
    <row r="447" s="53" customFormat="1" ht="12.5"/>
    <row r="448" s="53" customFormat="1" ht="12.5"/>
    <row r="449" s="53" customFormat="1" ht="12.5"/>
    <row r="450" s="53" customFormat="1" ht="12.5"/>
    <row r="451" s="53" customFormat="1" ht="12.5"/>
    <row r="452" s="53" customFormat="1" ht="12.5"/>
    <row r="453" s="53" customFormat="1" ht="12.5"/>
    <row r="454" s="53" customFormat="1" ht="12.5"/>
    <row r="455" s="53" customFormat="1" ht="12.5"/>
    <row r="456" s="53" customFormat="1" ht="12.5"/>
    <row r="457" s="53" customFormat="1" ht="12.5"/>
    <row r="458" s="53" customFormat="1" ht="12.5"/>
    <row r="459" s="53" customFormat="1" ht="12.5"/>
    <row r="460" s="53" customFormat="1" ht="12.5"/>
    <row r="461" s="53" customFormat="1" ht="12.5"/>
    <row r="462" s="53" customFormat="1" ht="12.5"/>
    <row r="463" s="53" customFormat="1" ht="12.5"/>
    <row r="464" s="53" customFormat="1" ht="12.5"/>
    <row r="465" s="53" customFormat="1" ht="12.5"/>
    <row r="466" s="53" customFormat="1" ht="12.5"/>
    <row r="467" s="53" customFormat="1" ht="12.5"/>
    <row r="468" s="53" customFormat="1" ht="12.5"/>
    <row r="469" s="53" customFormat="1" ht="12.5"/>
    <row r="470" s="53" customFormat="1" ht="12.5"/>
    <row r="471" s="53" customFormat="1" ht="12.5"/>
    <row r="472" s="53" customFormat="1" ht="12.5"/>
    <row r="473" s="53" customFormat="1" ht="12.5"/>
    <row r="474" s="53" customFormat="1" ht="12.5"/>
    <row r="475" s="53" customFormat="1" ht="12.5"/>
    <row r="476" s="53" customFormat="1" ht="12.5"/>
    <row r="477" s="53" customFormat="1" ht="12.5"/>
    <row r="478" s="53" customFormat="1" ht="12.5"/>
    <row r="479" s="53" customFormat="1" ht="12.5"/>
    <row r="480" s="53" customFormat="1" ht="12.5"/>
    <row r="481" s="53" customFormat="1" ht="12.5"/>
    <row r="482" s="53" customFormat="1" ht="12.5"/>
    <row r="483" s="53" customFormat="1" ht="12.5"/>
    <row r="484" s="53" customFormat="1" ht="12.5"/>
    <row r="485" s="53" customFormat="1" ht="12.5"/>
    <row r="486" s="53" customFormat="1" ht="12.5"/>
    <row r="487" s="53" customFormat="1" ht="12.5"/>
    <row r="488" s="53" customFormat="1" ht="12.5"/>
    <row r="489" s="53" customFormat="1" ht="12.5"/>
    <row r="490" s="53" customFormat="1" ht="12.5"/>
    <row r="491" s="53" customFormat="1" ht="12.5"/>
    <row r="492" s="53" customFormat="1" ht="12.5"/>
    <row r="493" s="53" customFormat="1" ht="12.5"/>
    <row r="494" s="53" customFormat="1" ht="12.5"/>
    <row r="495" s="53" customFormat="1" ht="12.5"/>
    <row r="496" s="53" customFormat="1" ht="12.5"/>
    <row r="497" s="53" customFormat="1" ht="12.5"/>
    <row r="498" s="53" customFormat="1" ht="12.5"/>
    <row r="499" s="53" customFormat="1" ht="12.5"/>
    <row r="500" s="53" customFormat="1" ht="12.5"/>
    <row r="501" s="53" customFormat="1" ht="12.5"/>
    <row r="502" s="53" customFormat="1" ht="12.5"/>
    <row r="503" s="53" customFormat="1" ht="12.5"/>
    <row r="504" s="53" customFormat="1" ht="12.5"/>
    <row r="505" s="53" customFormat="1" ht="12.5"/>
    <row r="506" s="53" customFormat="1" ht="12.5"/>
    <row r="507" s="53" customFormat="1" ht="12.5"/>
    <row r="508" s="53" customFormat="1" ht="12.5"/>
    <row r="509" s="53" customFormat="1" ht="12.5"/>
    <row r="510" s="53" customFormat="1" ht="12.5"/>
    <row r="511" s="53" customFormat="1" ht="12.5"/>
    <row r="512" s="53" customFormat="1" ht="12.5"/>
    <row r="513" s="53" customFormat="1" ht="12.5"/>
    <row r="514" s="53" customFormat="1" ht="12.5"/>
    <row r="515" s="53" customFormat="1" ht="12.5"/>
    <row r="516" s="53" customFormat="1" ht="12.5"/>
    <row r="517" s="53" customFormat="1" ht="12.5"/>
    <row r="518" s="53" customFormat="1" ht="12.5"/>
    <row r="519" s="53" customFormat="1" ht="12.5"/>
    <row r="520" s="53" customFormat="1" ht="12.5"/>
    <row r="521" s="53" customFormat="1" ht="12.5"/>
    <row r="522" s="53" customFormat="1" ht="12.5"/>
    <row r="523" s="53" customFormat="1" ht="12.5"/>
    <row r="524" s="53" customFormat="1" ht="12.5"/>
    <row r="525" s="53" customFormat="1" ht="12.5"/>
    <row r="526" s="53" customFormat="1" ht="12.5"/>
    <row r="527" s="53" customFormat="1" ht="12.5"/>
    <row r="528" s="53" customFormat="1" ht="12.5"/>
    <row r="529" s="53" customFormat="1" ht="12.5"/>
    <row r="530" s="53" customFormat="1" ht="12.5"/>
    <row r="531" s="53" customFormat="1" ht="12.5"/>
    <row r="532" s="53" customFormat="1" ht="12.5"/>
    <row r="533" s="53" customFormat="1" ht="12.5"/>
    <row r="534" s="53" customFormat="1" ht="12.5"/>
    <row r="535" s="53" customFormat="1" ht="12.5"/>
    <row r="536" s="53" customFormat="1" ht="12.5"/>
    <row r="537" s="53" customFormat="1" ht="12.5"/>
    <row r="538" s="53" customFormat="1" ht="12.5"/>
    <row r="539" s="53" customFormat="1" ht="12.5"/>
    <row r="540" s="53" customFormat="1" ht="12.5"/>
    <row r="541" s="53" customFormat="1" ht="12.5"/>
    <row r="542" s="53" customFormat="1" ht="12.5"/>
    <row r="543" s="53" customFormat="1" ht="12.5"/>
    <row r="544" s="53" customFormat="1" ht="12.5"/>
    <row r="545" s="53" customFormat="1" ht="12.5"/>
    <row r="546" s="53" customFormat="1" ht="12.5"/>
    <row r="547" s="53" customFormat="1" ht="12.5"/>
    <row r="548" s="53" customFormat="1" ht="12.5"/>
    <row r="549" s="53" customFormat="1" ht="12.5"/>
    <row r="550" s="53" customFormat="1" ht="12.5"/>
    <row r="551" s="53" customFormat="1" ht="12.5"/>
    <row r="552" s="53" customFormat="1" ht="12.5"/>
    <row r="553" s="53" customFormat="1" ht="12.5"/>
    <row r="554" s="53" customFormat="1" ht="12.5"/>
    <row r="555" s="53" customFormat="1" ht="12.5"/>
    <row r="556" s="53" customFormat="1" ht="12.5"/>
    <row r="557" s="53" customFormat="1" ht="12.5"/>
    <row r="558" s="53" customFormat="1" ht="12.5"/>
    <row r="559" s="53" customFormat="1" ht="12.5"/>
    <row r="560" s="53" customFormat="1" ht="12.5"/>
    <row r="561" s="53" customFormat="1" ht="12.5"/>
    <row r="562" s="53" customFormat="1" ht="12.5"/>
    <row r="563" s="53" customFormat="1" ht="12.5"/>
    <row r="564" s="53" customFormat="1" ht="12.5"/>
    <row r="565" s="53" customFormat="1" ht="12.5"/>
    <row r="566" s="53" customFormat="1" ht="12.5"/>
    <row r="567" s="53" customFormat="1" ht="12.5"/>
    <row r="568" s="53" customFormat="1" ht="12.5"/>
    <row r="569" s="53" customFormat="1" ht="12.5"/>
    <row r="570" s="53" customFormat="1" ht="12.5"/>
    <row r="571" s="53" customFormat="1" ht="12.5"/>
    <row r="572" s="53" customFormat="1" ht="12.5"/>
    <row r="573" s="53" customFormat="1" ht="12.5"/>
    <row r="574" s="53" customFormat="1" ht="12.5"/>
    <row r="575" s="53" customFormat="1" ht="12.5"/>
    <row r="576" s="53" customFormat="1" ht="12.5"/>
    <row r="577" s="53" customFormat="1" ht="12.5"/>
    <row r="578" s="53" customFormat="1" ht="12.5"/>
    <row r="579" s="53" customFormat="1" ht="12.5"/>
    <row r="580" s="53" customFormat="1" ht="12.5"/>
    <row r="581" s="53" customFormat="1" ht="12.5"/>
    <row r="582" s="53" customFormat="1" ht="12.5"/>
    <row r="583" s="53" customFormat="1" ht="12.5"/>
    <row r="584" s="53" customFormat="1" ht="12.5"/>
    <row r="585" s="53" customFormat="1" ht="12.5"/>
    <row r="586" s="53" customFormat="1" ht="12.5"/>
    <row r="587" s="53" customFormat="1" ht="12.5"/>
    <row r="588" s="53" customFormat="1" ht="12.5"/>
    <row r="589" s="53" customFormat="1" ht="12.5"/>
    <row r="590" s="53" customFormat="1" ht="12.5"/>
    <row r="591" s="53" customFormat="1" ht="12.5"/>
    <row r="592" s="53" customFormat="1" ht="12.5"/>
    <row r="593" s="53" customFormat="1" ht="12.5"/>
    <row r="594" s="53" customFormat="1" ht="12.5"/>
    <row r="595" s="53" customFormat="1" ht="12.5"/>
    <row r="596" s="53" customFormat="1" ht="12.5"/>
    <row r="597" s="53" customFormat="1" ht="12.5"/>
    <row r="598" s="53" customFormat="1" ht="12.5"/>
    <row r="599" s="53" customFormat="1" ht="12.5"/>
    <row r="600" s="53" customFormat="1" ht="12.5"/>
    <row r="601" s="53" customFormat="1" ht="12.5"/>
    <row r="602" s="53" customFormat="1" ht="12.5"/>
    <row r="603" s="53" customFormat="1" ht="12.5"/>
    <row r="604" s="53" customFormat="1" ht="12.5"/>
    <row r="605" s="53" customFormat="1" ht="12.5"/>
    <row r="606" s="53" customFormat="1" ht="12.5"/>
    <row r="607" s="53" customFormat="1" ht="12.5"/>
    <row r="608" s="53" customFormat="1" ht="12.5"/>
    <row r="609" s="53" customFormat="1" ht="12.5"/>
    <row r="610" s="53" customFormat="1" ht="12.5"/>
    <row r="611" s="53" customFormat="1" ht="12.5"/>
    <row r="612" s="53" customFormat="1" ht="12.5"/>
    <row r="613" s="53" customFormat="1" ht="12.5"/>
    <row r="614" s="53" customFormat="1" ht="12.5"/>
    <row r="615" s="53" customFormat="1" ht="12.5"/>
    <row r="616" s="53" customFormat="1" ht="12.5"/>
    <row r="617" s="53" customFormat="1" ht="12.5"/>
    <row r="618" s="53" customFormat="1" ht="12.5"/>
    <row r="619" s="53" customFormat="1" ht="12.5"/>
    <row r="620" s="53" customFormat="1" ht="12.5"/>
    <row r="621" s="53" customFormat="1" ht="12.5"/>
    <row r="622" s="53" customFormat="1" ht="12.5"/>
    <row r="623" s="53" customFormat="1" ht="12.5"/>
    <row r="624" s="53" customFormat="1" ht="12.5"/>
    <row r="625" s="53" customFormat="1" ht="12.5"/>
    <row r="626" s="53" customFormat="1" ht="12.5"/>
    <row r="627" s="53" customFormat="1" ht="12.5"/>
    <row r="628" s="53" customFormat="1" ht="12.5"/>
    <row r="629" s="53" customFormat="1" ht="12.5"/>
    <row r="630" s="53" customFormat="1" ht="12.5"/>
    <row r="631" s="53" customFormat="1" ht="12.5"/>
    <row r="632" s="53" customFormat="1" ht="12.5"/>
    <row r="633" s="53" customFormat="1" ht="12.5"/>
    <row r="634" s="53" customFormat="1" ht="12.5"/>
    <row r="635" s="53" customFormat="1" ht="12.5"/>
    <row r="636" s="53" customFormat="1" ht="12.5"/>
    <row r="637" s="53" customFormat="1" ht="12.5"/>
    <row r="638" s="53" customFormat="1" ht="12.5"/>
    <row r="639" s="53" customFormat="1" ht="12.5"/>
    <row r="640" s="53" customFormat="1" ht="12.5"/>
    <row r="641" s="53" customFormat="1" ht="12.5"/>
    <row r="642" s="53" customFormat="1" ht="12.5"/>
    <row r="643" s="53" customFormat="1" ht="12.5"/>
    <row r="644" s="53" customFormat="1" ht="12.5"/>
    <row r="645" s="53" customFormat="1" ht="12.5"/>
    <row r="646" s="53" customFormat="1" ht="12.5"/>
    <row r="647" s="53" customFormat="1" ht="12.5"/>
    <row r="648" s="53" customFormat="1" ht="12.5"/>
    <row r="649" s="53" customFormat="1" ht="12.5"/>
    <row r="650" s="53" customFormat="1" ht="12.5"/>
    <row r="651" s="53" customFormat="1" ht="12.5"/>
    <row r="652" s="53" customFormat="1" ht="12.5"/>
    <row r="653" s="53" customFormat="1" ht="12.5"/>
    <row r="654" s="53" customFormat="1" ht="12.5"/>
    <row r="655" s="53" customFormat="1" ht="12.5"/>
    <row r="656" s="53" customFormat="1" ht="12.5"/>
    <row r="657" s="53" customFormat="1" ht="12.5"/>
    <row r="658" s="53" customFormat="1" ht="12.5"/>
    <row r="659" s="53" customFormat="1" ht="12.5"/>
    <row r="660" s="53" customFormat="1" ht="12.5"/>
    <row r="661" s="53" customFormat="1" ht="12.5"/>
    <row r="662" s="53" customFormat="1" ht="12.5"/>
    <row r="663" s="53" customFormat="1" ht="12.5"/>
    <row r="664" s="53" customFormat="1" ht="12.5"/>
    <row r="665" s="53" customFormat="1" ht="12.5"/>
    <row r="666" s="53" customFormat="1" ht="12.5"/>
    <row r="667" s="53" customFormat="1" ht="12.5"/>
    <row r="668" s="53" customFormat="1" ht="12.5"/>
    <row r="669" s="53" customFormat="1" ht="12.5"/>
    <row r="670" s="53" customFormat="1" ht="12.5"/>
    <row r="671" s="53" customFormat="1" ht="12.5"/>
    <row r="672" s="53" customFormat="1" ht="12.5"/>
    <row r="673" s="53" customFormat="1" ht="12.5"/>
    <row r="674" s="53" customFormat="1" ht="12.5"/>
    <row r="675" s="53" customFormat="1" ht="12.5"/>
    <row r="676" s="53" customFormat="1" ht="12.5"/>
    <row r="677" s="53" customFormat="1" ht="12.5"/>
    <row r="678" s="53" customFormat="1" ht="12.5"/>
    <row r="679" s="53" customFormat="1" ht="12.5"/>
    <row r="680" s="53" customFormat="1" ht="12.5"/>
    <row r="681" s="53" customFormat="1" ht="12.5"/>
    <row r="682" s="53" customFormat="1" ht="12.5"/>
    <row r="683" s="53" customFormat="1" ht="12.5"/>
    <row r="684" s="53" customFormat="1" ht="12.5"/>
    <row r="685" s="53" customFormat="1" ht="12.5"/>
    <row r="686" s="53" customFormat="1" ht="12.5"/>
    <row r="687" s="53" customFormat="1" ht="12.5"/>
    <row r="688" s="53" customFormat="1" ht="12.5"/>
    <row r="689" s="53" customFormat="1" ht="12.5"/>
    <row r="690" s="53" customFormat="1" ht="12.5"/>
    <row r="691" s="53" customFormat="1" ht="12.5"/>
    <row r="692" s="53" customFormat="1" ht="12.5"/>
    <row r="693" s="53" customFormat="1" ht="12.5"/>
    <row r="694" s="53" customFormat="1" ht="12.5"/>
    <row r="695" s="53" customFormat="1" ht="12.5"/>
    <row r="696" s="53" customFormat="1" ht="12.5"/>
    <row r="697" s="53" customFormat="1" ht="12.5"/>
    <row r="698" s="53" customFormat="1" ht="12.5"/>
    <row r="699" s="53" customFormat="1" ht="12.5"/>
    <row r="700" s="53" customFormat="1" ht="12.5"/>
    <row r="701" s="53" customFormat="1" ht="12.5"/>
    <row r="702" s="53" customFormat="1" ht="12.5"/>
    <row r="703" s="53" customFormat="1" ht="12.5"/>
    <row r="704" s="53" customFormat="1" ht="12.5"/>
    <row r="705" s="53" customFormat="1" ht="12.5"/>
    <row r="706" s="53" customFormat="1" ht="12.5"/>
    <row r="707" s="53" customFormat="1" ht="12.5"/>
  </sheetData>
  <mergeCells count="2">
    <mergeCell ref="A4:A39"/>
    <mergeCell ref="A40:A95"/>
  </mergeCells>
  <pageMargins left="0.75" right="0.75" top="1" bottom="1" header="0.5" footer="0.5"/>
  <pageSetup scale="85" orientation="portrait" verticalDpi="1200" r:id="rId2"/>
  <headerFooter alignWithMargins="0">
    <oddHeader>&amp;LSREB-State Data Exchange&amp;CPreliminary Tables&amp;RPart 5 - Funding by Function</oddHeader>
    <oddFooter>&amp;LFor Agency Review Only&amp;ROctober 2008</oddFooter>
  </headerFooter>
  <rowBreaks count="2" manualBreakCount="2">
    <brk id="57" min="4" max="19" man="1"/>
    <brk id="96" min="4" max="19" man="1"/>
  </rowBreaks>
  <colBreaks count="15" manualBreakCount="15">
    <brk id="5" min="3" max="143" man="1"/>
    <brk id="6" min="3" max="143" man="1"/>
    <brk id="7" min="3" max="143" man="1"/>
    <brk id="8" min="3" max="143" man="1"/>
    <brk id="9" min="3" max="143" man="1"/>
    <brk id="10" min="3" max="143" man="1"/>
    <brk id="11" min="3" max="143" man="1"/>
    <brk id="12" min="3" max="143" man="1"/>
    <brk id="13" min="3" max="143" man="1"/>
    <brk id="14" min="3" max="143" man="1"/>
    <brk id="15" min="3" max="143" man="1"/>
    <brk id="16" min="3" max="143" man="1"/>
    <brk id="17" min="3" max="143" man="1"/>
    <brk id="18" min="3" max="143" man="1"/>
    <brk id="19" min="3" max="14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E1F94-CF7A-4618-9397-008191FC53F7}">
  <sheetPr codeName="Sheet12">
    <tabColor rgb="FF008000"/>
  </sheetPr>
  <dimension ref="A1:AN136"/>
  <sheetViews>
    <sheetView topLeftCell="A117" workbookViewId="0">
      <selection activeCell="F120" sqref="F120"/>
    </sheetView>
  </sheetViews>
  <sheetFormatPr defaultColWidth="8.84375" defaultRowHeight="12.5"/>
  <cols>
    <col min="1" max="1" width="21.765625" style="151" customWidth="1"/>
    <col min="2" max="2" width="10.69140625" style="151" customWidth="1"/>
    <col min="3" max="3" width="10.4609375" style="151" bestFit="1" customWidth="1"/>
    <col min="4" max="4" width="10" style="151" bestFit="1" customWidth="1"/>
    <col min="5" max="5" width="9.69140625" style="151" bestFit="1" customWidth="1"/>
    <col min="6" max="6" width="12" style="151" customWidth="1"/>
    <col min="7" max="8" width="9.53515625" style="151" customWidth="1"/>
    <col min="9" max="9" width="10.23046875" style="151" bestFit="1" customWidth="1"/>
    <col min="10" max="10" width="10.53515625" style="151" customWidth="1"/>
    <col min="11" max="11" width="11.4609375" style="151" customWidth="1"/>
    <col min="12" max="12" width="10.07421875" style="151" bestFit="1" customWidth="1"/>
    <col min="13" max="13" width="11.3046875" style="151" customWidth="1"/>
    <col min="14" max="14" width="9.4609375" style="151" customWidth="1"/>
    <col min="15" max="15" width="10.3046875" style="151" bestFit="1" customWidth="1"/>
    <col min="16" max="16" width="10.23046875" style="151" customWidth="1"/>
    <col min="17" max="17" width="9.84375" style="151" bestFit="1" customWidth="1"/>
    <col min="18" max="18" width="14.84375" style="151" customWidth="1"/>
    <col min="19" max="19" width="10" style="151" customWidth="1"/>
    <col min="20" max="20" width="12" style="53" bestFit="1" customWidth="1"/>
    <col min="21" max="21" width="11.07421875" style="151" customWidth="1"/>
    <col min="22" max="22" width="9" style="151" customWidth="1"/>
    <col min="23" max="23" width="8.765625" style="151" customWidth="1"/>
    <col min="24" max="24" width="9" style="151" customWidth="1"/>
    <col min="25" max="25" width="9.765625" style="151" customWidth="1"/>
    <col min="26" max="26" width="9.53515625" style="151" customWidth="1"/>
    <col min="27" max="27" width="9.69140625" style="151" customWidth="1"/>
    <col min="28" max="28" width="8.4609375" style="151" bestFit="1" customWidth="1"/>
    <col min="29" max="29" width="8.69140625" style="151" customWidth="1"/>
    <col min="30" max="30" width="8.84375" style="151" customWidth="1"/>
    <col min="31" max="31" width="10.23046875" style="151" customWidth="1"/>
    <col min="32" max="32" width="20" style="151" customWidth="1"/>
    <col min="33" max="33" width="10.69140625" style="151" customWidth="1"/>
    <col min="34" max="34" width="9.3046875" style="151" customWidth="1"/>
    <col min="35" max="35" width="9" style="151" customWidth="1"/>
    <col min="36" max="36" width="8.84375" style="151"/>
    <col min="37" max="37" width="8.69140625" style="151" customWidth="1"/>
    <col min="38" max="38" width="9.765625" style="151" customWidth="1"/>
    <col min="39" max="39" width="8.69140625" style="151" customWidth="1"/>
    <col min="40" max="40" width="10.53515625" style="151" customWidth="1"/>
    <col min="41" max="16384" width="8.84375" style="151"/>
  </cols>
  <sheetData>
    <row r="1" spans="1:20" ht="23">
      <c r="A1" s="223" t="s">
        <v>763</v>
      </c>
      <c r="B1" s="224"/>
      <c r="C1" s="224"/>
      <c r="D1" s="224"/>
      <c r="E1" s="225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S1" s="224"/>
    </row>
    <row r="2" spans="1:20">
      <c r="A2" s="226"/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7"/>
      <c r="P2" s="226"/>
      <c r="S2" s="226"/>
      <c r="T2" s="82"/>
    </row>
    <row r="3" spans="1:20" ht="15.5">
      <c r="A3" s="228"/>
      <c r="B3" s="229" t="s">
        <v>764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30"/>
      <c r="N3" s="231" t="s">
        <v>421</v>
      </c>
      <c r="O3" s="232"/>
      <c r="P3" s="232"/>
      <c r="Q3" s="231" t="s">
        <v>421</v>
      </c>
      <c r="R3" s="232"/>
      <c r="S3" s="232"/>
      <c r="T3" s="233"/>
    </row>
    <row r="4" spans="1:20" ht="21">
      <c r="A4" s="234"/>
      <c r="B4" s="235" t="s">
        <v>765</v>
      </c>
      <c r="C4" s="235"/>
      <c r="D4" s="235"/>
      <c r="E4" s="236" t="s">
        <v>766</v>
      </c>
      <c r="F4" s="235"/>
      <c r="G4" s="235"/>
      <c r="H4" s="236" t="s">
        <v>767</v>
      </c>
      <c r="I4" s="237"/>
      <c r="J4" s="238" t="s">
        <v>768</v>
      </c>
      <c r="K4" s="238"/>
      <c r="L4" s="239" t="s">
        <v>421</v>
      </c>
      <c r="M4" s="239" t="s">
        <v>421</v>
      </c>
      <c r="N4" s="240" t="s">
        <v>769</v>
      </c>
      <c r="O4" s="241"/>
      <c r="P4" s="241"/>
      <c r="Q4" s="240" t="s">
        <v>770</v>
      </c>
      <c r="R4" s="241"/>
      <c r="S4" s="241"/>
      <c r="T4" s="242"/>
    </row>
    <row r="5" spans="1:20" ht="58.5" customHeight="1">
      <c r="A5" s="243"/>
      <c r="B5" s="244" t="s">
        <v>771</v>
      </c>
      <c r="C5" s="245" t="s">
        <v>772</v>
      </c>
      <c r="D5" s="245" t="s">
        <v>773</v>
      </c>
      <c r="E5" s="246" t="s">
        <v>771</v>
      </c>
      <c r="F5" s="245" t="s">
        <v>772</v>
      </c>
      <c r="G5" s="245" t="s">
        <v>773</v>
      </c>
      <c r="H5" s="246" t="s">
        <v>771</v>
      </c>
      <c r="I5" s="247" t="s">
        <v>772</v>
      </c>
      <c r="J5" s="248" t="s">
        <v>771</v>
      </c>
      <c r="K5" s="249" t="s">
        <v>772</v>
      </c>
      <c r="L5" s="240" t="s">
        <v>774</v>
      </c>
      <c r="M5" s="250" t="s">
        <v>762</v>
      </c>
      <c r="N5" s="246" t="s">
        <v>771</v>
      </c>
      <c r="O5" s="245" t="s">
        <v>772</v>
      </c>
      <c r="P5" s="245" t="s">
        <v>773</v>
      </c>
      <c r="Q5" s="246" t="s">
        <v>771</v>
      </c>
      <c r="R5" s="245" t="s">
        <v>772</v>
      </c>
      <c r="S5" s="245" t="s">
        <v>773</v>
      </c>
      <c r="T5" s="251" t="s">
        <v>762</v>
      </c>
    </row>
    <row r="6" spans="1:20">
      <c r="A6" s="77" t="s">
        <v>775</v>
      </c>
      <c r="B6" s="252">
        <f>'Distrib pivot table'!U$75</f>
        <v>0</v>
      </c>
      <c r="C6" s="253">
        <f>'Distrib pivot table'!U$77</f>
        <v>0</v>
      </c>
      <c r="D6" s="254">
        <f>'Distrib pivot table'!U$73</f>
        <v>0</v>
      </c>
      <c r="E6" s="255">
        <f>'Distrib pivot table'!U$81</f>
        <v>0</v>
      </c>
      <c r="F6" s="253">
        <f>'Distrib pivot table'!U$83</f>
        <v>0</v>
      </c>
      <c r="G6" s="252">
        <f>'Distrib pivot table'!U$79</f>
        <v>0</v>
      </c>
      <c r="H6" s="255">
        <f>'Distrib pivot table'!U$69</f>
        <v>0</v>
      </c>
      <c r="I6" s="256">
        <f>'Distrib pivot table'!U$71</f>
        <v>0</v>
      </c>
      <c r="J6" s="258">
        <f>+B6+E6+H6</f>
        <v>0</v>
      </c>
      <c r="K6" s="258">
        <f>+C6+F6+I6</f>
        <v>0</v>
      </c>
      <c r="L6" s="255">
        <f>'Distrib pivot table'!U$67</f>
        <v>0</v>
      </c>
      <c r="M6" s="259">
        <f>+D6+G6+J6+K6+L6</f>
        <v>0</v>
      </c>
      <c r="N6" s="255">
        <f>'Distrib pivot table'!U$87</f>
        <v>0</v>
      </c>
      <c r="O6" s="253">
        <f>'Distrib pivot table'!U$89</f>
        <v>0</v>
      </c>
      <c r="P6" s="252">
        <f>'Distrib pivot table'!U$85</f>
        <v>0</v>
      </c>
      <c r="Q6" s="255">
        <f>'Distrib pivot table'!U$93</f>
        <v>0</v>
      </c>
      <c r="R6" s="253">
        <f>'Distrib pivot table'!U$95</f>
        <v>0</v>
      </c>
      <c r="S6" s="252">
        <f>'Distrib pivot table'!U$91</f>
        <v>0</v>
      </c>
      <c r="T6" s="260">
        <f>+M6+N6+O6+P6+Q6+R6+S6</f>
        <v>0</v>
      </c>
    </row>
    <row r="7" spans="1:20" s="266" customFormat="1" ht="15.5">
      <c r="A7" s="261" t="s">
        <v>776</v>
      </c>
      <c r="B7" s="262">
        <v>75</v>
      </c>
      <c r="C7" s="262">
        <v>77</v>
      </c>
      <c r="D7" s="262">
        <v>73</v>
      </c>
      <c r="E7" s="263">
        <v>81</v>
      </c>
      <c r="F7" s="262">
        <v>83</v>
      </c>
      <c r="G7" s="262">
        <v>79</v>
      </c>
      <c r="H7" s="263">
        <v>69</v>
      </c>
      <c r="I7" s="264">
        <v>71</v>
      </c>
      <c r="J7" s="262"/>
      <c r="K7" s="264"/>
      <c r="L7" s="264">
        <v>67</v>
      </c>
      <c r="M7" s="264"/>
      <c r="N7" s="264">
        <v>87</v>
      </c>
      <c r="O7" s="264">
        <v>89</v>
      </c>
      <c r="P7" s="264">
        <v>85</v>
      </c>
      <c r="Q7" s="264">
        <v>93</v>
      </c>
      <c r="R7" s="264">
        <v>95</v>
      </c>
      <c r="S7" s="264">
        <v>91</v>
      </c>
      <c r="T7" s="265"/>
    </row>
    <row r="8" spans="1:20">
      <c r="A8" s="77" t="s">
        <v>777</v>
      </c>
      <c r="B8" s="267">
        <f>'Distrib pivot table'!E$75</f>
        <v>4862533</v>
      </c>
      <c r="C8" s="267">
        <f>'Distrib pivot table'!E$77</f>
        <v>89181317</v>
      </c>
      <c r="D8" s="268">
        <f>'Distrib pivot table'!E$73</f>
        <v>1205608</v>
      </c>
      <c r="E8" s="269">
        <f>'Distrib pivot table'!E$81</f>
        <v>858094</v>
      </c>
      <c r="F8" s="267">
        <f>'Distrib pivot table'!E$83</f>
        <v>474430</v>
      </c>
      <c r="G8" s="267">
        <f>'Distrib pivot table'!E$79</f>
        <v>0</v>
      </c>
      <c r="H8" s="269">
        <f>'Distrib pivot table'!E$69</f>
        <v>10399</v>
      </c>
      <c r="I8" s="268">
        <f>'Distrib pivot table'!E$71</f>
        <v>3787207</v>
      </c>
      <c r="J8" s="257">
        <f t="shared" ref="J8:K23" si="0">+B8+E8+H8</f>
        <v>5731026</v>
      </c>
      <c r="K8" s="258">
        <f t="shared" si="0"/>
        <v>93442954</v>
      </c>
      <c r="L8" s="269">
        <f>'Distrib pivot table'!E$67</f>
        <v>0</v>
      </c>
      <c r="M8" s="270">
        <f t="shared" ref="M8:M23" si="1">+D8+G8+J8+K8+L8</f>
        <v>100379588</v>
      </c>
      <c r="N8" s="269">
        <f>'Distrib pivot table'!E$87</f>
        <v>0</v>
      </c>
      <c r="O8" s="267">
        <f>'Distrib pivot table'!E$89</f>
        <v>112500</v>
      </c>
      <c r="P8" s="267">
        <f>'Distrib pivot table'!E$85</f>
        <v>0</v>
      </c>
      <c r="Q8" s="269">
        <f>'Distrib pivot table'!E$93</f>
        <v>0</v>
      </c>
      <c r="R8" s="267">
        <f>'Distrib pivot table'!E$95</f>
        <v>6795945</v>
      </c>
      <c r="S8" s="267">
        <f>'Distrib pivot table'!E$91</f>
        <v>0</v>
      </c>
      <c r="T8" s="271">
        <f t="shared" ref="T8:T23" si="2">+M8+N8+O8+P8+Q8+R8+S8</f>
        <v>107288033</v>
      </c>
    </row>
    <row r="9" spans="1:20">
      <c r="A9" s="77" t="s">
        <v>778</v>
      </c>
      <c r="B9" s="267">
        <f>'Distrib pivot table'!F$75</f>
        <v>105191</v>
      </c>
      <c r="C9" s="267">
        <f>'Distrib pivot table'!F$77</f>
        <v>100812111</v>
      </c>
      <c r="D9" s="268">
        <f>'Distrib pivot table'!F$73</f>
        <v>1100958</v>
      </c>
      <c r="E9" s="269">
        <f>'Distrib pivot table'!F$81</f>
        <v>2500</v>
      </c>
      <c r="F9" s="267">
        <f>'Distrib pivot table'!F$83</f>
        <v>14197041</v>
      </c>
      <c r="G9" s="267">
        <f>'Distrib pivot table'!F$79</f>
        <v>0</v>
      </c>
      <c r="H9" s="269">
        <f>'Distrib pivot table'!F$69</f>
        <v>0</v>
      </c>
      <c r="I9" s="268">
        <f>'Distrib pivot table'!F$71</f>
        <v>175000</v>
      </c>
      <c r="J9" s="257">
        <f t="shared" si="0"/>
        <v>107691</v>
      </c>
      <c r="K9" s="258">
        <f t="shared" si="0"/>
        <v>115184152</v>
      </c>
      <c r="L9" s="269">
        <f>'Distrib pivot table'!F$67</f>
        <v>0</v>
      </c>
      <c r="M9" s="270">
        <f t="shared" si="1"/>
        <v>116392801</v>
      </c>
      <c r="N9" s="269">
        <f>'Distrib pivot table'!F$87</f>
        <v>0</v>
      </c>
      <c r="O9" s="267">
        <f>'Distrib pivot table'!F$89</f>
        <v>377855</v>
      </c>
      <c r="P9" s="267">
        <f>'Distrib pivot table'!F$85</f>
        <v>0</v>
      </c>
      <c r="Q9" s="269">
        <f>'Distrib pivot table'!F$93</f>
        <v>0</v>
      </c>
      <c r="R9" s="267">
        <f>'Distrib pivot table'!F$95</f>
        <v>0</v>
      </c>
      <c r="S9" s="267">
        <f>'Distrib pivot table'!F$91</f>
        <v>0</v>
      </c>
      <c r="T9" s="271">
        <f t="shared" si="2"/>
        <v>116770656</v>
      </c>
    </row>
    <row r="10" spans="1:20">
      <c r="A10" s="77" t="s">
        <v>779</v>
      </c>
      <c r="B10" s="272">
        <f>'Distrib pivot table'!G$75</f>
        <v>599720</v>
      </c>
      <c r="C10" s="272">
        <f>'Distrib pivot table'!G$77</f>
        <v>734145</v>
      </c>
      <c r="D10" s="273">
        <f>'Distrib pivot table'!G$73</f>
        <v>0</v>
      </c>
      <c r="E10" s="274">
        <f>'Distrib pivot table'!G$81</f>
        <v>207500</v>
      </c>
      <c r="F10" s="272">
        <f>'Distrib pivot table'!G$83</f>
        <v>596523</v>
      </c>
      <c r="G10" s="267">
        <f>'Distrib pivot table'!G$79</f>
        <v>0</v>
      </c>
      <c r="H10" s="274">
        <f>'Distrib pivot table'!G$69</f>
        <v>0</v>
      </c>
      <c r="I10" s="273">
        <f>'Distrib pivot table'!G$71</f>
        <v>2607442</v>
      </c>
      <c r="J10" s="275">
        <f t="shared" si="0"/>
        <v>807220</v>
      </c>
      <c r="K10" s="275">
        <f t="shared" si="0"/>
        <v>3938110</v>
      </c>
      <c r="L10" s="274">
        <f>'Distrib pivot table'!G$67</f>
        <v>0</v>
      </c>
      <c r="M10" s="270">
        <f t="shared" si="1"/>
        <v>4745330</v>
      </c>
      <c r="N10" s="274">
        <f>'Distrib pivot table'!G$87</f>
        <v>0</v>
      </c>
      <c r="O10" s="272">
        <f>'Distrib pivot table'!G$89</f>
        <v>0</v>
      </c>
      <c r="P10" s="267">
        <f>'Distrib pivot table'!G$85</f>
        <v>0</v>
      </c>
      <c r="Q10" s="242">
        <f>'Distrib pivot table'!G$93</f>
        <v>0</v>
      </c>
      <c r="R10" s="53">
        <f>'Distrib pivot table'!G$95</f>
        <v>0</v>
      </c>
      <c r="S10" s="267">
        <f>'Distrib pivot table'!G$91</f>
        <v>0</v>
      </c>
      <c r="T10" s="271">
        <f t="shared" si="2"/>
        <v>4745330</v>
      </c>
    </row>
    <row r="11" spans="1:20">
      <c r="A11" s="77" t="s">
        <v>780</v>
      </c>
      <c r="B11" s="272">
        <f>'Distrib pivot table'!H$75</f>
        <v>0</v>
      </c>
      <c r="C11" s="272">
        <f>'Distrib pivot table'!H$77</f>
        <v>0</v>
      </c>
      <c r="D11" s="273">
        <f>'Distrib pivot table'!H$73</f>
        <v>0</v>
      </c>
      <c r="E11" s="274">
        <f>'Distrib pivot table'!H$81</f>
        <v>0</v>
      </c>
      <c r="F11" s="272">
        <f>'Distrib pivot table'!H$83</f>
        <v>0</v>
      </c>
      <c r="G11" s="267">
        <f>'Distrib pivot table'!H$79</f>
        <v>0</v>
      </c>
      <c r="H11" s="274">
        <f>'Distrib pivot table'!H$69</f>
        <v>0</v>
      </c>
      <c r="I11" s="273">
        <f>'Distrib pivot table'!H$71</f>
        <v>0</v>
      </c>
      <c r="J11" s="275">
        <f t="shared" si="0"/>
        <v>0</v>
      </c>
      <c r="K11" s="275">
        <f t="shared" si="0"/>
        <v>0</v>
      </c>
      <c r="L11" s="274">
        <f>'Distrib pivot table'!H$67</f>
        <v>0</v>
      </c>
      <c r="M11" s="270">
        <f t="shared" si="1"/>
        <v>0</v>
      </c>
      <c r="N11" s="274">
        <f>'Distrib pivot table'!H$87</f>
        <v>0</v>
      </c>
      <c r="O11" s="272">
        <f>'Distrib pivot table'!H$89</f>
        <v>0</v>
      </c>
      <c r="P11" s="267">
        <f>'Distrib pivot table'!H$85</f>
        <v>0</v>
      </c>
      <c r="Q11" s="242">
        <f>'Distrib pivot table'!H$93</f>
        <v>0</v>
      </c>
      <c r="R11" s="53">
        <f>'Distrib pivot table'!H$95</f>
        <v>0</v>
      </c>
      <c r="S11" s="267">
        <f>'Distrib pivot table'!H$91</f>
        <v>0</v>
      </c>
      <c r="T11" s="271">
        <f t="shared" si="2"/>
        <v>0</v>
      </c>
    </row>
    <row r="12" spans="1:20">
      <c r="A12" s="77" t="s">
        <v>781</v>
      </c>
      <c r="B12" s="272">
        <f>'Distrib pivot table'!I$75</f>
        <v>0</v>
      </c>
      <c r="C12" s="272">
        <f>'Distrib pivot table'!I$77</f>
        <v>540000</v>
      </c>
      <c r="D12" s="273">
        <f>'Distrib pivot table'!I$73</f>
        <v>0</v>
      </c>
      <c r="E12" s="274">
        <f>'Distrib pivot table'!I$81</f>
        <v>0</v>
      </c>
      <c r="F12" s="272">
        <f>'Distrib pivot table'!I$83</f>
        <v>1146950</v>
      </c>
      <c r="G12" s="267">
        <f>'Distrib pivot table'!I$79</f>
        <v>0</v>
      </c>
      <c r="H12" s="274">
        <f>'Distrib pivot table'!I$69</f>
        <v>0</v>
      </c>
      <c r="I12" s="273">
        <f>'Distrib pivot table'!I$71</f>
        <v>0</v>
      </c>
      <c r="J12" s="275">
        <f t="shared" si="0"/>
        <v>0</v>
      </c>
      <c r="K12" s="275">
        <f t="shared" si="0"/>
        <v>1686950</v>
      </c>
      <c r="L12" s="274">
        <f>'Distrib pivot table'!I$67</f>
        <v>0</v>
      </c>
      <c r="M12" s="270">
        <f t="shared" si="1"/>
        <v>1686950</v>
      </c>
      <c r="N12" s="274">
        <f>'Distrib pivot table'!I$87</f>
        <v>0</v>
      </c>
      <c r="O12" s="272">
        <f>'Distrib pivot table'!I$89</f>
        <v>752427712</v>
      </c>
      <c r="P12" s="267">
        <f>'Distrib pivot table'!I$85</f>
        <v>0</v>
      </c>
      <c r="Q12" s="242">
        <f>'Distrib pivot table'!I$93</f>
        <v>68258147</v>
      </c>
      <c r="R12" s="53">
        <f>'Distrib pivot table'!I$95</f>
        <v>1082916</v>
      </c>
      <c r="S12" s="267">
        <f>'Distrib pivot table'!I$91</f>
        <v>0</v>
      </c>
      <c r="T12" s="271">
        <f t="shared" si="2"/>
        <v>823455725</v>
      </c>
    </row>
    <row r="13" spans="1:20">
      <c r="A13" s="77" t="s">
        <v>782</v>
      </c>
      <c r="B13" s="267">
        <f>'Distrib pivot table'!J$75</f>
        <v>69257700</v>
      </c>
      <c r="C13" s="267">
        <f>'Distrib pivot table'!J$77</f>
        <v>96905400</v>
      </c>
      <c r="D13" s="268">
        <f>'Distrib pivot table'!J$73</f>
        <v>0</v>
      </c>
      <c r="E13" s="269">
        <f>'Distrib pivot table'!J$81</f>
        <v>20541500</v>
      </c>
      <c r="F13" s="267">
        <f>'Distrib pivot table'!J$83</f>
        <v>21850000</v>
      </c>
      <c r="G13" s="267">
        <f>'Distrib pivot table'!J$79</f>
        <v>0</v>
      </c>
      <c r="H13" s="269">
        <f>'Distrib pivot table'!J$69</f>
        <v>0</v>
      </c>
      <c r="I13" s="268">
        <f>'Distrib pivot table'!J$71</f>
        <v>0</v>
      </c>
      <c r="J13" s="258">
        <f t="shared" si="0"/>
        <v>89799200</v>
      </c>
      <c r="K13" s="258">
        <f t="shared" si="0"/>
        <v>118755400</v>
      </c>
      <c r="L13" s="269">
        <f>'Distrib pivot table'!J$67</f>
        <v>0</v>
      </c>
      <c r="M13" s="270">
        <f t="shared" si="1"/>
        <v>208554600</v>
      </c>
      <c r="N13" s="269">
        <f>'Distrib pivot table'!J$87</f>
        <v>0</v>
      </c>
      <c r="O13" s="267">
        <f>'Distrib pivot table'!J$89</f>
        <v>0</v>
      </c>
      <c r="P13" s="267">
        <f>'Distrib pivot table'!J$85</f>
        <v>0</v>
      </c>
      <c r="Q13" s="242">
        <f>'Distrib pivot table'!J$93</f>
        <v>35511000</v>
      </c>
      <c r="R13" s="53">
        <f>'Distrib pivot table'!J$95</f>
        <v>219404</v>
      </c>
      <c r="S13" s="267">
        <f>'Distrib pivot table'!J$91</f>
        <v>0</v>
      </c>
      <c r="T13" s="271">
        <f t="shared" si="2"/>
        <v>244285004</v>
      </c>
    </row>
    <row r="14" spans="1:20">
      <c r="A14" s="77" t="s">
        <v>783</v>
      </c>
      <c r="B14" s="267">
        <f>'Distrib pivot table'!K$75</f>
        <v>26837122.829999998</v>
      </c>
      <c r="C14" s="267">
        <f>'Distrib pivot table'!K$77</f>
        <v>299623942.72000003</v>
      </c>
      <c r="D14" s="268">
        <f>'Distrib pivot table'!K$73</f>
        <v>0</v>
      </c>
      <c r="E14" s="269">
        <f>'Distrib pivot table'!K$81</f>
        <v>2505835</v>
      </c>
      <c r="F14" s="267">
        <f>'Distrib pivot table'!K$83</f>
        <v>22143223.91</v>
      </c>
      <c r="G14" s="267">
        <f>'Distrib pivot table'!K$79</f>
        <v>0</v>
      </c>
      <c r="H14" s="269">
        <f>'Distrib pivot table'!K$69</f>
        <v>0</v>
      </c>
      <c r="I14" s="268">
        <f>'Distrib pivot table'!K$71</f>
        <v>0</v>
      </c>
      <c r="J14" s="258">
        <f t="shared" si="0"/>
        <v>29342957.829999998</v>
      </c>
      <c r="K14" s="258">
        <f t="shared" si="0"/>
        <v>321767166.63000005</v>
      </c>
      <c r="L14" s="269">
        <f>'Distrib pivot table'!K$67</f>
        <v>0</v>
      </c>
      <c r="M14" s="270">
        <f t="shared" si="1"/>
        <v>351110124.46000004</v>
      </c>
      <c r="N14" s="269">
        <f>'Distrib pivot table'!K$87</f>
        <v>0</v>
      </c>
      <c r="O14" s="267">
        <f>'Distrib pivot table'!K$89</f>
        <v>160000</v>
      </c>
      <c r="P14" s="267">
        <f>'Distrib pivot table'!K$85</f>
        <v>0</v>
      </c>
      <c r="Q14" s="242">
        <f>'Distrib pivot table'!K$93</f>
        <v>0</v>
      </c>
      <c r="R14" s="53">
        <f>'Distrib pivot table'!K$95</f>
        <v>0</v>
      </c>
      <c r="S14" s="267">
        <f>'Distrib pivot table'!K$91</f>
        <v>0</v>
      </c>
      <c r="T14" s="271">
        <f t="shared" si="2"/>
        <v>351270124.46000004</v>
      </c>
    </row>
    <row r="15" spans="1:20">
      <c r="A15" s="77" t="s">
        <v>784</v>
      </c>
      <c r="B15" s="267">
        <f>'Distrib pivot table'!L$75</f>
        <v>67941352</v>
      </c>
      <c r="C15" s="267">
        <f>'Distrib pivot table'!L$77</f>
        <v>10054445</v>
      </c>
      <c r="D15" s="268">
        <f>'Distrib pivot table'!L$73</f>
        <v>0</v>
      </c>
      <c r="E15" s="269">
        <f>'Distrib pivot table'!L$81</f>
        <v>18360775</v>
      </c>
      <c r="F15" s="267">
        <f>'Distrib pivot table'!L$83</f>
        <v>1587789</v>
      </c>
      <c r="G15" s="267">
        <f>'Distrib pivot table'!L$79</f>
        <v>0</v>
      </c>
      <c r="H15" s="269">
        <f>'Distrib pivot table'!L$69</f>
        <v>0</v>
      </c>
      <c r="I15" s="268">
        <f>'Distrib pivot table'!L$71</f>
        <v>1791413</v>
      </c>
      <c r="J15" s="258">
        <f t="shared" si="0"/>
        <v>86302127</v>
      </c>
      <c r="K15" s="258">
        <f t="shared" si="0"/>
        <v>13433647</v>
      </c>
      <c r="L15" s="269">
        <f>'Distrib pivot table'!L$67</f>
        <v>0</v>
      </c>
      <c r="M15" s="270">
        <f t="shared" si="1"/>
        <v>99735774</v>
      </c>
      <c r="N15" s="269">
        <f>'Distrib pivot table'!L$87</f>
        <v>67941352</v>
      </c>
      <c r="O15" s="267">
        <f>'Distrib pivot table'!L$89</f>
        <v>14812872</v>
      </c>
      <c r="P15" s="267">
        <f>'Distrib pivot table'!L$85</f>
        <v>0</v>
      </c>
      <c r="Q15" s="242">
        <f>'Distrib pivot table'!L$93</f>
        <v>18360775</v>
      </c>
      <c r="R15" s="53">
        <f>'Distrib pivot table'!L$95</f>
        <v>1566789</v>
      </c>
      <c r="S15" s="267">
        <f>'Distrib pivot table'!L$91</f>
        <v>0</v>
      </c>
      <c r="T15" s="271">
        <f t="shared" si="2"/>
        <v>202417562</v>
      </c>
    </row>
    <row r="16" spans="1:20">
      <c r="A16" s="77" t="s">
        <v>785</v>
      </c>
      <c r="B16" s="267">
        <f>'Distrib pivot table'!M$75</f>
        <v>24731264</v>
      </c>
      <c r="C16" s="267">
        <f>'Distrib pivot table'!M$77</f>
        <v>8824582</v>
      </c>
      <c r="D16" s="267">
        <f>'Distrib pivot table'!M$73</f>
        <v>0</v>
      </c>
      <c r="E16" s="269">
        <f>'Distrib pivot table'!M$81</f>
        <v>2320771</v>
      </c>
      <c r="F16" s="267">
        <f>'Distrib pivot table'!M$83</f>
        <v>1840326</v>
      </c>
      <c r="G16" s="267">
        <f>'Distrib pivot table'!M$79</f>
        <v>0</v>
      </c>
      <c r="H16" s="269">
        <f>'Distrib pivot table'!M$69</f>
        <v>0</v>
      </c>
      <c r="I16" s="268">
        <f>'Distrib pivot table'!M$71</f>
        <v>0</v>
      </c>
      <c r="J16" s="258">
        <f t="shared" si="0"/>
        <v>27052035</v>
      </c>
      <c r="K16" s="258">
        <f t="shared" si="0"/>
        <v>10664908</v>
      </c>
      <c r="L16" s="269">
        <f>'Distrib pivot table'!M$67</f>
        <v>0</v>
      </c>
      <c r="M16" s="270">
        <f t="shared" si="1"/>
        <v>37716943</v>
      </c>
      <c r="N16" s="269">
        <f>'Distrib pivot table'!M$87</f>
        <v>0</v>
      </c>
      <c r="O16" s="267">
        <f>'Distrib pivot table'!M$89</f>
        <v>6950439</v>
      </c>
      <c r="P16" s="267">
        <f>'Distrib pivot table'!M$85</f>
        <v>0</v>
      </c>
      <c r="Q16" s="242">
        <f>'Distrib pivot table'!M$93</f>
        <v>0</v>
      </c>
      <c r="R16" s="53">
        <f>'Distrib pivot table'!M$95</f>
        <v>0</v>
      </c>
      <c r="S16" s="267">
        <f>'Distrib pivot table'!M$91</f>
        <v>0</v>
      </c>
      <c r="T16" s="271">
        <f t="shared" si="2"/>
        <v>44667382</v>
      </c>
    </row>
    <row r="17" spans="1:40">
      <c r="A17" s="77" t="s">
        <v>786</v>
      </c>
      <c r="B17" s="267">
        <f>'Distrib pivot table'!N$75</f>
        <v>0</v>
      </c>
      <c r="C17" s="267">
        <f>'Distrib pivot table'!N$77</f>
        <v>0</v>
      </c>
      <c r="D17" s="268">
        <f>'Distrib pivot table'!N$73</f>
        <v>0</v>
      </c>
      <c r="E17" s="269">
        <f>'Distrib pivot table'!N$81</f>
        <v>0</v>
      </c>
      <c r="F17" s="267">
        <f>'Distrib pivot table'!N$83</f>
        <v>0</v>
      </c>
      <c r="G17" s="267">
        <f>'Distrib pivot table'!N$79</f>
        <v>0</v>
      </c>
      <c r="H17" s="269">
        <f>'Distrib pivot table'!N$69</f>
        <v>0</v>
      </c>
      <c r="I17" s="268">
        <f>'Distrib pivot table'!N$71</f>
        <v>25515130</v>
      </c>
      <c r="J17" s="258">
        <f t="shared" si="0"/>
        <v>0</v>
      </c>
      <c r="K17" s="258">
        <f t="shared" si="0"/>
        <v>25515130</v>
      </c>
      <c r="L17" s="269">
        <f>'Distrib pivot table'!N$67</f>
        <v>0</v>
      </c>
      <c r="M17" s="270">
        <f t="shared" si="1"/>
        <v>25515130</v>
      </c>
      <c r="N17" s="269">
        <f>'Distrib pivot table'!N$87</f>
        <v>125930498</v>
      </c>
      <c r="O17" s="267">
        <f>'Distrib pivot table'!N$89</f>
        <v>3258000</v>
      </c>
      <c r="P17" s="267">
        <f>'Distrib pivot table'!N$85</f>
        <v>0</v>
      </c>
      <c r="Q17" s="242">
        <f>'Distrib pivot table'!N$93</f>
        <v>88886590</v>
      </c>
      <c r="R17" s="53">
        <f>'Distrib pivot table'!N$95</f>
        <v>0</v>
      </c>
      <c r="S17" s="267">
        <f>'Distrib pivot table'!N$91</f>
        <v>0</v>
      </c>
      <c r="T17" s="271">
        <f t="shared" si="2"/>
        <v>243590218</v>
      </c>
    </row>
    <row r="18" spans="1:40">
      <c r="A18" s="77" t="s">
        <v>787</v>
      </c>
      <c r="B18" s="267">
        <f>'Distrib pivot table'!O$75</f>
        <v>0</v>
      </c>
      <c r="C18" s="267">
        <f>'Distrib pivot table'!O$77</f>
        <v>0</v>
      </c>
      <c r="D18" s="268">
        <f>'Distrib pivot table'!O$73</f>
        <v>0</v>
      </c>
      <c r="E18" s="269">
        <f>'Distrib pivot table'!O$81</f>
        <v>0</v>
      </c>
      <c r="F18" s="267">
        <f>'Distrib pivot table'!O$83</f>
        <v>0</v>
      </c>
      <c r="G18" s="267">
        <f>'Distrib pivot table'!O$79</f>
        <v>0</v>
      </c>
      <c r="H18" s="269">
        <f>'Distrib pivot table'!O$69</f>
        <v>0</v>
      </c>
      <c r="I18" s="268">
        <f>'Distrib pivot table'!O$71</f>
        <v>0</v>
      </c>
      <c r="J18" s="258">
        <f t="shared" si="0"/>
        <v>0</v>
      </c>
      <c r="K18" s="258">
        <f t="shared" si="0"/>
        <v>0</v>
      </c>
      <c r="L18" s="269">
        <f>'Distrib pivot table'!O$67</f>
        <v>0</v>
      </c>
      <c r="M18" s="270">
        <f t="shared" si="1"/>
        <v>0</v>
      </c>
      <c r="N18" s="269">
        <f>'Distrib pivot table'!O$87</f>
        <v>0</v>
      </c>
      <c r="O18" s="267">
        <f>'Distrib pivot table'!O$89</f>
        <v>0</v>
      </c>
      <c r="P18" s="267">
        <f>'Distrib pivot table'!O$85</f>
        <v>0</v>
      </c>
      <c r="Q18" s="242">
        <f>'Distrib pivot table'!O$93</f>
        <v>0</v>
      </c>
      <c r="R18" s="53">
        <f>'Distrib pivot table'!O$95</f>
        <v>0</v>
      </c>
      <c r="S18" s="267">
        <f>'Distrib pivot table'!O$91</f>
        <v>0</v>
      </c>
      <c r="T18" s="271">
        <f t="shared" si="2"/>
        <v>0</v>
      </c>
    </row>
    <row r="19" spans="1:40">
      <c r="A19" s="77" t="s">
        <v>788</v>
      </c>
      <c r="B19" s="267">
        <f>'Distrib pivot table'!P$75</f>
        <v>25779573</v>
      </c>
      <c r="C19" s="267">
        <f>'Distrib pivot table'!P$77</f>
        <v>319078283.5</v>
      </c>
      <c r="D19" s="268">
        <f>'Distrib pivot table'!P$73</f>
        <v>0</v>
      </c>
      <c r="E19" s="269">
        <f>'Distrib pivot table'!P$81</f>
        <v>5305562</v>
      </c>
      <c r="F19" s="267">
        <f>'Distrib pivot table'!P$83</f>
        <v>49361489.5</v>
      </c>
      <c r="G19" s="267">
        <f>'Distrib pivot table'!P$79</f>
        <v>0</v>
      </c>
      <c r="H19" s="269">
        <f>'Distrib pivot table'!P$69</f>
        <v>0</v>
      </c>
      <c r="I19" s="268">
        <f>'Distrib pivot table'!P$71</f>
        <v>0</v>
      </c>
      <c r="J19" s="258">
        <f t="shared" si="0"/>
        <v>31085135</v>
      </c>
      <c r="K19" s="258">
        <f t="shared" si="0"/>
        <v>368439773</v>
      </c>
      <c r="L19" s="269">
        <f>'Distrib pivot table'!P$67</f>
        <v>0</v>
      </c>
      <c r="M19" s="270">
        <f t="shared" si="1"/>
        <v>399524908</v>
      </c>
      <c r="N19" s="269">
        <f>'Distrib pivot table'!P$87</f>
        <v>0</v>
      </c>
      <c r="O19" s="267">
        <f>'Distrib pivot table'!P$89</f>
        <v>0</v>
      </c>
      <c r="P19" s="267">
        <f>'Distrib pivot table'!P$85</f>
        <v>0</v>
      </c>
      <c r="Q19" s="242">
        <f>'Distrib pivot table'!P$93</f>
        <v>37488624</v>
      </c>
      <c r="R19" s="53">
        <f>'Distrib pivot table'!P$95</f>
        <v>0</v>
      </c>
      <c r="S19" s="267">
        <f>'Distrib pivot table'!P$91</f>
        <v>0</v>
      </c>
      <c r="T19" s="271">
        <f t="shared" si="2"/>
        <v>437013532</v>
      </c>
    </row>
    <row r="20" spans="1:40">
      <c r="A20" s="77" t="s">
        <v>789</v>
      </c>
      <c r="B20" s="267">
        <f>'Distrib pivot table'!Q$75</f>
        <v>136635597.43000001</v>
      </c>
      <c r="C20" s="267">
        <f>'Distrib pivot table'!Q$77</f>
        <v>244148861.30000001</v>
      </c>
      <c r="D20" s="268">
        <f>'Distrib pivot table'!Q$73</f>
        <v>0</v>
      </c>
      <c r="E20" s="269">
        <f>'Distrib pivot table'!Q$81</f>
        <v>54122207.359999999</v>
      </c>
      <c r="F20" s="267">
        <f>'Distrib pivot table'!Q$83</f>
        <v>50104097.490000002</v>
      </c>
      <c r="G20" s="267">
        <f>'Distrib pivot table'!Q$79</f>
        <v>0</v>
      </c>
      <c r="H20" s="269">
        <f>'Distrib pivot table'!Q$69</f>
        <v>0</v>
      </c>
      <c r="I20" s="268">
        <f>'Distrib pivot table'!Q$71</f>
        <v>0</v>
      </c>
      <c r="J20" s="258">
        <f t="shared" si="0"/>
        <v>190757804.79000002</v>
      </c>
      <c r="K20" s="258">
        <f t="shared" si="0"/>
        <v>294252958.79000002</v>
      </c>
      <c r="L20" s="269">
        <f>'Distrib pivot table'!Q$67</f>
        <v>0</v>
      </c>
      <c r="M20" s="270">
        <f t="shared" si="1"/>
        <v>485010763.58000004</v>
      </c>
      <c r="N20" s="269">
        <f>'Distrib pivot table'!Q$87</f>
        <v>0</v>
      </c>
      <c r="O20" s="267">
        <f>'Distrib pivot table'!Q$89</f>
        <v>0</v>
      </c>
      <c r="P20" s="267">
        <f>'Distrib pivot table'!Q$85</f>
        <v>0</v>
      </c>
      <c r="Q20" s="242">
        <f>'Distrib pivot table'!Q$93</f>
        <v>0</v>
      </c>
      <c r="R20" s="53">
        <f>'Distrib pivot table'!Q$95</f>
        <v>0</v>
      </c>
      <c r="S20" s="267">
        <f>'Distrib pivot table'!Q$91</f>
        <v>0</v>
      </c>
      <c r="T20" s="271">
        <f t="shared" si="2"/>
        <v>485010763.58000004</v>
      </c>
    </row>
    <row r="21" spans="1:40">
      <c r="A21" s="77" t="s">
        <v>790</v>
      </c>
      <c r="B21" s="267">
        <f>'Distrib pivot table'!R$75</f>
        <v>0</v>
      </c>
      <c r="C21" s="267">
        <f>'Distrib pivot table'!R$77</f>
        <v>0</v>
      </c>
      <c r="D21" s="268">
        <f>'Distrib pivot table'!R$73</f>
        <v>0</v>
      </c>
      <c r="E21" s="269">
        <f>'Distrib pivot table'!R$81</f>
        <v>0</v>
      </c>
      <c r="F21" s="267">
        <f>'Distrib pivot table'!R$83</f>
        <v>0</v>
      </c>
      <c r="G21" s="267">
        <f>'Distrib pivot table'!R$79</f>
        <v>0</v>
      </c>
      <c r="H21" s="269">
        <f>'Distrib pivot table'!R$69</f>
        <v>0</v>
      </c>
      <c r="I21" s="268">
        <f>'Distrib pivot table'!R$71</f>
        <v>18420000</v>
      </c>
      <c r="J21" s="258">
        <f t="shared" si="0"/>
        <v>0</v>
      </c>
      <c r="K21" s="258">
        <f t="shared" si="0"/>
        <v>18420000</v>
      </c>
      <c r="L21" s="269">
        <f>'Distrib pivot table'!R$67</f>
        <v>530892262</v>
      </c>
      <c r="M21" s="270">
        <f t="shared" si="1"/>
        <v>549312262</v>
      </c>
      <c r="N21" s="269">
        <f>'Distrib pivot table'!R$87</f>
        <v>0</v>
      </c>
      <c r="O21" s="267">
        <f>'Distrib pivot table'!R$89</f>
        <v>0</v>
      </c>
      <c r="P21" s="267">
        <f>'Distrib pivot table'!R$85</f>
        <v>0</v>
      </c>
      <c r="Q21" s="242">
        <f>'Distrib pivot table'!R$93</f>
        <v>0</v>
      </c>
      <c r="R21" s="53">
        <f>'Distrib pivot table'!R$95</f>
        <v>0</v>
      </c>
      <c r="S21" s="276">
        <f>'Distrib pivot table'!R$91</f>
        <v>0</v>
      </c>
      <c r="T21" s="271">
        <f t="shared" si="2"/>
        <v>549312262</v>
      </c>
    </row>
    <row r="22" spans="1:40">
      <c r="A22" s="77" t="s">
        <v>791</v>
      </c>
      <c r="B22" s="267">
        <f>'Distrib pivot table'!S$75</f>
        <v>0</v>
      </c>
      <c r="C22" s="267">
        <f>'Distrib pivot table'!S$77</f>
        <v>2130000</v>
      </c>
      <c r="D22" s="268">
        <f>'Distrib pivot table'!S$73</f>
        <v>0</v>
      </c>
      <c r="E22" s="269">
        <f>'Distrib pivot table'!S$81</f>
        <v>0</v>
      </c>
      <c r="F22" s="267">
        <f>'Distrib pivot table'!S$83</f>
        <v>0</v>
      </c>
      <c r="G22" s="267">
        <f>'Distrib pivot table'!S$79</f>
        <v>500000</v>
      </c>
      <c r="H22" s="269">
        <f>'Distrib pivot table'!S$69</f>
        <v>0</v>
      </c>
      <c r="I22" s="268">
        <f>'Distrib pivot table'!S$71</f>
        <v>0</v>
      </c>
      <c r="J22" s="258">
        <f t="shared" si="0"/>
        <v>0</v>
      </c>
      <c r="K22" s="258">
        <f t="shared" si="0"/>
        <v>2130000</v>
      </c>
      <c r="L22" s="269">
        <f>'Distrib pivot table'!S$67</f>
        <v>0</v>
      </c>
      <c r="M22" s="270">
        <f t="shared" si="1"/>
        <v>2630000</v>
      </c>
      <c r="N22" s="269">
        <f>'Distrib pivot table'!S$87</f>
        <v>249975393</v>
      </c>
      <c r="O22" s="267">
        <f>'Distrib pivot table'!S$89</f>
        <v>8156329</v>
      </c>
      <c r="P22" s="267">
        <f>'Distrib pivot table'!S$85</f>
        <v>3885256</v>
      </c>
      <c r="Q22" s="242">
        <f>'Distrib pivot table'!S$93</f>
        <v>0</v>
      </c>
      <c r="R22" s="53">
        <f>'Distrib pivot table'!S$95</f>
        <v>74426685</v>
      </c>
      <c r="S22" s="276">
        <f>'Distrib pivot table'!S$91</f>
        <v>0</v>
      </c>
      <c r="T22" s="271">
        <f t="shared" si="2"/>
        <v>339073663</v>
      </c>
    </row>
    <row r="23" spans="1:40">
      <c r="A23" s="277" t="s">
        <v>792</v>
      </c>
      <c r="B23" s="278">
        <f>'Distrib pivot table'!T$75</f>
        <v>48214742</v>
      </c>
      <c r="C23" s="278">
        <f>'Distrib pivot table'!T$77</f>
        <v>43830957</v>
      </c>
      <c r="D23" s="279">
        <f>'Distrib pivot table'!T$73</f>
        <v>0</v>
      </c>
      <c r="E23" s="280">
        <f>'Distrib pivot table'!T$81</f>
        <v>3442565</v>
      </c>
      <c r="F23" s="278">
        <f>'Distrib pivot table'!T$83</f>
        <v>4520506</v>
      </c>
      <c r="G23" s="278">
        <f>'Distrib pivot table'!T$79</f>
        <v>0</v>
      </c>
      <c r="H23" s="280">
        <f>'Distrib pivot table'!T$69</f>
        <v>0</v>
      </c>
      <c r="I23" s="279">
        <f>'Distrib pivot table'!T$71</f>
        <v>0</v>
      </c>
      <c r="J23" s="281">
        <f t="shared" si="0"/>
        <v>51657307</v>
      </c>
      <c r="K23" s="281">
        <f t="shared" si="0"/>
        <v>48351463</v>
      </c>
      <c r="L23" s="280">
        <f>'Distrib pivot table'!T$67</f>
        <v>0</v>
      </c>
      <c r="M23" s="282">
        <f t="shared" si="1"/>
        <v>100008770</v>
      </c>
      <c r="N23" s="280">
        <f>'Distrib pivot table'!T$87</f>
        <v>0</v>
      </c>
      <c r="O23" s="278">
        <f>'Distrib pivot table'!T$89</f>
        <v>0</v>
      </c>
      <c r="P23" s="278">
        <f>'Distrib pivot table'!T$85</f>
        <v>0</v>
      </c>
      <c r="Q23" s="283">
        <f>'Distrib pivot table'!T$93</f>
        <v>0</v>
      </c>
      <c r="R23" s="284">
        <f>'Distrib pivot table'!T$95</f>
        <v>0</v>
      </c>
      <c r="S23" s="285">
        <f>'Distrib pivot table'!T$91</f>
        <v>0</v>
      </c>
      <c r="T23" s="286">
        <f t="shared" si="2"/>
        <v>100008770</v>
      </c>
    </row>
    <row r="24" spans="1:40">
      <c r="A24" s="287"/>
      <c r="B24" s="288"/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9"/>
      <c r="O24" s="289"/>
      <c r="P24" s="289"/>
      <c r="S24" s="289"/>
      <c r="AN24" s="53"/>
    </row>
    <row r="25" spans="1:40" ht="15.5">
      <c r="A25" s="223" t="s">
        <v>793</v>
      </c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S25" s="224"/>
      <c r="AN25" s="53"/>
    </row>
    <row r="26" spans="1:40">
      <c r="A26" s="226"/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90"/>
      <c r="P26" s="226"/>
      <c r="S26" s="226"/>
      <c r="T26" s="284"/>
      <c r="AN26" s="53"/>
    </row>
    <row r="27" spans="1:40" ht="15.5">
      <c r="A27" s="228"/>
      <c r="B27" s="229" t="s">
        <v>764</v>
      </c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30"/>
      <c r="N27" s="231" t="s">
        <v>421</v>
      </c>
      <c r="O27" s="232"/>
      <c r="P27" s="232"/>
      <c r="Q27" s="231" t="s">
        <v>421</v>
      </c>
      <c r="R27" s="232"/>
      <c r="S27" s="232"/>
      <c r="T27" s="233"/>
      <c r="AN27" s="53"/>
    </row>
    <row r="28" spans="1:40" ht="21">
      <c r="A28" s="234"/>
      <c r="B28" s="235" t="s">
        <v>765</v>
      </c>
      <c r="C28" s="235"/>
      <c r="D28" s="235"/>
      <c r="E28" s="236" t="s">
        <v>766</v>
      </c>
      <c r="F28" s="235"/>
      <c r="G28" s="235"/>
      <c r="H28" s="236" t="s">
        <v>767</v>
      </c>
      <c r="I28" s="237"/>
      <c r="J28" s="238" t="s">
        <v>768</v>
      </c>
      <c r="K28" s="238"/>
      <c r="L28" s="239" t="s">
        <v>421</v>
      </c>
      <c r="M28" s="239" t="s">
        <v>421</v>
      </c>
      <c r="N28" s="240" t="s">
        <v>769</v>
      </c>
      <c r="O28" s="241"/>
      <c r="P28" s="241"/>
      <c r="Q28" s="240" t="s">
        <v>770</v>
      </c>
      <c r="R28" s="241"/>
      <c r="S28" s="241"/>
      <c r="T28" s="242"/>
      <c r="AN28" s="53"/>
    </row>
    <row r="29" spans="1:40" ht="52.5">
      <c r="A29" s="243"/>
      <c r="B29" s="244" t="s">
        <v>771</v>
      </c>
      <c r="C29" s="245" t="s">
        <v>772</v>
      </c>
      <c r="D29" s="245" t="s">
        <v>773</v>
      </c>
      <c r="E29" s="246" t="s">
        <v>771</v>
      </c>
      <c r="F29" s="245" t="s">
        <v>772</v>
      </c>
      <c r="G29" s="245" t="s">
        <v>773</v>
      </c>
      <c r="H29" s="246" t="s">
        <v>771</v>
      </c>
      <c r="I29" s="247" t="s">
        <v>772</v>
      </c>
      <c r="J29" s="248" t="s">
        <v>771</v>
      </c>
      <c r="K29" s="249" t="s">
        <v>772</v>
      </c>
      <c r="L29" s="240" t="s">
        <v>774</v>
      </c>
      <c r="M29" s="250" t="s">
        <v>762</v>
      </c>
      <c r="N29" s="246" t="s">
        <v>771</v>
      </c>
      <c r="O29" s="245" t="s">
        <v>772</v>
      </c>
      <c r="P29" s="245" t="s">
        <v>773</v>
      </c>
      <c r="Q29" s="246" t="s">
        <v>771</v>
      </c>
      <c r="R29" s="245" t="s">
        <v>772</v>
      </c>
      <c r="S29" s="245" t="s">
        <v>773</v>
      </c>
      <c r="T29" s="251" t="s">
        <v>762</v>
      </c>
      <c r="AN29" s="53"/>
    </row>
    <row r="30" spans="1:40">
      <c r="A30" s="77" t="s">
        <v>775</v>
      </c>
      <c r="B30" s="252">
        <f>'Distrib pivot table'!U$74</f>
        <v>0</v>
      </c>
      <c r="C30" s="253">
        <f>'Distrib pivot table'!U$76</f>
        <v>0</v>
      </c>
      <c r="D30" s="254">
        <f>'Distrib pivot table'!U$72</f>
        <v>0</v>
      </c>
      <c r="E30" s="255">
        <f>'Distrib pivot table'!U$80</f>
        <v>0</v>
      </c>
      <c r="F30" s="253">
        <f>'Distrib pivot table'!U$82</f>
        <v>0</v>
      </c>
      <c r="G30" s="252">
        <f>'Distrib pivot table'!U$78</f>
        <v>0</v>
      </c>
      <c r="H30" s="255">
        <f>'Distrib pivot table'!U$68</f>
        <v>0</v>
      </c>
      <c r="I30" s="256">
        <f>'Distrib pivot table'!U$70</f>
        <v>0</v>
      </c>
      <c r="J30" s="257">
        <f>+B30+E30+H30</f>
        <v>0</v>
      </c>
      <c r="K30" s="258">
        <f>+C30+F30+I30</f>
        <v>0</v>
      </c>
      <c r="L30" s="255">
        <f>'Distrib pivot table'!U$66</f>
        <v>0</v>
      </c>
      <c r="M30" s="259">
        <f>+D30+G30+J30+K30+L30</f>
        <v>0</v>
      </c>
      <c r="N30" s="255">
        <f>'Distrib pivot table'!U$86</f>
        <v>0</v>
      </c>
      <c r="O30" s="253">
        <f>'Distrib pivot table'!U$88</f>
        <v>0</v>
      </c>
      <c r="P30" s="252">
        <f>'Distrib pivot table'!U$84</f>
        <v>0</v>
      </c>
      <c r="Q30" s="255">
        <f>'Distrib pivot table'!U$92</f>
        <v>0</v>
      </c>
      <c r="R30" s="253">
        <f>'Distrib pivot table'!U$94</f>
        <v>0</v>
      </c>
      <c r="S30" s="252">
        <f>'Distrib pivot table'!U$90</f>
        <v>0</v>
      </c>
      <c r="T30" s="260">
        <f>+M30+N30+O30+P30+Q30+R30+S30</f>
        <v>0</v>
      </c>
      <c r="AN30" s="53"/>
    </row>
    <row r="31" spans="1:40" s="266" customFormat="1" ht="15.5">
      <c r="A31" s="261" t="s">
        <v>776</v>
      </c>
      <c r="B31" s="262">
        <v>74</v>
      </c>
      <c r="C31" s="262">
        <v>76</v>
      </c>
      <c r="D31" s="262">
        <v>72</v>
      </c>
      <c r="E31" s="263">
        <v>80</v>
      </c>
      <c r="F31" s="262">
        <v>82</v>
      </c>
      <c r="G31" s="262">
        <v>78</v>
      </c>
      <c r="H31" s="263">
        <v>68</v>
      </c>
      <c r="I31" s="264">
        <v>70</v>
      </c>
      <c r="J31" s="265"/>
      <c r="K31" s="291"/>
      <c r="L31" s="264">
        <v>66</v>
      </c>
      <c r="M31" s="292"/>
      <c r="N31" s="264">
        <v>86</v>
      </c>
      <c r="O31" s="264">
        <v>88</v>
      </c>
      <c r="P31" s="264">
        <v>84</v>
      </c>
      <c r="Q31" s="264">
        <v>92</v>
      </c>
      <c r="R31" s="264">
        <v>94</v>
      </c>
      <c r="S31" s="264">
        <v>90</v>
      </c>
      <c r="T31" s="265"/>
      <c r="AN31" s="293"/>
    </row>
    <row r="32" spans="1:40">
      <c r="A32" s="77" t="s">
        <v>777</v>
      </c>
      <c r="B32" s="267">
        <f>'Distrib pivot table'!E$74</f>
        <v>4507130</v>
      </c>
      <c r="C32" s="267">
        <f>'Distrib pivot table'!E$76</f>
        <v>88474530</v>
      </c>
      <c r="D32" s="268">
        <f>'Distrib pivot table'!E$72</f>
        <v>1205608</v>
      </c>
      <c r="E32" s="269">
        <f>'Distrib pivot table'!E$80</f>
        <v>795376</v>
      </c>
      <c r="F32" s="267">
        <f>'Distrib pivot table'!E$82</f>
        <v>479368</v>
      </c>
      <c r="G32" s="267">
        <f>'Distrib pivot table'!E$78</f>
        <v>0</v>
      </c>
      <c r="H32" s="269">
        <f>'Distrib pivot table'!E$68</f>
        <v>10399</v>
      </c>
      <c r="I32" s="268">
        <f>'Distrib pivot table'!E$70</f>
        <v>2287207</v>
      </c>
      <c r="J32" s="257">
        <f t="shared" ref="J32:K47" si="3">+B32+E32+H32</f>
        <v>5312905</v>
      </c>
      <c r="K32" s="258">
        <f t="shared" si="3"/>
        <v>91241105</v>
      </c>
      <c r="L32" s="269">
        <f>'Distrib pivot table'!E$66</f>
        <v>0</v>
      </c>
      <c r="M32" s="270">
        <f t="shared" ref="M32:M47" si="4">+D32+G32+J32+K32+L32</f>
        <v>97759618</v>
      </c>
      <c r="N32" s="269">
        <f>'Distrib pivot table'!E$86</f>
        <v>0</v>
      </c>
      <c r="O32" s="267">
        <f>'Distrib pivot table'!E$88</f>
        <v>112500</v>
      </c>
      <c r="P32" s="267">
        <f>'Distrib pivot table'!E$84</f>
        <v>0</v>
      </c>
      <c r="Q32" s="269">
        <f>'Distrib pivot table'!E$92</f>
        <v>0</v>
      </c>
      <c r="R32" s="267">
        <f>'Distrib pivot table'!E$94</f>
        <v>6366482</v>
      </c>
      <c r="S32" s="267">
        <f>'Distrib pivot table'!E$90</f>
        <v>0</v>
      </c>
      <c r="T32" s="271">
        <f t="shared" ref="T32:T47" si="5">+M32+N32+O32+P32+Q32+R32+S32</f>
        <v>104238600</v>
      </c>
      <c r="AN32" s="53"/>
    </row>
    <row r="33" spans="1:40">
      <c r="A33" s="77" t="s">
        <v>778</v>
      </c>
      <c r="B33" s="267">
        <f>'Distrib pivot table'!F$74</f>
        <v>628750</v>
      </c>
      <c r="C33" s="267">
        <f>'Distrib pivot table'!F$76</f>
        <v>99185333</v>
      </c>
      <c r="D33" s="268">
        <f>'Distrib pivot table'!F$72</f>
        <v>1455498</v>
      </c>
      <c r="E33" s="269">
        <f>'Distrib pivot table'!F$80</f>
        <v>51685</v>
      </c>
      <c r="F33" s="267">
        <f>'Distrib pivot table'!F$82</f>
        <v>14184010</v>
      </c>
      <c r="G33" s="267">
        <f>'Distrib pivot table'!F$78</f>
        <v>0</v>
      </c>
      <c r="H33" s="269">
        <f>'Distrib pivot table'!F$68</f>
        <v>0</v>
      </c>
      <c r="I33" s="268">
        <f>'Distrib pivot table'!F$70</f>
        <v>175000</v>
      </c>
      <c r="J33" s="257">
        <f t="shared" si="3"/>
        <v>680435</v>
      </c>
      <c r="K33" s="258">
        <f t="shared" si="3"/>
        <v>113544343</v>
      </c>
      <c r="L33" s="269">
        <f>'Distrib pivot table'!F$66</f>
        <v>0</v>
      </c>
      <c r="M33" s="270">
        <f t="shared" si="4"/>
        <v>115680276</v>
      </c>
      <c r="N33" s="269">
        <f>'Distrib pivot table'!F$86</f>
        <v>0</v>
      </c>
      <c r="O33" s="267">
        <f>'Distrib pivot table'!F$88</f>
        <v>393048</v>
      </c>
      <c r="P33" s="267">
        <f>'Distrib pivot table'!F$84</f>
        <v>0</v>
      </c>
      <c r="Q33" s="269">
        <f>'Distrib pivot table'!F$92</f>
        <v>0</v>
      </c>
      <c r="R33" s="267">
        <f>'Distrib pivot table'!F$94</f>
        <v>0</v>
      </c>
      <c r="S33" s="267">
        <f>'Distrib pivot table'!F$90</f>
        <v>0</v>
      </c>
      <c r="T33" s="271">
        <f t="shared" si="5"/>
        <v>116073324</v>
      </c>
      <c r="AN33" s="53"/>
    </row>
    <row r="34" spans="1:40">
      <c r="A34" s="77" t="s">
        <v>779</v>
      </c>
      <c r="B34" s="272">
        <f>'Distrib pivot table'!G$74</f>
        <v>582746</v>
      </c>
      <c r="C34" s="272">
        <f>'Distrib pivot table'!G$76</f>
        <v>1136822</v>
      </c>
      <c r="D34" s="273">
        <f>'Distrib pivot table'!G$72</f>
        <v>0</v>
      </c>
      <c r="E34" s="274">
        <f>'Distrib pivot table'!G$80</f>
        <v>252400</v>
      </c>
      <c r="F34" s="272">
        <f>'Distrib pivot table'!G$82</f>
        <v>236515</v>
      </c>
      <c r="G34" s="267">
        <f>'Distrib pivot table'!G$78</f>
        <v>0</v>
      </c>
      <c r="H34" s="274">
        <f>'Distrib pivot table'!G$68</f>
        <v>0</v>
      </c>
      <c r="I34" s="273">
        <f>'Distrib pivot table'!G$70</f>
        <v>2352968</v>
      </c>
      <c r="J34" s="275">
        <f t="shared" si="3"/>
        <v>835146</v>
      </c>
      <c r="K34" s="275">
        <f t="shared" si="3"/>
        <v>3726305</v>
      </c>
      <c r="L34" s="274">
        <f>'Distrib pivot table'!G$66</f>
        <v>0</v>
      </c>
      <c r="M34" s="270">
        <f t="shared" si="4"/>
        <v>4561451</v>
      </c>
      <c r="N34" s="274">
        <f>'Distrib pivot table'!G$86</f>
        <v>0</v>
      </c>
      <c r="O34" s="272">
        <f>'Distrib pivot table'!G$88</f>
        <v>0</v>
      </c>
      <c r="P34" s="267">
        <f>'Distrib pivot table'!G$84</f>
        <v>0</v>
      </c>
      <c r="Q34" s="242">
        <f>'Distrib pivot table'!G$92</f>
        <v>0</v>
      </c>
      <c r="R34" s="53">
        <f>'Distrib pivot table'!G$94</f>
        <v>0</v>
      </c>
      <c r="S34" s="267">
        <f>'Distrib pivot table'!G$90</f>
        <v>0</v>
      </c>
      <c r="T34" s="271">
        <f t="shared" si="5"/>
        <v>4561451</v>
      </c>
      <c r="AN34" s="53"/>
    </row>
    <row r="35" spans="1:40">
      <c r="A35" s="77" t="s">
        <v>780</v>
      </c>
      <c r="B35" s="272">
        <f>'Distrib pivot table'!H$74</f>
        <v>0</v>
      </c>
      <c r="C35" s="272">
        <f>'Distrib pivot table'!H$76</f>
        <v>0</v>
      </c>
      <c r="D35" s="273">
        <f>'Distrib pivot table'!H$72</f>
        <v>0</v>
      </c>
      <c r="E35" s="274">
        <f>'Distrib pivot table'!H$80</f>
        <v>0</v>
      </c>
      <c r="F35" s="272">
        <f>'Distrib pivot table'!H$82</f>
        <v>0</v>
      </c>
      <c r="G35" s="267">
        <f>'Distrib pivot table'!H$78</f>
        <v>0</v>
      </c>
      <c r="H35" s="274">
        <f>'Distrib pivot table'!H$68</f>
        <v>0</v>
      </c>
      <c r="I35" s="273">
        <f>'Distrib pivot table'!H$70</f>
        <v>0</v>
      </c>
      <c r="J35" s="275">
        <f t="shared" si="3"/>
        <v>0</v>
      </c>
      <c r="K35" s="275">
        <f t="shared" si="3"/>
        <v>0</v>
      </c>
      <c r="L35" s="274">
        <f>'Distrib pivot table'!H$66</f>
        <v>0</v>
      </c>
      <c r="M35" s="270">
        <f t="shared" si="4"/>
        <v>0</v>
      </c>
      <c r="N35" s="274">
        <f>'Distrib pivot table'!H$86</f>
        <v>0</v>
      </c>
      <c r="O35" s="272">
        <f>'Distrib pivot table'!H$88</f>
        <v>0</v>
      </c>
      <c r="P35" s="267">
        <f>'Distrib pivot table'!H$84</f>
        <v>0</v>
      </c>
      <c r="Q35" s="242">
        <f>'Distrib pivot table'!H$92</f>
        <v>0</v>
      </c>
      <c r="R35" s="53">
        <f>'Distrib pivot table'!H$94</f>
        <v>0</v>
      </c>
      <c r="S35" s="267">
        <f>'Distrib pivot table'!H$90</f>
        <v>0</v>
      </c>
      <c r="T35" s="271">
        <f t="shared" si="5"/>
        <v>0</v>
      </c>
      <c r="AN35" s="53"/>
    </row>
    <row r="36" spans="1:40">
      <c r="A36" s="77" t="s">
        <v>781</v>
      </c>
      <c r="B36" s="272">
        <f>'Distrib pivot table'!I$74</f>
        <v>0</v>
      </c>
      <c r="C36" s="272">
        <f>'Distrib pivot table'!I$76</f>
        <v>600000</v>
      </c>
      <c r="D36" s="273">
        <f>'Distrib pivot table'!I$72</f>
        <v>0</v>
      </c>
      <c r="E36" s="274">
        <f>'Distrib pivot table'!I$80</f>
        <v>0</v>
      </c>
      <c r="F36" s="272">
        <f>'Distrib pivot table'!I$82</f>
        <v>1060500</v>
      </c>
      <c r="G36" s="267">
        <f>'Distrib pivot table'!I$78</f>
        <v>0</v>
      </c>
      <c r="H36" s="274">
        <f>'Distrib pivot table'!I$68</f>
        <v>0</v>
      </c>
      <c r="I36" s="273">
        <f>'Distrib pivot table'!I$70</f>
        <v>0</v>
      </c>
      <c r="J36" s="275">
        <f t="shared" si="3"/>
        <v>0</v>
      </c>
      <c r="K36" s="275">
        <f t="shared" si="3"/>
        <v>1660500</v>
      </c>
      <c r="L36" s="274">
        <f>'Distrib pivot table'!I$66</f>
        <v>0</v>
      </c>
      <c r="M36" s="270">
        <f t="shared" si="4"/>
        <v>1660500</v>
      </c>
      <c r="N36" s="274">
        <f>'Distrib pivot table'!I$86</f>
        <v>0</v>
      </c>
      <c r="O36" s="272">
        <f>'Distrib pivot table'!I$88</f>
        <v>692988104</v>
      </c>
      <c r="P36" s="267">
        <f>'Distrib pivot table'!I$84</f>
        <v>0</v>
      </c>
      <c r="Q36" s="242">
        <f>'Distrib pivot table'!I$92</f>
        <v>62792274</v>
      </c>
      <c r="R36" s="53">
        <f>'Distrib pivot table'!I$94</f>
        <v>1203240</v>
      </c>
      <c r="S36" s="267">
        <f>'Distrib pivot table'!I$90</f>
        <v>0</v>
      </c>
      <c r="T36" s="271">
        <f t="shared" si="5"/>
        <v>758644118</v>
      </c>
      <c r="AN36" s="53"/>
    </row>
    <row r="37" spans="1:40">
      <c r="A37" s="77" t="s">
        <v>782</v>
      </c>
      <c r="B37" s="267">
        <f>'Distrib pivot table'!J$74</f>
        <v>73030000</v>
      </c>
      <c r="C37" s="267">
        <f>'Distrib pivot table'!J$76</f>
        <v>97452700</v>
      </c>
      <c r="D37" s="268">
        <f>'Distrib pivot table'!J$72</f>
        <v>0</v>
      </c>
      <c r="E37" s="269">
        <f>'Distrib pivot table'!J$80</f>
        <v>18516400</v>
      </c>
      <c r="F37" s="267">
        <f>'Distrib pivot table'!J$82</f>
        <v>21261900</v>
      </c>
      <c r="G37" s="267">
        <f>'Distrib pivot table'!J$78</f>
        <v>0</v>
      </c>
      <c r="H37" s="269">
        <f>'Distrib pivot table'!J$68</f>
        <v>0</v>
      </c>
      <c r="I37" s="268">
        <f>'Distrib pivot table'!J$70</f>
        <v>0</v>
      </c>
      <c r="J37" s="258">
        <f t="shared" si="3"/>
        <v>91546400</v>
      </c>
      <c r="K37" s="258">
        <f t="shared" si="3"/>
        <v>118714600</v>
      </c>
      <c r="L37" s="269">
        <f>'Distrib pivot table'!J$66</f>
        <v>0</v>
      </c>
      <c r="M37" s="270">
        <f t="shared" si="4"/>
        <v>210261000</v>
      </c>
      <c r="N37" s="269">
        <f>'Distrib pivot table'!J$86</f>
        <v>0</v>
      </c>
      <c r="O37" s="267">
        <f>'Distrib pivot table'!J$88</f>
        <v>0</v>
      </c>
      <c r="P37" s="267">
        <f>'Distrib pivot table'!J$84</f>
        <v>0</v>
      </c>
      <c r="Q37" s="242">
        <f>'Distrib pivot table'!J$92</f>
        <v>35685100</v>
      </c>
      <c r="R37" s="53">
        <f>'Distrib pivot table'!J$94</f>
        <v>210265</v>
      </c>
      <c r="S37" s="267">
        <f>'Distrib pivot table'!J$90</f>
        <v>0</v>
      </c>
      <c r="T37" s="271">
        <f t="shared" si="5"/>
        <v>246156365</v>
      </c>
      <c r="AN37" s="53"/>
    </row>
    <row r="38" spans="1:40">
      <c r="A38" s="77" t="s">
        <v>783</v>
      </c>
      <c r="B38" s="267">
        <f>'Distrib pivot table'!K$74</f>
        <v>26021850</v>
      </c>
      <c r="C38" s="267">
        <f>'Distrib pivot table'!K$76</f>
        <v>283097916</v>
      </c>
      <c r="D38" s="268">
        <f>'Distrib pivot table'!K$72</f>
        <v>0</v>
      </c>
      <c r="E38" s="269">
        <f>'Distrib pivot table'!K$80</f>
        <v>2407258</v>
      </c>
      <c r="F38" s="267">
        <f>'Distrib pivot table'!K$82</f>
        <v>22213311</v>
      </c>
      <c r="G38" s="267">
        <f>'Distrib pivot table'!K$78</f>
        <v>0</v>
      </c>
      <c r="H38" s="269">
        <f>'Distrib pivot table'!K$68</f>
        <v>0</v>
      </c>
      <c r="I38" s="268">
        <f>'Distrib pivot table'!K$70</f>
        <v>0</v>
      </c>
      <c r="J38" s="258">
        <f t="shared" si="3"/>
        <v>28429108</v>
      </c>
      <c r="K38" s="258">
        <f t="shared" si="3"/>
        <v>305311227</v>
      </c>
      <c r="L38" s="269">
        <f>'Distrib pivot table'!K$66</f>
        <v>0</v>
      </c>
      <c r="M38" s="270">
        <f t="shared" si="4"/>
        <v>333740335</v>
      </c>
      <c r="N38" s="269">
        <f>'Distrib pivot table'!K$86</f>
        <v>0</v>
      </c>
      <c r="O38" s="267">
        <f>'Distrib pivot table'!K$88</f>
        <v>160000</v>
      </c>
      <c r="P38" s="267">
        <f>'Distrib pivot table'!K$84</f>
        <v>0</v>
      </c>
      <c r="Q38" s="242">
        <f>'Distrib pivot table'!K$92</f>
        <v>0</v>
      </c>
      <c r="R38" s="53">
        <f>'Distrib pivot table'!K$94</f>
        <v>0</v>
      </c>
      <c r="S38" s="267">
        <f>'Distrib pivot table'!K$90</f>
        <v>0</v>
      </c>
      <c r="T38" s="271">
        <f t="shared" si="5"/>
        <v>333900335</v>
      </c>
      <c r="AN38" s="53"/>
    </row>
    <row r="39" spans="1:40">
      <c r="A39" s="77" t="s">
        <v>784</v>
      </c>
      <c r="B39" s="267">
        <f>'Distrib pivot table'!L$74</f>
        <v>76865911</v>
      </c>
      <c r="C39" s="267">
        <f>'Distrib pivot table'!L$76</f>
        <v>9697446.620000001</v>
      </c>
      <c r="D39" s="268">
        <f>'Distrib pivot table'!L$72</f>
        <v>0</v>
      </c>
      <c r="E39" s="269">
        <f>'Distrib pivot table'!L$80</f>
        <v>17743264</v>
      </c>
      <c r="F39" s="267">
        <f>'Distrib pivot table'!L$82</f>
        <v>3140757</v>
      </c>
      <c r="G39" s="267">
        <f>'Distrib pivot table'!L$78</f>
        <v>0</v>
      </c>
      <c r="H39" s="269">
        <f>'Distrib pivot table'!L$68</f>
        <v>0</v>
      </c>
      <c r="I39" s="268">
        <f>'Distrib pivot table'!L$70</f>
        <v>881107</v>
      </c>
      <c r="J39" s="258">
        <f t="shared" si="3"/>
        <v>94609175</v>
      </c>
      <c r="K39" s="258">
        <f t="shared" si="3"/>
        <v>13719310.620000001</v>
      </c>
      <c r="L39" s="269">
        <f>'Distrib pivot table'!L$66</f>
        <v>0</v>
      </c>
      <c r="M39" s="270">
        <f t="shared" si="4"/>
        <v>108328485.62</v>
      </c>
      <c r="N39" s="269">
        <f>'Distrib pivot table'!L$86</f>
        <v>76865911</v>
      </c>
      <c r="O39" s="267">
        <f>'Distrib pivot table'!L$88</f>
        <v>13418244.620000001</v>
      </c>
      <c r="P39" s="267">
        <f>'Distrib pivot table'!L$84</f>
        <v>0</v>
      </c>
      <c r="Q39" s="242">
        <f>'Distrib pivot table'!L$92</f>
        <v>17743264</v>
      </c>
      <c r="R39" s="53">
        <f>'Distrib pivot table'!L$94</f>
        <v>3118941</v>
      </c>
      <c r="S39" s="267">
        <f>'Distrib pivot table'!L$90</f>
        <v>0</v>
      </c>
      <c r="T39" s="271">
        <f t="shared" si="5"/>
        <v>219474846.24000001</v>
      </c>
      <c r="AN39" s="53"/>
    </row>
    <row r="40" spans="1:40">
      <c r="A40" s="77" t="s">
        <v>785</v>
      </c>
      <c r="B40" s="267">
        <f>'Distrib pivot table'!M$74</f>
        <v>24615002.5</v>
      </c>
      <c r="C40" s="267">
        <f>'Distrib pivot table'!M$76</f>
        <v>9508495.6999999993</v>
      </c>
      <c r="D40" s="267">
        <f>'Distrib pivot table'!M$72</f>
        <v>0</v>
      </c>
      <c r="E40" s="269">
        <f>'Distrib pivot table'!M$80</f>
        <v>2293616</v>
      </c>
      <c r="F40" s="267">
        <f>'Distrib pivot table'!M$82</f>
        <v>1965283</v>
      </c>
      <c r="G40" s="267">
        <f>'Distrib pivot table'!M$78</f>
        <v>0</v>
      </c>
      <c r="H40" s="269">
        <f>'Distrib pivot table'!M$68</f>
        <v>0</v>
      </c>
      <c r="I40" s="268">
        <f>'Distrib pivot table'!M$70</f>
        <v>0</v>
      </c>
      <c r="J40" s="258">
        <f t="shared" si="3"/>
        <v>26908618.5</v>
      </c>
      <c r="K40" s="258">
        <f t="shared" si="3"/>
        <v>11473778.699999999</v>
      </c>
      <c r="L40" s="269">
        <f>'Distrib pivot table'!M$66</f>
        <v>0</v>
      </c>
      <c r="M40" s="270">
        <f t="shared" si="4"/>
        <v>38382397.200000003</v>
      </c>
      <c r="N40" s="269">
        <f>'Distrib pivot table'!M$86</f>
        <v>0</v>
      </c>
      <c r="O40" s="267">
        <f>'Distrib pivot table'!M$88</f>
        <v>6527686</v>
      </c>
      <c r="P40" s="267">
        <f>'Distrib pivot table'!M$84</f>
        <v>0</v>
      </c>
      <c r="Q40" s="242">
        <f>'Distrib pivot table'!M$92</f>
        <v>0</v>
      </c>
      <c r="R40" s="53">
        <f>'Distrib pivot table'!M$94</f>
        <v>0</v>
      </c>
      <c r="S40" s="267">
        <f>'Distrib pivot table'!M$90</f>
        <v>0</v>
      </c>
      <c r="T40" s="271">
        <f t="shared" si="5"/>
        <v>44910083.200000003</v>
      </c>
      <c r="AN40" s="53"/>
    </row>
    <row r="41" spans="1:40" ht="15.5">
      <c r="A41" s="77" t="s">
        <v>786</v>
      </c>
      <c r="B41" s="267">
        <f>'Distrib pivot table'!N$74</f>
        <v>0</v>
      </c>
      <c r="C41" s="267">
        <f>'Distrib pivot table'!N$76</f>
        <v>0</v>
      </c>
      <c r="D41" s="268">
        <f>'Distrib pivot table'!N$72</f>
        <v>0</v>
      </c>
      <c r="E41" s="269">
        <f>'Distrib pivot table'!N$80</f>
        <v>0</v>
      </c>
      <c r="F41" s="267">
        <f>'Distrib pivot table'!N$82</f>
        <v>0</v>
      </c>
      <c r="G41" s="267">
        <f>'Distrib pivot table'!N$78</f>
        <v>0</v>
      </c>
      <c r="H41" s="269">
        <f>'Distrib pivot table'!N$68</f>
        <v>0</v>
      </c>
      <c r="I41" s="268">
        <f>'Distrib pivot table'!N$70</f>
        <v>25515130</v>
      </c>
      <c r="J41" s="258">
        <f t="shared" si="3"/>
        <v>0</v>
      </c>
      <c r="K41" s="258">
        <f t="shared" si="3"/>
        <v>25515130</v>
      </c>
      <c r="L41" s="269">
        <f>'Distrib pivot table'!N$66</f>
        <v>0</v>
      </c>
      <c r="M41" s="270">
        <f t="shared" si="4"/>
        <v>25515130</v>
      </c>
      <c r="N41" s="269">
        <f>'Distrib pivot table'!N$86</f>
        <v>125930498</v>
      </c>
      <c r="O41" s="267">
        <f>'Distrib pivot table'!N$88</f>
        <v>3258000</v>
      </c>
      <c r="P41" s="267">
        <f>'Distrib pivot table'!N$84</f>
        <v>0</v>
      </c>
      <c r="Q41" s="242">
        <f>'Distrib pivot table'!N$92</f>
        <v>88886590</v>
      </c>
      <c r="R41" s="53">
        <f>'Distrib pivot table'!N$94</f>
        <v>0</v>
      </c>
      <c r="S41" s="267">
        <f>'Distrib pivot table'!N$90</f>
        <v>0</v>
      </c>
      <c r="T41" s="271">
        <f t="shared" si="5"/>
        <v>243590218</v>
      </c>
      <c r="U41" s="294"/>
      <c r="AN41" s="53"/>
    </row>
    <row r="42" spans="1:40">
      <c r="A42" s="77" t="s">
        <v>787</v>
      </c>
      <c r="B42" s="267">
        <f>'Distrib pivot table'!O$74</f>
        <v>0</v>
      </c>
      <c r="C42" s="267">
        <f>'Distrib pivot table'!O$76</f>
        <v>0</v>
      </c>
      <c r="D42" s="268">
        <f>'Distrib pivot table'!O$72</f>
        <v>0</v>
      </c>
      <c r="E42" s="269">
        <f>'Distrib pivot table'!O$80</f>
        <v>0</v>
      </c>
      <c r="F42" s="267">
        <f>'Distrib pivot table'!O$82</f>
        <v>0</v>
      </c>
      <c r="G42" s="267">
        <f>'Distrib pivot table'!O$78</f>
        <v>0</v>
      </c>
      <c r="H42" s="269">
        <f>'Distrib pivot table'!O$68</f>
        <v>0</v>
      </c>
      <c r="I42" s="268">
        <f>'Distrib pivot table'!O$70</f>
        <v>0</v>
      </c>
      <c r="J42" s="258">
        <f t="shared" si="3"/>
        <v>0</v>
      </c>
      <c r="K42" s="258">
        <f t="shared" si="3"/>
        <v>0</v>
      </c>
      <c r="L42" s="269">
        <f>'Distrib pivot table'!O$66</f>
        <v>0</v>
      </c>
      <c r="M42" s="270">
        <f t="shared" si="4"/>
        <v>0</v>
      </c>
      <c r="N42" s="269">
        <f>'Distrib pivot table'!O$86</f>
        <v>0</v>
      </c>
      <c r="O42" s="267">
        <f>'Distrib pivot table'!O$88</f>
        <v>0</v>
      </c>
      <c r="P42" s="267">
        <f>'Distrib pivot table'!O$84</f>
        <v>0</v>
      </c>
      <c r="Q42" s="242">
        <f>'Distrib pivot table'!O$92</f>
        <v>0</v>
      </c>
      <c r="R42" s="53">
        <f>'Distrib pivot table'!O$94</f>
        <v>0</v>
      </c>
      <c r="S42" s="267">
        <f>'Distrib pivot table'!O$90</f>
        <v>0</v>
      </c>
      <c r="T42" s="271">
        <f t="shared" si="5"/>
        <v>0</v>
      </c>
      <c r="AN42" s="53"/>
    </row>
    <row r="43" spans="1:40">
      <c r="A43" s="77" t="s">
        <v>788</v>
      </c>
      <c r="B43" s="267">
        <f>'Distrib pivot table'!P$74</f>
        <v>25167132</v>
      </c>
      <c r="C43" s="267">
        <f>'Distrib pivot table'!P$76</f>
        <v>304381488.75</v>
      </c>
      <c r="D43" s="268">
        <f>'Distrib pivot table'!P$72</f>
        <v>0</v>
      </c>
      <c r="E43" s="269">
        <f>'Distrib pivot table'!P$80</f>
        <v>5359686</v>
      </c>
      <c r="F43" s="267">
        <f>'Distrib pivot table'!P$82</f>
        <v>51296588</v>
      </c>
      <c r="G43" s="267">
        <f>'Distrib pivot table'!P$78</f>
        <v>0</v>
      </c>
      <c r="H43" s="269">
        <f>'Distrib pivot table'!P$68</f>
        <v>0</v>
      </c>
      <c r="I43" s="268">
        <f>'Distrib pivot table'!P$70</f>
        <v>0</v>
      </c>
      <c r="J43" s="258">
        <f t="shared" si="3"/>
        <v>30526818</v>
      </c>
      <c r="K43" s="258">
        <f t="shared" si="3"/>
        <v>355678076.75</v>
      </c>
      <c r="L43" s="269">
        <f>'Distrib pivot table'!P$66</f>
        <v>0</v>
      </c>
      <c r="M43" s="270">
        <f t="shared" si="4"/>
        <v>386204894.75</v>
      </c>
      <c r="N43" s="269">
        <f>'Distrib pivot table'!P$86</f>
        <v>0</v>
      </c>
      <c r="O43" s="267">
        <f>'Distrib pivot table'!P$88</f>
        <v>0</v>
      </c>
      <c r="P43" s="267">
        <f>'Distrib pivot table'!P$84</f>
        <v>0</v>
      </c>
      <c r="Q43" s="242">
        <f>'Distrib pivot table'!P$92</f>
        <v>37488624</v>
      </c>
      <c r="R43" s="53">
        <f>'Distrib pivot table'!P$94</f>
        <v>0</v>
      </c>
      <c r="S43" s="267">
        <f>'Distrib pivot table'!P$90</f>
        <v>0</v>
      </c>
      <c r="T43" s="271">
        <f t="shared" si="5"/>
        <v>423693518.75</v>
      </c>
      <c r="AN43" s="53"/>
    </row>
    <row r="44" spans="1:40">
      <c r="A44" s="77" t="s">
        <v>789</v>
      </c>
      <c r="B44" s="267">
        <f>'Distrib pivot table'!Q$74</f>
        <v>138340729</v>
      </c>
      <c r="C44" s="267">
        <f>'Distrib pivot table'!Q$76</f>
        <v>269743500</v>
      </c>
      <c r="D44" s="268">
        <f>'Distrib pivot table'!Q$72</f>
        <v>0</v>
      </c>
      <c r="E44" s="269">
        <f>'Distrib pivot table'!Q$80</f>
        <v>53229771</v>
      </c>
      <c r="F44" s="267">
        <f>'Distrib pivot table'!Q$82</f>
        <v>48992790</v>
      </c>
      <c r="G44" s="267">
        <f>'Distrib pivot table'!Q$78</f>
        <v>0</v>
      </c>
      <c r="H44" s="269">
        <f>'Distrib pivot table'!Q$68</f>
        <v>0</v>
      </c>
      <c r="I44" s="268">
        <f>'Distrib pivot table'!Q$70</f>
        <v>0</v>
      </c>
      <c r="J44" s="258">
        <f t="shared" si="3"/>
        <v>191570500</v>
      </c>
      <c r="K44" s="258">
        <f t="shared" si="3"/>
        <v>318736290</v>
      </c>
      <c r="L44" s="269">
        <f>'Distrib pivot table'!Q$66</f>
        <v>0</v>
      </c>
      <c r="M44" s="270">
        <f t="shared" si="4"/>
        <v>510306790</v>
      </c>
      <c r="N44" s="269">
        <f>'Distrib pivot table'!Q$86</f>
        <v>0</v>
      </c>
      <c r="O44" s="267">
        <f>'Distrib pivot table'!Q$88</f>
        <v>0</v>
      </c>
      <c r="P44" s="267">
        <f>'Distrib pivot table'!Q$84</f>
        <v>0</v>
      </c>
      <c r="Q44" s="242">
        <f>'Distrib pivot table'!Q$92</f>
        <v>0</v>
      </c>
      <c r="R44" s="53">
        <f>'Distrib pivot table'!Q$94</f>
        <v>0</v>
      </c>
      <c r="S44" s="267">
        <f>'Distrib pivot table'!Q$90</f>
        <v>0</v>
      </c>
      <c r="T44" s="271">
        <f t="shared" si="5"/>
        <v>510306790</v>
      </c>
      <c r="AN44" s="53"/>
    </row>
    <row r="45" spans="1:40">
      <c r="A45" s="77" t="s">
        <v>790</v>
      </c>
      <c r="B45" s="267">
        <f>'Distrib pivot table'!R$74</f>
        <v>0</v>
      </c>
      <c r="C45" s="267">
        <f>'Distrib pivot table'!R$76</f>
        <v>0</v>
      </c>
      <c r="D45" s="268">
        <f>'Distrib pivot table'!R$72</f>
        <v>0</v>
      </c>
      <c r="E45" s="269">
        <f>'Distrib pivot table'!R$80</f>
        <v>0</v>
      </c>
      <c r="F45" s="267">
        <f>'Distrib pivot table'!R$82</f>
        <v>0</v>
      </c>
      <c r="G45" s="267">
        <f>'Distrib pivot table'!R$78</f>
        <v>0</v>
      </c>
      <c r="H45" s="269">
        <f>'Distrib pivot table'!R$68</f>
        <v>0</v>
      </c>
      <c r="I45" s="268">
        <f>'Distrib pivot table'!R$70</f>
        <v>18620000</v>
      </c>
      <c r="J45" s="258">
        <f t="shared" si="3"/>
        <v>0</v>
      </c>
      <c r="K45" s="258">
        <f t="shared" si="3"/>
        <v>18620000</v>
      </c>
      <c r="L45" s="269">
        <f>'Distrib pivot table'!R$66</f>
        <v>582309467</v>
      </c>
      <c r="M45" s="270">
        <f t="shared" si="4"/>
        <v>600929467</v>
      </c>
      <c r="N45" s="269">
        <f>'Distrib pivot table'!R$86</f>
        <v>0</v>
      </c>
      <c r="O45" s="267">
        <f>'Distrib pivot table'!R$88</f>
        <v>0</v>
      </c>
      <c r="P45" s="267">
        <f>'Distrib pivot table'!R$84</f>
        <v>0</v>
      </c>
      <c r="Q45" s="242">
        <f>'Distrib pivot table'!R$92</f>
        <v>0</v>
      </c>
      <c r="R45" s="53">
        <f>'Distrib pivot table'!R$94</f>
        <v>0</v>
      </c>
      <c r="S45" s="276">
        <f>'Distrib pivot table'!R$90</f>
        <v>0</v>
      </c>
      <c r="T45" s="271">
        <f t="shared" si="5"/>
        <v>600929467</v>
      </c>
      <c r="AN45" s="53"/>
    </row>
    <row r="46" spans="1:40">
      <c r="A46" s="77" t="s">
        <v>791</v>
      </c>
      <c r="B46" s="267">
        <f>'Distrib pivot table'!S$74</f>
        <v>0</v>
      </c>
      <c r="C46" s="267">
        <f>'Distrib pivot table'!S$76</f>
        <v>1980000</v>
      </c>
      <c r="D46" s="268">
        <f>'Distrib pivot table'!S$72</f>
        <v>0</v>
      </c>
      <c r="E46" s="269">
        <f>'Distrib pivot table'!S$80</f>
        <v>0</v>
      </c>
      <c r="F46" s="267">
        <f>'Distrib pivot table'!S$82</f>
        <v>0</v>
      </c>
      <c r="G46" s="267">
        <f>'Distrib pivot table'!S$78</f>
        <v>500000</v>
      </c>
      <c r="H46" s="269">
        <f>'Distrib pivot table'!S$68</f>
        <v>0</v>
      </c>
      <c r="I46" s="268">
        <f>'Distrib pivot table'!S$70</f>
        <v>0</v>
      </c>
      <c r="J46" s="258">
        <f t="shared" si="3"/>
        <v>0</v>
      </c>
      <c r="K46" s="258">
        <f t="shared" si="3"/>
        <v>1980000</v>
      </c>
      <c r="L46" s="269">
        <f>'Distrib pivot table'!S$66</f>
        <v>0</v>
      </c>
      <c r="M46" s="270">
        <f t="shared" si="4"/>
        <v>2480000</v>
      </c>
      <c r="N46" s="269">
        <f>'Distrib pivot table'!S$86</f>
        <v>241061101</v>
      </c>
      <c r="O46" s="267">
        <f>'Distrib pivot table'!S$88</f>
        <v>8156329</v>
      </c>
      <c r="P46" s="267">
        <f>'Distrib pivot table'!S$84</f>
        <v>3885256</v>
      </c>
      <c r="Q46" s="242">
        <f>'Distrib pivot table'!S$92</f>
        <v>0</v>
      </c>
      <c r="R46" s="53">
        <f>'Distrib pivot table'!S$94</f>
        <v>74426685</v>
      </c>
      <c r="S46" s="276">
        <f>'Distrib pivot table'!S$90</f>
        <v>0</v>
      </c>
      <c r="T46" s="271">
        <f t="shared" si="5"/>
        <v>330009371</v>
      </c>
      <c r="AN46" s="53"/>
    </row>
    <row r="47" spans="1:40">
      <c r="A47" s="277" t="s">
        <v>792</v>
      </c>
      <c r="B47" s="278">
        <f>'Distrib pivot table'!T$74</f>
        <v>48174808</v>
      </c>
      <c r="C47" s="278">
        <f>'Distrib pivot table'!T$76</f>
        <v>49906400</v>
      </c>
      <c r="D47" s="279">
        <f>'Distrib pivot table'!T$72</f>
        <v>0</v>
      </c>
      <c r="E47" s="280">
        <f>'Distrib pivot table'!T$80</f>
        <v>3747920</v>
      </c>
      <c r="F47" s="278">
        <f>'Distrib pivot table'!T$82</f>
        <v>1344653</v>
      </c>
      <c r="G47" s="278">
        <f>'Distrib pivot table'!T$78</f>
        <v>0</v>
      </c>
      <c r="H47" s="280">
        <f>'Distrib pivot table'!T$68</f>
        <v>0</v>
      </c>
      <c r="I47" s="279">
        <f>'Distrib pivot table'!T$70</f>
        <v>0</v>
      </c>
      <c r="J47" s="281">
        <f t="shared" si="3"/>
        <v>51922728</v>
      </c>
      <c r="K47" s="281">
        <f t="shared" si="3"/>
        <v>51251053</v>
      </c>
      <c r="L47" s="280">
        <f>'Distrib pivot table'!T$66</f>
        <v>0</v>
      </c>
      <c r="M47" s="282">
        <f t="shared" si="4"/>
        <v>103173781</v>
      </c>
      <c r="N47" s="280">
        <f>'Distrib pivot table'!T$86</f>
        <v>0</v>
      </c>
      <c r="O47" s="278">
        <f>'Distrib pivot table'!T$88</f>
        <v>0</v>
      </c>
      <c r="P47" s="278">
        <f>'Distrib pivot table'!T$84</f>
        <v>0</v>
      </c>
      <c r="Q47" s="283">
        <f>'Distrib pivot table'!T$92</f>
        <v>0</v>
      </c>
      <c r="R47" s="284">
        <f>'Distrib pivot table'!T$94</f>
        <v>0</v>
      </c>
      <c r="S47" s="285">
        <f>'Distrib pivot table'!T$90</f>
        <v>0</v>
      </c>
      <c r="T47" s="286">
        <f t="shared" si="5"/>
        <v>103173781</v>
      </c>
      <c r="AN47" s="53"/>
    </row>
    <row r="48" spans="1:40" ht="24" customHeight="1">
      <c r="A48" s="287"/>
      <c r="B48" s="288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9"/>
      <c r="O48" s="289"/>
      <c r="P48" s="289"/>
      <c r="S48" s="289"/>
      <c r="AN48" s="53"/>
    </row>
    <row r="49" spans="1:19" ht="24" customHeight="1">
      <c r="A49" s="295" t="s">
        <v>794</v>
      </c>
      <c r="B49" s="288"/>
      <c r="C49" s="288"/>
      <c r="D49" s="288"/>
      <c r="E49" s="288"/>
      <c r="F49" s="288"/>
      <c r="G49" s="288"/>
      <c r="H49" s="288"/>
      <c r="I49" s="288"/>
      <c r="J49" s="296"/>
      <c r="K49" s="288"/>
      <c r="L49" s="288"/>
      <c r="M49" s="288"/>
      <c r="N49" s="288"/>
      <c r="O49" s="288"/>
      <c r="P49" s="288"/>
      <c r="Q49" s="288"/>
      <c r="R49" s="288"/>
      <c r="S49" s="288"/>
    </row>
    <row r="50" spans="1:19" ht="26.25" customHeight="1">
      <c r="A50" s="234"/>
      <c r="B50" s="235" t="s">
        <v>765</v>
      </c>
      <c r="C50" s="235"/>
      <c r="D50" s="235"/>
      <c r="E50" s="236" t="s">
        <v>766</v>
      </c>
      <c r="F50" s="235"/>
      <c r="G50" s="235"/>
      <c r="H50" s="236" t="s">
        <v>767</v>
      </c>
      <c r="I50" s="237"/>
      <c r="J50" s="239" t="s">
        <v>421</v>
      </c>
      <c r="K50" s="297"/>
      <c r="L50" s="288"/>
      <c r="M50" s="288"/>
      <c r="N50" s="288"/>
      <c r="O50" s="288"/>
      <c r="P50" s="288"/>
      <c r="Q50" s="288"/>
      <c r="R50" s="288"/>
      <c r="S50" s="288"/>
    </row>
    <row r="51" spans="1:19" ht="57" customHeight="1">
      <c r="A51" s="243"/>
      <c r="B51" s="244" t="s">
        <v>771</v>
      </c>
      <c r="C51" s="245" t="s">
        <v>772</v>
      </c>
      <c r="D51" s="245" t="s">
        <v>773</v>
      </c>
      <c r="E51" s="246" t="s">
        <v>771</v>
      </c>
      <c r="F51" s="245" t="s">
        <v>772</v>
      </c>
      <c r="G51" s="245" t="s">
        <v>773</v>
      </c>
      <c r="H51" s="246" t="s">
        <v>771</v>
      </c>
      <c r="I51" s="247" t="s">
        <v>772</v>
      </c>
      <c r="J51" s="298" t="s">
        <v>774</v>
      </c>
      <c r="K51" s="299" t="s">
        <v>762</v>
      </c>
      <c r="L51" s="300"/>
      <c r="M51" s="288"/>
      <c r="N51" s="288"/>
      <c r="O51" s="288"/>
      <c r="P51" s="288"/>
      <c r="Q51" s="288"/>
      <c r="R51" s="288"/>
      <c r="S51" s="288"/>
    </row>
    <row r="52" spans="1:19" ht="24" customHeight="1">
      <c r="A52" s="77" t="s">
        <v>775</v>
      </c>
      <c r="B52" s="301">
        <f t="shared" ref="B52:G52" si="6">+B6+N6</f>
        <v>0</v>
      </c>
      <c r="C52" s="301">
        <f t="shared" si="6"/>
        <v>0</v>
      </c>
      <c r="D52" s="302">
        <f t="shared" si="6"/>
        <v>0</v>
      </c>
      <c r="E52" s="301">
        <f t="shared" si="6"/>
        <v>0</v>
      </c>
      <c r="F52" s="301">
        <f t="shared" si="6"/>
        <v>0</v>
      </c>
      <c r="G52" s="302">
        <f t="shared" si="6"/>
        <v>0</v>
      </c>
      <c r="H52" s="301">
        <f>+H6</f>
        <v>0</v>
      </c>
      <c r="I52" s="302">
        <f>+I6</f>
        <v>0</v>
      </c>
      <c r="J52" s="302">
        <f>+L6</f>
        <v>0</v>
      </c>
      <c r="K52" s="301">
        <f>SUM(B52:J52)</f>
        <v>0</v>
      </c>
      <c r="L52" s="77" t="s">
        <v>775</v>
      </c>
      <c r="M52" s="288"/>
      <c r="N52" s="288"/>
      <c r="O52" s="288"/>
      <c r="P52" s="288"/>
      <c r="Q52" s="288"/>
      <c r="R52" s="288"/>
      <c r="S52" s="288"/>
    </row>
    <row r="53" spans="1:19" ht="9" customHeight="1">
      <c r="A53" s="77"/>
      <c r="B53" s="303"/>
      <c r="C53" s="303"/>
      <c r="D53" s="304"/>
      <c r="E53" s="303"/>
      <c r="F53" s="303"/>
      <c r="G53" s="304"/>
      <c r="H53" s="303"/>
      <c r="I53" s="304"/>
      <c r="J53" s="304"/>
      <c r="K53" s="303"/>
      <c r="L53" s="77"/>
      <c r="M53" s="288"/>
      <c r="N53" s="288"/>
      <c r="O53" s="288"/>
      <c r="P53" s="288"/>
      <c r="Q53" s="288"/>
      <c r="R53" s="288"/>
      <c r="S53" s="288"/>
    </row>
    <row r="54" spans="1:19">
      <c r="A54" s="77" t="s">
        <v>777</v>
      </c>
      <c r="B54" s="303">
        <f t="shared" ref="B54:G69" si="7">+B8+N8</f>
        <v>4862533</v>
      </c>
      <c r="C54" s="303">
        <f t="shared" si="7"/>
        <v>89293817</v>
      </c>
      <c r="D54" s="304">
        <f t="shared" si="7"/>
        <v>1205608</v>
      </c>
      <c r="E54" s="303">
        <f t="shared" si="7"/>
        <v>858094</v>
      </c>
      <c r="F54" s="303">
        <f t="shared" si="7"/>
        <v>7270375</v>
      </c>
      <c r="G54" s="304">
        <f t="shared" si="7"/>
        <v>0</v>
      </c>
      <c r="H54" s="303">
        <f t="shared" ref="H54:I69" si="8">+H8</f>
        <v>10399</v>
      </c>
      <c r="I54" s="304">
        <f t="shared" si="8"/>
        <v>3787207</v>
      </c>
      <c r="J54" s="304">
        <f t="shared" ref="J54:J69" si="9">+L8</f>
        <v>0</v>
      </c>
      <c r="K54" s="303">
        <f>SUM(B54:J54)</f>
        <v>107288033</v>
      </c>
      <c r="L54" s="77" t="s">
        <v>777</v>
      </c>
    </row>
    <row r="55" spans="1:19">
      <c r="A55" s="77" t="s">
        <v>778</v>
      </c>
      <c r="B55" s="303">
        <f t="shared" si="7"/>
        <v>105191</v>
      </c>
      <c r="C55" s="303">
        <f t="shared" si="7"/>
        <v>101189966</v>
      </c>
      <c r="D55" s="304">
        <f t="shared" si="7"/>
        <v>1100958</v>
      </c>
      <c r="E55" s="303">
        <f t="shared" si="7"/>
        <v>2500</v>
      </c>
      <c r="F55" s="303">
        <f t="shared" si="7"/>
        <v>14197041</v>
      </c>
      <c r="G55" s="304">
        <f t="shared" si="7"/>
        <v>0</v>
      </c>
      <c r="H55" s="303">
        <f t="shared" si="8"/>
        <v>0</v>
      </c>
      <c r="I55" s="304">
        <f t="shared" si="8"/>
        <v>175000</v>
      </c>
      <c r="J55" s="304">
        <f t="shared" si="9"/>
        <v>0</v>
      </c>
      <c r="K55" s="303">
        <f t="shared" ref="K55:K69" si="10">SUM(B55:J55)</f>
        <v>116770656</v>
      </c>
      <c r="L55" s="77" t="s">
        <v>778</v>
      </c>
    </row>
    <row r="56" spans="1:19">
      <c r="A56" s="77" t="s">
        <v>779</v>
      </c>
      <c r="B56" s="303">
        <f>+B10+N10</f>
        <v>599720</v>
      </c>
      <c r="C56" s="303">
        <f t="shared" si="7"/>
        <v>734145</v>
      </c>
      <c r="D56" s="304">
        <f t="shared" si="7"/>
        <v>0</v>
      </c>
      <c r="E56" s="303">
        <f t="shared" si="7"/>
        <v>207500</v>
      </c>
      <c r="F56" s="303">
        <f t="shared" si="7"/>
        <v>596523</v>
      </c>
      <c r="G56" s="304">
        <f t="shared" si="7"/>
        <v>0</v>
      </c>
      <c r="H56" s="303">
        <f t="shared" si="8"/>
        <v>0</v>
      </c>
      <c r="I56" s="304">
        <f t="shared" si="8"/>
        <v>2607442</v>
      </c>
      <c r="J56" s="304">
        <f t="shared" si="9"/>
        <v>0</v>
      </c>
      <c r="K56" s="303">
        <f t="shared" si="10"/>
        <v>4745330</v>
      </c>
      <c r="L56" s="77" t="s">
        <v>779</v>
      </c>
    </row>
    <row r="57" spans="1:19">
      <c r="A57" s="77" t="s">
        <v>780</v>
      </c>
      <c r="B57" s="303">
        <f t="shared" si="7"/>
        <v>0</v>
      </c>
      <c r="C57" s="303">
        <f t="shared" si="7"/>
        <v>0</v>
      </c>
      <c r="D57" s="304">
        <f t="shared" si="7"/>
        <v>0</v>
      </c>
      <c r="E57" s="303">
        <f t="shared" si="7"/>
        <v>0</v>
      </c>
      <c r="F57" s="303">
        <f t="shared" si="7"/>
        <v>0</v>
      </c>
      <c r="G57" s="304">
        <f t="shared" si="7"/>
        <v>0</v>
      </c>
      <c r="H57" s="303">
        <f t="shared" si="8"/>
        <v>0</v>
      </c>
      <c r="I57" s="304">
        <f t="shared" si="8"/>
        <v>0</v>
      </c>
      <c r="J57" s="304">
        <f t="shared" si="9"/>
        <v>0</v>
      </c>
      <c r="K57" s="303">
        <f t="shared" si="10"/>
        <v>0</v>
      </c>
      <c r="L57" s="77" t="s">
        <v>780</v>
      </c>
    </row>
    <row r="58" spans="1:19">
      <c r="A58" s="77" t="s">
        <v>781</v>
      </c>
      <c r="B58" s="303">
        <f t="shared" si="7"/>
        <v>0</v>
      </c>
      <c r="C58" s="303">
        <f t="shared" si="7"/>
        <v>752967712</v>
      </c>
      <c r="D58" s="304">
        <f t="shared" si="7"/>
        <v>0</v>
      </c>
      <c r="E58" s="303">
        <f t="shared" si="7"/>
        <v>68258147</v>
      </c>
      <c r="F58" s="303">
        <f t="shared" si="7"/>
        <v>2229866</v>
      </c>
      <c r="G58" s="304">
        <f t="shared" si="7"/>
        <v>0</v>
      </c>
      <c r="H58" s="303">
        <f t="shared" si="8"/>
        <v>0</v>
      </c>
      <c r="I58" s="304">
        <f t="shared" si="8"/>
        <v>0</v>
      </c>
      <c r="J58" s="304">
        <f t="shared" si="9"/>
        <v>0</v>
      </c>
      <c r="K58" s="303">
        <f t="shared" si="10"/>
        <v>823455725</v>
      </c>
      <c r="L58" s="77" t="s">
        <v>781</v>
      </c>
    </row>
    <row r="59" spans="1:19">
      <c r="A59" s="77" t="s">
        <v>782</v>
      </c>
      <c r="B59" s="303">
        <f t="shared" si="7"/>
        <v>69257700</v>
      </c>
      <c r="C59" s="303">
        <f t="shared" si="7"/>
        <v>96905400</v>
      </c>
      <c r="D59" s="304">
        <f t="shared" si="7"/>
        <v>0</v>
      </c>
      <c r="E59" s="303">
        <f t="shared" si="7"/>
        <v>56052500</v>
      </c>
      <c r="F59" s="303">
        <f t="shared" si="7"/>
        <v>22069404</v>
      </c>
      <c r="G59" s="304">
        <f t="shared" si="7"/>
        <v>0</v>
      </c>
      <c r="H59" s="303">
        <f t="shared" si="8"/>
        <v>0</v>
      </c>
      <c r="I59" s="304">
        <f t="shared" si="8"/>
        <v>0</v>
      </c>
      <c r="J59" s="304">
        <f t="shared" si="9"/>
        <v>0</v>
      </c>
      <c r="K59" s="303">
        <f t="shared" si="10"/>
        <v>244285004</v>
      </c>
      <c r="L59" s="77" t="s">
        <v>782</v>
      </c>
    </row>
    <row r="60" spans="1:19">
      <c r="A60" s="77" t="s">
        <v>783</v>
      </c>
      <c r="B60" s="303">
        <f t="shared" si="7"/>
        <v>26837122.829999998</v>
      </c>
      <c r="C60" s="303">
        <f t="shared" si="7"/>
        <v>299783942.72000003</v>
      </c>
      <c r="D60" s="304">
        <f t="shared" si="7"/>
        <v>0</v>
      </c>
      <c r="E60" s="303">
        <f t="shared" si="7"/>
        <v>2505835</v>
      </c>
      <c r="F60" s="303">
        <f t="shared" si="7"/>
        <v>22143223.91</v>
      </c>
      <c r="G60" s="304">
        <f t="shared" si="7"/>
        <v>0</v>
      </c>
      <c r="H60" s="303">
        <f t="shared" si="8"/>
        <v>0</v>
      </c>
      <c r="I60" s="304">
        <f t="shared" si="8"/>
        <v>0</v>
      </c>
      <c r="J60" s="304">
        <f t="shared" si="9"/>
        <v>0</v>
      </c>
      <c r="K60" s="303">
        <f t="shared" si="10"/>
        <v>351270124.46000004</v>
      </c>
      <c r="L60" s="77" t="s">
        <v>783</v>
      </c>
    </row>
    <row r="61" spans="1:19">
      <c r="A61" s="77" t="s">
        <v>784</v>
      </c>
      <c r="B61" s="303">
        <f t="shared" si="7"/>
        <v>135882704</v>
      </c>
      <c r="C61" s="303">
        <f t="shared" si="7"/>
        <v>24867317</v>
      </c>
      <c r="D61" s="304">
        <f t="shared" si="7"/>
        <v>0</v>
      </c>
      <c r="E61" s="303">
        <f t="shared" si="7"/>
        <v>36721550</v>
      </c>
      <c r="F61" s="303">
        <f t="shared" si="7"/>
        <v>3154578</v>
      </c>
      <c r="G61" s="304">
        <f t="shared" si="7"/>
        <v>0</v>
      </c>
      <c r="H61" s="303">
        <f t="shared" si="8"/>
        <v>0</v>
      </c>
      <c r="I61" s="304">
        <f t="shared" si="8"/>
        <v>1791413</v>
      </c>
      <c r="J61" s="304">
        <f t="shared" si="9"/>
        <v>0</v>
      </c>
      <c r="K61" s="303">
        <f t="shared" si="10"/>
        <v>202417562</v>
      </c>
      <c r="L61" s="77" t="s">
        <v>784</v>
      </c>
    </row>
    <row r="62" spans="1:19">
      <c r="A62" s="77" t="s">
        <v>785</v>
      </c>
      <c r="B62" s="303">
        <f t="shared" si="7"/>
        <v>24731264</v>
      </c>
      <c r="C62" s="303">
        <f t="shared" si="7"/>
        <v>15775021</v>
      </c>
      <c r="D62" s="304">
        <f t="shared" si="7"/>
        <v>0</v>
      </c>
      <c r="E62" s="303">
        <f t="shared" si="7"/>
        <v>2320771</v>
      </c>
      <c r="F62" s="303">
        <f t="shared" si="7"/>
        <v>1840326</v>
      </c>
      <c r="G62" s="304">
        <f t="shared" si="7"/>
        <v>0</v>
      </c>
      <c r="H62" s="303">
        <f t="shared" si="8"/>
        <v>0</v>
      </c>
      <c r="I62" s="304">
        <f t="shared" si="8"/>
        <v>0</v>
      </c>
      <c r="J62" s="304">
        <f t="shared" si="9"/>
        <v>0</v>
      </c>
      <c r="K62" s="303">
        <f t="shared" si="10"/>
        <v>44667382</v>
      </c>
      <c r="L62" s="77" t="s">
        <v>785</v>
      </c>
    </row>
    <row r="63" spans="1:19">
      <c r="A63" s="77" t="s">
        <v>786</v>
      </c>
      <c r="B63" s="303">
        <f t="shared" si="7"/>
        <v>125930498</v>
      </c>
      <c r="C63" s="303">
        <f t="shared" si="7"/>
        <v>3258000</v>
      </c>
      <c r="D63" s="304">
        <f t="shared" si="7"/>
        <v>0</v>
      </c>
      <c r="E63" s="303">
        <f t="shared" si="7"/>
        <v>88886590</v>
      </c>
      <c r="F63" s="303">
        <f t="shared" si="7"/>
        <v>0</v>
      </c>
      <c r="G63" s="304">
        <f t="shared" si="7"/>
        <v>0</v>
      </c>
      <c r="H63" s="303">
        <f t="shared" si="8"/>
        <v>0</v>
      </c>
      <c r="I63" s="304">
        <f t="shared" si="8"/>
        <v>25515130</v>
      </c>
      <c r="J63" s="304">
        <f t="shared" si="9"/>
        <v>0</v>
      </c>
      <c r="K63" s="303">
        <f t="shared" si="10"/>
        <v>243590218</v>
      </c>
      <c r="L63" s="77" t="s">
        <v>786</v>
      </c>
    </row>
    <row r="64" spans="1:19">
      <c r="A64" s="77" t="s">
        <v>787</v>
      </c>
      <c r="B64" s="303">
        <f t="shared" si="7"/>
        <v>0</v>
      </c>
      <c r="C64" s="303">
        <f t="shared" si="7"/>
        <v>0</v>
      </c>
      <c r="D64" s="304">
        <f t="shared" si="7"/>
        <v>0</v>
      </c>
      <c r="E64" s="303">
        <f t="shared" si="7"/>
        <v>0</v>
      </c>
      <c r="F64" s="303">
        <f t="shared" si="7"/>
        <v>0</v>
      </c>
      <c r="G64" s="304">
        <f t="shared" si="7"/>
        <v>0</v>
      </c>
      <c r="H64" s="303">
        <f t="shared" si="8"/>
        <v>0</v>
      </c>
      <c r="I64" s="304">
        <f t="shared" si="8"/>
        <v>0</v>
      </c>
      <c r="J64" s="304">
        <f t="shared" si="9"/>
        <v>0</v>
      </c>
      <c r="K64" s="303">
        <f t="shared" si="10"/>
        <v>0</v>
      </c>
      <c r="L64" s="77" t="s">
        <v>787</v>
      </c>
    </row>
    <row r="65" spans="1:12">
      <c r="A65" s="77" t="s">
        <v>788</v>
      </c>
      <c r="B65" s="303">
        <f t="shared" si="7"/>
        <v>25779573</v>
      </c>
      <c r="C65" s="303">
        <f t="shared" si="7"/>
        <v>319078283.5</v>
      </c>
      <c r="D65" s="304">
        <f t="shared" si="7"/>
        <v>0</v>
      </c>
      <c r="E65" s="303">
        <f t="shared" si="7"/>
        <v>42794186</v>
      </c>
      <c r="F65" s="303">
        <f t="shared" si="7"/>
        <v>49361489.5</v>
      </c>
      <c r="G65" s="304">
        <f t="shared" si="7"/>
        <v>0</v>
      </c>
      <c r="H65" s="303">
        <f t="shared" si="8"/>
        <v>0</v>
      </c>
      <c r="I65" s="304">
        <f t="shared" si="8"/>
        <v>0</v>
      </c>
      <c r="J65" s="304">
        <f t="shared" si="9"/>
        <v>0</v>
      </c>
      <c r="K65" s="303">
        <f t="shared" si="10"/>
        <v>437013532</v>
      </c>
      <c r="L65" s="77" t="s">
        <v>788</v>
      </c>
    </row>
    <row r="66" spans="1:12">
      <c r="A66" s="77" t="s">
        <v>789</v>
      </c>
      <c r="B66" s="303">
        <f t="shared" si="7"/>
        <v>136635597.43000001</v>
      </c>
      <c r="C66" s="303">
        <f t="shared" si="7"/>
        <v>244148861.30000001</v>
      </c>
      <c r="D66" s="304">
        <f t="shared" si="7"/>
        <v>0</v>
      </c>
      <c r="E66" s="303">
        <f t="shared" si="7"/>
        <v>54122207.359999999</v>
      </c>
      <c r="F66" s="303">
        <f t="shared" si="7"/>
        <v>50104097.490000002</v>
      </c>
      <c r="G66" s="304">
        <f t="shared" si="7"/>
        <v>0</v>
      </c>
      <c r="H66" s="303">
        <f t="shared" si="8"/>
        <v>0</v>
      </c>
      <c r="I66" s="304">
        <f t="shared" si="8"/>
        <v>0</v>
      </c>
      <c r="J66" s="304">
        <f t="shared" si="9"/>
        <v>0</v>
      </c>
      <c r="K66" s="303">
        <f t="shared" si="10"/>
        <v>485010763.58000004</v>
      </c>
      <c r="L66" s="77" t="s">
        <v>789</v>
      </c>
    </row>
    <row r="67" spans="1:12">
      <c r="A67" s="77" t="s">
        <v>790</v>
      </c>
      <c r="B67" s="303">
        <f t="shared" si="7"/>
        <v>0</v>
      </c>
      <c r="C67" s="303">
        <f t="shared" si="7"/>
        <v>0</v>
      </c>
      <c r="D67" s="304">
        <f t="shared" si="7"/>
        <v>0</v>
      </c>
      <c r="E67" s="303">
        <f t="shared" si="7"/>
        <v>0</v>
      </c>
      <c r="F67" s="303">
        <f t="shared" si="7"/>
        <v>0</v>
      </c>
      <c r="G67" s="304">
        <f t="shared" si="7"/>
        <v>0</v>
      </c>
      <c r="H67" s="303">
        <f t="shared" si="8"/>
        <v>0</v>
      </c>
      <c r="I67" s="304">
        <f t="shared" si="8"/>
        <v>18420000</v>
      </c>
      <c r="J67" s="304">
        <f t="shared" si="9"/>
        <v>530892262</v>
      </c>
      <c r="K67" s="303">
        <f t="shared" si="10"/>
        <v>549312262</v>
      </c>
      <c r="L67" s="77" t="s">
        <v>790</v>
      </c>
    </row>
    <row r="68" spans="1:12">
      <c r="A68" s="77" t="s">
        <v>791</v>
      </c>
      <c r="B68" s="303">
        <f t="shared" si="7"/>
        <v>249975393</v>
      </c>
      <c r="C68" s="303">
        <f t="shared" si="7"/>
        <v>10286329</v>
      </c>
      <c r="D68" s="304">
        <f t="shared" si="7"/>
        <v>3885256</v>
      </c>
      <c r="E68" s="303">
        <f t="shared" si="7"/>
        <v>0</v>
      </c>
      <c r="F68" s="303">
        <f t="shared" si="7"/>
        <v>74426685</v>
      </c>
      <c r="G68" s="304">
        <f t="shared" si="7"/>
        <v>500000</v>
      </c>
      <c r="H68" s="303">
        <f t="shared" si="8"/>
        <v>0</v>
      </c>
      <c r="I68" s="304">
        <f t="shared" si="8"/>
        <v>0</v>
      </c>
      <c r="J68" s="304">
        <f t="shared" si="9"/>
        <v>0</v>
      </c>
      <c r="K68" s="303">
        <f t="shared" si="10"/>
        <v>339073663</v>
      </c>
      <c r="L68" s="77" t="s">
        <v>791</v>
      </c>
    </row>
    <row r="69" spans="1:12">
      <c r="A69" s="277" t="s">
        <v>792</v>
      </c>
      <c r="B69" s="305">
        <f t="shared" si="7"/>
        <v>48214742</v>
      </c>
      <c r="C69" s="305">
        <f t="shared" si="7"/>
        <v>43830957</v>
      </c>
      <c r="D69" s="306">
        <f t="shared" si="7"/>
        <v>0</v>
      </c>
      <c r="E69" s="305">
        <f t="shared" si="7"/>
        <v>3442565</v>
      </c>
      <c r="F69" s="305">
        <f t="shared" si="7"/>
        <v>4520506</v>
      </c>
      <c r="G69" s="306">
        <f t="shared" si="7"/>
        <v>0</v>
      </c>
      <c r="H69" s="305">
        <f t="shared" si="8"/>
        <v>0</v>
      </c>
      <c r="I69" s="306">
        <f t="shared" si="8"/>
        <v>0</v>
      </c>
      <c r="J69" s="306">
        <f t="shared" si="9"/>
        <v>0</v>
      </c>
      <c r="K69" s="305">
        <f t="shared" si="10"/>
        <v>100008770</v>
      </c>
      <c r="L69" s="277" t="s">
        <v>792</v>
      </c>
    </row>
    <row r="71" spans="1:12" ht="15.5">
      <c r="A71" s="295" t="s">
        <v>795</v>
      </c>
    </row>
    <row r="72" spans="1:12" ht="21">
      <c r="A72" s="234"/>
      <c r="B72" s="235" t="s">
        <v>765</v>
      </c>
      <c r="C72" s="235"/>
      <c r="D72" s="235"/>
      <c r="E72" s="236" t="s">
        <v>766</v>
      </c>
      <c r="F72" s="235"/>
      <c r="G72" s="235"/>
      <c r="H72" s="236" t="s">
        <v>796</v>
      </c>
      <c r="I72" s="237"/>
      <c r="J72" s="239" t="s">
        <v>421</v>
      </c>
      <c r="K72" s="297"/>
    </row>
    <row r="73" spans="1:12" ht="52.5">
      <c r="A73" s="243"/>
      <c r="B73" s="244" t="s">
        <v>771</v>
      </c>
      <c r="C73" s="245" t="s">
        <v>772</v>
      </c>
      <c r="D73" s="245" t="s">
        <v>773</v>
      </c>
      <c r="E73" s="246" t="s">
        <v>771</v>
      </c>
      <c r="F73" s="245" t="s">
        <v>772</v>
      </c>
      <c r="G73" s="245" t="s">
        <v>773</v>
      </c>
      <c r="H73" s="246" t="s">
        <v>771</v>
      </c>
      <c r="I73" s="247" t="s">
        <v>772</v>
      </c>
      <c r="J73" s="298" t="s">
        <v>774</v>
      </c>
      <c r="K73" s="299" t="s">
        <v>762</v>
      </c>
    </row>
    <row r="74" spans="1:12">
      <c r="A74" s="77" t="s">
        <v>775</v>
      </c>
      <c r="B74" s="301">
        <f t="shared" ref="B74:G74" si="11">+B30+N30</f>
        <v>0</v>
      </c>
      <c r="C74" s="301">
        <f t="shared" si="11"/>
        <v>0</v>
      </c>
      <c r="D74" s="302">
        <f t="shared" si="11"/>
        <v>0</v>
      </c>
      <c r="E74" s="301">
        <f t="shared" si="11"/>
        <v>0</v>
      </c>
      <c r="F74" s="301">
        <f t="shared" si="11"/>
        <v>0</v>
      </c>
      <c r="G74" s="302">
        <f t="shared" si="11"/>
        <v>0</v>
      </c>
      <c r="H74" s="301">
        <f>+H30</f>
        <v>0</v>
      </c>
      <c r="I74" s="302">
        <f>+I30</f>
        <v>0</v>
      </c>
      <c r="J74" s="302">
        <f>+L30</f>
        <v>0</v>
      </c>
      <c r="K74" s="301">
        <f>SUM(B74:J74)</f>
        <v>0</v>
      </c>
    </row>
    <row r="75" spans="1:12">
      <c r="A75" s="77"/>
      <c r="B75" s="303"/>
      <c r="C75" s="303"/>
      <c r="D75" s="304"/>
      <c r="E75" s="303"/>
      <c r="F75" s="303"/>
      <c r="G75" s="304"/>
      <c r="H75" s="303"/>
      <c r="I75" s="304"/>
      <c r="J75" s="304"/>
      <c r="K75" s="303"/>
    </row>
    <row r="76" spans="1:12">
      <c r="A76" s="77" t="s">
        <v>777</v>
      </c>
      <c r="B76" s="303">
        <f t="shared" ref="B76:G91" si="12">+B32+N32</f>
        <v>4507130</v>
      </c>
      <c r="C76" s="303">
        <f t="shared" si="12"/>
        <v>88587030</v>
      </c>
      <c r="D76" s="304">
        <f t="shared" si="12"/>
        <v>1205608</v>
      </c>
      <c r="E76" s="303">
        <f t="shared" si="12"/>
        <v>795376</v>
      </c>
      <c r="F76" s="303">
        <f t="shared" si="12"/>
        <v>6845850</v>
      </c>
      <c r="G76" s="304">
        <f t="shared" si="12"/>
        <v>0</v>
      </c>
      <c r="H76" s="303">
        <f t="shared" ref="H76:I91" si="13">+H32</f>
        <v>10399</v>
      </c>
      <c r="I76" s="304">
        <f t="shared" si="13"/>
        <v>2287207</v>
      </c>
      <c r="J76" s="304">
        <f t="shared" ref="J76:J91" si="14">+L32</f>
        <v>0</v>
      </c>
      <c r="K76" s="303">
        <f t="shared" ref="K76:K91" si="15">SUM(B76:J76)</f>
        <v>104238600</v>
      </c>
    </row>
    <row r="77" spans="1:12">
      <c r="A77" s="77" t="s">
        <v>778</v>
      </c>
      <c r="B77" s="303">
        <f t="shared" si="12"/>
        <v>628750</v>
      </c>
      <c r="C77" s="303">
        <f t="shared" si="12"/>
        <v>99578381</v>
      </c>
      <c r="D77" s="304">
        <f t="shared" si="12"/>
        <v>1455498</v>
      </c>
      <c r="E77" s="303">
        <f t="shared" si="12"/>
        <v>51685</v>
      </c>
      <c r="F77" s="303">
        <f t="shared" si="12"/>
        <v>14184010</v>
      </c>
      <c r="G77" s="304">
        <f t="shared" si="12"/>
        <v>0</v>
      </c>
      <c r="H77" s="303">
        <f t="shared" si="13"/>
        <v>0</v>
      </c>
      <c r="I77" s="304">
        <f t="shared" si="13"/>
        <v>175000</v>
      </c>
      <c r="J77" s="304">
        <f t="shared" si="14"/>
        <v>0</v>
      </c>
      <c r="K77" s="303">
        <f t="shared" si="15"/>
        <v>116073324</v>
      </c>
    </row>
    <row r="78" spans="1:12">
      <c r="A78" s="77" t="s">
        <v>779</v>
      </c>
      <c r="B78" s="303">
        <f t="shared" si="12"/>
        <v>582746</v>
      </c>
      <c r="C78" s="303">
        <f t="shared" si="12"/>
        <v>1136822</v>
      </c>
      <c r="D78" s="304">
        <f t="shared" si="12"/>
        <v>0</v>
      </c>
      <c r="E78" s="303">
        <f t="shared" si="12"/>
        <v>252400</v>
      </c>
      <c r="F78" s="303">
        <f t="shared" si="12"/>
        <v>236515</v>
      </c>
      <c r="G78" s="304">
        <f t="shared" si="12"/>
        <v>0</v>
      </c>
      <c r="H78" s="303">
        <f t="shared" si="13"/>
        <v>0</v>
      </c>
      <c r="I78" s="304">
        <f t="shared" si="13"/>
        <v>2352968</v>
      </c>
      <c r="J78" s="304">
        <f t="shared" si="14"/>
        <v>0</v>
      </c>
      <c r="K78" s="303">
        <f t="shared" si="15"/>
        <v>4561451</v>
      </c>
    </row>
    <row r="79" spans="1:12">
      <c r="A79" s="77" t="s">
        <v>780</v>
      </c>
      <c r="B79" s="303">
        <f t="shared" si="12"/>
        <v>0</v>
      </c>
      <c r="C79" s="303">
        <f t="shared" si="12"/>
        <v>0</v>
      </c>
      <c r="D79" s="304">
        <f t="shared" si="12"/>
        <v>0</v>
      </c>
      <c r="E79" s="303">
        <f t="shared" si="12"/>
        <v>0</v>
      </c>
      <c r="F79" s="303">
        <f t="shared" si="12"/>
        <v>0</v>
      </c>
      <c r="G79" s="304">
        <f t="shared" si="12"/>
        <v>0</v>
      </c>
      <c r="H79" s="303">
        <f t="shared" si="13"/>
        <v>0</v>
      </c>
      <c r="I79" s="304">
        <f t="shared" si="13"/>
        <v>0</v>
      </c>
      <c r="J79" s="304">
        <f t="shared" si="14"/>
        <v>0</v>
      </c>
      <c r="K79" s="303">
        <f t="shared" si="15"/>
        <v>0</v>
      </c>
    </row>
    <row r="80" spans="1:12">
      <c r="A80" s="77" t="s">
        <v>781</v>
      </c>
      <c r="B80" s="303">
        <f t="shared" si="12"/>
        <v>0</v>
      </c>
      <c r="C80" s="303">
        <f t="shared" si="12"/>
        <v>693588104</v>
      </c>
      <c r="D80" s="304">
        <f t="shared" si="12"/>
        <v>0</v>
      </c>
      <c r="E80" s="303">
        <f t="shared" si="12"/>
        <v>62792274</v>
      </c>
      <c r="F80" s="303">
        <f t="shared" si="12"/>
        <v>2263740</v>
      </c>
      <c r="G80" s="304">
        <f t="shared" si="12"/>
        <v>0</v>
      </c>
      <c r="H80" s="303">
        <f t="shared" si="13"/>
        <v>0</v>
      </c>
      <c r="I80" s="304">
        <f t="shared" si="13"/>
        <v>0</v>
      </c>
      <c r="J80" s="304">
        <f t="shared" si="14"/>
        <v>0</v>
      </c>
      <c r="K80" s="303">
        <f t="shared" si="15"/>
        <v>758644118</v>
      </c>
    </row>
    <row r="81" spans="1:12">
      <c r="A81" s="77" t="s">
        <v>782</v>
      </c>
      <c r="B81" s="303">
        <f t="shared" si="12"/>
        <v>73030000</v>
      </c>
      <c r="C81" s="303">
        <f t="shared" si="12"/>
        <v>97452700</v>
      </c>
      <c r="D81" s="304">
        <f t="shared" si="12"/>
        <v>0</v>
      </c>
      <c r="E81" s="303">
        <f t="shared" si="12"/>
        <v>54201500</v>
      </c>
      <c r="F81" s="303">
        <f t="shared" si="12"/>
        <v>21472165</v>
      </c>
      <c r="G81" s="304">
        <f t="shared" si="12"/>
        <v>0</v>
      </c>
      <c r="H81" s="303">
        <f t="shared" si="13"/>
        <v>0</v>
      </c>
      <c r="I81" s="304">
        <f t="shared" si="13"/>
        <v>0</v>
      </c>
      <c r="J81" s="304">
        <f t="shared" si="14"/>
        <v>0</v>
      </c>
      <c r="K81" s="303">
        <f t="shared" si="15"/>
        <v>246156365</v>
      </c>
    </row>
    <row r="82" spans="1:12">
      <c r="A82" s="77" t="s">
        <v>783</v>
      </c>
      <c r="B82" s="303">
        <f t="shared" si="12"/>
        <v>26021850</v>
      </c>
      <c r="C82" s="303">
        <f t="shared" si="12"/>
        <v>283257916</v>
      </c>
      <c r="D82" s="304">
        <f t="shared" si="12"/>
        <v>0</v>
      </c>
      <c r="E82" s="303">
        <f t="shared" si="12"/>
        <v>2407258</v>
      </c>
      <c r="F82" s="303">
        <f t="shared" si="12"/>
        <v>22213311</v>
      </c>
      <c r="G82" s="304">
        <f t="shared" si="12"/>
        <v>0</v>
      </c>
      <c r="H82" s="303">
        <f t="shared" si="13"/>
        <v>0</v>
      </c>
      <c r="I82" s="304">
        <f t="shared" si="13"/>
        <v>0</v>
      </c>
      <c r="J82" s="304">
        <f t="shared" si="14"/>
        <v>0</v>
      </c>
      <c r="K82" s="303">
        <f t="shared" si="15"/>
        <v>333900335</v>
      </c>
    </row>
    <row r="83" spans="1:12">
      <c r="A83" s="77" t="s">
        <v>784</v>
      </c>
      <c r="B83" s="303">
        <f t="shared" si="12"/>
        <v>153731822</v>
      </c>
      <c r="C83" s="303">
        <f t="shared" si="12"/>
        <v>23115691.240000002</v>
      </c>
      <c r="D83" s="304">
        <f t="shared" si="12"/>
        <v>0</v>
      </c>
      <c r="E83" s="303">
        <f t="shared" si="12"/>
        <v>35486528</v>
      </c>
      <c r="F83" s="303">
        <f t="shared" si="12"/>
        <v>6259698</v>
      </c>
      <c r="G83" s="304">
        <f t="shared" si="12"/>
        <v>0</v>
      </c>
      <c r="H83" s="303">
        <f t="shared" si="13"/>
        <v>0</v>
      </c>
      <c r="I83" s="304">
        <f t="shared" si="13"/>
        <v>881107</v>
      </c>
      <c r="J83" s="304">
        <f t="shared" si="14"/>
        <v>0</v>
      </c>
      <c r="K83" s="303">
        <f t="shared" si="15"/>
        <v>219474846.24000001</v>
      </c>
    </row>
    <row r="84" spans="1:12">
      <c r="A84" s="77" t="s">
        <v>785</v>
      </c>
      <c r="B84" s="303">
        <f t="shared" si="12"/>
        <v>24615002.5</v>
      </c>
      <c r="C84" s="303">
        <f t="shared" si="12"/>
        <v>16036181.699999999</v>
      </c>
      <c r="D84" s="304">
        <f t="shared" si="12"/>
        <v>0</v>
      </c>
      <c r="E84" s="303">
        <f t="shared" si="12"/>
        <v>2293616</v>
      </c>
      <c r="F84" s="303">
        <f t="shared" si="12"/>
        <v>1965283</v>
      </c>
      <c r="G84" s="304">
        <f t="shared" si="12"/>
        <v>0</v>
      </c>
      <c r="H84" s="303">
        <f t="shared" si="13"/>
        <v>0</v>
      </c>
      <c r="I84" s="304">
        <f t="shared" si="13"/>
        <v>0</v>
      </c>
      <c r="J84" s="304">
        <f t="shared" si="14"/>
        <v>0</v>
      </c>
      <c r="K84" s="303">
        <f t="shared" si="15"/>
        <v>44910083.200000003</v>
      </c>
    </row>
    <row r="85" spans="1:12">
      <c r="A85" s="77" t="s">
        <v>786</v>
      </c>
      <c r="B85" s="303">
        <f t="shared" si="12"/>
        <v>125930498</v>
      </c>
      <c r="C85" s="303">
        <f t="shared" si="12"/>
        <v>3258000</v>
      </c>
      <c r="D85" s="304">
        <f t="shared" si="12"/>
        <v>0</v>
      </c>
      <c r="E85" s="303">
        <f t="shared" si="12"/>
        <v>88886590</v>
      </c>
      <c r="F85" s="303">
        <f t="shared" si="12"/>
        <v>0</v>
      </c>
      <c r="G85" s="304">
        <f t="shared" si="12"/>
        <v>0</v>
      </c>
      <c r="H85" s="303">
        <f t="shared" si="13"/>
        <v>0</v>
      </c>
      <c r="I85" s="304">
        <f t="shared" si="13"/>
        <v>25515130</v>
      </c>
      <c r="J85" s="304">
        <f t="shared" si="14"/>
        <v>0</v>
      </c>
      <c r="K85" s="303">
        <f t="shared" si="15"/>
        <v>243590218</v>
      </c>
    </row>
    <row r="86" spans="1:12">
      <c r="A86" s="77" t="s">
        <v>787</v>
      </c>
      <c r="B86" s="303">
        <f t="shared" si="12"/>
        <v>0</v>
      </c>
      <c r="C86" s="303">
        <f t="shared" si="12"/>
        <v>0</v>
      </c>
      <c r="D86" s="304">
        <f t="shared" si="12"/>
        <v>0</v>
      </c>
      <c r="E86" s="303">
        <f t="shared" si="12"/>
        <v>0</v>
      </c>
      <c r="F86" s="303">
        <f t="shared" si="12"/>
        <v>0</v>
      </c>
      <c r="G86" s="304">
        <f t="shared" si="12"/>
        <v>0</v>
      </c>
      <c r="H86" s="303">
        <f t="shared" si="13"/>
        <v>0</v>
      </c>
      <c r="I86" s="304">
        <f t="shared" si="13"/>
        <v>0</v>
      </c>
      <c r="J86" s="304">
        <f t="shared" si="14"/>
        <v>0</v>
      </c>
      <c r="K86" s="303">
        <f t="shared" si="15"/>
        <v>0</v>
      </c>
    </row>
    <row r="87" spans="1:12">
      <c r="A87" s="77" t="s">
        <v>788</v>
      </c>
      <c r="B87" s="303">
        <f t="shared" si="12"/>
        <v>25167132</v>
      </c>
      <c r="C87" s="303">
        <f t="shared" si="12"/>
        <v>304381488.75</v>
      </c>
      <c r="D87" s="304">
        <f t="shared" si="12"/>
        <v>0</v>
      </c>
      <c r="E87" s="303">
        <f t="shared" si="12"/>
        <v>42848310</v>
      </c>
      <c r="F87" s="303">
        <f t="shared" si="12"/>
        <v>51296588</v>
      </c>
      <c r="G87" s="304">
        <f t="shared" si="12"/>
        <v>0</v>
      </c>
      <c r="H87" s="303">
        <f t="shared" si="13"/>
        <v>0</v>
      </c>
      <c r="I87" s="304">
        <f t="shared" si="13"/>
        <v>0</v>
      </c>
      <c r="J87" s="304">
        <f t="shared" si="14"/>
        <v>0</v>
      </c>
      <c r="K87" s="303">
        <f t="shared" si="15"/>
        <v>423693518.75</v>
      </c>
    </row>
    <row r="88" spans="1:12">
      <c r="A88" s="77" t="s">
        <v>789</v>
      </c>
      <c r="B88" s="303">
        <f t="shared" si="12"/>
        <v>138340729</v>
      </c>
      <c r="C88" s="303">
        <f t="shared" si="12"/>
        <v>269743500</v>
      </c>
      <c r="D88" s="304">
        <f t="shared" si="12"/>
        <v>0</v>
      </c>
      <c r="E88" s="303">
        <f t="shared" si="12"/>
        <v>53229771</v>
      </c>
      <c r="F88" s="303">
        <f t="shared" si="12"/>
        <v>48992790</v>
      </c>
      <c r="G88" s="304">
        <f t="shared" si="12"/>
        <v>0</v>
      </c>
      <c r="H88" s="303">
        <f t="shared" si="13"/>
        <v>0</v>
      </c>
      <c r="I88" s="304">
        <f t="shared" si="13"/>
        <v>0</v>
      </c>
      <c r="J88" s="304">
        <f t="shared" si="14"/>
        <v>0</v>
      </c>
      <c r="K88" s="303">
        <f t="shared" si="15"/>
        <v>510306790</v>
      </c>
    </row>
    <row r="89" spans="1:12">
      <c r="A89" s="77" t="s">
        <v>790</v>
      </c>
      <c r="B89" s="303">
        <f t="shared" si="12"/>
        <v>0</v>
      </c>
      <c r="C89" s="303">
        <f t="shared" si="12"/>
        <v>0</v>
      </c>
      <c r="D89" s="304">
        <f t="shared" si="12"/>
        <v>0</v>
      </c>
      <c r="E89" s="303">
        <f t="shared" si="12"/>
        <v>0</v>
      </c>
      <c r="F89" s="303">
        <f t="shared" si="12"/>
        <v>0</v>
      </c>
      <c r="G89" s="304">
        <f t="shared" si="12"/>
        <v>0</v>
      </c>
      <c r="H89" s="303">
        <f t="shared" si="13"/>
        <v>0</v>
      </c>
      <c r="I89" s="304">
        <f t="shared" si="13"/>
        <v>18620000</v>
      </c>
      <c r="J89" s="304">
        <f t="shared" si="14"/>
        <v>582309467</v>
      </c>
      <c r="K89" s="303">
        <f t="shared" si="15"/>
        <v>600929467</v>
      </c>
    </row>
    <row r="90" spans="1:12">
      <c r="A90" s="77" t="s">
        <v>791</v>
      </c>
      <c r="B90" s="303">
        <f t="shared" si="12"/>
        <v>241061101</v>
      </c>
      <c r="C90" s="303">
        <f t="shared" si="12"/>
        <v>10136329</v>
      </c>
      <c r="D90" s="304">
        <f t="shared" si="12"/>
        <v>3885256</v>
      </c>
      <c r="E90" s="303">
        <f t="shared" si="12"/>
        <v>0</v>
      </c>
      <c r="F90" s="303">
        <f t="shared" si="12"/>
        <v>74426685</v>
      </c>
      <c r="G90" s="304">
        <f t="shared" si="12"/>
        <v>500000</v>
      </c>
      <c r="H90" s="303">
        <f t="shared" si="13"/>
        <v>0</v>
      </c>
      <c r="I90" s="304">
        <f t="shared" si="13"/>
        <v>0</v>
      </c>
      <c r="J90" s="304">
        <f t="shared" si="14"/>
        <v>0</v>
      </c>
      <c r="K90" s="303">
        <f t="shared" si="15"/>
        <v>330009371</v>
      </c>
    </row>
    <row r="91" spans="1:12">
      <c r="A91" s="277" t="s">
        <v>792</v>
      </c>
      <c r="B91" s="305">
        <f t="shared" si="12"/>
        <v>48174808</v>
      </c>
      <c r="C91" s="305">
        <f t="shared" si="12"/>
        <v>49906400</v>
      </c>
      <c r="D91" s="306">
        <f t="shared" si="12"/>
        <v>0</v>
      </c>
      <c r="E91" s="305">
        <f t="shared" si="12"/>
        <v>3747920</v>
      </c>
      <c r="F91" s="305">
        <f t="shared" si="12"/>
        <v>1344653</v>
      </c>
      <c r="G91" s="306">
        <f t="shared" si="12"/>
        <v>0</v>
      </c>
      <c r="H91" s="305">
        <f t="shared" si="13"/>
        <v>0</v>
      </c>
      <c r="I91" s="306">
        <f t="shared" si="13"/>
        <v>0</v>
      </c>
      <c r="J91" s="306">
        <f t="shared" si="14"/>
        <v>0</v>
      </c>
      <c r="K91" s="305">
        <f t="shared" si="15"/>
        <v>103173781</v>
      </c>
    </row>
    <row r="93" spans="1:12" ht="15.5">
      <c r="A93" s="234" t="s">
        <v>797</v>
      </c>
    </row>
    <row r="94" spans="1:12" ht="42">
      <c r="A94" s="307"/>
      <c r="B94" s="246" t="s">
        <v>798</v>
      </c>
      <c r="C94" s="245" t="s">
        <v>799</v>
      </c>
      <c r="D94" s="245" t="s">
        <v>800</v>
      </c>
      <c r="E94" s="246" t="s">
        <v>801</v>
      </c>
      <c r="F94" s="245" t="s">
        <v>802</v>
      </c>
      <c r="G94" s="245" t="s">
        <v>803</v>
      </c>
      <c r="H94" s="246" t="s">
        <v>804</v>
      </c>
      <c r="I94" s="244" t="s">
        <v>805</v>
      </c>
      <c r="J94" s="236" t="s">
        <v>806</v>
      </c>
      <c r="K94" s="308" t="s">
        <v>762</v>
      </c>
    </row>
    <row r="95" spans="1:12">
      <c r="A95" s="77" t="s">
        <v>775</v>
      </c>
      <c r="B95" s="309">
        <f t="shared" ref="B95:K95" si="16">IF(B74&gt;0,(B52-B74)/B74,)</f>
        <v>0</v>
      </c>
      <c r="C95" s="310">
        <f t="shared" si="16"/>
        <v>0</v>
      </c>
      <c r="D95" s="310">
        <f t="shared" si="16"/>
        <v>0</v>
      </c>
      <c r="E95" s="311">
        <f t="shared" si="16"/>
        <v>0</v>
      </c>
      <c r="F95" s="312">
        <f t="shared" si="16"/>
        <v>0</v>
      </c>
      <c r="G95" s="313">
        <f t="shared" si="16"/>
        <v>0</v>
      </c>
      <c r="H95" s="310">
        <f t="shared" si="16"/>
        <v>0</v>
      </c>
      <c r="I95" s="310">
        <f t="shared" si="16"/>
        <v>0</v>
      </c>
      <c r="J95" s="314">
        <f t="shared" si="16"/>
        <v>0</v>
      </c>
      <c r="K95" s="315">
        <f t="shared" si="16"/>
        <v>0</v>
      </c>
      <c r="L95" s="77" t="s">
        <v>775</v>
      </c>
    </row>
    <row r="96" spans="1:12">
      <c r="A96" s="77"/>
      <c r="B96" s="309"/>
      <c r="C96" s="310"/>
      <c r="D96" s="316"/>
      <c r="E96" s="310"/>
      <c r="F96" s="310"/>
      <c r="G96" s="316"/>
      <c r="H96" s="310"/>
      <c r="I96" s="316"/>
      <c r="J96" s="317"/>
      <c r="K96" s="315"/>
      <c r="L96" s="77"/>
    </row>
    <row r="97" spans="1:12">
      <c r="A97" s="77" t="s">
        <v>777</v>
      </c>
      <c r="B97" s="309">
        <f t="shared" ref="B97:K112" si="17">IF(B76&gt;0,(B54-B76)/B76,)</f>
        <v>7.8853505445815847E-2</v>
      </c>
      <c r="C97" s="310">
        <f t="shared" si="17"/>
        <v>7.9784478608211605E-3</v>
      </c>
      <c r="D97" s="316">
        <f t="shared" si="17"/>
        <v>0</v>
      </c>
      <c r="E97" s="310">
        <f t="shared" si="17"/>
        <v>7.8853271911649328E-2</v>
      </c>
      <c r="F97" s="310">
        <f t="shared" si="17"/>
        <v>6.2012021881870036E-2</v>
      </c>
      <c r="G97" s="316">
        <f t="shared" si="17"/>
        <v>0</v>
      </c>
      <c r="H97" s="310">
        <f t="shared" si="17"/>
        <v>0</v>
      </c>
      <c r="I97" s="316">
        <f t="shared" si="17"/>
        <v>0.65582170743618751</v>
      </c>
      <c r="J97" s="317">
        <f t="shared" si="17"/>
        <v>0</v>
      </c>
      <c r="K97" s="315">
        <f t="shared" si="17"/>
        <v>2.9254354912671504E-2</v>
      </c>
      <c r="L97" s="77" t="s">
        <v>777</v>
      </c>
    </row>
    <row r="98" spans="1:12">
      <c r="A98" s="77" t="s">
        <v>778</v>
      </c>
      <c r="B98" s="309">
        <f t="shared" si="17"/>
        <v>-0.83269821073558647</v>
      </c>
      <c r="C98" s="310">
        <f t="shared" si="17"/>
        <v>1.6184085178086997E-2</v>
      </c>
      <c r="D98" s="316">
        <f t="shared" si="17"/>
        <v>-0.24358673113944507</v>
      </c>
      <c r="E98" s="310">
        <f t="shared" si="17"/>
        <v>-0.95163006675050787</v>
      </c>
      <c r="F98" s="310">
        <f t="shared" si="17"/>
        <v>9.1871057620517753E-4</v>
      </c>
      <c r="G98" s="316">
        <f t="shared" si="17"/>
        <v>0</v>
      </c>
      <c r="H98" s="310">
        <f t="shared" si="17"/>
        <v>0</v>
      </c>
      <c r="I98" s="316">
        <f t="shared" si="17"/>
        <v>0</v>
      </c>
      <c r="J98" s="317">
        <f t="shared" si="17"/>
        <v>0</v>
      </c>
      <c r="K98" s="315">
        <f t="shared" si="17"/>
        <v>6.0076852800390211E-3</v>
      </c>
      <c r="L98" s="77" t="s">
        <v>778</v>
      </c>
    </row>
    <row r="99" spans="1:12">
      <c r="A99" s="77" t="s">
        <v>779</v>
      </c>
      <c r="B99" s="309">
        <f t="shared" si="17"/>
        <v>2.9127613059549102E-2</v>
      </c>
      <c r="C99" s="310">
        <f t="shared" si="17"/>
        <v>-0.35421288469083112</v>
      </c>
      <c r="D99" s="316">
        <f t="shared" si="17"/>
        <v>0</v>
      </c>
      <c r="E99" s="310">
        <f t="shared" si="17"/>
        <v>-0.17789223454833597</v>
      </c>
      <c r="F99" s="310">
        <f t="shared" si="17"/>
        <v>1.5221360167431242</v>
      </c>
      <c r="G99" s="316">
        <f t="shared" si="17"/>
        <v>0</v>
      </c>
      <c r="H99" s="310">
        <f t="shared" si="17"/>
        <v>0</v>
      </c>
      <c r="I99" s="316">
        <f t="shared" si="17"/>
        <v>0.1081502170875252</v>
      </c>
      <c r="J99" s="317">
        <f t="shared" si="17"/>
        <v>0</v>
      </c>
      <c r="K99" s="315">
        <f t="shared" si="17"/>
        <v>4.0311514910496685E-2</v>
      </c>
      <c r="L99" s="77" t="s">
        <v>779</v>
      </c>
    </row>
    <row r="100" spans="1:12">
      <c r="A100" s="77" t="s">
        <v>780</v>
      </c>
      <c r="B100" s="309">
        <f t="shared" si="17"/>
        <v>0</v>
      </c>
      <c r="C100" s="310">
        <f t="shared" si="17"/>
        <v>0</v>
      </c>
      <c r="D100" s="316">
        <f t="shared" si="17"/>
        <v>0</v>
      </c>
      <c r="E100" s="310">
        <f t="shared" si="17"/>
        <v>0</v>
      </c>
      <c r="F100" s="310">
        <f t="shared" si="17"/>
        <v>0</v>
      </c>
      <c r="G100" s="316">
        <f t="shared" si="17"/>
        <v>0</v>
      </c>
      <c r="H100" s="310">
        <f t="shared" si="17"/>
        <v>0</v>
      </c>
      <c r="I100" s="316">
        <f t="shared" si="17"/>
        <v>0</v>
      </c>
      <c r="J100" s="317">
        <f t="shared" si="17"/>
        <v>0</v>
      </c>
      <c r="K100" s="315">
        <f t="shared" si="17"/>
        <v>0</v>
      </c>
      <c r="L100" s="77" t="s">
        <v>780</v>
      </c>
    </row>
    <row r="101" spans="1:12">
      <c r="A101" s="77" t="s">
        <v>781</v>
      </c>
      <c r="B101" s="309">
        <f t="shared" si="17"/>
        <v>0</v>
      </c>
      <c r="C101" s="310">
        <f t="shared" si="17"/>
        <v>8.5612206520773892E-2</v>
      </c>
      <c r="D101" s="316">
        <f t="shared" si="17"/>
        <v>0</v>
      </c>
      <c r="E101" s="310">
        <f t="shared" si="17"/>
        <v>8.7046903254371713E-2</v>
      </c>
      <c r="F101" s="310">
        <f t="shared" si="17"/>
        <v>-1.4963732584130687E-2</v>
      </c>
      <c r="G101" s="316">
        <f t="shared" si="17"/>
        <v>0</v>
      </c>
      <c r="H101" s="310">
        <f t="shared" si="17"/>
        <v>0</v>
      </c>
      <c r="I101" s="316">
        <f t="shared" si="17"/>
        <v>0</v>
      </c>
      <c r="J101" s="317">
        <f t="shared" si="17"/>
        <v>0</v>
      </c>
      <c r="K101" s="315">
        <f t="shared" si="17"/>
        <v>8.5430843609335144E-2</v>
      </c>
      <c r="L101" s="77" t="s">
        <v>781</v>
      </c>
    </row>
    <row r="102" spans="1:12">
      <c r="A102" s="77" t="s">
        <v>782</v>
      </c>
      <c r="B102" s="309">
        <f t="shared" si="17"/>
        <v>-5.1654114747364095E-2</v>
      </c>
      <c r="C102" s="310">
        <f t="shared" si="17"/>
        <v>-5.6160578413938251E-3</v>
      </c>
      <c r="D102" s="316">
        <f t="shared" si="17"/>
        <v>0</v>
      </c>
      <c r="E102" s="310">
        <f t="shared" si="17"/>
        <v>3.4150346392627512E-2</v>
      </c>
      <c r="F102" s="310">
        <f t="shared" si="17"/>
        <v>2.7814568302730536E-2</v>
      </c>
      <c r="G102" s="316">
        <f t="shared" si="17"/>
        <v>0</v>
      </c>
      <c r="H102" s="310">
        <f t="shared" si="17"/>
        <v>0</v>
      </c>
      <c r="I102" s="316">
        <f t="shared" si="17"/>
        <v>0</v>
      </c>
      <c r="J102" s="317">
        <f t="shared" si="17"/>
        <v>0</v>
      </c>
      <c r="K102" s="315">
        <f t="shared" si="17"/>
        <v>-7.6023262693207224E-3</v>
      </c>
      <c r="L102" s="77" t="s">
        <v>782</v>
      </c>
    </row>
    <row r="103" spans="1:12">
      <c r="A103" s="77" t="s">
        <v>783</v>
      </c>
      <c r="B103" s="309">
        <f t="shared" si="17"/>
        <v>3.1330317790625888E-2</v>
      </c>
      <c r="C103" s="310">
        <f t="shared" si="17"/>
        <v>5.8342682716058775E-2</v>
      </c>
      <c r="D103" s="316">
        <f t="shared" si="17"/>
        <v>0</v>
      </c>
      <c r="E103" s="310">
        <f t="shared" si="17"/>
        <v>4.0949910645223735E-2</v>
      </c>
      <c r="F103" s="310">
        <f t="shared" si="17"/>
        <v>-3.1551842946780807E-3</v>
      </c>
      <c r="G103" s="316">
        <f t="shared" si="17"/>
        <v>0</v>
      </c>
      <c r="H103" s="310">
        <f t="shared" si="17"/>
        <v>0</v>
      </c>
      <c r="I103" s="316">
        <f t="shared" si="17"/>
        <v>0</v>
      </c>
      <c r="J103" s="317">
        <f t="shared" si="17"/>
        <v>0</v>
      </c>
      <c r="K103" s="315">
        <f t="shared" si="17"/>
        <v>5.2020880601991726E-2</v>
      </c>
      <c r="L103" s="77" t="s">
        <v>783</v>
      </c>
    </row>
    <row r="104" spans="1:12">
      <c r="A104" s="77" t="s">
        <v>784</v>
      </c>
      <c r="B104" s="309">
        <f t="shared" si="17"/>
        <v>-0.11610555165345013</v>
      </c>
      <c r="C104" s="310">
        <f t="shared" si="17"/>
        <v>7.5776481949583169E-2</v>
      </c>
      <c r="D104" s="316">
        <f t="shared" si="17"/>
        <v>0</v>
      </c>
      <c r="E104" s="310">
        <f t="shared" si="17"/>
        <v>3.4802559438894667E-2</v>
      </c>
      <c r="F104" s="310">
        <f t="shared" si="17"/>
        <v>-0.49604948992746933</v>
      </c>
      <c r="G104" s="316">
        <f t="shared" si="17"/>
        <v>0</v>
      </c>
      <c r="H104" s="310">
        <f t="shared" si="17"/>
        <v>0</v>
      </c>
      <c r="I104" s="316">
        <f t="shared" si="17"/>
        <v>1.0331389944694571</v>
      </c>
      <c r="J104" s="317">
        <f t="shared" si="17"/>
        <v>0</v>
      </c>
      <c r="K104" s="315">
        <f t="shared" si="17"/>
        <v>-7.7718629411169693E-2</v>
      </c>
      <c r="L104" s="77" t="s">
        <v>784</v>
      </c>
    </row>
    <row r="105" spans="1:12">
      <c r="A105" s="77" t="s">
        <v>785</v>
      </c>
      <c r="B105" s="309">
        <f t="shared" si="17"/>
        <v>4.7231967577496693E-3</v>
      </c>
      <c r="C105" s="310">
        <f t="shared" si="17"/>
        <v>-1.6285715944463219E-2</v>
      </c>
      <c r="D105" s="316">
        <f t="shared" si="17"/>
        <v>0</v>
      </c>
      <c r="E105" s="310">
        <f t="shared" si="17"/>
        <v>1.1839383750374953E-2</v>
      </c>
      <c r="F105" s="310">
        <f t="shared" si="17"/>
        <v>-6.358219147064316E-2</v>
      </c>
      <c r="G105" s="316">
        <f t="shared" si="17"/>
        <v>0</v>
      </c>
      <c r="H105" s="310">
        <f t="shared" si="17"/>
        <v>0</v>
      </c>
      <c r="I105" s="316">
        <f t="shared" si="17"/>
        <v>0</v>
      </c>
      <c r="J105" s="317">
        <f t="shared" si="17"/>
        <v>0</v>
      </c>
      <c r="K105" s="315">
        <f t="shared" si="17"/>
        <v>-5.4041583249617086E-3</v>
      </c>
      <c r="L105" s="77" t="s">
        <v>785</v>
      </c>
    </row>
    <row r="106" spans="1:12">
      <c r="A106" s="77" t="s">
        <v>786</v>
      </c>
      <c r="B106" s="309">
        <f t="shared" si="17"/>
        <v>0</v>
      </c>
      <c r="C106" s="310">
        <f t="shared" si="17"/>
        <v>0</v>
      </c>
      <c r="D106" s="316">
        <f t="shared" si="17"/>
        <v>0</v>
      </c>
      <c r="E106" s="310">
        <f t="shared" si="17"/>
        <v>0</v>
      </c>
      <c r="F106" s="310">
        <f t="shared" si="17"/>
        <v>0</v>
      </c>
      <c r="G106" s="316">
        <f t="shared" si="17"/>
        <v>0</v>
      </c>
      <c r="H106" s="310">
        <f t="shared" si="17"/>
        <v>0</v>
      </c>
      <c r="I106" s="316">
        <f t="shared" si="17"/>
        <v>0</v>
      </c>
      <c r="J106" s="317">
        <f t="shared" si="17"/>
        <v>0</v>
      </c>
      <c r="K106" s="315">
        <f t="shared" si="17"/>
        <v>0</v>
      </c>
      <c r="L106" s="77" t="s">
        <v>786</v>
      </c>
    </row>
    <row r="107" spans="1:12">
      <c r="A107" s="77" t="s">
        <v>787</v>
      </c>
      <c r="B107" s="309">
        <f t="shared" si="17"/>
        <v>0</v>
      </c>
      <c r="C107" s="310">
        <f t="shared" si="17"/>
        <v>0</v>
      </c>
      <c r="D107" s="316">
        <f t="shared" si="17"/>
        <v>0</v>
      </c>
      <c r="E107" s="310">
        <f t="shared" si="17"/>
        <v>0</v>
      </c>
      <c r="F107" s="310">
        <f t="shared" si="17"/>
        <v>0</v>
      </c>
      <c r="G107" s="316">
        <f t="shared" si="17"/>
        <v>0</v>
      </c>
      <c r="H107" s="310">
        <f t="shared" si="17"/>
        <v>0</v>
      </c>
      <c r="I107" s="316">
        <f t="shared" si="17"/>
        <v>0</v>
      </c>
      <c r="J107" s="317">
        <f t="shared" si="17"/>
        <v>0</v>
      </c>
      <c r="K107" s="315">
        <f t="shared" si="17"/>
        <v>0</v>
      </c>
      <c r="L107" s="77" t="s">
        <v>787</v>
      </c>
    </row>
    <row r="108" spans="1:12">
      <c r="A108" s="77" t="s">
        <v>788</v>
      </c>
      <c r="B108" s="309">
        <f t="shared" si="17"/>
        <v>2.4334954018598545E-2</v>
      </c>
      <c r="C108" s="310">
        <f t="shared" si="17"/>
        <v>4.8284127955202399E-2</v>
      </c>
      <c r="D108" s="316">
        <f t="shared" si="17"/>
        <v>0</v>
      </c>
      <c r="E108" s="310">
        <f t="shared" si="17"/>
        <v>-1.263153669304577E-3</v>
      </c>
      <c r="F108" s="310">
        <f t="shared" si="17"/>
        <v>-3.7723727355901335E-2</v>
      </c>
      <c r="G108" s="316">
        <f t="shared" si="17"/>
        <v>0</v>
      </c>
      <c r="H108" s="310">
        <f t="shared" si="17"/>
        <v>0</v>
      </c>
      <c r="I108" s="316">
        <f t="shared" si="17"/>
        <v>0</v>
      </c>
      <c r="J108" s="317">
        <f t="shared" si="17"/>
        <v>0</v>
      </c>
      <c r="K108" s="315">
        <f t="shared" si="17"/>
        <v>3.143784990928658E-2</v>
      </c>
      <c r="L108" s="77" t="s">
        <v>788</v>
      </c>
    </row>
    <row r="109" spans="1:12">
      <c r="A109" s="77" t="s">
        <v>789</v>
      </c>
      <c r="B109" s="309">
        <f t="shared" si="17"/>
        <v>-1.2325593354361989E-2</v>
      </c>
      <c r="C109" s="310">
        <f t="shared" si="17"/>
        <v>-9.4885098992190692E-2</v>
      </c>
      <c r="D109" s="316">
        <f t="shared" si="17"/>
        <v>0</v>
      </c>
      <c r="E109" s="310">
        <f t="shared" si="17"/>
        <v>1.6765737354008145E-2</v>
      </c>
      <c r="F109" s="310">
        <f t="shared" si="17"/>
        <v>2.2683082347423E-2</v>
      </c>
      <c r="G109" s="316">
        <f t="shared" si="17"/>
        <v>0</v>
      </c>
      <c r="H109" s="310">
        <f t="shared" si="17"/>
        <v>0</v>
      </c>
      <c r="I109" s="316">
        <f t="shared" si="17"/>
        <v>0</v>
      </c>
      <c r="J109" s="317">
        <f t="shared" si="17"/>
        <v>0</v>
      </c>
      <c r="K109" s="315">
        <f t="shared" si="17"/>
        <v>-4.9570232878931433E-2</v>
      </c>
      <c r="L109" s="77" t="s">
        <v>789</v>
      </c>
    </row>
    <row r="110" spans="1:12">
      <c r="A110" s="77" t="s">
        <v>790</v>
      </c>
      <c r="B110" s="309">
        <f t="shared" si="17"/>
        <v>0</v>
      </c>
      <c r="C110" s="310">
        <f t="shared" si="17"/>
        <v>0</v>
      </c>
      <c r="D110" s="316">
        <f t="shared" si="17"/>
        <v>0</v>
      </c>
      <c r="E110" s="310">
        <f t="shared" si="17"/>
        <v>0</v>
      </c>
      <c r="F110" s="310">
        <f t="shared" si="17"/>
        <v>0</v>
      </c>
      <c r="G110" s="316">
        <f t="shared" si="17"/>
        <v>0</v>
      </c>
      <c r="H110" s="310">
        <f t="shared" si="17"/>
        <v>0</v>
      </c>
      <c r="I110" s="316">
        <f t="shared" si="17"/>
        <v>-1.0741138560687433E-2</v>
      </c>
      <c r="J110" s="317">
        <f t="shared" si="17"/>
        <v>-8.8298761936494496E-2</v>
      </c>
      <c r="K110" s="315">
        <f t="shared" si="17"/>
        <v>-8.5895613103625687E-2</v>
      </c>
      <c r="L110" s="77" t="s">
        <v>790</v>
      </c>
    </row>
    <row r="111" spans="1:12">
      <c r="A111" s="77" t="s">
        <v>791</v>
      </c>
      <c r="B111" s="309">
        <f t="shared" si="17"/>
        <v>3.6979388059793186E-2</v>
      </c>
      <c r="C111" s="310">
        <f t="shared" si="17"/>
        <v>1.4798256844267782E-2</v>
      </c>
      <c r="D111" s="316">
        <f t="shared" si="17"/>
        <v>0</v>
      </c>
      <c r="E111" s="310">
        <f t="shared" si="17"/>
        <v>0</v>
      </c>
      <c r="F111" s="310">
        <f t="shared" si="17"/>
        <v>0</v>
      </c>
      <c r="G111" s="316">
        <f t="shared" si="17"/>
        <v>0</v>
      </c>
      <c r="H111" s="310">
        <f t="shared" si="17"/>
        <v>0</v>
      </c>
      <c r="I111" s="316">
        <f t="shared" si="17"/>
        <v>0</v>
      </c>
      <c r="J111" s="317">
        <f t="shared" si="17"/>
        <v>0</v>
      </c>
      <c r="K111" s="315">
        <f t="shared" si="17"/>
        <v>2.746677154207236E-2</v>
      </c>
      <c r="L111" s="77" t="s">
        <v>791</v>
      </c>
    </row>
    <row r="112" spans="1:12">
      <c r="A112" s="277" t="s">
        <v>792</v>
      </c>
      <c r="B112" s="318">
        <f t="shared" si="17"/>
        <v>8.2893947392587424E-4</v>
      </c>
      <c r="C112" s="319">
        <f t="shared" si="17"/>
        <v>-0.12173675119824311</v>
      </c>
      <c r="D112" s="320">
        <f t="shared" si="17"/>
        <v>0</v>
      </c>
      <c r="E112" s="319">
        <f t="shared" si="17"/>
        <v>-8.1473190462976797E-2</v>
      </c>
      <c r="F112" s="319">
        <f t="shared" si="17"/>
        <v>2.3618383330123089</v>
      </c>
      <c r="G112" s="320">
        <f t="shared" si="17"/>
        <v>0</v>
      </c>
      <c r="H112" s="319">
        <f t="shared" si="17"/>
        <v>0</v>
      </c>
      <c r="I112" s="320">
        <f t="shared" si="17"/>
        <v>0</v>
      </c>
      <c r="J112" s="321">
        <f t="shared" si="17"/>
        <v>0</v>
      </c>
      <c r="K112" s="322">
        <f t="shared" si="17"/>
        <v>-3.0676504915526939E-2</v>
      </c>
      <c r="L112" s="277" t="s">
        <v>792</v>
      </c>
    </row>
    <row r="114" spans="1:16" ht="13" thickBot="1"/>
    <row r="115" spans="1:16" ht="13.5" thickBot="1">
      <c r="A115" s="323" t="s">
        <v>807</v>
      </c>
      <c r="B115" s="324"/>
      <c r="C115" s="324"/>
      <c r="D115" s="325"/>
      <c r="J115" s="77"/>
    </row>
    <row r="116" spans="1:16" ht="13">
      <c r="A116" s="53"/>
      <c r="B116" s="326" t="s">
        <v>808</v>
      </c>
      <c r="C116" s="53"/>
      <c r="D116" s="53"/>
      <c r="E116" s="53"/>
      <c r="F116" s="53"/>
      <c r="H116" s="53"/>
      <c r="J116" s="77"/>
    </row>
    <row r="117" spans="1:16" ht="13" thickBot="1">
      <c r="A117" s="327"/>
      <c r="B117" s="328" t="s">
        <v>809</v>
      </c>
      <c r="C117" s="329" t="s">
        <v>810</v>
      </c>
      <c r="D117" s="53"/>
      <c r="E117" s="53"/>
      <c r="F117" s="53"/>
      <c r="H117" s="53"/>
    </row>
    <row r="118" spans="1:16">
      <c r="A118" s="330" t="str">
        <f>E118&amp;" ("&amp;TEXT(D118,)&amp;")"</f>
        <v>SREB states (0 billion)</v>
      </c>
      <c r="B118" s="331">
        <f>+K95</f>
        <v>0</v>
      </c>
      <c r="C118" s="332">
        <f>ROUND(+K52/1000000000,1)</f>
        <v>0</v>
      </c>
      <c r="D118" s="333" t="str">
        <f>C118 &amp; " "&amp;TEXT(F118,)</f>
        <v>0 billion</v>
      </c>
      <c r="E118" s="77" t="s">
        <v>775</v>
      </c>
      <c r="F118" s="53" t="s">
        <v>811</v>
      </c>
      <c r="H118" s="53"/>
    </row>
    <row r="119" spans="1:16">
      <c r="A119" s="77"/>
      <c r="B119" s="334"/>
      <c r="C119" s="335"/>
      <c r="D119" s="333"/>
      <c r="E119" s="77"/>
      <c r="F119" s="53"/>
      <c r="H119" s="53"/>
      <c r="P119" s="201"/>
    </row>
    <row r="120" spans="1:16">
      <c r="A120" s="330" t="str">
        <f t="shared" ref="A120:A135" si="18">E120&amp;" ("&amp;TEXT(D120,)&amp;")"</f>
        <v>Alabama (107.3 million)</v>
      </c>
      <c r="B120" s="334">
        <f t="shared" ref="B120:B135" si="19">+K97</f>
        <v>2.9254354912671504E-2</v>
      </c>
      <c r="C120" s="332">
        <f t="shared" ref="C120:C135" si="20">ROUND(+K54/1000000,1)</f>
        <v>107.3</v>
      </c>
      <c r="D120" s="333" t="str">
        <f>C120 &amp; " "&amp;TEXT(F120,)</f>
        <v>107.3 million</v>
      </c>
      <c r="E120" s="77" t="s">
        <v>777</v>
      </c>
      <c r="F120" s="53" t="s">
        <v>812</v>
      </c>
      <c r="H120" s="53"/>
    </row>
    <row r="121" spans="1:16">
      <c r="A121" s="330" t="str">
        <f t="shared" si="18"/>
        <v>Arkansas (116.8 million)</v>
      </c>
      <c r="B121" s="334">
        <f t="shared" si="19"/>
        <v>6.0076852800390211E-3</v>
      </c>
      <c r="C121" s="332">
        <f t="shared" si="20"/>
        <v>116.8</v>
      </c>
      <c r="D121" s="333" t="str">
        <f t="shared" ref="D121:D135" si="21">C121 &amp; " "&amp;TEXT(F121,)</f>
        <v>116.8 million</v>
      </c>
      <c r="E121" s="77" t="s">
        <v>778</v>
      </c>
      <c r="F121" s="53" t="s">
        <v>812</v>
      </c>
      <c r="H121" s="53"/>
      <c r="P121" s="201"/>
    </row>
    <row r="122" spans="1:16">
      <c r="A122" s="330" t="str">
        <f t="shared" si="18"/>
        <v>Delaware (4.7 million)</v>
      </c>
      <c r="B122" s="334">
        <f t="shared" si="19"/>
        <v>4.0311514910496685E-2</v>
      </c>
      <c r="C122" s="332">
        <f t="shared" si="20"/>
        <v>4.7</v>
      </c>
      <c r="D122" s="333" t="str">
        <f t="shared" si="21"/>
        <v>4.7 million</v>
      </c>
      <c r="E122" s="77" t="s">
        <v>779</v>
      </c>
      <c r="F122" s="53" t="s">
        <v>812</v>
      </c>
      <c r="H122" s="53"/>
      <c r="P122" s="201"/>
    </row>
    <row r="123" spans="1:16">
      <c r="A123" s="330" t="str">
        <f t="shared" si="18"/>
        <v>Florida (0 million)</v>
      </c>
      <c r="B123" s="334">
        <f t="shared" si="19"/>
        <v>0</v>
      </c>
      <c r="C123" s="332">
        <f t="shared" si="20"/>
        <v>0</v>
      </c>
      <c r="D123" s="333" t="str">
        <f t="shared" si="21"/>
        <v>0 million</v>
      </c>
      <c r="E123" s="77" t="s">
        <v>780</v>
      </c>
      <c r="F123" s="53" t="s">
        <v>812</v>
      </c>
      <c r="H123" s="53"/>
      <c r="P123" s="201"/>
    </row>
    <row r="124" spans="1:16">
      <c r="A124" s="330" t="str">
        <f t="shared" si="18"/>
        <v>Georgia (823.5 million)</v>
      </c>
      <c r="B124" s="334">
        <f t="shared" si="19"/>
        <v>8.5430843609335144E-2</v>
      </c>
      <c r="C124" s="332">
        <f t="shared" si="20"/>
        <v>823.5</v>
      </c>
      <c r="D124" s="333" t="str">
        <f t="shared" si="21"/>
        <v>823.5 million</v>
      </c>
      <c r="E124" s="77" t="s">
        <v>781</v>
      </c>
      <c r="F124" s="53" t="s">
        <v>812</v>
      </c>
      <c r="H124" s="53"/>
      <c r="P124" s="201"/>
    </row>
    <row r="125" spans="1:16">
      <c r="A125" s="330" t="str">
        <f t="shared" si="18"/>
        <v>Kentucky (244.3 million)</v>
      </c>
      <c r="B125" s="334">
        <f t="shared" si="19"/>
        <v>-7.6023262693207224E-3</v>
      </c>
      <c r="C125" s="332">
        <f t="shared" si="20"/>
        <v>244.3</v>
      </c>
      <c r="D125" s="333" t="str">
        <f t="shared" si="21"/>
        <v>244.3 million</v>
      </c>
      <c r="E125" s="77" t="s">
        <v>782</v>
      </c>
      <c r="F125" s="53" t="s">
        <v>812</v>
      </c>
      <c r="H125" s="53"/>
      <c r="P125" s="201"/>
    </row>
    <row r="126" spans="1:16">
      <c r="A126" s="330" t="str">
        <f t="shared" si="18"/>
        <v>Louisiana (351.3 million)</v>
      </c>
      <c r="B126" s="334">
        <f t="shared" si="19"/>
        <v>5.2020880601991726E-2</v>
      </c>
      <c r="C126" s="332">
        <f t="shared" si="20"/>
        <v>351.3</v>
      </c>
      <c r="D126" s="333" t="str">
        <f t="shared" si="21"/>
        <v>351.3 million</v>
      </c>
      <c r="E126" s="77" t="s">
        <v>813</v>
      </c>
      <c r="F126" s="53" t="s">
        <v>812</v>
      </c>
      <c r="H126" s="53"/>
      <c r="P126" s="201"/>
    </row>
    <row r="127" spans="1:16">
      <c r="A127" s="330" t="str">
        <f t="shared" si="18"/>
        <v>Maryland (202.4 million)</v>
      </c>
      <c r="B127" s="334">
        <f t="shared" si="19"/>
        <v>-7.7718629411169693E-2</v>
      </c>
      <c r="C127" s="332">
        <f t="shared" si="20"/>
        <v>202.4</v>
      </c>
      <c r="D127" s="333" t="str">
        <f t="shared" si="21"/>
        <v>202.4 million</v>
      </c>
      <c r="E127" s="77" t="s">
        <v>784</v>
      </c>
      <c r="F127" s="53" t="s">
        <v>812</v>
      </c>
      <c r="H127" s="53"/>
      <c r="P127" s="201"/>
    </row>
    <row r="128" spans="1:16">
      <c r="A128" s="330" t="str">
        <f t="shared" si="18"/>
        <v>Mississippi (44.7 million)</v>
      </c>
      <c r="B128" s="334">
        <f t="shared" si="19"/>
        <v>-5.4041583249617086E-3</v>
      </c>
      <c r="C128" s="332">
        <f t="shared" si="20"/>
        <v>44.7</v>
      </c>
      <c r="D128" s="333" t="str">
        <f t="shared" si="21"/>
        <v>44.7 million</v>
      </c>
      <c r="E128" s="77" t="s">
        <v>785</v>
      </c>
      <c r="F128" s="53" t="s">
        <v>812</v>
      </c>
      <c r="H128" s="53"/>
      <c r="P128" s="201"/>
    </row>
    <row r="129" spans="1:16">
      <c r="A129" s="330" t="str">
        <f t="shared" si="18"/>
        <v>North Carolina (243.6 million)</v>
      </c>
      <c r="B129" s="334">
        <f t="shared" si="19"/>
        <v>0</v>
      </c>
      <c r="C129" s="332">
        <f t="shared" si="20"/>
        <v>243.6</v>
      </c>
      <c r="D129" s="333" t="str">
        <f t="shared" si="21"/>
        <v>243.6 million</v>
      </c>
      <c r="E129" s="77" t="s">
        <v>786</v>
      </c>
      <c r="F129" s="53" t="s">
        <v>812</v>
      </c>
      <c r="H129" s="53"/>
      <c r="P129" s="201"/>
    </row>
    <row r="130" spans="1:16">
      <c r="A130" s="330" t="str">
        <f t="shared" si="18"/>
        <v>Oklahoma (0 million)</v>
      </c>
      <c r="B130" s="334">
        <f t="shared" si="19"/>
        <v>0</v>
      </c>
      <c r="C130" s="332">
        <f t="shared" si="20"/>
        <v>0</v>
      </c>
      <c r="D130" s="333" t="str">
        <f t="shared" si="21"/>
        <v>0 million</v>
      </c>
      <c r="E130" s="77" t="s">
        <v>787</v>
      </c>
      <c r="F130" s="53" t="s">
        <v>812</v>
      </c>
      <c r="H130" s="53"/>
      <c r="P130" s="201"/>
    </row>
    <row r="131" spans="1:16">
      <c r="A131" s="330" t="str">
        <f t="shared" si="18"/>
        <v>South Carolina (437 million)</v>
      </c>
      <c r="B131" s="334">
        <f t="shared" si="19"/>
        <v>3.143784990928658E-2</v>
      </c>
      <c r="C131" s="332">
        <f t="shared" si="20"/>
        <v>437</v>
      </c>
      <c r="D131" s="333" t="str">
        <f t="shared" si="21"/>
        <v>437 million</v>
      </c>
      <c r="E131" s="77" t="s">
        <v>788</v>
      </c>
      <c r="F131" s="53" t="s">
        <v>812</v>
      </c>
      <c r="H131" s="53"/>
      <c r="P131" s="201"/>
    </row>
    <row r="132" spans="1:16">
      <c r="A132" s="330" t="str">
        <f t="shared" si="18"/>
        <v>Tennessee (485 million)</v>
      </c>
      <c r="B132" s="334">
        <f t="shared" si="19"/>
        <v>-4.9570232878931433E-2</v>
      </c>
      <c r="C132" s="332">
        <f t="shared" si="20"/>
        <v>485</v>
      </c>
      <c r="D132" s="333" t="str">
        <f t="shared" si="21"/>
        <v>485 million</v>
      </c>
      <c r="E132" s="77" t="s">
        <v>789</v>
      </c>
      <c r="F132" s="53" t="s">
        <v>812</v>
      </c>
      <c r="H132" s="53"/>
      <c r="P132" s="201"/>
    </row>
    <row r="133" spans="1:16">
      <c r="A133" s="330" t="str">
        <f t="shared" si="18"/>
        <v>Texas (549.3 million)</v>
      </c>
      <c r="B133" s="334">
        <f t="shared" si="19"/>
        <v>-8.5895613103625687E-2</v>
      </c>
      <c r="C133" s="332">
        <f t="shared" si="20"/>
        <v>549.29999999999995</v>
      </c>
      <c r="D133" s="333" t="str">
        <f t="shared" si="21"/>
        <v>549.3 million</v>
      </c>
      <c r="E133" s="77" t="s">
        <v>790</v>
      </c>
      <c r="F133" s="53" t="s">
        <v>812</v>
      </c>
      <c r="H133" s="53"/>
      <c r="P133" s="201"/>
    </row>
    <row r="134" spans="1:16">
      <c r="A134" s="330" t="str">
        <f t="shared" si="18"/>
        <v>Virginia (339.1 million)</v>
      </c>
      <c r="B134" s="334">
        <f t="shared" si="19"/>
        <v>2.746677154207236E-2</v>
      </c>
      <c r="C134" s="332">
        <f t="shared" si="20"/>
        <v>339.1</v>
      </c>
      <c r="D134" s="333" t="str">
        <f t="shared" si="21"/>
        <v>339.1 million</v>
      </c>
      <c r="E134" s="77" t="s">
        <v>791</v>
      </c>
      <c r="F134" s="53" t="s">
        <v>812</v>
      </c>
      <c r="H134" s="53"/>
      <c r="P134" s="201"/>
    </row>
    <row r="135" spans="1:16">
      <c r="A135" s="330" t="str">
        <f t="shared" si="18"/>
        <v>West Virginia (100 million)</v>
      </c>
      <c r="B135" s="334">
        <f t="shared" si="19"/>
        <v>-3.0676504915526939E-2</v>
      </c>
      <c r="C135" s="332">
        <f t="shared" si="20"/>
        <v>100</v>
      </c>
      <c r="D135" s="333" t="str">
        <f t="shared" si="21"/>
        <v>100 million</v>
      </c>
      <c r="E135" s="277" t="s">
        <v>792</v>
      </c>
      <c r="F135" s="53" t="s">
        <v>812</v>
      </c>
      <c r="H135" s="53"/>
      <c r="P135" s="201"/>
    </row>
    <row r="136" spans="1:16">
      <c r="A136" s="53"/>
      <c r="B136" s="53"/>
      <c r="C136" s="53"/>
      <c r="D136" s="53"/>
      <c r="E136" s="53"/>
      <c r="F136" s="53"/>
      <c r="G136" s="53"/>
      <c r="H136" s="53"/>
      <c r="P136" s="201"/>
    </row>
  </sheetData>
  <pageMargins left="0.5" right="0.5" top="0.5" bottom="0.5" header="0.25" footer="0.25"/>
  <pageSetup scale="50" orientation="landscape" r:id="rId1"/>
  <headerFooter alignWithMargins="0"/>
  <rowBreaks count="1" manualBreakCount="1">
    <brk id="48" max="19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8B517-8943-4B12-A350-8E9F3F2FB8EF}">
  <sheetPr codeName="Sheet13">
    <tabColor rgb="FF92D050"/>
  </sheetPr>
  <dimension ref="A1:AA707"/>
  <sheetViews>
    <sheetView zoomScale="80" zoomScaleNormal="80" workbookViewId="0">
      <selection activeCell="G8" sqref="G8"/>
    </sheetView>
  </sheetViews>
  <sheetFormatPr defaultColWidth="9.07421875" defaultRowHeight="12.5"/>
  <cols>
    <col min="1" max="1" width="9.53515625" style="144" customWidth="1"/>
    <col min="2" max="2" width="14.3046875" style="144" bestFit="1" customWidth="1"/>
    <col min="3" max="3" width="13.84375" style="222" bestFit="1" customWidth="1"/>
    <col min="4" max="5" width="14.3046875" style="144" bestFit="1" customWidth="1"/>
    <col min="6" max="7" width="12.765625" style="144" bestFit="1" customWidth="1"/>
    <col min="8" max="8" width="13.4609375" style="144" bestFit="1" customWidth="1"/>
    <col min="9" max="9" width="14.23046875" style="144" customWidth="1"/>
    <col min="10" max="10" width="9.07421875" style="144" customWidth="1"/>
    <col min="11" max="11" width="10.84375" style="144" customWidth="1"/>
    <col min="12" max="12" width="11" style="144" customWidth="1"/>
    <col min="13" max="13" width="10.3046875" style="144" bestFit="1" customWidth="1"/>
    <col min="14" max="14" width="10.07421875" style="144" bestFit="1" customWidth="1"/>
    <col min="15" max="15" width="12.23046875" style="144" customWidth="1"/>
    <col min="16" max="16" width="12.3046875" style="144" customWidth="1"/>
    <col min="17" max="18" width="9.07421875" style="144" customWidth="1"/>
    <col min="19" max="19" width="13" style="144" customWidth="1"/>
    <col min="20" max="20" width="1.4609375" style="144" hidden="1" customWidth="1"/>
    <col min="21" max="21" width="14" style="144" customWidth="1"/>
    <col min="22" max="22" width="1.765625" style="218" hidden="1" customWidth="1"/>
    <col min="23" max="23" width="11" style="144" customWidth="1"/>
    <col min="24" max="24" width="12.3046875" style="144" customWidth="1"/>
    <col min="25" max="25" width="9.07421875" style="144"/>
    <col min="26" max="26" width="10.69140625" style="144" bestFit="1" customWidth="1"/>
    <col min="27" max="16384" width="9.07421875" style="144"/>
  </cols>
  <sheetData>
    <row r="1" spans="1:26" ht="15.5">
      <c r="A1" s="1321" t="s">
        <v>30</v>
      </c>
      <c r="B1" s="1322" t="s">
        <v>1816</v>
      </c>
      <c r="C1" s="144"/>
      <c r="D1" s="219"/>
      <c r="V1" s="144"/>
    </row>
    <row r="2" spans="1:26">
      <c r="C2" s="144"/>
      <c r="V2" s="144"/>
    </row>
    <row r="3" spans="1:26" s="152" customFormat="1" ht="15.5">
      <c r="A3" s="1323"/>
      <c r="B3" s="1324" t="s">
        <v>753</v>
      </c>
      <c r="C3" s="1325"/>
      <c r="D3" s="1325"/>
      <c r="E3" s="1325"/>
      <c r="F3" s="1325"/>
      <c r="G3" s="1325"/>
      <c r="H3" s="1325"/>
      <c r="I3" s="1326"/>
      <c r="J3" s="151"/>
      <c r="K3" s="151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</row>
    <row r="4" spans="1:26" s="152" customFormat="1" ht="46.5">
      <c r="A4" s="1324" t="s">
        <v>25</v>
      </c>
      <c r="B4" s="1327" t="s">
        <v>754</v>
      </c>
      <c r="C4" s="1170" t="s">
        <v>755</v>
      </c>
      <c r="D4" s="1328" t="s">
        <v>756</v>
      </c>
      <c r="E4" s="1170" t="s">
        <v>757</v>
      </c>
      <c r="F4" s="1328" t="s">
        <v>758</v>
      </c>
      <c r="G4" s="1170" t="s">
        <v>759</v>
      </c>
      <c r="H4" s="1328" t="s">
        <v>760</v>
      </c>
      <c r="I4" s="1171" t="s">
        <v>761</v>
      </c>
      <c r="J4" s="151"/>
      <c r="K4" s="151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 s="152" customFormat="1" ht="15.5">
      <c r="A5" s="1315" t="s">
        <v>61</v>
      </c>
      <c r="B5" s="1315">
        <v>794348541</v>
      </c>
      <c r="C5" s="1316">
        <v>819873616</v>
      </c>
      <c r="D5" s="1316">
        <v>95570565</v>
      </c>
      <c r="E5" s="1316">
        <v>97307192</v>
      </c>
      <c r="F5" s="1316"/>
      <c r="G5" s="1316"/>
      <c r="H5" s="1316">
        <v>2209878591</v>
      </c>
      <c r="I5" s="1317">
        <v>2148378875</v>
      </c>
      <c r="J5" s="151"/>
      <c r="K5" s="151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</row>
    <row r="6" spans="1:26" ht="15.5">
      <c r="A6" s="1318" t="s">
        <v>197</v>
      </c>
      <c r="B6" s="1318">
        <v>453977182</v>
      </c>
      <c r="C6" s="1319">
        <v>462512374</v>
      </c>
      <c r="D6" s="1319">
        <v>97915829</v>
      </c>
      <c r="E6" s="1319">
        <v>100777420</v>
      </c>
      <c r="F6" s="1319">
        <v>6247185</v>
      </c>
      <c r="G6" s="1319">
        <v>7246839</v>
      </c>
      <c r="H6" s="1319">
        <v>727580689</v>
      </c>
      <c r="I6" s="1320">
        <v>820413751</v>
      </c>
      <c r="J6" s="151"/>
      <c r="K6" s="151"/>
      <c r="V6" s="144"/>
    </row>
    <row r="7" spans="1:26" s="173" customFormat="1" ht="15.5">
      <c r="A7" s="1318" t="s">
        <v>283</v>
      </c>
      <c r="B7" s="1318">
        <v>159754800</v>
      </c>
      <c r="C7" s="1319">
        <v>163550700</v>
      </c>
      <c r="D7" s="1319">
        <v>7325222</v>
      </c>
      <c r="E7" s="1319">
        <v>7413167</v>
      </c>
      <c r="F7" s="1319"/>
      <c r="G7" s="1319"/>
      <c r="H7" s="1319">
        <v>718015086</v>
      </c>
      <c r="I7" s="1320">
        <v>669614218</v>
      </c>
      <c r="J7" s="151"/>
      <c r="K7" s="151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</row>
    <row r="8" spans="1:26" s="178" customFormat="1" ht="15.5">
      <c r="A8" s="1318" t="s">
        <v>365</v>
      </c>
      <c r="B8" s="1318">
        <v>1948702787</v>
      </c>
      <c r="C8" s="1319">
        <v>1803015449</v>
      </c>
      <c r="D8" s="1319">
        <v>117161684</v>
      </c>
      <c r="E8" s="1319">
        <v>115865687</v>
      </c>
      <c r="F8" s="1319"/>
      <c r="G8" s="1319"/>
      <c r="H8" s="1319">
        <v>2274844448.5799999</v>
      </c>
      <c r="I8" s="1320">
        <v>2292697176.9799995</v>
      </c>
      <c r="J8" s="151"/>
      <c r="K8" s="151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</row>
    <row r="9" spans="1:26" ht="15.5">
      <c r="A9" s="1318" t="s">
        <v>432</v>
      </c>
      <c r="B9" s="1318">
        <v>530799200</v>
      </c>
      <c r="C9" s="1319">
        <v>517597235</v>
      </c>
      <c r="D9" s="1319">
        <v>102235400</v>
      </c>
      <c r="E9" s="1319">
        <v>107606700</v>
      </c>
      <c r="F9" s="1319">
        <v>27915000</v>
      </c>
      <c r="G9" s="1319">
        <v>27285000</v>
      </c>
      <c r="H9" s="1319">
        <v>1397532222</v>
      </c>
      <c r="I9" s="1320">
        <v>1399191064.139739</v>
      </c>
      <c r="J9" s="151"/>
      <c r="K9" s="151"/>
      <c r="V9" s="144"/>
    </row>
    <row r="10" spans="1:26" s="173" customFormat="1" ht="15.5">
      <c r="A10" s="1318" t="s">
        <v>492</v>
      </c>
      <c r="B10" s="1318">
        <v>416586926</v>
      </c>
      <c r="C10" s="1319">
        <v>342419143</v>
      </c>
      <c r="D10" s="1319">
        <v>76760602</v>
      </c>
      <c r="E10" s="1319">
        <v>85128291</v>
      </c>
      <c r="F10" s="1319"/>
      <c r="G10" s="1319"/>
      <c r="H10" s="1319">
        <v>1175556563</v>
      </c>
      <c r="I10" s="1320">
        <v>1190037685.4300001</v>
      </c>
      <c r="J10" s="151"/>
      <c r="K10" s="151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</row>
    <row r="11" spans="1:26" s="178" customFormat="1" ht="15.5">
      <c r="A11" s="1318" t="s">
        <v>549</v>
      </c>
      <c r="B11" s="1318">
        <v>1263537973</v>
      </c>
      <c r="C11" s="1319">
        <v>1289419548</v>
      </c>
      <c r="D11" s="1319">
        <v>66459513</v>
      </c>
      <c r="E11" s="1319">
        <v>63547494</v>
      </c>
      <c r="F11" s="1319"/>
      <c r="G11" s="1319"/>
      <c r="H11" s="1319">
        <v>1343131197</v>
      </c>
      <c r="I11" s="1320">
        <v>1296323406</v>
      </c>
      <c r="J11" s="151"/>
      <c r="K11" s="151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</row>
    <row r="12" spans="1:26" ht="15.5">
      <c r="A12" s="1318" t="s">
        <v>599</v>
      </c>
      <c r="B12" s="1318">
        <v>375613092</v>
      </c>
      <c r="C12" s="1319">
        <v>393249845</v>
      </c>
      <c r="D12" s="1319">
        <v>92486322</v>
      </c>
      <c r="E12" s="1319">
        <v>90688927</v>
      </c>
      <c r="F12" s="1319"/>
      <c r="G12" s="1319"/>
      <c r="H12" s="1319">
        <v>829459252</v>
      </c>
      <c r="I12" s="1320">
        <v>809056242</v>
      </c>
      <c r="J12" s="151"/>
      <c r="K12" s="151"/>
      <c r="V12" s="144"/>
    </row>
    <row r="13" spans="1:26" s="173" customFormat="1" ht="15.5">
      <c r="A13" s="1318" t="s">
        <v>636</v>
      </c>
      <c r="B13" s="1318">
        <v>2223024661.7400002</v>
      </c>
      <c r="C13" s="1319">
        <v>2220402242</v>
      </c>
      <c r="D13" s="1319">
        <v>96181298</v>
      </c>
      <c r="E13" s="1319">
        <v>97002435</v>
      </c>
      <c r="F13" s="1319"/>
      <c r="G13" s="1319"/>
      <c r="H13" s="1319">
        <v>1648392692.0799999</v>
      </c>
      <c r="I13" s="1320">
        <v>1698485353</v>
      </c>
      <c r="J13" s="151"/>
      <c r="K13" s="151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</row>
    <row r="14" spans="1:26" s="178" customFormat="1" ht="15.5">
      <c r="A14" s="1318" t="s">
        <v>745</v>
      </c>
      <c r="B14" s="1318">
        <v>93019751</v>
      </c>
      <c r="C14" s="1319">
        <v>80558761</v>
      </c>
      <c r="D14" s="1319"/>
      <c r="E14" s="1319"/>
      <c r="F14" s="1319"/>
      <c r="G14" s="1319"/>
      <c r="H14" s="1319">
        <v>22865505</v>
      </c>
      <c r="I14" s="1320">
        <v>21319885</v>
      </c>
      <c r="J14" s="151"/>
      <c r="K14" s="151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</row>
    <row r="15" spans="1:26" ht="15.5">
      <c r="A15" s="1318" t="s">
        <v>746</v>
      </c>
      <c r="B15" s="1318">
        <v>390946687</v>
      </c>
      <c r="C15" s="1319">
        <v>388991702</v>
      </c>
      <c r="D15" s="1319">
        <v>65495390</v>
      </c>
      <c r="E15" s="1319">
        <v>64692085</v>
      </c>
      <c r="F15" s="1319">
        <v>371557</v>
      </c>
      <c r="G15" s="1319">
        <v>1516280</v>
      </c>
      <c r="H15" s="1319">
        <v>1982697470</v>
      </c>
      <c r="I15" s="1320">
        <v>1968857674</v>
      </c>
      <c r="J15" s="151"/>
      <c r="K15" s="151"/>
      <c r="V15" s="144"/>
    </row>
    <row r="16" spans="1:26" s="182" customFormat="1" ht="15.5">
      <c r="A16" s="1318" t="s">
        <v>747</v>
      </c>
      <c r="B16" s="1318">
        <v>906468000</v>
      </c>
      <c r="C16" s="1319">
        <v>914692000</v>
      </c>
      <c r="D16" s="1319">
        <v>92743100</v>
      </c>
      <c r="E16" s="1319">
        <v>93894100</v>
      </c>
      <c r="F16" s="1319"/>
      <c r="G16" s="1319"/>
      <c r="H16" s="1319">
        <v>1251625314</v>
      </c>
      <c r="I16" s="1320">
        <v>1266895266</v>
      </c>
      <c r="J16" s="151"/>
      <c r="K16" s="151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</row>
    <row r="17" spans="1:26" s="178" customFormat="1" ht="15.5">
      <c r="A17" s="1318" t="s">
        <v>748</v>
      </c>
      <c r="B17" s="1318">
        <v>3535854139</v>
      </c>
      <c r="C17" s="1319">
        <v>3574140340</v>
      </c>
      <c r="D17" s="1319">
        <v>270626086</v>
      </c>
      <c r="E17" s="1319">
        <v>258199115</v>
      </c>
      <c r="F17" s="1319"/>
      <c r="G17" s="1319"/>
      <c r="H17" s="1319">
        <v>4421397779</v>
      </c>
      <c r="I17" s="1320">
        <v>4683134014.9406624</v>
      </c>
      <c r="J17" s="151"/>
      <c r="K17" s="151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</row>
    <row r="18" spans="1:26" ht="15.5">
      <c r="A18" s="1318" t="s">
        <v>750</v>
      </c>
      <c r="B18" s="1318">
        <v>1107378779</v>
      </c>
      <c r="C18" s="1319">
        <v>1277974492</v>
      </c>
      <c r="D18" s="1319">
        <v>142693774</v>
      </c>
      <c r="E18" s="1319">
        <v>147014753</v>
      </c>
      <c r="F18" s="1319"/>
      <c r="G18" s="1319"/>
      <c r="H18" s="1319">
        <v>3198428363.3900003</v>
      </c>
      <c r="I18" s="1320">
        <v>3348941845.1783519</v>
      </c>
      <c r="J18" s="151"/>
      <c r="K18" s="151"/>
      <c r="V18" s="144"/>
    </row>
    <row r="19" spans="1:26" s="182" customFormat="1" ht="15.5">
      <c r="A19" s="1318" t="s">
        <v>751</v>
      </c>
      <c r="B19" s="1318">
        <v>191090868</v>
      </c>
      <c r="C19" s="1319">
        <v>192302242</v>
      </c>
      <c r="D19" s="1319">
        <v>43232463</v>
      </c>
      <c r="E19" s="1319">
        <v>41995476</v>
      </c>
      <c r="F19" s="1319"/>
      <c r="G19" s="1319"/>
      <c r="H19" s="1319">
        <v>643297761</v>
      </c>
      <c r="I19" s="1320">
        <v>646658850</v>
      </c>
      <c r="J19" s="151"/>
      <c r="K19" s="151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</row>
    <row r="20" spans="1:26" s="178" customFormat="1" ht="15.5">
      <c r="A20" s="1329" t="s">
        <v>762</v>
      </c>
      <c r="B20" s="1329">
        <v>14391103386.74</v>
      </c>
      <c r="C20" s="1330">
        <v>14440699689</v>
      </c>
      <c r="D20" s="1330">
        <v>1366887248</v>
      </c>
      <c r="E20" s="1330">
        <v>1371132842</v>
      </c>
      <c r="F20" s="1330">
        <v>34533742</v>
      </c>
      <c r="G20" s="1330">
        <v>36048119</v>
      </c>
      <c r="H20" s="1330">
        <v>23844702933.049999</v>
      </c>
      <c r="I20" s="1331">
        <v>24260005306.668755</v>
      </c>
      <c r="J20" s="151"/>
      <c r="K20" s="151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</row>
    <row r="21" spans="1:26" s="152" customFormat="1" ht="15.5">
      <c r="A21"/>
      <c r="B21"/>
      <c r="C21"/>
      <c r="D21"/>
      <c r="E21"/>
      <c r="F21"/>
      <c r="G21"/>
      <c r="H21"/>
      <c r="I21"/>
      <c r="J21" s="151"/>
      <c r="K21" s="151"/>
    </row>
    <row r="22" spans="1:26" s="173" customFormat="1" ht="13">
      <c r="A22" s="151"/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</row>
    <row r="23" spans="1:26" s="178" customFormat="1" ht="13">
      <c r="A23" s="151"/>
      <c r="B23" s="151"/>
      <c r="C23" s="151"/>
      <c r="D23" s="151"/>
      <c r="E23" s="151"/>
      <c r="F23" s="151"/>
      <c r="G23" s="151"/>
      <c r="H23" s="151"/>
      <c r="I23" s="151"/>
      <c r="J23" s="151"/>
      <c r="K23" s="151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</row>
    <row r="24" spans="1:26">
      <c r="A24" s="151"/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V24" s="144"/>
    </row>
    <row r="25" spans="1:26" s="173" customFormat="1" ht="13">
      <c r="A25" s="151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</row>
    <row r="26" spans="1:26" s="178" customFormat="1" ht="13">
      <c r="A26" s="151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</row>
    <row r="27" spans="1:26">
      <c r="A27" s="151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V27" s="144"/>
    </row>
    <row r="28" spans="1:26" s="173" customFormat="1" ht="13">
      <c r="A28" s="151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</row>
    <row r="29" spans="1:26" s="178" customFormat="1" ht="13">
      <c r="A29" s="151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</row>
    <row r="30" spans="1:26">
      <c r="A30" s="151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V30" s="144"/>
    </row>
    <row r="31" spans="1:26" s="173" customFormat="1" ht="13">
      <c r="A31" s="151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</row>
    <row r="32" spans="1:26" s="178" customFormat="1" ht="13">
      <c r="A32" s="151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</row>
    <row r="33" spans="1:26">
      <c r="A33" s="151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V33" s="144"/>
    </row>
    <row r="34" spans="1:26" s="173" customFormat="1" ht="13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</row>
    <row r="35" spans="1:26" s="178" customFormat="1" ht="13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</row>
    <row r="36" spans="1:26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V36" s="144"/>
    </row>
    <row r="37" spans="1:26" s="173" customFormat="1" ht="13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</row>
    <row r="38" spans="1:26" s="178" customFormat="1" ht="13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</row>
    <row r="39" spans="1:26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V39" s="144"/>
    </row>
    <row r="40" spans="1:26" s="173" customFormat="1" ht="13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</row>
    <row r="41" spans="1:26" s="178" customFormat="1" ht="13">
      <c r="A41" s="144"/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</row>
    <row r="42" spans="1:26">
      <c r="C42" s="144"/>
      <c r="V42" s="144"/>
    </row>
    <row r="43" spans="1:26" s="173" customFormat="1" ht="13">
      <c r="A43" s="144"/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</row>
    <row r="44" spans="1:26" s="220" customFormat="1" ht="13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</row>
    <row r="45" spans="1:26">
      <c r="C45" s="144"/>
      <c r="V45" s="144"/>
    </row>
    <row r="46" spans="1:26" s="173" customFormat="1" ht="13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</row>
    <row r="47" spans="1:26" s="178" customFormat="1" ht="13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</row>
    <row r="48" spans="1:26">
      <c r="C48" s="144"/>
      <c r="V48" s="144"/>
    </row>
    <row r="49" spans="1:27" s="173" customFormat="1" ht="13">
      <c r="A49" s="144"/>
      <c r="B49" s="144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</row>
    <row r="50" spans="1:27" s="178" customFormat="1" ht="13">
      <c r="A50" s="144"/>
      <c r="B50" s="144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</row>
    <row r="51" spans="1:27">
      <c r="C51" s="144"/>
      <c r="V51" s="144"/>
    </row>
    <row r="52" spans="1:27" s="173" customFormat="1" ht="13">
      <c r="A52" s="144"/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</row>
    <row r="53" spans="1:27" s="178" customFormat="1" ht="13">
      <c r="A53" s="144"/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</row>
    <row r="54" spans="1:27" hidden="1">
      <c r="C54" s="144"/>
      <c r="V54" s="144"/>
    </row>
    <row r="55" spans="1:27" s="173" customFormat="1" ht="13" hidden="1">
      <c r="A55" s="144"/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</row>
    <row r="56" spans="1:27" s="178" customFormat="1" ht="13" hidden="1">
      <c r="A56" s="144"/>
      <c r="B56" s="144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</row>
    <row r="57" spans="1:27" hidden="1">
      <c r="C57" s="144"/>
      <c r="V57" s="144"/>
    </row>
    <row r="58" spans="1:27" s="173" customFormat="1" ht="13" hidden="1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</row>
    <row r="59" spans="1:27" s="178" customFormat="1" ht="13" hidden="1">
      <c r="A59" s="144"/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</row>
    <row r="60" spans="1:27" hidden="1">
      <c r="C60" s="144"/>
      <c r="V60" s="144"/>
    </row>
    <row r="61" spans="1:27" s="173" customFormat="1" ht="13" hidden="1">
      <c r="A61" s="144"/>
      <c r="B61" s="144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</row>
    <row r="62" spans="1:27" s="178" customFormat="1" ht="13" hidden="1">
      <c r="A62" s="144"/>
      <c r="B62" s="144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</row>
    <row r="63" spans="1:27" hidden="1">
      <c r="C63" s="144"/>
      <c r="V63" s="144"/>
    </row>
    <row r="64" spans="1:27" s="173" customFormat="1" ht="13" hidden="1">
      <c r="A64" s="144"/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spans="1:26" s="178" customFormat="1" ht="13">
      <c r="A65" s="144"/>
      <c r="B65" s="144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</row>
    <row r="66" spans="1:26">
      <c r="C66" s="144"/>
      <c r="V66" s="144"/>
    </row>
    <row r="67" spans="1:26" s="173" customFormat="1" ht="13">
      <c r="A67" s="144"/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</row>
    <row r="68" spans="1:26" s="178" customFormat="1" ht="13">
      <c r="A68" s="14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</row>
    <row r="69" spans="1:26">
      <c r="C69" s="144"/>
      <c r="V69" s="144"/>
    </row>
    <row r="70" spans="1:26" s="173" customFormat="1" ht="13">
      <c r="A70" s="144"/>
      <c r="B70" s="144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</row>
    <row r="71" spans="1:26" s="178" customFormat="1" ht="13">
      <c r="A71" s="144"/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</row>
    <row r="72" spans="1:26">
      <c r="C72" s="144"/>
      <c r="V72" s="144"/>
    </row>
    <row r="73" spans="1:26" s="173" customFormat="1" ht="13">
      <c r="A73" s="144"/>
      <c r="B73" s="144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</row>
    <row r="74" spans="1:26" s="178" customFormat="1" ht="13">
      <c r="A74" s="144"/>
      <c r="B74" s="144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</row>
    <row r="75" spans="1:26">
      <c r="C75" s="144"/>
      <c r="V75" s="144"/>
    </row>
    <row r="76" spans="1:26" s="173" customFormat="1" ht="13">
      <c r="A76" s="144"/>
      <c r="B76" s="144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</row>
    <row r="77" spans="1:26" s="178" customFormat="1" ht="13">
      <c r="A77" s="144"/>
      <c r="B77" s="144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</row>
    <row r="78" spans="1:26">
      <c r="C78" s="144"/>
      <c r="V78" s="144"/>
    </row>
    <row r="79" spans="1:26" s="173" customFormat="1" ht="13">
      <c r="A79" s="144"/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</row>
    <row r="80" spans="1:26" s="178" customFormat="1" ht="13">
      <c r="A80" s="144"/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</row>
    <row r="81" spans="1:26">
      <c r="C81" s="144"/>
      <c r="V81" s="144"/>
    </row>
    <row r="82" spans="1:26" s="173" customFormat="1" ht="13">
      <c r="A82" s="144"/>
      <c r="B82" s="144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</row>
    <row r="83" spans="1:26" s="221" customFormat="1" ht="13">
      <c r="A83" s="144"/>
      <c r="B83" s="144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</row>
    <row r="84" spans="1:26">
      <c r="C84" s="144"/>
      <c r="V84" s="144"/>
    </row>
    <row r="85" spans="1:26" s="173" customFormat="1" ht="13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</row>
    <row r="86" spans="1:26" s="178" customFormat="1" ht="13">
      <c r="A86" s="144"/>
      <c r="B86" s="144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</row>
    <row r="87" spans="1:26">
      <c r="C87" s="144"/>
      <c r="V87" s="144"/>
    </row>
    <row r="88" spans="1:26" s="173" customFormat="1" ht="13">
      <c r="A88" s="144"/>
      <c r="B88" s="144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</row>
    <row r="89" spans="1:26" s="178" customFormat="1" ht="13">
      <c r="A89" s="144"/>
      <c r="B89" s="144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</row>
    <row r="90" spans="1:26">
      <c r="C90" s="144"/>
      <c r="V90" s="144"/>
    </row>
    <row r="91" spans="1:26" s="173" customFormat="1" ht="13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</row>
    <row r="92" spans="1:26" s="178" customFormat="1" ht="13">
      <c r="A92" s="144"/>
      <c r="B92" s="144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</row>
    <row r="93" spans="1:26">
      <c r="C93" s="144"/>
      <c r="V93" s="144"/>
    </row>
    <row r="94" spans="1:26" s="173" customFormat="1" ht="13">
      <c r="A94" s="144"/>
      <c r="B94" s="144"/>
      <c r="C94" s="144"/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</row>
    <row r="95" spans="1:26" s="178" customFormat="1" ht="13">
      <c r="A95" s="144"/>
      <c r="B95" s="144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</row>
    <row r="96" spans="1:26">
      <c r="C96" s="144"/>
      <c r="V96" s="144"/>
    </row>
    <row r="97" spans="1:26" s="173" customFormat="1" ht="13">
      <c r="A97" s="144"/>
      <c r="B97" s="144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</row>
    <row r="98" spans="1:26" s="178" customFormat="1" ht="13">
      <c r="A98" s="144"/>
      <c r="B98" s="144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</row>
    <row r="99" spans="1:26">
      <c r="C99" s="144"/>
      <c r="V99" s="144"/>
    </row>
    <row r="100" spans="1:26" s="173" customFormat="1" ht="13">
      <c r="A100" s="144"/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</row>
    <row r="101" spans="1:26" s="178" customFormat="1" ht="13">
      <c r="A101" s="144"/>
      <c r="B101" s="144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</row>
    <row r="102" spans="1:26">
      <c r="C102" s="144"/>
      <c r="V102" s="144"/>
    </row>
    <row r="103" spans="1:26" s="173" customFormat="1" ht="13">
      <c r="A103" s="144"/>
      <c r="B103" s="144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</row>
    <row r="104" spans="1:26" s="178" customFormat="1" ht="13">
      <c r="A104" s="144"/>
      <c r="B104" s="144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</row>
    <row r="105" spans="1:26">
      <c r="C105" s="144"/>
      <c r="V105" s="144"/>
    </row>
    <row r="106" spans="1:26" s="173" customFormat="1" ht="13">
      <c r="A106" s="144"/>
      <c r="B106" s="144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</row>
    <row r="107" spans="1:26" s="178" customFormat="1" ht="13">
      <c r="A107" s="144"/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</row>
    <row r="108" spans="1:26">
      <c r="C108" s="144"/>
      <c r="V108" s="144"/>
    </row>
    <row r="109" spans="1:26" s="173" customFormat="1" ht="13">
      <c r="A109" s="144"/>
      <c r="B109" s="144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</row>
    <row r="110" spans="1:26" s="178" customFormat="1" ht="13">
      <c r="A110" s="144"/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</row>
    <row r="111" spans="1:26">
      <c r="C111" s="144"/>
      <c r="V111" s="144"/>
    </row>
    <row r="112" spans="1:26" s="173" customFormat="1" ht="13">
      <c r="A112" s="144"/>
      <c r="B112" s="144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</row>
    <row r="113" spans="1:26" s="178" customFormat="1" ht="13">
      <c r="A113" s="144"/>
      <c r="B113" s="144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</row>
    <row r="114" spans="1:26">
      <c r="C114" s="144"/>
      <c r="V114" s="144"/>
    </row>
    <row r="115" spans="1:26" s="173" customFormat="1" ht="13">
      <c r="A115" s="144"/>
      <c r="B115" s="144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</row>
    <row r="116" spans="1:26" s="178" customFormat="1" ht="13">
      <c r="A116" s="144"/>
      <c r="B116" s="144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</row>
    <row r="117" spans="1:26">
      <c r="C117" s="144"/>
      <c r="V117" s="144"/>
    </row>
    <row r="118" spans="1:26" s="173" customFormat="1" ht="13">
      <c r="A118" s="14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</row>
    <row r="119" spans="1:26" s="178" customFormat="1" ht="13">
      <c r="A119" s="144"/>
      <c r="B119" s="144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</row>
    <row r="120" spans="1:26">
      <c r="C120" s="144"/>
      <c r="V120" s="144"/>
    </row>
    <row r="121" spans="1:26" s="173" customFormat="1" ht="13">
      <c r="A121" s="144"/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</row>
    <row r="122" spans="1:26" s="221" customFormat="1" ht="13">
      <c r="A122" s="144"/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</row>
    <row r="123" spans="1:26">
      <c r="C123" s="144"/>
      <c r="V123" s="144"/>
    </row>
    <row r="124" spans="1:26" s="173" customFormat="1" ht="13">
      <c r="A124" s="144"/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</row>
    <row r="125" spans="1:26" s="178" customFormat="1" ht="13">
      <c r="A125" s="144"/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</row>
    <row r="126" spans="1:26">
      <c r="C126" s="144"/>
      <c r="V126" s="144"/>
    </row>
    <row r="127" spans="1:26" s="173" customFormat="1" ht="13">
      <c r="A127" s="144"/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</row>
    <row r="128" spans="1:26" s="178" customFormat="1" ht="13">
      <c r="A128" s="144"/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</row>
    <row r="129" spans="1:26">
      <c r="C129" s="144"/>
      <c r="V129" s="144"/>
    </row>
    <row r="130" spans="1:26" s="173" customFormat="1" ht="13">
      <c r="A130" s="144"/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</row>
    <row r="131" spans="1:26" s="178" customFormat="1" ht="13">
      <c r="A131" s="144"/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</row>
    <row r="132" spans="1:26">
      <c r="C132" s="144"/>
      <c r="V132" s="144"/>
    </row>
    <row r="133" spans="1:26" s="173" customFormat="1" ht="13">
      <c r="A133" s="144"/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</row>
    <row r="134" spans="1:26" s="178" customFormat="1" ht="13">
      <c r="A134" s="144"/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</row>
    <row r="135" spans="1:26">
      <c r="C135" s="144"/>
      <c r="V135" s="144"/>
    </row>
    <row r="136" spans="1:26" s="173" customFormat="1" ht="13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</row>
    <row r="137" spans="1:26" s="178" customFormat="1" ht="13">
      <c r="A137" s="144"/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</row>
    <row r="138" spans="1:26">
      <c r="C138" s="144"/>
      <c r="V138" s="144"/>
    </row>
    <row r="139" spans="1:26" s="173" customFormat="1" ht="13">
      <c r="A139" s="144"/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</row>
    <row r="140" spans="1:26" s="178" customFormat="1" ht="13">
      <c r="A140" s="144"/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</row>
    <row r="141" spans="1:26">
      <c r="C141" s="144"/>
      <c r="V141" s="144"/>
    </row>
    <row r="142" spans="1:26" s="173" customFormat="1" ht="13">
      <c r="A142" s="144"/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</row>
    <row r="143" spans="1:26" s="178" customFormat="1" ht="13">
      <c r="A143" s="144"/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</row>
    <row r="144" spans="1:26">
      <c r="C144" s="144"/>
      <c r="V144" s="144"/>
    </row>
    <row r="145" spans="1:26" s="173" customFormat="1" ht="13">
      <c r="A145" s="144"/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</row>
    <row r="146" spans="1:26" s="178" customFormat="1" ht="13">
      <c r="A146" s="144"/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</row>
    <row r="147" spans="1:26">
      <c r="C147" s="144"/>
      <c r="V147" s="144"/>
    </row>
    <row r="148" spans="1:26" s="173" customFormat="1" ht="13">
      <c r="A148" s="144"/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</row>
    <row r="149" spans="1:26" s="178" customFormat="1" ht="13">
      <c r="A149" s="144"/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</row>
    <row r="150" spans="1:26">
      <c r="C150" s="144"/>
      <c r="V150" s="144"/>
    </row>
    <row r="151" spans="1:26" s="173" customFormat="1" ht="13">
      <c r="A151" s="144"/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</row>
    <row r="152" spans="1:26" s="178" customFormat="1" ht="13">
      <c r="A152" s="144"/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</row>
    <row r="153" spans="1:26">
      <c r="C153" s="144"/>
      <c r="V153" s="144"/>
    </row>
    <row r="154" spans="1:26" s="173" customFormat="1" ht="13">
      <c r="A154" s="144"/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</row>
    <row r="155" spans="1:26" s="178" customFormat="1" ht="13">
      <c r="A155" s="144"/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</row>
    <row r="156" spans="1:26">
      <c r="C156" s="144"/>
      <c r="V156" s="144"/>
    </row>
    <row r="157" spans="1:26" s="173" customFormat="1" ht="13">
      <c r="A157" s="144"/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</row>
    <row r="158" spans="1:26" s="178" customFormat="1" ht="13">
      <c r="A158" s="144"/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</row>
    <row r="159" spans="1:26">
      <c r="C159" s="144"/>
      <c r="V159" s="144"/>
    </row>
    <row r="160" spans="1:26" s="173" customFormat="1" ht="13">
      <c r="A160" s="144"/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</row>
    <row r="161" spans="1:26" s="221" customFormat="1" ht="13">
      <c r="A161" s="144"/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</row>
    <row r="162" spans="1:26">
      <c r="C162" s="144"/>
      <c r="V162" s="144"/>
    </row>
    <row r="163" spans="1:26" s="173" customFormat="1" ht="13">
      <c r="A163" s="144"/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</row>
    <row r="164" spans="1:26" s="178" customFormat="1" ht="13">
      <c r="A164" s="144"/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</row>
    <row r="165" spans="1:26">
      <c r="C165" s="144"/>
      <c r="V165" s="144"/>
    </row>
    <row r="166" spans="1:26" s="173" customFormat="1" ht="13">
      <c r="A166" s="144"/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</row>
    <row r="167" spans="1:26" s="178" customFormat="1" ht="13">
      <c r="A167" s="144"/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</row>
    <row r="168" spans="1:26">
      <c r="C168" s="144"/>
      <c r="V168" s="144"/>
    </row>
    <row r="169" spans="1:26" s="173" customFormat="1" ht="13">
      <c r="A169" s="144"/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</row>
    <row r="170" spans="1:26" s="178" customFormat="1" ht="13">
      <c r="A170" s="144"/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</row>
    <row r="171" spans="1:26">
      <c r="C171" s="144"/>
      <c r="V171" s="144"/>
    </row>
    <row r="172" spans="1:26" s="173" customFormat="1" ht="13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</row>
    <row r="173" spans="1:26" s="178" customFormat="1" ht="13">
      <c r="A173" s="144"/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</row>
    <row r="174" spans="1:26">
      <c r="C174" s="144"/>
      <c r="V174" s="144"/>
    </row>
    <row r="175" spans="1:26" s="173" customFormat="1" ht="13">
      <c r="A175" s="144"/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</row>
    <row r="176" spans="1:26" s="178" customFormat="1" ht="13">
      <c r="A176" s="144"/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</row>
    <row r="177" spans="1:26">
      <c r="C177" s="144"/>
      <c r="V177" s="144"/>
    </row>
    <row r="178" spans="1:26" s="173" customFormat="1" ht="13">
      <c r="A178" s="144"/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</row>
    <row r="179" spans="1:26" s="178" customFormat="1" ht="13">
      <c r="A179" s="144"/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</row>
    <row r="180" spans="1:26">
      <c r="C180" s="144"/>
      <c r="V180" s="144"/>
    </row>
    <row r="181" spans="1:26" s="173" customFormat="1" ht="13">
      <c r="A181" s="144"/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</row>
    <row r="182" spans="1:26" s="178" customFormat="1" ht="13">
      <c r="A182" s="144"/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</row>
    <row r="183" spans="1:26">
      <c r="C183" s="144"/>
      <c r="V183" s="144"/>
    </row>
    <row r="184" spans="1:26" s="173" customFormat="1" ht="13">
      <c r="A184" s="144"/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</row>
    <row r="185" spans="1:26" s="178" customFormat="1" ht="13">
      <c r="A185" s="144"/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</row>
    <row r="186" spans="1:26">
      <c r="C186" s="144"/>
      <c r="V186" s="144"/>
    </row>
    <row r="187" spans="1:26" s="173" customFormat="1" ht="13">
      <c r="A187" s="144"/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</row>
    <row r="188" spans="1:26" s="178" customFormat="1" ht="13">
      <c r="A188" s="144"/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</row>
    <row r="189" spans="1:26">
      <c r="C189" s="144"/>
      <c r="V189" s="144"/>
    </row>
    <row r="190" spans="1:26" s="173" customFormat="1" ht="13">
      <c r="A190" s="144"/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</row>
    <row r="191" spans="1:26" s="178" customFormat="1" ht="13">
      <c r="A191" s="144"/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</row>
    <row r="192" spans="1:26">
      <c r="C192" s="144"/>
      <c r="V192" s="144"/>
    </row>
    <row r="193" spans="1:26" s="173" customFormat="1" ht="13">
      <c r="A193" s="144"/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</row>
    <row r="194" spans="1:26" s="178" customFormat="1" ht="13">
      <c r="A194" s="144"/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</row>
    <row r="195" spans="1:26">
      <c r="C195" s="144"/>
      <c r="V195" s="144"/>
    </row>
    <row r="196" spans="1:26" s="173" customFormat="1" ht="13">
      <c r="A196" s="144"/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</row>
    <row r="197" spans="1:26" s="178" customFormat="1" ht="13">
      <c r="A197" s="144"/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</row>
    <row r="198" spans="1:26">
      <c r="C198" s="144"/>
      <c r="V198" s="144"/>
    </row>
    <row r="199" spans="1:26" s="173" customFormat="1" ht="13">
      <c r="A199" s="144"/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</row>
    <row r="200" spans="1:26" s="221" customFormat="1" ht="13">
      <c r="A200" s="144"/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</row>
    <row r="201" spans="1:26">
      <c r="C201" s="144"/>
      <c r="V201" s="144"/>
    </row>
    <row r="202" spans="1:26" s="173" customFormat="1" ht="13">
      <c r="A202" s="144"/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</row>
    <row r="203" spans="1:26" s="178" customFormat="1" ht="13">
      <c r="A203" s="144"/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</row>
    <row r="204" spans="1:26">
      <c r="C204" s="144"/>
      <c r="V204" s="144"/>
    </row>
    <row r="205" spans="1:26" s="173" customFormat="1" ht="13">
      <c r="A205" s="144"/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</row>
    <row r="206" spans="1:26" s="178" customFormat="1" ht="13">
      <c r="A206" s="144"/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</row>
    <row r="207" spans="1:26">
      <c r="C207" s="144"/>
      <c r="V207" s="144"/>
    </row>
    <row r="208" spans="1:26" s="173" customFormat="1" ht="13">
      <c r="A208" s="144"/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</row>
    <row r="209" spans="1:26" s="178" customFormat="1" ht="13">
      <c r="A209" s="144"/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</row>
    <row r="210" spans="1:26">
      <c r="C210" s="144"/>
      <c r="V210" s="144"/>
    </row>
    <row r="211" spans="1:26" s="173" customFormat="1" ht="13">
      <c r="A211" s="144"/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</row>
    <row r="212" spans="1:26" s="178" customFormat="1" ht="13">
      <c r="A212" s="144"/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</row>
    <row r="213" spans="1:26">
      <c r="C213" s="144"/>
      <c r="V213" s="144"/>
    </row>
    <row r="214" spans="1:26" s="173" customFormat="1" ht="13">
      <c r="A214" s="144"/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</row>
    <row r="215" spans="1:26" s="178" customFormat="1" ht="13">
      <c r="A215" s="144"/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</row>
    <row r="216" spans="1:26">
      <c r="C216" s="144"/>
      <c r="V216" s="144"/>
    </row>
    <row r="217" spans="1:26" s="173" customFormat="1" ht="13">
      <c r="A217" s="144"/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</row>
    <row r="218" spans="1:26" s="178" customFormat="1" ht="13">
      <c r="A218" s="144"/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</row>
    <row r="219" spans="1:26">
      <c r="C219" s="144"/>
      <c r="V219" s="144"/>
    </row>
    <row r="220" spans="1:26" s="173" customFormat="1" ht="13">
      <c r="A220" s="144"/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</row>
    <row r="221" spans="1:26" s="178" customFormat="1" ht="13">
      <c r="A221" s="144"/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</row>
    <row r="222" spans="1:26">
      <c r="C222" s="144"/>
      <c r="V222" s="144"/>
    </row>
    <row r="223" spans="1:26" s="173" customFormat="1" ht="13">
      <c r="A223" s="144"/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</row>
    <row r="224" spans="1:26" s="178" customFormat="1" ht="13">
      <c r="A224" s="144"/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</row>
    <row r="225" spans="1:26">
      <c r="C225" s="144"/>
      <c r="V225" s="144"/>
    </row>
    <row r="226" spans="1:26" s="173" customFormat="1" ht="13">
      <c r="A226" s="144"/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</row>
    <row r="227" spans="1:26" s="178" customFormat="1" ht="13">
      <c r="A227" s="144"/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</row>
    <row r="228" spans="1:26">
      <c r="C228" s="144"/>
      <c r="V228" s="144"/>
    </row>
    <row r="229" spans="1:26" s="173" customFormat="1" ht="13">
      <c r="A229" s="144"/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</row>
    <row r="230" spans="1:26" s="178" customFormat="1" ht="13">
      <c r="A230" s="144"/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</row>
    <row r="231" spans="1:26">
      <c r="C231" s="144"/>
      <c r="V231" s="144"/>
    </row>
    <row r="232" spans="1:26" s="173" customFormat="1" ht="13">
      <c r="A232" s="144"/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</row>
    <row r="233" spans="1:26" s="178" customFormat="1" ht="13">
      <c r="A233" s="144"/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</row>
    <row r="234" spans="1:26">
      <c r="C234" s="144"/>
      <c r="V234" s="144"/>
    </row>
    <row r="235" spans="1:26" s="173" customFormat="1" ht="13">
      <c r="A235" s="144"/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</row>
    <row r="236" spans="1:26" s="178" customFormat="1" ht="13">
      <c r="A236" s="144"/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</row>
    <row r="237" spans="1:26">
      <c r="C237" s="144"/>
      <c r="V237" s="144"/>
    </row>
    <row r="238" spans="1:26" s="173" customFormat="1" ht="13">
      <c r="A238" s="144"/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</row>
    <row r="239" spans="1:26" s="221" customFormat="1" ht="13">
      <c r="A239" s="144"/>
      <c r="B239" s="144"/>
      <c r="C239" s="144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</row>
    <row r="240" spans="1:26">
      <c r="C240" s="144"/>
      <c r="V240" s="144"/>
    </row>
    <row r="241" spans="1:26" s="173" customFormat="1" ht="13">
      <c r="A241" s="144"/>
      <c r="B241" s="144"/>
      <c r="C241" s="144"/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</row>
    <row r="242" spans="1:26" s="178" customFormat="1" ht="13">
      <c r="A242" s="144"/>
      <c r="B242" s="144"/>
      <c r="C242" s="144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</row>
    <row r="243" spans="1:26">
      <c r="C243" s="144"/>
      <c r="V243" s="144"/>
    </row>
    <row r="244" spans="1:26" s="173" customFormat="1" ht="13">
      <c r="A244" s="144"/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</row>
    <row r="245" spans="1:26" s="178" customFormat="1" ht="13">
      <c r="A245" s="144"/>
      <c r="B245" s="144"/>
      <c r="C245" s="144"/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</row>
    <row r="246" spans="1:26">
      <c r="C246" s="144"/>
      <c r="V246" s="144"/>
    </row>
    <row r="247" spans="1:26" s="173" customFormat="1" ht="13">
      <c r="A247" s="144"/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</row>
    <row r="248" spans="1:26" s="178" customFormat="1" ht="13">
      <c r="A248" s="144"/>
      <c r="B248" s="144"/>
      <c r="C248" s="144"/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</row>
    <row r="249" spans="1:26">
      <c r="C249" s="144"/>
      <c r="V249" s="144"/>
    </row>
    <row r="250" spans="1:26" s="173" customFormat="1" ht="13">
      <c r="A250" s="144"/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</row>
    <row r="251" spans="1:26" s="178" customFormat="1" ht="13">
      <c r="A251" s="144"/>
      <c r="B251" s="144"/>
      <c r="C251" s="144"/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</row>
    <row r="252" spans="1:26">
      <c r="C252" s="144"/>
      <c r="V252" s="144"/>
    </row>
    <row r="253" spans="1:26" s="173" customFormat="1" ht="13">
      <c r="A253" s="144"/>
      <c r="B253" s="144"/>
      <c r="C253" s="144"/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</row>
    <row r="254" spans="1:26" s="178" customFormat="1" ht="13">
      <c r="A254" s="144"/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</row>
    <row r="255" spans="1:26">
      <c r="C255" s="144"/>
      <c r="V255" s="144"/>
    </row>
    <row r="256" spans="1:26" s="173" customFormat="1" ht="13">
      <c r="A256" s="144"/>
      <c r="B256" s="144"/>
      <c r="C256" s="144"/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</row>
    <row r="257" spans="1:26" s="178" customFormat="1" ht="13">
      <c r="A257" s="144"/>
      <c r="B257" s="144"/>
      <c r="C257" s="144"/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</row>
    <row r="258" spans="1:26">
      <c r="C258" s="144"/>
      <c r="V258" s="144"/>
    </row>
    <row r="259" spans="1:26" s="173" customFormat="1" ht="13">
      <c r="A259" s="144"/>
      <c r="B259" s="144"/>
      <c r="C259" s="144"/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</row>
    <row r="260" spans="1:26" s="178" customFormat="1" ht="13">
      <c r="A260" s="144"/>
      <c r="B260" s="144"/>
      <c r="C260" s="144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</row>
    <row r="261" spans="1:26">
      <c r="C261" s="144"/>
      <c r="V261" s="144"/>
    </row>
    <row r="262" spans="1:26" s="173" customFormat="1" ht="13">
      <c r="A262" s="144"/>
      <c r="B262" s="144"/>
      <c r="C262" s="144"/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</row>
    <row r="263" spans="1:26" s="178" customFormat="1" ht="13">
      <c r="A263" s="144"/>
      <c r="B263" s="144"/>
      <c r="C263" s="144"/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</row>
    <row r="264" spans="1:26">
      <c r="C264" s="144"/>
      <c r="V264" s="144"/>
    </row>
    <row r="265" spans="1:26" s="173" customFormat="1" ht="13">
      <c r="A265" s="144"/>
      <c r="B265" s="144"/>
      <c r="C265" s="144"/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</row>
    <row r="266" spans="1:26" s="178" customFormat="1" ht="13">
      <c r="A266" s="144"/>
      <c r="B266" s="144"/>
      <c r="C266" s="144"/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</row>
    <row r="267" spans="1:26">
      <c r="C267" s="144"/>
      <c r="V267" s="144"/>
    </row>
    <row r="268" spans="1:26" s="173" customFormat="1" ht="13">
      <c r="A268" s="144"/>
      <c r="B268" s="144"/>
      <c r="C268" s="144"/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</row>
    <row r="269" spans="1:26" s="178" customFormat="1" ht="13">
      <c r="A269" s="144"/>
      <c r="B269" s="144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</row>
    <row r="270" spans="1:26">
      <c r="C270" s="144"/>
      <c r="V270" s="144"/>
    </row>
    <row r="271" spans="1:26" s="173" customFormat="1" ht="13">
      <c r="A271" s="144"/>
      <c r="B271" s="144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</row>
    <row r="272" spans="1:26" s="178" customFormat="1" ht="13">
      <c r="A272" s="144"/>
      <c r="B272" s="144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</row>
    <row r="273" spans="1:26">
      <c r="C273" s="144"/>
      <c r="V273" s="144"/>
    </row>
    <row r="274" spans="1:26" s="173" customFormat="1" ht="13">
      <c r="A274" s="144"/>
      <c r="B274" s="144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</row>
    <row r="275" spans="1:26" s="178" customFormat="1" ht="13">
      <c r="A275" s="144"/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</row>
    <row r="276" spans="1:26">
      <c r="C276" s="144"/>
      <c r="V276" s="144"/>
    </row>
    <row r="277" spans="1:26" s="173" customFormat="1" ht="13">
      <c r="A277" s="144"/>
      <c r="B277" s="144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</row>
    <row r="278" spans="1:26" s="221" customFormat="1" ht="13">
      <c r="A278" s="144"/>
      <c r="B278" s="144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</row>
    <row r="279" spans="1:26">
      <c r="C279" s="144"/>
      <c r="V279" s="144"/>
    </row>
    <row r="280" spans="1:26" s="173" customFormat="1" ht="13">
      <c r="A280" s="144"/>
      <c r="B280" s="144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</row>
    <row r="281" spans="1:26" s="178" customFormat="1" ht="13">
      <c r="A281" s="144"/>
      <c r="B281" s="144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</row>
    <row r="282" spans="1:26">
      <c r="C282" s="144"/>
      <c r="V282" s="144"/>
    </row>
    <row r="283" spans="1:26" s="173" customFormat="1" ht="13">
      <c r="A283" s="144"/>
      <c r="B283" s="144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</row>
    <row r="284" spans="1:26" s="178" customFormat="1" ht="13">
      <c r="A284" s="144"/>
      <c r="B284" s="144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</row>
    <row r="285" spans="1:26">
      <c r="C285" s="144"/>
      <c r="V285" s="144"/>
    </row>
    <row r="286" spans="1:26" s="173" customFormat="1" ht="13">
      <c r="A286" s="144"/>
      <c r="B286" s="144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</row>
    <row r="287" spans="1:26" s="178" customFormat="1" ht="13">
      <c r="A287" s="144"/>
      <c r="B287" s="144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</row>
    <row r="288" spans="1:26">
      <c r="C288" s="144"/>
      <c r="V288" s="144"/>
    </row>
    <row r="289" spans="1:26" s="173" customFormat="1" ht="13">
      <c r="A289" s="144"/>
      <c r="B289" s="144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</row>
    <row r="290" spans="1:26" s="178" customFormat="1" ht="13">
      <c r="A290" s="144"/>
      <c r="B290" s="144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</row>
    <row r="291" spans="1:26">
      <c r="C291" s="144"/>
      <c r="V291" s="144"/>
    </row>
    <row r="292" spans="1:26" s="173" customFormat="1" ht="13">
      <c r="A292" s="144"/>
      <c r="B292" s="144"/>
      <c r="C292" s="144"/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</row>
    <row r="293" spans="1:26" s="178" customFormat="1" ht="13">
      <c r="A293" s="144"/>
      <c r="B293" s="144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</row>
    <row r="294" spans="1:26">
      <c r="C294" s="144"/>
      <c r="V294" s="144"/>
    </row>
    <row r="295" spans="1:26" s="173" customFormat="1" ht="13">
      <c r="A295" s="144"/>
      <c r="B295" s="144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</row>
    <row r="296" spans="1:26" s="178" customFormat="1" ht="13">
      <c r="A296" s="144"/>
      <c r="B296" s="144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</row>
    <row r="297" spans="1:26">
      <c r="C297" s="144"/>
      <c r="V297" s="144"/>
    </row>
    <row r="298" spans="1:26" s="173" customFormat="1" ht="13">
      <c r="A298" s="144"/>
      <c r="B298" s="144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</row>
    <row r="299" spans="1:26" s="178" customFormat="1" ht="13">
      <c r="A299" s="144"/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</row>
    <row r="300" spans="1:26">
      <c r="C300" s="144"/>
      <c r="V300" s="144"/>
    </row>
    <row r="301" spans="1:26" s="173" customFormat="1" ht="13">
      <c r="A301" s="144"/>
      <c r="B301" s="144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</row>
    <row r="302" spans="1:26" s="178" customFormat="1" ht="13">
      <c r="A302" s="144"/>
      <c r="B302" s="144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</row>
    <row r="303" spans="1:26">
      <c r="C303" s="144"/>
      <c r="V303" s="144"/>
    </row>
    <row r="304" spans="1:26" s="173" customFormat="1" ht="13">
      <c r="A304" s="144"/>
      <c r="B304" s="144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</row>
    <row r="305" spans="1:26" s="178" customFormat="1" ht="13">
      <c r="A305" s="144"/>
      <c r="B305" s="144"/>
      <c r="C305" s="144"/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</row>
    <row r="306" spans="1:26">
      <c r="C306" s="144"/>
      <c r="V306" s="144"/>
    </row>
    <row r="307" spans="1:26" s="173" customFormat="1" ht="13">
      <c r="A307" s="144"/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</row>
    <row r="308" spans="1:26" s="178" customFormat="1" ht="13">
      <c r="A308" s="144"/>
      <c r="B308" s="144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</row>
    <row r="309" spans="1:26">
      <c r="C309" s="144"/>
      <c r="V309" s="144"/>
    </row>
    <row r="310" spans="1:26" s="173" customFormat="1" ht="13">
      <c r="A310" s="144"/>
      <c r="B310" s="144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</row>
    <row r="311" spans="1:26" s="178" customFormat="1" ht="13">
      <c r="A311" s="144"/>
      <c r="B311" s="144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</row>
    <row r="312" spans="1:26">
      <c r="C312" s="144"/>
      <c r="V312" s="144"/>
    </row>
    <row r="313" spans="1:26" s="173" customFormat="1" ht="13">
      <c r="A313" s="144"/>
      <c r="B313" s="144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</row>
    <row r="314" spans="1:26" s="178" customFormat="1" ht="13">
      <c r="A314" s="144"/>
      <c r="B314" s="144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</row>
    <row r="315" spans="1:26">
      <c r="C315" s="144"/>
      <c r="V315" s="144"/>
    </row>
    <row r="316" spans="1:26" s="173" customFormat="1" ht="13">
      <c r="A316" s="144"/>
      <c r="B316" s="144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</row>
    <row r="317" spans="1:26" s="221" customFormat="1" ht="13">
      <c r="A317" s="144"/>
      <c r="B317" s="144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</row>
    <row r="318" spans="1:26">
      <c r="C318" s="144"/>
      <c r="V318" s="144"/>
    </row>
    <row r="319" spans="1:26" s="173" customFormat="1" ht="13">
      <c r="A319" s="144"/>
      <c r="B319" s="144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</row>
    <row r="320" spans="1:26" s="178" customFormat="1" ht="13">
      <c r="A320" s="144"/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</row>
    <row r="321" spans="1:26">
      <c r="C321" s="144"/>
      <c r="V321" s="144"/>
    </row>
    <row r="322" spans="1:26" s="173" customFormat="1" ht="13">
      <c r="A322" s="144"/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</row>
    <row r="323" spans="1:26" s="178" customFormat="1" ht="13">
      <c r="A323" s="144"/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</row>
    <row r="324" spans="1:26">
      <c r="C324" s="144"/>
      <c r="V324" s="144"/>
    </row>
    <row r="325" spans="1:26" s="173" customFormat="1" ht="13">
      <c r="A325" s="144"/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</row>
    <row r="326" spans="1:26" s="178" customFormat="1" ht="13">
      <c r="A326" s="144"/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</row>
    <row r="327" spans="1:26">
      <c r="C327" s="144"/>
      <c r="V327" s="144"/>
    </row>
    <row r="328" spans="1:26" s="173" customFormat="1" ht="13">
      <c r="A328" s="144"/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</row>
    <row r="329" spans="1:26" s="178" customFormat="1" ht="13">
      <c r="A329" s="144"/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</row>
    <row r="330" spans="1:26">
      <c r="C330" s="144"/>
      <c r="V330" s="144"/>
    </row>
    <row r="331" spans="1:26" s="173" customFormat="1" ht="13">
      <c r="A331" s="144"/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</row>
    <row r="332" spans="1:26" s="178" customFormat="1" ht="13">
      <c r="A332" s="144"/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</row>
    <row r="333" spans="1:26">
      <c r="C333" s="144"/>
      <c r="V333" s="144"/>
    </row>
    <row r="334" spans="1:26" s="173" customFormat="1" ht="13">
      <c r="A334" s="144"/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</row>
    <row r="335" spans="1:26" s="178" customFormat="1" ht="13">
      <c r="A335" s="144"/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</row>
    <row r="336" spans="1:26">
      <c r="C336" s="144"/>
      <c r="V336" s="144"/>
    </row>
    <row r="337" spans="1:26" s="173" customFormat="1" ht="13">
      <c r="A337" s="144"/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</row>
    <row r="338" spans="1:26" s="178" customFormat="1" ht="13">
      <c r="A338" s="144"/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</row>
    <row r="339" spans="1:26">
      <c r="C339" s="144"/>
      <c r="V339" s="144"/>
    </row>
    <row r="340" spans="1:26" s="173" customFormat="1" ht="13">
      <c r="A340" s="144"/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</row>
    <row r="341" spans="1:26" s="178" customFormat="1" ht="13">
      <c r="A341" s="144"/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</row>
    <row r="342" spans="1:26">
      <c r="C342" s="144"/>
      <c r="V342" s="144"/>
    </row>
    <row r="343" spans="1:26" s="173" customFormat="1" ht="13">
      <c r="A343" s="144"/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</row>
    <row r="344" spans="1:26" s="178" customFormat="1" ht="13">
      <c r="A344" s="144"/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</row>
    <row r="345" spans="1:26">
      <c r="C345" s="144"/>
      <c r="V345" s="144"/>
    </row>
    <row r="346" spans="1:26" s="173" customFormat="1" ht="13">
      <c r="A346" s="144"/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</row>
    <row r="347" spans="1:26" s="178" customFormat="1" ht="13">
      <c r="A347" s="144"/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</row>
    <row r="348" spans="1:26">
      <c r="C348" s="144"/>
      <c r="V348" s="144"/>
    </row>
    <row r="349" spans="1:26" s="173" customFormat="1" ht="13">
      <c r="A349" s="144"/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</row>
    <row r="350" spans="1:26" s="178" customFormat="1" ht="13">
      <c r="A350" s="144"/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</row>
    <row r="351" spans="1:26">
      <c r="C351" s="144"/>
      <c r="V351" s="144"/>
    </row>
    <row r="352" spans="1:26" s="173" customFormat="1" ht="13">
      <c r="A352" s="144"/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</row>
    <row r="353" spans="1:26" s="178" customFormat="1" ht="13">
      <c r="A353" s="144"/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</row>
    <row r="354" spans="1:26">
      <c r="C354" s="144"/>
      <c r="V354" s="144"/>
    </row>
    <row r="355" spans="1:26" s="173" customFormat="1" ht="13">
      <c r="A355" s="144"/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</row>
    <row r="356" spans="1:26" s="221" customFormat="1" ht="13">
      <c r="A356" s="144"/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</row>
    <row r="357" spans="1:26">
      <c r="C357" s="144"/>
      <c r="V357" s="144"/>
    </row>
    <row r="358" spans="1:26" s="173" customFormat="1" ht="13">
      <c r="A358" s="144"/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</row>
    <row r="359" spans="1:26" s="178" customFormat="1" ht="13">
      <c r="A359" s="144"/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</row>
    <row r="360" spans="1:26">
      <c r="C360" s="144"/>
      <c r="V360" s="144"/>
    </row>
    <row r="361" spans="1:26" s="173" customFormat="1" ht="13">
      <c r="A361" s="144"/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</row>
    <row r="362" spans="1:26" s="178" customFormat="1" ht="13">
      <c r="A362" s="144"/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</row>
    <row r="363" spans="1:26">
      <c r="C363" s="144"/>
      <c r="V363" s="144"/>
    </row>
    <row r="364" spans="1:26" s="173" customFormat="1" ht="13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</row>
    <row r="365" spans="1:26" s="178" customFormat="1" ht="13">
      <c r="A365" s="144"/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</row>
    <row r="366" spans="1:26">
      <c r="C366" s="144"/>
      <c r="V366" s="144"/>
    </row>
    <row r="367" spans="1:26" s="173" customFormat="1" ht="13">
      <c r="A367" s="144"/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</row>
    <row r="368" spans="1:26" s="178" customFormat="1" ht="13">
      <c r="A368" s="144"/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</row>
    <row r="369" spans="1:26">
      <c r="C369" s="144"/>
      <c r="V369" s="144"/>
    </row>
    <row r="370" spans="1:26" s="173" customFormat="1" ht="13">
      <c r="A370" s="144"/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</row>
    <row r="371" spans="1:26" s="178" customFormat="1" ht="13">
      <c r="A371" s="144"/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</row>
    <row r="372" spans="1:26">
      <c r="C372" s="144"/>
      <c r="V372" s="144"/>
    </row>
    <row r="373" spans="1:26" s="173" customFormat="1" ht="13">
      <c r="A373" s="144"/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</row>
    <row r="374" spans="1:26" s="178" customFormat="1" ht="13">
      <c r="A374" s="144"/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</row>
    <row r="375" spans="1:26">
      <c r="C375" s="144"/>
      <c r="V375" s="144"/>
    </row>
    <row r="376" spans="1:26" s="173" customFormat="1" ht="13">
      <c r="A376" s="144"/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</row>
    <row r="377" spans="1:26" s="178" customFormat="1" ht="13">
      <c r="A377" s="144"/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</row>
    <row r="378" spans="1:26">
      <c r="C378" s="144"/>
      <c r="V378" s="144"/>
    </row>
    <row r="379" spans="1:26" s="173" customFormat="1" ht="13">
      <c r="A379" s="144"/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</row>
    <row r="380" spans="1:26" s="178" customFormat="1" ht="13">
      <c r="A380" s="144"/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</row>
    <row r="381" spans="1:26">
      <c r="C381" s="144"/>
      <c r="V381" s="144"/>
    </row>
    <row r="382" spans="1:26" s="173" customFormat="1" ht="13">
      <c r="A382" s="144"/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</row>
    <row r="383" spans="1:26" s="178" customFormat="1" ht="13">
      <c r="A383" s="144"/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</row>
    <row r="384" spans="1:26">
      <c r="C384" s="144"/>
      <c r="V384" s="144"/>
    </row>
    <row r="385" spans="1:26" s="173" customFormat="1" ht="13">
      <c r="A385" s="144"/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</row>
    <row r="386" spans="1:26" s="178" customFormat="1" ht="13">
      <c r="A386" s="144"/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</row>
    <row r="387" spans="1:26">
      <c r="C387" s="144"/>
      <c r="V387" s="144"/>
    </row>
    <row r="388" spans="1:26" s="173" customFormat="1" ht="13">
      <c r="A388" s="144"/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</row>
    <row r="389" spans="1:26" s="178" customFormat="1" ht="13">
      <c r="A389" s="144"/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</row>
    <row r="390" spans="1:26">
      <c r="C390" s="144"/>
      <c r="V390" s="144"/>
    </row>
    <row r="391" spans="1:26" s="173" customFormat="1" ht="13">
      <c r="A391" s="144"/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</row>
    <row r="392" spans="1:26" s="178" customFormat="1" ht="13">
      <c r="A392" s="144"/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</row>
    <row r="393" spans="1:26">
      <c r="C393" s="144"/>
      <c r="V393" s="144"/>
    </row>
    <row r="394" spans="1:26" s="173" customFormat="1" ht="13">
      <c r="A394" s="144"/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</row>
    <row r="395" spans="1:26" s="221" customFormat="1" ht="13">
      <c r="A395" s="144"/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</row>
    <row r="396" spans="1:26">
      <c r="C396" s="144"/>
      <c r="V396" s="144"/>
    </row>
    <row r="397" spans="1:26" s="173" customFormat="1" ht="13">
      <c r="A397" s="144"/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</row>
    <row r="398" spans="1:26" s="178" customFormat="1" ht="13">
      <c r="A398" s="144"/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</row>
    <row r="399" spans="1:26">
      <c r="C399" s="144"/>
      <c r="V399" s="144"/>
    </row>
    <row r="400" spans="1:26" s="173" customFormat="1" ht="13">
      <c r="A400" s="144"/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</row>
    <row r="401" spans="1:26" s="178" customFormat="1" ht="13">
      <c r="A401" s="144"/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</row>
    <row r="402" spans="1:26">
      <c r="C402" s="144"/>
      <c r="V402" s="144"/>
    </row>
    <row r="403" spans="1:26" s="173" customFormat="1" ht="13">
      <c r="A403" s="144"/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</row>
    <row r="404" spans="1:26" s="178" customFormat="1" ht="13">
      <c r="A404" s="144"/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</row>
    <row r="405" spans="1:26">
      <c r="C405" s="144"/>
      <c r="V405" s="144"/>
    </row>
    <row r="406" spans="1:26" s="173" customFormat="1" ht="13">
      <c r="A406" s="144"/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</row>
    <row r="407" spans="1:26" s="178" customFormat="1" ht="13">
      <c r="A407" s="144"/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</row>
    <row r="408" spans="1:26">
      <c r="C408" s="144"/>
      <c r="V408" s="144"/>
    </row>
    <row r="409" spans="1:26" s="173" customFormat="1" ht="13">
      <c r="A409" s="144"/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</row>
    <row r="410" spans="1:26" s="178" customFormat="1" ht="13">
      <c r="A410" s="144"/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</row>
    <row r="411" spans="1:26">
      <c r="C411" s="144"/>
      <c r="V411" s="144"/>
    </row>
    <row r="412" spans="1:26" s="173" customFormat="1" ht="13">
      <c r="A412" s="144"/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</row>
    <row r="413" spans="1:26" s="178" customFormat="1" ht="13">
      <c r="A413" s="144"/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</row>
    <row r="414" spans="1:26">
      <c r="C414" s="144"/>
      <c r="V414" s="144"/>
    </row>
    <row r="415" spans="1:26" s="173" customFormat="1" ht="13">
      <c r="A415" s="144"/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</row>
    <row r="416" spans="1:26" s="178" customFormat="1" ht="13">
      <c r="A416" s="144"/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</row>
    <row r="417" spans="1:26">
      <c r="C417" s="144"/>
      <c r="V417" s="144"/>
    </row>
    <row r="418" spans="1:26" s="173" customFormat="1" ht="13">
      <c r="A418" s="144"/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</row>
    <row r="419" spans="1:26" s="178" customFormat="1" ht="13">
      <c r="A419" s="144"/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</row>
    <row r="420" spans="1:26">
      <c r="C420" s="144"/>
      <c r="V420" s="144"/>
    </row>
    <row r="421" spans="1:26" s="173" customFormat="1" ht="13">
      <c r="A421" s="144"/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</row>
    <row r="422" spans="1:26" s="178" customFormat="1" ht="13">
      <c r="A422" s="144"/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</row>
    <row r="423" spans="1:26">
      <c r="C423" s="144"/>
      <c r="V423" s="144"/>
    </row>
    <row r="424" spans="1:26" s="173" customFormat="1" ht="13">
      <c r="A424" s="144"/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</row>
    <row r="425" spans="1:26" s="178" customFormat="1" ht="13">
      <c r="A425" s="144"/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</row>
    <row r="426" spans="1:26">
      <c r="C426" s="144"/>
      <c r="V426" s="144"/>
    </row>
    <row r="427" spans="1:26" s="173" customFormat="1" ht="13">
      <c r="A427" s="144"/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</row>
    <row r="428" spans="1:26" s="178" customFormat="1" ht="13">
      <c r="A428" s="144"/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</row>
    <row r="429" spans="1:26">
      <c r="C429" s="144"/>
      <c r="V429" s="144"/>
    </row>
    <row r="430" spans="1:26" s="173" customFormat="1" ht="13">
      <c r="A430" s="144"/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</row>
    <row r="431" spans="1:26" s="178" customFormat="1" ht="13">
      <c r="A431" s="144"/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</row>
    <row r="432" spans="1:26">
      <c r="C432" s="144"/>
      <c r="V432" s="144"/>
    </row>
    <row r="433" spans="1:26" s="173" customFormat="1" ht="13">
      <c r="A433" s="144"/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</row>
    <row r="434" spans="1:26" s="221" customFormat="1" ht="13">
      <c r="A434" s="144"/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</row>
    <row r="435" spans="1:26">
      <c r="C435" s="144"/>
      <c r="V435" s="144"/>
    </row>
    <row r="436" spans="1:26" s="173" customFormat="1" ht="13">
      <c r="A436" s="144"/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</row>
    <row r="437" spans="1:26" s="178" customFormat="1" ht="13">
      <c r="A437" s="144"/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</row>
    <row r="438" spans="1:26">
      <c r="C438" s="144"/>
      <c r="V438" s="144"/>
    </row>
    <row r="439" spans="1:26" s="173" customFormat="1" ht="13">
      <c r="A439" s="144"/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</row>
    <row r="440" spans="1:26" s="178" customFormat="1" ht="13">
      <c r="A440" s="144"/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</row>
    <row r="441" spans="1:26">
      <c r="C441" s="144"/>
      <c r="V441" s="144"/>
    </row>
    <row r="442" spans="1:26" s="173" customFormat="1" ht="13">
      <c r="A442" s="144"/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</row>
    <row r="443" spans="1:26" s="178" customFormat="1" ht="13">
      <c r="A443" s="144"/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</row>
    <row r="444" spans="1:26">
      <c r="C444" s="144"/>
      <c r="V444" s="144"/>
    </row>
    <row r="445" spans="1:26" s="173" customFormat="1" ht="13">
      <c r="A445" s="144"/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</row>
    <row r="446" spans="1:26" s="178" customFormat="1" ht="13">
      <c r="A446" s="144"/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</row>
    <row r="447" spans="1:26">
      <c r="C447" s="144"/>
      <c r="V447" s="144"/>
    </row>
    <row r="448" spans="1:26" s="173" customFormat="1" ht="13">
      <c r="A448" s="144"/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</row>
    <row r="449" spans="1:26" s="178" customFormat="1" ht="13">
      <c r="A449" s="144"/>
      <c r="B449" s="14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</row>
    <row r="450" spans="1:26">
      <c r="C450" s="144"/>
      <c r="V450" s="144"/>
    </row>
    <row r="451" spans="1:26" s="173" customFormat="1" ht="13">
      <c r="A451" s="144"/>
      <c r="B451" s="144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</row>
    <row r="452" spans="1:26" s="178" customFormat="1" ht="13">
      <c r="A452" s="144"/>
      <c r="B452" s="144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</row>
    <row r="453" spans="1:26">
      <c r="C453" s="144"/>
      <c r="V453" s="144"/>
    </row>
    <row r="454" spans="1:26" s="173" customFormat="1" ht="13">
      <c r="A454" s="144"/>
      <c r="B454" s="144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</row>
    <row r="455" spans="1:26" s="178" customFormat="1" ht="13">
      <c r="A455" s="144"/>
      <c r="B455" s="144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</row>
    <row r="456" spans="1:26">
      <c r="C456" s="144"/>
      <c r="V456" s="144"/>
    </row>
    <row r="457" spans="1:26" s="173" customFormat="1" ht="13">
      <c r="A457" s="144"/>
      <c r="B457" s="144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</row>
    <row r="458" spans="1:26" s="178" customFormat="1" ht="13">
      <c r="A458" s="144"/>
      <c r="B458" s="144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</row>
    <row r="459" spans="1:26">
      <c r="C459" s="144"/>
      <c r="V459" s="144"/>
    </row>
    <row r="460" spans="1:26" s="173" customFormat="1" ht="13">
      <c r="A460" s="144"/>
      <c r="B460" s="144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</row>
    <row r="461" spans="1:26" s="178" customFormat="1" ht="13">
      <c r="A461" s="144"/>
      <c r="B461" s="144"/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</row>
    <row r="462" spans="1:26">
      <c r="C462" s="144"/>
      <c r="V462" s="144"/>
    </row>
    <row r="463" spans="1:26" s="173" customFormat="1" ht="13">
      <c r="A463" s="144"/>
      <c r="B463" s="144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</row>
    <row r="464" spans="1:26" s="178" customFormat="1" ht="13">
      <c r="A464" s="144"/>
      <c r="B464" s="144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</row>
    <row r="465" spans="1:26">
      <c r="C465" s="144"/>
      <c r="V465" s="144"/>
    </row>
    <row r="466" spans="1:26" s="173" customFormat="1" ht="13">
      <c r="A466" s="144"/>
      <c r="B466" s="144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</row>
    <row r="467" spans="1:26" s="178" customFormat="1" ht="13">
      <c r="A467" s="144"/>
      <c r="B467" s="144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</row>
    <row r="468" spans="1:26">
      <c r="C468" s="144"/>
      <c r="V468" s="144"/>
    </row>
    <row r="469" spans="1:26" s="173" customFormat="1" ht="13">
      <c r="A469" s="144"/>
      <c r="B469" s="144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</row>
    <row r="470" spans="1:26" s="178" customFormat="1" ht="13">
      <c r="A470" s="144"/>
      <c r="B470" s="144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</row>
    <row r="471" spans="1:26">
      <c r="C471" s="144"/>
      <c r="V471" s="144"/>
    </row>
    <row r="472" spans="1:26" s="173" customFormat="1" ht="13">
      <c r="A472" s="144"/>
      <c r="B472" s="144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</row>
    <row r="473" spans="1:26" s="221" customFormat="1" ht="13">
      <c r="A473" s="144"/>
      <c r="B473" s="144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</row>
    <row r="474" spans="1:26">
      <c r="C474" s="144"/>
      <c r="V474" s="144"/>
    </row>
    <row r="475" spans="1:26" s="173" customFormat="1" ht="13">
      <c r="A475" s="144"/>
      <c r="B475" s="144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</row>
    <row r="476" spans="1:26" s="178" customFormat="1" ht="13">
      <c r="A476" s="144"/>
      <c r="B476" s="144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</row>
    <row r="477" spans="1:26">
      <c r="C477" s="144"/>
      <c r="V477" s="144"/>
    </row>
    <row r="478" spans="1:26" s="173" customFormat="1" ht="13">
      <c r="A478" s="144"/>
      <c r="B478" s="144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</row>
    <row r="479" spans="1:26" s="178" customFormat="1" ht="13">
      <c r="A479" s="144"/>
      <c r="B479" s="144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</row>
    <row r="480" spans="1:26">
      <c r="C480" s="144"/>
      <c r="V480" s="144"/>
    </row>
    <row r="481" spans="1:26" s="173" customFormat="1" ht="13">
      <c r="A481" s="144"/>
      <c r="B481" s="144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</row>
    <row r="482" spans="1:26" s="178" customFormat="1" ht="13">
      <c r="A482" s="144"/>
      <c r="B482" s="144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</row>
    <row r="483" spans="1:26">
      <c r="C483" s="144"/>
      <c r="V483" s="144"/>
    </row>
    <row r="484" spans="1:26" s="173" customFormat="1" ht="13">
      <c r="A484" s="144"/>
      <c r="B484" s="144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</row>
    <row r="485" spans="1:26" s="178" customFormat="1" ht="13">
      <c r="A485" s="144"/>
      <c r="B485" s="144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</row>
    <row r="486" spans="1:26">
      <c r="C486" s="144"/>
      <c r="V486" s="144"/>
    </row>
    <row r="487" spans="1:26" s="173" customFormat="1" ht="13">
      <c r="A487" s="144"/>
      <c r="B487" s="144"/>
      <c r="C487" s="144"/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</row>
    <row r="488" spans="1:26" s="178" customFormat="1" ht="13">
      <c r="A488" s="144"/>
      <c r="B488" s="144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</row>
    <row r="489" spans="1:26">
      <c r="C489" s="144"/>
      <c r="V489" s="144"/>
    </row>
    <row r="490" spans="1:26" s="173" customFormat="1" ht="13">
      <c r="A490" s="144"/>
      <c r="B490" s="144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</row>
    <row r="491" spans="1:26" s="178" customFormat="1" ht="13">
      <c r="A491" s="144"/>
      <c r="B491" s="144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</row>
    <row r="492" spans="1:26">
      <c r="C492" s="144"/>
      <c r="V492" s="144"/>
    </row>
    <row r="493" spans="1:26" s="173" customFormat="1" ht="13">
      <c r="A493" s="144"/>
      <c r="B493" s="144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</row>
    <row r="494" spans="1:26" s="178" customFormat="1" ht="13">
      <c r="A494" s="144"/>
      <c r="B494" s="144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</row>
    <row r="495" spans="1:26">
      <c r="C495" s="144"/>
      <c r="V495" s="144"/>
    </row>
    <row r="496" spans="1:26" s="173" customFormat="1" ht="13">
      <c r="A496" s="144"/>
      <c r="B496" s="144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</row>
    <row r="497" spans="1:26" s="178" customFormat="1" ht="13">
      <c r="A497" s="144"/>
      <c r="B497" s="144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</row>
    <row r="498" spans="1:26">
      <c r="C498" s="144"/>
      <c r="V498" s="144"/>
    </row>
    <row r="499" spans="1:26" s="173" customFormat="1" ht="13">
      <c r="A499" s="144"/>
      <c r="B499" s="144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</row>
    <row r="500" spans="1:26" s="178" customFormat="1" ht="13">
      <c r="A500" s="144"/>
      <c r="B500" s="144"/>
      <c r="C500" s="144"/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</row>
    <row r="501" spans="1:26">
      <c r="C501" s="144"/>
      <c r="V501" s="144"/>
    </row>
    <row r="502" spans="1:26" s="173" customFormat="1" ht="13">
      <c r="A502" s="144"/>
      <c r="B502" s="144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</row>
    <row r="503" spans="1:26" s="178" customFormat="1" ht="13">
      <c r="A503" s="144"/>
      <c r="B503" s="144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</row>
    <row r="504" spans="1:26">
      <c r="C504" s="144"/>
      <c r="V504" s="144"/>
    </row>
    <row r="505" spans="1:26" s="173" customFormat="1" ht="13">
      <c r="A505" s="144"/>
      <c r="B505" s="144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</row>
    <row r="506" spans="1:26" s="178" customFormat="1" ht="13">
      <c r="A506" s="144"/>
      <c r="B506" s="144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</row>
    <row r="507" spans="1:26">
      <c r="C507" s="144"/>
      <c r="V507" s="144"/>
    </row>
    <row r="508" spans="1:26" s="173" customFormat="1" ht="13">
      <c r="A508" s="144"/>
      <c r="B508" s="144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</row>
    <row r="509" spans="1:26" s="178" customFormat="1" ht="13">
      <c r="A509" s="144"/>
      <c r="B509" s="144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</row>
    <row r="510" spans="1:26">
      <c r="C510" s="144"/>
      <c r="V510" s="144"/>
    </row>
    <row r="511" spans="1:26" s="173" customFormat="1" ht="13">
      <c r="A511" s="144"/>
      <c r="B511" s="144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</row>
    <row r="512" spans="1:26" s="221" customFormat="1" ht="13">
      <c r="A512" s="144"/>
      <c r="B512" s="144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</row>
    <row r="513" spans="1:26">
      <c r="C513" s="144"/>
      <c r="V513" s="144"/>
    </row>
    <row r="514" spans="1:26" s="173" customFormat="1" ht="13">
      <c r="A514" s="144"/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</row>
    <row r="515" spans="1:26" s="178" customFormat="1" ht="13">
      <c r="A515" s="144"/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</row>
    <row r="516" spans="1:26">
      <c r="C516" s="144"/>
      <c r="V516" s="144"/>
    </row>
    <row r="517" spans="1:26" s="173" customFormat="1" ht="13">
      <c r="A517" s="144"/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</row>
    <row r="518" spans="1:26" s="178" customFormat="1" ht="13">
      <c r="A518" s="144"/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</row>
    <row r="519" spans="1:26">
      <c r="C519" s="144"/>
      <c r="V519" s="144"/>
    </row>
    <row r="520" spans="1:26" s="173" customFormat="1" ht="13">
      <c r="A520" s="144"/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</row>
    <row r="521" spans="1:26" s="178" customFormat="1" ht="13">
      <c r="A521" s="144"/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</row>
    <row r="522" spans="1:26">
      <c r="C522" s="144"/>
      <c r="V522" s="144"/>
    </row>
    <row r="523" spans="1:26" s="173" customFormat="1" ht="13">
      <c r="A523" s="144"/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</row>
    <row r="524" spans="1:26" s="178" customFormat="1" ht="13">
      <c r="A524" s="144"/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</row>
    <row r="525" spans="1:26">
      <c r="C525" s="144"/>
      <c r="V525" s="144"/>
    </row>
    <row r="526" spans="1:26" s="173" customFormat="1" ht="13">
      <c r="A526" s="144"/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</row>
    <row r="527" spans="1:26" s="178" customFormat="1" ht="13">
      <c r="A527" s="144"/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</row>
    <row r="528" spans="1:26">
      <c r="C528" s="144"/>
      <c r="V528" s="144"/>
    </row>
    <row r="529" spans="1:26" s="173" customFormat="1" ht="13">
      <c r="A529" s="144"/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</row>
    <row r="530" spans="1:26" s="178" customFormat="1" ht="13">
      <c r="A530" s="144"/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</row>
    <row r="531" spans="1:26">
      <c r="C531" s="144"/>
      <c r="V531" s="144"/>
    </row>
    <row r="532" spans="1:26" s="173" customFormat="1" ht="13">
      <c r="A532" s="144"/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</row>
    <row r="533" spans="1:26" s="178" customFormat="1" ht="13">
      <c r="A533" s="144"/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</row>
    <row r="534" spans="1:26">
      <c r="C534" s="144"/>
      <c r="V534" s="144"/>
    </row>
    <row r="535" spans="1:26" s="173" customFormat="1" ht="13">
      <c r="A535" s="144"/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</row>
    <row r="536" spans="1:26" s="178" customFormat="1" ht="13">
      <c r="A536" s="144"/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</row>
    <row r="537" spans="1:26">
      <c r="C537" s="144"/>
      <c r="V537" s="144"/>
    </row>
    <row r="538" spans="1:26" s="173" customFormat="1" ht="13">
      <c r="A538" s="144"/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</row>
    <row r="539" spans="1:26" s="178" customFormat="1" ht="13">
      <c r="A539" s="144"/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</row>
    <row r="540" spans="1:26">
      <c r="C540" s="144"/>
      <c r="V540" s="144"/>
    </row>
    <row r="541" spans="1:26" s="173" customFormat="1" ht="13">
      <c r="A541" s="144"/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</row>
    <row r="542" spans="1:26" s="178" customFormat="1" ht="13">
      <c r="A542" s="144"/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</row>
    <row r="543" spans="1:26">
      <c r="C543" s="144"/>
      <c r="V543" s="144"/>
    </row>
    <row r="544" spans="1:26" s="173" customFormat="1" ht="13">
      <c r="A544" s="144"/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</row>
    <row r="545" spans="1:26" s="178" customFormat="1" ht="13">
      <c r="A545" s="144"/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</row>
    <row r="546" spans="1:26">
      <c r="C546" s="144"/>
      <c r="V546" s="144"/>
    </row>
    <row r="547" spans="1:26" s="173" customFormat="1" ht="13">
      <c r="A547" s="144"/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</row>
    <row r="548" spans="1:26" s="178" customFormat="1" ht="13">
      <c r="A548" s="144"/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</row>
    <row r="549" spans="1:26">
      <c r="C549" s="144"/>
      <c r="V549" s="144"/>
    </row>
    <row r="550" spans="1:26" s="173" customFormat="1" ht="13">
      <c r="A550" s="144"/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</row>
    <row r="551" spans="1:26" s="221" customFormat="1" ht="13">
      <c r="A551" s="144"/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</row>
    <row r="552" spans="1:26">
      <c r="C552" s="144"/>
      <c r="V552" s="144"/>
    </row>
    <row r="553" spans="1:26" s="173" customFormat="1" ht="13">
      <c r="A553" s="144"/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</row>
    <row r="554" spans="1:26" s="178" customFormat="1" ht="13">
      <c r="A554" s="144"/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</row>
    <row r="555" spans="1:26">
      <c r="C555" s="144"/>
      <c r="V555" s="144"/>
    </row>
    <row r="556" spans="1:26" s="173" customFormat="1" ht="13">
      <c r="A556" s="144"/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</row>
    <row r="557" spans="1:26" s="178" customFormat="1" ht="13">
      <c r="A557" s="144"/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</row>
    <row r="558" spans="1:26">
      <c r="C558" s="144"/>
      <c r="V558" s="144"/>
    </row>
    <row r="559" spans="1:26" s="173" customFormat="1" ht="13">
      <c r="A559" s="144"/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</row>
    <row r="560" spans="1:26" s="178" customFormat="1" ht="13">
      <c r="A560" s="144"/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</row>
    <row r="561" spans="1:26">
      <c r="C561" s="144"/>
      <c r="V561" s="144"/>
    </row>
    <row r="562" spans="1:26" s="173" customFormat="1" ht="13">
      <c r="A562" s="144"/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</row>
    <row r="563" spans="1:26" s="178" customFormat="1" ht="13">
      <c r="A563" s="144"/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</row>
    <row r="564" spans="1:26">
      <c r="C564" s="144"/>
      <c r="V564" s="144"/>
    </row>
    <row r="565" spans="1:26" s="173" customFormat="1" ht="13">
      <c r="A565" s="144"/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</row>
    <row r="566" spans="1:26" s="178" customFormat="1" ht="13">
      <c r="A566" s="144"/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</row>
    <row r="567" spans="1:26">
      <c r="C567" s="144"/>
      <c r="V567" s="144"/>
    </row>
    <row r="568" spans="1:26" s="173" customFormat="1" ht="13">
      <c r="A568" s="144"/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</row>
    <row r="569" spans="1:26" s="178" customFormat="1" ht="13">
      <c r="A569" s="144"/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</row>
    <row r="570" spans="1:26">
      <c r="C570" s="144"/>
      <c r="V570" s="144"/>
    </row>
    <row r="571" spans="1:26" s="173" customFormat="1" ht="13">
      <c r="A571" s="144"/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</row>
    <row r="572" spans="1:26" s="178" customFormat="1" ht="13">
      <c r="A572" s="144"/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</row>
    <row r="573" spans="1:26">
      <c r="C573" s="144"/>
      <c r="V573" s="144"/>
    </row>
    <row r="574" spans="1:26" s="173" customFormat="1" ht="13">
      <c r="A574" s="144"/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</row>
    <row r="575" spans="1:26" s="178" customFormat="1" ht="13">
      <c r="A575" s="144"/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</row>
    <row r="576" spans="1:26">
      <c r="C576" s="144"/>
      <c r="V576" s="144"/>
    </row>
    <row r="577" spans="1:26" s="173" customFormat="1" ht="13">
      <c r="A577" s="144"/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</row>
    <row r="578" spans="1:26" s="178" customFormat="1" ht="13">
      <c r="A578" s="144"/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</row>
    <row r="579" spans="1:26">
      <c r="C579" s="144"/>
      <c r="V579" s="144"/>
    </row>
    <row r="580" spans="1:26" s="173" customFormat="1" ht="13">
      <c r="A580" s="144"/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</row>
    <row r="581" spans="1:26" s="178" customFormat="1" ht="13">
      <c r="A581" s="144"/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</row>
    <row r="582" spans="1:26">
      <c r="C582" s="144"/>
      <c r="V582" s="144"/>
    </row>
    <row r="583" spans="1:26" s="173" customFormat="1" ht="13">
      <c r="A583" s="144"/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</row>
    <row r="584" spans="1:26" s="178" customFormat="1" ht="13">
      <c r="A584" s="144"/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</row>
    <row r="585" spans="1:26">
      <c r="C585" s="144"/>
      <c r="V585" s="144"/>
    </row>
    <row r="586" spans="1:26" s="173" customFormat="1" ht="13">
      <c r="A586" s="144"/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</row>
    <row r="587" spans="1:26" s="178" customFormat="1" ht="13">
      <c r="A587" s="144"/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</row>
    <row r="588" spans="1:26">
      <c r="C588" s="144"/>
      <c r="V588" s="144"/>
    </row>
    <row r="589" spans="1:26" s="173" customFormat="1" ht="13">
      <c r="A589" s="144"/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</row>
    <row r="590" spans="1:26" s="221" customFormat="1" ht="13">
      <c r="A590" s="144"/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</row>
    <row r="591" spans="1:26">
      <c r="C591" s="144"/>
      <c r="V591" s="144"/>
    </row>
    <row r="592" spans="1:26" s="173" customFormat="1" ht="13">
      <c r="A592" s="144"/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</row>
    <row r="593" spans="1:26" s="178" customFormat="1" ht="13">
      <c r="A593" s="144"/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</row>
    <row r="594" spans="1:26">
      <c r="C594" s="144"/>
      <c r="V594" s="144"/>
    </row>
    <row r="595" spans="1:26" s="173" customFormat="1" ht="13">
      <c r="A595" s="144"/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</row>
    <row r="596" spans="1:26" s="178" customFormat="1" ht="13">
      <c r="A596" s="144"/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</row>
    <row r="597" spans="1:26">
      <c r="C597" s="144"/>
      <c r="V597" s="144"/>
    </row>
    <row r="598" spans="1:26" s="173" customFormat="1" ht="13">
      <c r="A598" s="144"/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</row>
    <row r="599" spans="1:26" s="178" customFormat="1" ht="13">
      <c r="A599" s="144"/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</row>
    <row r="600" spans="1:26">
      <c r="C600" s="144"/>
      <c r="V600" s="144"/>
    </row>
    <row r="601" spans="1:26" s="173" customFormat="1" ht="13">
      <c r="A601" s="144"/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</row>
    <row r="602" spans="1:26" s="178" customFormat="1" ht="13">
      <c r="A602" s="144"/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</row>
    <row r="603" spans="1:26">
      <c r="C603" s="144"/>
      <c r="V603" s="144"/>
    </row>
    <row r="604" spans="1:26" s="173" customFormat="1" ht="13">
      <c r="A604" s="144"/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</row>
    <row r="605" spans="1:26" s="178" customFormat="1" ht="13">
      <c r="A605" s="144"/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</row>
    <row r="606" spans="1:26">
      <c r="C606" s="144"/>
      <c r="V606" s="144"/>
    </row>
    <row r="607" spans="1:26" s="173" customFormat="1" ht="13">
      <c r="A607" s="144"/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</row>
    <row r="608" spans="1:26" s="178" customFormat="1" ht="13">
      <c r="A608" s="144"/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</row>
    <row r="609" spans="1:26">
      <c r="C609" s="144"/>
      <c r="V609" s="144"/>
    </row>
    <row r="610" spans="1:26" s="173" customFormat="1" ht="13">
      <c r="A610" s="144"/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</row>
    <row r="611" spans="1:26" s="178" customFormat="1" ht="13">
      <c r="A611" s="144"/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</row>
    <row r="612" spans="1:26">
      <c r="C612" s="144"/>
      <c r="V612" s="144"/>
    </row>
    <row r="613" spans="1:26" s="173" customFormat="1" ht="13">
      <c r="A613" s="144"/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</row>
    <row r="614" spans="1:26" s="178" customFormat="1" ht="13">
      <c r="A614" s="144"/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</row>
    <row r="615" spans="1:26">
      <c r="C615" s="144"/>
      <c r="V615" s="144"/>
    </row>
    <row r="616" spans="1:26" s="173" customFormat="1" ht="13">
      <c r="A616" s="144"/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</row>
    <row r="617" spans="1:26" s="178" customFormat="1" ht="13">
      <c r="A617" s="144"/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</row>
    <row r="618" spans="1:26">
      <c r="C618" s="144"/>
      <c r="V618" s="144"/>
    </row>
    <row r="619" spans="1:26" s="173" customFormat="1" ht="13">
      <c r="A619" s="144"/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</row>
    <row r="620" spans="1:26" s="178" customFormat="1" ht="13">
      <c r="A620" s="144"/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</row>
    <row r="621" spans="1:26">
      <c r="C621" s="144"/>
      <c r="V621" s="144"/>
    </row>
    <row r="622" spans="1:26" s="173" customFormat="1" ht="13">
      <c r="A622" s="144"/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</row>
    <row r="623" spans="1:26" s="178" customFormat="1" ht="13">
      <c r="A623" s="144"/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</row>
    <row r="624" spans="1:26">
      <c r="C624" s="144"/>
      <c r="V624" s="144"/>
    </row>
    <row r="625" spans="1:26" s="173" customFormat="1" ht="13">
      <c r="A625" s="144"/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</row>
    <row r="626" spans="1:26" s="178" customFormat="1" ht="13">
      <c r="A626" s="144"/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</row>
    <row r="627" spans="1:26">
      <c r="C627" s="144"/>
      <c r="V627" s="144"/>
    </row>
    <row r="628" spans="1:26" s="173" customFormat="1" ht="13">
      <c r="A628" s="144"/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</row>
    <row r="629" spans="1:26" s="221" customFormat="1" ht="13">
      <c r="A629" s="144"/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</row>
    <row r="630" spans="1:26">
      <c r="C630" s="144"/>
      <c r="V630" s="144"/>
    </row>
    <row r="631" spans="1:26">
      <c r="C631" s="144"/>
      <c r="V631" s="144"/>
    </row>
    <row r="632" spans="1:26">
      <c r="C632" s="144"/>
      <c r="V632" s="144"/>
    </row>
    <row r="633" spans="1:26">
      <c r="C633" s="144"/>
      <c r="V633" s="144"/>
    </row>
    <row r="634" spans="1:26">
      <c r="C634" s="144"/>
      <c r="V634" s="144"/>
    </row>
    <row r="635" spans="1:26">
      <c r="C635" s="144"/>
      <c r="V635" s="144"/>
    </row>
    <row r="636" spans="1:26">
      <c r="C636" s="144"/>
      <c r="V636" s="144"/>
    </row>
    <row r="637" spans="1:26">
      <c r="C637" s="144"/>
      <c r="V637" s="144"/>
    </row>
    <row r="638" spans="1:26">
      <c r="C638" s="144"/>
      <c r="V638" s="144"/>
    </row>
    <row r="639" spans="1:26">
      <c r="C639" s="144"/>
      <c r="V639" s="144"/>
    </row>
    <row r="640" spans="1:26">
      <c r="C640" s="144"/>
      <c r="V640" s="144"/>
    </row>
    <row r="641" s="144" customFormat="1"/>
    <row r="642" s="144" customFormat="1"/>
    <row r="643" s="144" customFormat="1"/>
    <row r="644" s="144" customFormat="1"/>
    <row r="645" s="144" customFormat="1"/>
    <row r="646" s="144" customFormat="1"/>
    <row r="647" s="144" customFormat="1"/>
    <row r="648" s="144" customFormat="1"/>
    <row r="649" s="144" customFormat="1"/>
    <row r="650" s="144" customFormat="1"/>
    <row r="651" s="144" customFormat="1"/>
    <row r="652" s="144" customFormat="1"/>
    <row r="653" s="144" customFormat="1"/>
    <row r="654" s="144" customFormat="1"/>
    <row r="655" s="144" customFormat="1"/>
    <row r="656" s="144" customFormat="1"/>
    <row r="657" s="144" customFormat="1"/>
    <row r="658" s="144" customFormat="1"/>
    <row r="659" s="144" customFormat="1"/>
    <row r="660" s="144" customFormat="1"/>
    <row r="661" s="144" customFormat="1"/>
    <row r="662" s="144" customFormat="1"/>
    <row r="663" s="144" customFormat="1"/>
    <row r="664" s="144" customFormat="1"/>
    <row r="665" s="144" customFormat="1"/>
    <row r="666" s="144" customFormat="1"/>
    <row r="667" s="144" customFormat="1"/>
    <row r="668" s="144" customFormat="1"/>
    <row r="669" s="144" customFormat="1"/>
    <row r="670" s="144" customFormat="1"/>
    <row r="671" s="144" customFormat="1"/>
    <row r="672" s="144" customFormat="1"/>
    <row r="673" s="144" customFormat="1"/>
    <row r="674" s="144" customFormat="1"/>
    <row r="675" s="144" customFormat="1"/>
    <row r="676" s="144" customFormat="1"/>
    <row r="677" s="144" customFormat="1"/>
    <row r="678" s="144" customFormat="1"/>
    <row r="679" s="144" customFormat="1"/>
    <row r="680" s="144" customFormat="1"/>
    <row r="681" s="144" customFormat="1"/>
    <row r="682" s="144" customFormat="1"/>
    <row r="683" s="144" customFormat="1"/>
    <row r="684" s="144" customFormat="1"/>
    <row r="685" s="144" customFormat="1"/>
    <row r="686" s="144" customFormat="1"/>
    <row r="687" s="144" customFormat="1"/>
    <row r="688" s="144" customFormat="1"/>
    <row r="689" s="144" customFormat="1"/>
    <row r="690" s="144" customFormat="1"/>
    <row r="691" s="144" customFormat="1"/>
    <row r="692" s="144" customFormat="1"/>
    <row r="693" s="144" customFormat="1"/>
    <row r="694" s="144" customFormat="1"/>
    <row r="695" s="144" customFormat="1"/>
    <row r="696" s="144" customFormat="1"/>
    <row r="697" s="144" customFormat="1"/>
    <row r="698" s="144" customFormat="1"/>
    <row r="699" s="144" customFormat="1"/>
    <row r="700" s="144" customFormat="1"/>
    <row r="701" s="144" customFormat="1"/>
    <row r="702" s="144" customFormat="1"/>
    <row r="703" s="144" customFormat="1"/>
    <row r="704" s="144" customFormat="1"/>
    <row r="705" s="144" customFormat="1"/>
    <row r="706" s="144" customFormat="1"/>
    <row r="707" s="144" customFormat="1"/>
  </sheetData>
  <pageMargins left="0.7" right="0.7" top="0.75" bottom="0.75" header="0.3" footer="0.3"/>
  <pageSetup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23EBB-D6C6-472E-B4A5-3A476C2D8B76}">
  <dimension ref="A1:F2724"/>
  <sheetViews>
    <sheetView topLeftCell="A2687" workbookViewId="0"/>
  </sheetViews>
  <sheetFormatPr defaultRowHeight="15.5"/>
  <sheetData>
    <row r="1" spans="1:6">
      <c r="A1" s="821" t="s">
        <v>61</v>
      </c>
      <c r="B1" s="822" t="s">
        <v>62</v>
      </c>
      <c r="C1" s="822" t="s">
        <v>63</v>
      </c>
      <c r="D1" s="823"/>
      <c r="E1" s="693">
        <v>100858</v>
      </c>
      <c r="F1" s="46">
        <v>1</v>
      </c>
    </row>
    <row r="2" spans="1:6">
      <c r="A2" s="821" t="s">
        <v>61</v>
      </c>
      <c r="B2" s="822" t="s">
        <v>64</v>
      </c>
      <c r="C2" s="824" t="s">
        <v>65</v>
      </c>
      <c r="D2" s="823"/>
      <c r="E2" s="693">
        <v>100858</v>
      </c>
      <c r="F2" s="46">
        <v>1</v>
      </c>
    </row>
    <row r="3" spans="1:6">
      <c r="A3" s="821" t="s">
        <v>61</v>
      </c>
      <c r="B3" s="822" t="s">
        <v>64</v>
      </c>
      <c r="C3" s="825" t="s">
        <v>66</v>
      </c>
      <c r="D3" s="823"/>
      <c r="E3" s="693">
        <v>100858</v>
      </c>
      <c r="F3" s="46">
        <v>1</v>
      </c>
    </row>
    <row r="4" spans="1:6">
      <c r="A4" s="821" t="s">
        <v>61</v>
      </c>
      <c r="B4" s="822" t="s">
        <v>67</v>
      </c>
      <c r="C4" s="825" t="s">
        <v>68</v>
      </c>
      <c r="D4" s="823"/>
      <c r="E4" s="693">
        <v>100858</v>
      </c>
      <c r="F4" s="46">
        <v>1</v>
      </c>
    </row>
    <row r="5" spans="1:6">
      <c r="A5" s="821" t="s">
        <v>61</v>
      </c>
      <c r="B5" s="822" t="s">
        <v>69</v>
      </c>
      <c r="C5" s="824" t="s">
        <v>70</v>
      </c>
      <c r="D5" s="823"/>
      <c r="E5" s="693">
        <v>100858</v>
      </c>
      <c r="F5" s="46">
        <v>1</v>
      </c>
    </row>
    <row r="6" spans="1:6">
      <c r="A6" s="821" t="s">
        <v>61</v>
      </c>
      <c r="B6" s="822" t="s">
        <v>71</v>
      </c>
      <c r="C6" s="824" t="s">
        <v>72</v>
      </c>
      <c r="D6" s="823"/>
      <c r="E6" s="693">
        <v>100858</v>
      </c>
      <c r="F6" s="46">
        <v>1</v>
      </c>
    </row>
    <row r="7" spans="1:6">
      <c r="A7" s="821" t="s">
        <v>61</v>
      </c>
      <c r="B7" s="822" t="s">
        <v>71</v>
      </c>
      <c r="C7" s="825" t="s">
        <v>73</v>
      </c>
      <c r="D7" s="823"/>
      <c r="E7" s="693">
        <v>100858</v>
      </c>
      <c r="F7" s="46">
        <v>1</v>
      </c>
    </row>
    <row r="8" spans="1:6">
      <c r="A8" s="821" t="s">
        <v>61</v>
      </c>
      <c r="B8" s="822" t="s">
        <v>74</v>
      </c>
      <c r="C8" s="824" t="s">
        <v>75</v>
      </c>
      <c r="D8" s="823"/>
      <c r="E8" s="693">
        <v>100858</v>
      </c>
      <c r="F8" s="46">
        <v>1</v>
      </c>
    </row>
    <row r="9" spans="1:6">
      <c r="A9" s="821" t="s">
        <v>61</v>
      </c>
      <c r="B9" s="822" t="s">
        <v>76</v>
      </c>
      <c r="C9" s="824" t="s">
        <v>77</v>
      </c>
      <c r="D9" s="823"/>
      <c r="E9" s="693">
        <v>100858</v>
      </c>
      <c r="F9" s="46">
        <v>1</v>
      </c>
    </row>
    <row r="10" spans="1:6">
      <c r="A10" s="821" t="s">
        <v>61</v>
      </c>
      <c r="B10" s="822" t="s">
        <v>78</v>
      </c>
      <c r="C10" s="824" t="s">
        <v>79</v>
      </c>
      <c r="D10" s="823"/>
      <c r="E10" s="693">
        <v>100858</v>
      </c>
      <c r="F10" s="46">
        <v>1</v>
      </c>
    </row>
    <row r="11" spans="1:6">
      <c r="A11" s="821" t="s">
        <v>61</v>
      </c>
      <c r="B11" s="822" t="s">
        <v>62</v>
      </c>
      <c r="C11" s="826" t="s">
        <v>80</v>
      </c>
      <c r="D11" s="827"/>
      <c r="E11" s="693">
        <v>100751</v>
      </c>
      <c r="F11" s="46">
        <v>1</v>
      </c>
    </row>
    <row r="12" spans="1:6">
      <c r="A12" s="821" t="s">
        <v>61</v>
      </c>
      <c r="B12" s="822" t="s">
        <v>64</v>
      </c>
      <c r="C12" s="824" t="s">
        <v>81</v>
      </c>
      <c r="D12" s="823"/>
      <c r="E12" s="693">
        <v>100751</v>
      </c>
      <c r="F12" s="46">
        <v>1</v>
      </c>
    </row>
    <row r="13" spans="1:6">
      <c r="A13" s="821" t="s">
        <v>61</v>
      </c>
      <c r="B13" s="822" t="s">
        <v>69</v>
      </c>
      <c r="C13" s="824" t="s">
        <v>70</v>
      </c>
      <c r="D13" s="823"/>
      <c r="E13" s="693">
        <v>100751</v>
      </c>
      <c r="F13" s="46">
        <v>1</v>
      </c>
    </row>
    <row r="14" spans="1:6">
      <c r="A14" s="821" t="s">
        <v>61</v>
      </c>
      <c r="B14" s="822" t="s">
        <v>71</v>
      </c>
      <c r="C14" s="824" t="s">
        <v>72</v>
      </c>
      <c r="D14" s="823"/>
      <c r="E14" s="693">
        <v>100751</v>
      </c>
      <c r="F14" s="46">
        <v>1</v>
      </c>
    </row>
    <row r="15" spans="1:6">
      <c r="A15" s="821" t="s">
        <v>61</v>
      </c>
      <c r="B15" s="822" t="s">
        <v>71</v>
      </c>
      <c r="C15" s="825" t="s">
        <v>73</v>
      </c>
      <c r="D15" s="823"/>
      <c r="E15" s="693">
        <v>100751</v>
      </c>
      <c r="F15" s="46">
        <v>1</v>
      </c>
    </row>
    <row r="16" spans="1:6">
      <c r="A16" s="821" t="s">
        <v>61</v>
      </c>
      <c r="B16" s="822" t="s">
        <v>78</v>
      </c>
      <c r="C16" s="824" t="s">
        <v>79</v>
      </c>
      <c r="D16" s="823"/>
      <c r="E16" s="693">
        <v>100751</v>
      </c>
      <c r="F16" s="46">
        <v>1</v>
      </c>
    </row>
    <row r="17" spans="1:6">
      <c r="A17" s="821" t="s">
        <v>61</v>
      </c>
      <c r="B17" s="822" t="s">
        <v>62</v>
      </c>
      <c r="C17" s="828" t="s">
        <v>82</v>
      </c>
      <c r="D17" s="829"/>
      <c r="E17" s="693">
        <v>100663</v>
      </c>
      <c r="F17" s="46">
        <v>1</v>
      </c>
    </row>
    <row r="18" spans="1:6">
      <c r="A18" s="821" t="s">
        <v>61</v>
      </c>
      <c r="B18" s="822" t="s">
        <v>64</v>
      </c>
      <c r="C18" s="824" t="s">
        <v>65</v>
      </c>
      <c r="D18" s="823"/>
      <c r="E18" s="693">
        <v>100663</v>
      </c>
      <c r="F18" s="46">
        <v>1</v>
      </c>
    </row>
    <row r="19" spans="1:6">
      <c r="A19" s="821" t="s">
        <v>61</v>
      </c>
      <c r="B19" s="822" t="s">
        <v>64</v>
      </c>
      <c r="C19" s="825" t="s">
        <v>83</v>
      </c>
      <c r="D19" s="823"/>
      <c r="E19" s="693">
        <v>100663</v>
      </c>
      <c r="F19" s="46">
        <v>1</v>
      </c>
    </row>
    <row r="20" spans="1:6">
      <c r="A20" s="821" t="s">
        <v>61</v>
      </c>
      <c r="B20" s="822" t="s">
        <v>64</v>
      </c>
      <c r="C20" s="825" t="s">
        <v>84</v>
      </c>
      <c r="D20" s="823"/>
      <c r="E20" s="693">
        <v>100663</v>
      </c>
      <c r="F20" s="46">
        <v>1</v>
      </c>
    </row>
    <row r="21" spans="1:6">
      <c r="A21" s="821" t="s">
        <v>61</v>
      </c>
      <c r="B21" s="822" t="s">
        <v>69</v>
      </c>
      <c r="C21" s="824" t="s">
        <v>70</v>
      </c>
      <c r="D21" s="823"/>
      <c r="E21" s="693">
        <v>100663</v>
      </c>
      <c r="F21" s="46">
        <v>1</v>
      </c>
    </row>
    <row r="22" spans="1:6">
      <c r="A22" s="821" t="s">
        <v>61</v>
      </c>
      <c r="B22" s="822" t="s">
        <v>71</v>
      </c>
      <c r="C22" s="824" t="s">
        <v>72</v>
      </c>
      <c r="D22" s="823"/>
      <c r="E22" s="693">
        <v>100663</v>
      </c>
      <c r="F22" s="46">
        <v>1</v>
      </c>
    </row>
    <row r="23" spans="1:6">
      <c r="A23" s="821" t="s">
        <v>61</v>
      </c>
      <c r="B23" s="822" t="s">
        <v>71</v>
      </c>
      <c r="C23" s="825" t="s">
        <v>73</v>
      </c>
      <c r="D23" s="823"/>
      <c r="E23" s="693">
        <v>100663</v>
      </c>
      <c r="F23" s="46">
        <v>1</v>
      </c>
    </row>
    <row r="24" spans="1:6">
      <c r="A24" s="821" t="s">
        <v>61</v>
      </c>
      <c r="B24" s="822" t="s">
        <v>62</v>
      </c>
      <c r="C24" s="828" t="s">
        <v>85</v>
      </c>
      <c r="D24" s="830" t="s">
        <v>1423</v>
      </c>
      <c r="E24" s="693">
        <v>100706</v>
      </c>
      <c r="F24" s="46">
        <v>2</v>
      </c>
    </row>
    <row r="25" spans="1:6">
      <c r="A25" s="821" t="s">
        <v>61</v>
      </c>
      <c r="B25" s="822" t="s">
        <v>78</v>
      </c>
      <c r="C25" s="824" t="s">
        <v>79</v>
      </c>
      <c r="D25" s="823"/>
      <c r="E25" s="693">
        <v>100706</v>
      </c>
      <c r="F25" s="46">
        <v>2</v>
      </c>
    </row>
    <row r="26" spans="1:6">
      <c r="A26" s="821" t="s">
        <v>61</v>
      </c>
      <c r="B26" s="822" t="s">
        <v>62</v>
      </c>
      <c r="C26" s="826" t="s">
        <v>91</v>
      </c>
      <c r="D26" s="831"/>
      <c r="E26" s="693">
        <v>102094</v>
      </c>
      <c r="F26" s="46">
        <v>2</v>
      </c>
    </row>
    <row r="27" spans="1:6">
      <c r="A27" s="821" t="s">
        <v>61</v>
      </c>
      <c r="B27" s="822" t="s">
        <v>64</v>
      </c>
      <c r="C27" s="824" t="s">
        <v>65</v>
      </c>
      <c r="D27" s="823"/>
      <c r="E27" s="693">
        <v>102094</v>
      </c>
      <c r="F27" s="46">
        <v>2</v>
      </c>
    </row>
    <row r="28" spans="1:6">
      <c r="A28" s="821" t="s">
        <v>61</v>
      </c>
      <c r="B28" s="822" t="s">
        <v>64</v>
      </c>
      <c r="C28" s="825" t="s">
        <v>83</v>
      </c>
      <c r="D28" s="823"/>
      <c r="E28" s="693">
        <v>102094</v>
      </c>
      <c r="F28" s="46">
        <v>2</v>
      </c>
    </row>
    <row r="29" spans="1:6">
      <c r="A29" s="821" t="s">
        <v>61</v>
      </c>
      <c r="B29" s="822" t="s">
        <v>71</v>
      </c>
      <c r="C29" s="824" t="s">
        <v>72</v>
      </c>
      <c r="D29" s="823"/>
      <c r="E29" s="693">
        <v>102094</v>
      </c>
      <c r="F29" s="46">
        <v>2</v>
      </c>
    </row>
    <row r="30" spans="1:6">
      <c r="A30" s="821" t="s">
        <v>61</v>
      </c>
      <c r="B30" s="822" t="s">
        <v>71</v>
      </c>
      <c r="C30" s="825" t="s">
        <v>73</v>
      </c>
      <c r="D30" s="823"/>
      <c r="E30" s="693">
        <v>102094</v>
      </c>
      <c r="F30" s="46">
        <v>2</v>
      </c>
    </row>
    <row r="31" spans="1:6">
      <c r="A31" s="821" t="s">
        <v>61</v>
      </c>
      <c r="B31" s="822" t="s">
        <v>62</v>
      </c>
      <c r="C31" s="826" t="s">
        <v>86</v>
      </c>
      <c r="D31" s="827"/>
      <c r="E31" s="693">
        <v>100654</v>
      </c>
      <c r="F31" s="46">
        <v>3</v>
      </c>
    </row>
    <row r="32" spans="1:6">
      <c r="A32" s="821" t="s">
        <v>61</v>
      </c>
      <c r="B32" s="822" t="s">
        <v>69</v>
      </c>
      <c r="C32" s="824" t="s">
        <v>70</v>
      </c>
      <c r="D32" s="823"/>
      <c r="E32" s="693">
        <v>100654</v>
      </c>
      <c r="F32" s="46">
        <v>3</v>
      </c>
    </row>
    <row r="33" spans="1:6">
      <c r="A33" s="821" t="s">
        <v>61</v>
      </c>
      <c r="B33" s="822" t="s">
        <v>71</v>
      </c>
      <c r="C33" s="824" t="s">
        <v>72</v>
      </c>
      <c r="D33" s="823"/>
      <c r="E33" s="693">
        <v>100654</v>
      </c>
      <c r="F33" s="46">
        <v>3</v>
      </c>
    </row>
    <row r="34" spans="1:6">
      <c r="A34" s="821" t="s">
        <v>61</v>
      </c>
      <c r="B34" s="822" t="s">
        <v>71</v>
      </c>
      <c r="C34" s="825" t="s">
        <v>73</v>
      </c>
      <c r="D34" s="823"/>
      <c r="E34" s="693">
        <v>100654</v>
      </c>
      <c r="F34" s="46">
        <v>3</v>
      </c>
    </row>
    <row r="35" spans="1:6">
      <c r="A35" s="821" t="s">
        <v>61</v>
      </c>
      <c r="B35" s="822" t="s">
        <v>74</v>
      </c>
      <c r="C35" s="824" t="s">
        <v>87</v>
      </c>
      <c r="D35" s="823"/>
      <c r="E35" s="693">
        <v>100654</v>
      </c>
      <c r="F35" s="46">
        <v>3</v>
      </c>
    </row>
    <row r="36" spans="1:6">
      <c r="A36" s="821" t="s">
        <v>61</v>
      </c>
      <c r="B36" s="822" t="s">
        <v>74</v>
      </c>
      <c r="C36" s="825" t="s">
        <v>88</v>
      </c>
      <c r="D36" s="823"/>
      <c r="E36" s="693">
        <v>100654</v>
      </c>
      <c r="F36" s="46">
        <v>3</v>
      </c>
    </row>
    <row r="37" spans="1:6">
      <c r="A37" s="821" t="s">
        <v>61</v>
      </c>
      <c r="B37" s="822" t="s">
        <v>62</v>
      </c>
      <c r="C37" s="826" t="s">
        <v>89</v>
      </c>
      <c r="D37" s="827"/>
      <c r="E37" s="693">
        <v>101480</v>
      </c>
      <c r="F37" s="46">
        <v>3</v>
      </c>
    </row>
    <row r="38" spans="1:6">
      <c r="A38" s="821" t="s">
        <v>61</v>
      </c>
      <c r="B38" s="822" t="s">
        <v>69</v>
      </c>
      <c r="C38" s="824" t="s">
        <v>70</v>
      </c>
      <c r="D38" s="823"/>
      <c r="E38" s="693">
        <v>101480</v>
      </c>
      <c r="F38" s="46">
        <v>3</v>
      </c>
    </row>
    <row r="39" spans="1:6">
      <c r="A39" s="821" t="s">
        <v>61</v>
      </c>
      <c r="B39" s="822" t="s">
        <v>71</v>
      </c>
      <c r="C39" s="824" t="s">
        <v>72</v>
      </c>
      <c r="D39" s="823"/>
      <c r="E39" s="693">
        <v>101480</v>
      </c>
      <c r="F39" s="46">
        <v>3</v>
      </c>
    </row>
    <row r="40" spans="1:6">
      <c r="A40" s="821" t="s">
        <v>61</v>
      </c>
      <c r="B40" s="822" t="s">
        <v>71</v>
      </c>
      <c r="C40" s="825" t="s">
        <v>73</v>
      </c>
      <c r="D40" s="823"/>
      <c r="E40" s="693">
        <v>101480</v>
      </c>
      <c r="F40" s="46">
        <v>3</v>
      </c>
    </row>
    <row r="41" spans="1:6">
      <c r="A41" s="821" t="s">
        <v>61</v>
      </c>
      <c r="B41" s="822" t="s">
        <v>78</v>
      </c>
      <c r="C41" s="824" t="s">
        <v>79</v>
      </c>
      <c r="D41" s="823"/>
      <c r="E41" s="693">
        <v>101480</v>
      </c>
      <c r="F41" s="46">
        <v>3</v>
      </c>
    </row>
    <row r="42" spans="1:6">
      <c r="A42" s="821" t="s">
        <v>61</v>
      </c>
      <c r="B42" s="822" t="s">
        <v>62</v>
      </c>
      <c r="C42" s="826" t="s">
        <v>90</v>
      </c>
      <c r="D42" s="827"/>
      <c r="E42" s="693">
        <v>102368</v>
      </c>
      <c r="F42" s="46">
        <v>3</v>
      </c>
    </row>
    <row r="43" spans="1:6">
      <c r="A43" s="821" t="s">
        <v>61</v>
      </c>
      <c r="B43" s="822" t="s">
        <v>69</v>
      </c>
      <c r="C43" s="824" t="s">
        <v>70</v>
      </c>
      <c r="D43" s="823"/>
      <c r="E43" s="693">
        <v>102368</v>
      </c>
      <c r="F43" s="46">
        <v>3</v>
      </c>
    </row>
    <row r="44" spans="1:6">
      <c r="A44" s="821" t="s">
        <v>61</v>
      </c>
      <c r="B44" s="822" t="s">
        <v>71</v>
      </c>
      <c r="C44" s="824" t="s">
        <v>72</v>
      </c>
      <c r="D44" s="823"/>
      <c r="E44" s="693">
        <v>102368</v>
      </c>
      <c r="F44" s="46">
        <v>3</v>
      </c>
    </row>
    <row r="45" spans="1:6">
      <c r="A45" s="821" t="s">
        <v>61</v>
      </c>
      <c r="B45" s="822" t="s">
        <v>71</v>
      </c>
      <c r="C45" s="825" t="s">
        <v>73</v>
      </c>
      <c r="D45" s="823"/>
      <c r="E45" s="693">
        <v>102368</v>
      </c>
      <c r="F45" s="46">
        <v>3</v>
      </c>
    </row>
    <row r="46" spans="1:6">
      <c r="A46" s="821" t="s">
        <v>61</v>
      </c>
      <c r="B46" s="822" t="s">
        <v>62</v>
      </c>
      <c r="C46" s="826" t="s">
        <v>94</v>
      </c>
      <c r="D46" s="829"/>
      <c r="E46" s="693">
        <v>101879</v>
      </c>
      <c r="F46" s="46">
        <v>3</v>
      </c>
    </row>
    <row r="47" spans="1:6">
      <c r="A47" s="821" t="s">
        <v>61</v>
      </c>
      <c r="B47" s="822" t="s">
        <v>71</v>
      </c>
      <c r="C47" s="824" t="s">
        <v>72</v>
      </c>
      <c r="D47" s="823"/>
      <c r="E47" s="693">
        <v>101879</v>
      </c>
      <c r="F47" s="46">
        <v>3</v>
      </c>
    </row>
    <row r="48" spans="1:6">
      <c r="A48" s="821" t="s">
        <v>61</v>
      </c>
      <c r="B48" s="822" t="s">
        <v>71</v>
      </c>
      <c r="C48" s="825" t="s">
        <v>73</v>
      </c>
      <c r="D48" s="823"/>
      <c r="E48" s="693">
        <v>101879</v>
      </c>
      <c r="F48" s="46">
        <v>3</v>
      </c>
    </row>
    <row r="49" spans="1:6">
      <c r="A49" s="821" t="s">
        <v>61</v>
      </c>
      <c r="B49" s="822" t="s">
        <v>62</v>
      </c>
      <c r="C49" s="826" t="s">
        <v>92</v>
      </c>
      <c r="D49" s="830"/>
      <c r="E49" s="693">
        <v>100724</v>
      </c>
      <c r="F49" s="46">
        <v>4</v>
      </c>
    </row>
    <row r="50" spans="1:6">
      <c r="A50" s="821" t="s">
        <v>61</v>
      </c>
      <c r="B50" s="822" t="s">
        <v>69</v>
      </c>
      <c r="C50" s="824" t="s">
        <v>70</v>
      </c>
      <c r="D50" s="823"/>
      <c r="E50" s="693">
        <v>100724</v>
      </c>
      <c r="F50" s="46">
        <v>4</v>
      </c>
    </row>
    <row r="51" spans="1:6">
      <c r="A51" s="821" t="s">
        <v>61</v>
      </c>
      <c r="B51" s="822" t="s">
        <v>71</v>
      </c>
      <c r="C51" s="824" t="s">
        <v>72</v>
      </c>
      <c r="D51" s="823"/>
      <c r="E51" s="693">
        <v>100724</v>
      </c>
      <c r="F51" s="46">
        <v>4</v>
      </c>
    </row>
    <row r="52" spans="1:6">
      <c r="A52" s="821" t="s">
        <v>61</v>
      </c>
      <c r="B52" s="822" t="s">
        <v>71</v>
      </c>
      <c r="C52" s="825" t="s">
        <v>73</v>
      </c>
      <c r="D52" s="823"/>
      <c r="E52" s="693">
        <v>100724</v>
      </c>
      <c r="F52" s="46">
        <v>4</v>
      </c>
    </row>
    <row r="53" spans="1:6">
      <c r="A53" s="821" t="s">
        <v>61</v>
      </c>
      <c r="B53" s="822" t="s">
        <v>62</v>
      </c>
      <c r="C53" s="826" t="s">
        <v>93</v>
      </c>
      <c r="D53" s="832" t="s">
        <v>1781</v>
      </c>
      <c r="E53" s="833">
        <v>100830</v>
      </c>
      <c r="F53" s="834">
        <v>3</v>
      </c>
    </row>
    <row r="54" spans="1:6">
      <c r="A54" s="821" t="s">
        <v>61</v>
      </c>
      <c r="B54" s="822" t="s">
        <v>69</v>
      </c>
      <c r="C54" s="824" t="s">
        <v>70</v>
      </c>
      <c r="D54" s="823"/>
      <c r="E54" s="693">
        <v>100830</v>
      </c>
      <c r="F54" s="46">
        <v>4</v>
      </c>
    </row>
    <row r="55" spans="1:6">
      <c r="A55" s="821" t="s">
        <v>61</v>
      </c>
      <c r="B55" s="822" t="s">
        <v>62</v>
      </c>
      <c r="C55" s="826" t="s">
        <v>95</v>
      </c>
      <c r="D55" s="827"/>
      <c r="E55" s="693">
        <v>101709</v>
      </c>
      <c r="F55" s="46">
        <v>5</v>
      </c>
    </row>
    <row r="56" spans="1:6">
      <c r="A56" s="821" t="s">
        <v>61</v>
      </c>
      <c r="B56" s="822" t="s">
        <v>69</v>
      </c>
      <c r="C56" s="824" t="s">
        <v>70</v>
      </c>
      <c r="D56" s="827"/>
      <c r="E56" s="693">
        <v>101709</v>
      </c>
      <c r="F56" s="46">
        <v>5</v>
      </c>
    </row>
    <row r="57" spans="1:6">
      <c r="A57" s="821" t="s">
        <v>61</v>
      </c>
      <c r="B57" s="822" t="s">
        <v>71</v>
      </c>
      <c r="C57" s="824" t="s">
        <v>72</v>
      </c>
      <c r="D57" s="823"/>
      <c r="E57" s="693">
        <v>101709</v>
      </c>
      <c r="F57" s="46">
        <v>5</v>
      </c>
    </row>
    <row r="58" spans="1:6">
      <c r="A58" s="821" t="s">
        <v>61</v>
      </c>
      <c r="B58" s="822" t="s">
        <v>71</v>
      </c>
      <c r="C58" s="825" t="s">
        <v>73</v>
      </c>
      <c r="D58" s="823"/>
      <c r="E58" s="693">
        <v>101709</v>
      </c>
      <c r="F58" s="46">
        <v>5</v>
      </c>
    </row>
    <row r="59" spans="1:6">
      <c r="A59" s="821" t="s">
        <v>61</v>
      </c>
      <c r="B59" s="822" t="s">
        <v>62</v>
      </c>
      <c r="C59" s="826" t="s">
        <v>96</v>
      </c>
      <c r="D59" s="832" t="s">
        <v>1782</v>
      </c>
      <c r="E59" s="833">
        <v>101587</v>
      </c>
      <c r="F59" s="835">
        <v>4</v>
      </c>
    </row>
    <row r="60" spans="1:6">
      <c r="A60" s="821" t="s">
        <v>61</v>
      </c>
      <c r="B60" s="822" t="s">
        <v>69</v>
      </c>
      <c r="C60" s="824" t="s">
        <v>70</v>
      </c>
      <c r="D60" s="823"/>
      <c r="E60" s="693">
        <v>101587</v>
      </c>
      <c r="F60" s="46">
        <v>5</v>
      </c>
    </row>
    <row r="61" spans="1:6">
      <c r="A61" s="821" t="s">
        <v>61</v>
      </c>
      <c r="B61" s="822" t="s">
        <v>71</v>
      </c>
      <c r="C61" s="824" t="s">
        <v>73</v>
      </c>
      <c r="D61" s="823"/>
      <c r="E61" s="693">
        <v>101587</v>
      </c>
      <c r="F61" s="836">
        <v>5</v>
      </c>
    </row>
    <row r="62" spans="1:6">
      <c r="A62" s="821" t="s">
        <v>61</v>
      </c>
      <c r="B62" s="822" t="s">
        <v>62</v>
      </c>
      <c r="C62" s="826" t="s">
        <v>97</v>
      </c>
      <c r="D62" s="830" t="s">
        <v>1794</v>
      </c>
      <c r="E62" s="693">
        <v>100812</v>
      </c>
      <c r="F62" s="46">
        <v>6</v>
      </c>
    </row>
    <row r="63" spans="1:6">
      <c r="A63" s="821" t="s">
        <v>61</v>
      </c>
      <c r="B63" s="822" t="s">
        <v>69</v>
      </c>
      <c r="C63" s="824" t="s">
        <v>70</v>
      </c>
      <c r="D63" s="827"/>
      <c r="E63" s="693">
        <v>100812</v>
      </c>
      <c r="F63" s="46">
        <v>6</v>
      </c>
    </row>
    <row r="64" spans="1:6">
      <c r="A64" s="821" t="s">
        <v>61</v>
      </c>
      <c r="B64" s="822" t="s">
        <v>71</v>
      </c>
      <c r="C64" s="824" t="s">
        <v>72</v>
      </c>
      <c r="D64" s="823"/>
      <c r="E64" s="693">
        <v>100812</v>
      </c>
      <c r="F64" s="46">
        <v>6</v>
      </c>
    </row>
    <row r="65" spans="1:6">
      <c r="A65" s="821" t="s">
        <v>61</v>
      </c>
      <c r="B65" s="822" t="s">
        <v>71</v>
      </c>
      <c r="C65" s="825" t="s">
        <v>73</v>
      </c>
      <c r="D65" s="823"/>
      <c r="E65" s="693">
        <v>100812</v>
      </c>
      <c r="F65" s="46">
        <v>6</v>
      </c>
    </row>
    <row r="66" spans="1:6">
      <c r="A66" s="821" t="s">
        <v>61</v>
      </c>
      <c r="B66" s="822" t="s">
        <v>62</v>
      </c>
      <c r="C66" s="826" t="s">
        <v>98</v>
      </c>
      <c r="D66" s="827"/>
      <c r="E66" s="693">
        <v>101505</v>
      </c>
      <c r="F66" s="46">
        <v>8</v>
      </c>
    </row>
    <row r="67" spans="1:6">
      <c r="A67" s="821" t="s">
        <v>61</v>
      </c>
      <c r="B67" s="822" t="s">
        <v>99</v>
      </c>
      <c r="C67" s="824" t="s">
        <v>100</v>
      </c>
      <c r="D67" s="827"/>
      <c r="E67" s="693">
        <v>101505</v>
      </c>
      <c r="F67" s="46">
        <v>8</v>
      </c>
    </row>
    <row r="68" spans="1:6">
      <c r="A68" s="821" t="s">
        <v>61</v>
      </c>
      <c r="B68" s="822" t="s">
        <v>62</v>
      </c>
      <c r="C68" s="826" t="s">
        <v>1048</v>
      </c>
      <c r="D68" s="827"/>
      <c r="E68" s="693">
        <v>101514</v>
      </c>
      <c r="F68" s="46">
        <v>8</v>
      </c>
    </row>
    <row r="69" spans="1:6">
      <c r="A69" s="821" t="s">
        <v>61</v>
      </c>
      <c r="B69" s="822" t="s">
        <v>99</v>
      </c>
      <c r="C69" s="824" t="s">
        <v>100</v>
      </c>
      <c r="D69" s="823"/>
      <c r="E69" s="693">
        <v>101514</v>
      </c>
      <c r="F69" s="46">
        <v>8</v>
      </c>
    </row>
    <row r="70" spans="1:6">
      <c r="A70" s="821" t="s">
        <v>61</v>
      </c>
      <c r="B70" s="822" t="s">
        <v>62</v>
      </c>
      <c r="C70" s="826" t="s">
        <v>101</v>
      </c>
      <c r="D70" s="827"/>
      <c r="E70" s="693">
        <v>102429</v>
      </c>
      <c r="F70" s="46">
        <v>9</v>
      </c>
    </row>
    <row r="71" spans="1:6">
      <c r="A71" s="821" t="s">
        <v>61</v>
      </c>
      <c r="B71" s="822" t="s">
        <v>99</v>
      </c>
      <c r="C71" s="824" t="s">
        <v>100</v>
      </c>
      <c r="D71" s="823"/>
      <c r="E71" s="693">
        <v>102429</v>
      </c>
      <c r="F71" s="46">
        <v>9</v>
      </c>
    </row>
    <row r="72" spans="1:6">
      <c r="A72" s="821" t="s">
        <v>61</v>
      </c>
      <c r="B72" s="822" t="s">
        <v>62</v>
      </c>
      <c r="C72" s="826" t="s">
        <v>102</v>
      </c>
      <c r="D72" s="830" t="s">
        <v>1795</v>
      </c>
      <c r="E72" s="693">
        <v>102030</v>
      </c>
      <c r="F72" s="46">
        <v>9</v>
      </c>
    </row>
    <row r="73" spans="1:6">
      <c r="A73" s="821" t="s">
        <v>61</v>
      </c>
      <c r="B73" s="822" t="s">
        <v>99</v>
      </c>
      <c r="C73" s="824" t="s">
        <v>100</v>
      </c>
      <c r="D73" s="823"/>
      <c r="E73" s="693">
        <v>102030</v>
      </c>
      <c r="F73" s="46">
        <v>9</v>
      </c>
    </row>
    <row r="74" spans="1:6">
      <c r="A74" s="821" t="s">
        <v>61</v>
      </c>
      <c r="B74" s="822" t="s">
        <v>62</v>
      </c>
      <c r="C74" s="826" t="s">
        <v>1049</v>
      </c>
      <c r="D74" s="832" t="s">
        <v>1783</v>
      </c>
      <c r="E74" s="833">
        <v>101161</v>
      </c>
      <c r="F74" s="835">
        <v>8</v>
      </c>
    </row>
    <row r="75" spans="1:6">
      <c r="A75" s="821" t="s">
        <v>61</v>
      </c>
      <c r="B75" s="822" t="s">
        <v>99</v>
      </c>
      <c r="C75" s="824" t="s">
        <v>100</v>
      </c>
      <c r="D75" s="823"/>
      <c r="E75" s="693">
        <v>101161</v>
      </c>
      <c r="F75" s="46">
        <v>9</v>
      </c>
    </row>
    <row r="76" spans="1:6">
      <c r="A76" s="821" t="s">
        <v>61</v>
      </c>
      <c r="B76" s="822" t="s">
        <v>62</v>
      </c>
      <c r="C76" s="828" t="s">
        <v>104</v>
      </c>
      <c r="D76" s="829"/>
      <c r="E76" s="693">
        <v>101240</v>
      </c>
      <c r="F76" s="46">
        <v>9</v>
      </c>
    </row>
    <row r="77" spans="1:6">
      <c r="A77" s="821" t="s">
        <v>61</v>
      </c>
      <c r="B77" s="822" t="s">
        <v>99</v>
      </c>
      <c r="C77" s="824" t="s">
        <v>100</v>
      </c>
      <c r="D77" s="823"/>
      <c r="E77" s="693">
        <v>101240</v>
      </c>
      <c r="F77" s="46">
        <v>9</v>
      </c>
    </row>
    <row r="78" spans="1:6">
      <c r="A78" s="821" t="s">
        <v>61</v>
      </c>
      <c r="B78" s="822" t="s">
        <v>62</v>
      </c>
      <c r="C78" s="826" t="s">
        <v>105</v>
      </c>
      <c r="D78" s="827"/>
      <c r="E78" s="693">
        <v>101286</v>
      </c>
      <c r="F78" s="46">
        <v>9</v>
      </c>
    </row>
    <row r="79" spans="1:6">
      <c r="A79" s="821" t="s">
        <v>61</v>
      </c>
      <c r="B79" s="822" t="s">
        <v>99</v>
      </c>
      <c r="C79" s="824" t="s">
        <v>100</v>
      </c>
      <c r="D79" s="823"/>
      <c r="E79" s="693">
        <v>101286</v>
      </c>
      <c r="F79" s="46">
        <v>9</v>
      </c>
    </row>
    <row r="80" spans="1:6">
      <c r="A80" s="821" t="s">
        <v>61</v>
      </c>
      <c r="B80" s="822" t="s">
        <v>62</v>
      </c>
      <c r="C80" s="826" t="s">
        <v>106</v>
      </c>
      <c r="D80" s="827"/>
      <c r="E80" s="693">
        <v>101569</v>
      </c>
      <c r="F80" s="46">
        <v>9</v>
      </c>
    </row>
    <row r="81" spans="1:6">
      <c r="A81" s="821" t="s">
        <v>61</v>
      </c>
      <c r="B81" s="822" t="s">
        <v>99</v>
      </c>
      <c r="C81" s="824" t="s">
        <v>100</v>
      </c>
      <c r="D81" s="823"/>
      <c r="E81" s="693">
        <v>101569</v>
      </c>
      <c r="F81" s="46">
        <v>9</v>
      </c>
    </row>
    <row r="82" spans="1:6">
      <c r="A82" s="821" t="s">
        <v>61</v>
      </c>
      <c r="B82" s="822" t="s">
        <v>62</v>
      </c>
      <c r="C82" s="826" t="s">
        <v>107</v>
      </c>
      <c r="D82" s="827"/>
      <c r="E82" s="693">
        <v>101736</v>
      </c>
      <c r="F82" s="46">
        <v>9</v>
      </c>
    </row>
    <row r="83" spans="1:6">
      <c r="A83" s="821" t="s">
        <v>61</v>
      </c>
      <c r="B83" s="822" t="s">
        <v>99</v>
      </c>
      <c r="C83" s="824" t="s">
        <v>100</v>
      </c>
      <c r="D83" s="823"/>
      <c r="E83" s="693">
        <v>101736</v>
      </c>
      <c r="F83" s="46">
        <v>9</v>
      </c>
    </row>
    <row r="84" spans="1:6">
      <c r="A84" s="821" t="s">
        <v>61</v>
      </c>
      <c r="B84" s="822" t="s">
        <v>62</v>
      </c>
      <c r="C84" s="828" t="s">
        <v>108</v>
      </c>
      <c r="D84" s="830"/>
      <c r="E84" s="693">
        <v>102067</v>
      </c>
      <c r="F84" s="46">
        <v>9</v>
      </c>
    </row>
    <row r="85" spans="1:6">
      <c r="A85" s="821" t="s">
        <v>61</v>
      </c>
      <c r="B85" s="822" t="s">
        <v>99</v>
      </c>
      <c r="C85" s="824" t="s">
        <v>100</v>
      </c>
      <c r="D85" s="823"/>
      <c r="E85" s="693">
        <v>102067</v>
      </c>
      <c r="F85" s="46">
        <v>9</v>
      </c>
    </row>
    <row r="86" spans="1:6">
      <c r="A86" s="821" t="s">
        <v>61</v>
      </c>
      <c r="B86" s="822" t="s">
        <v>62</v>
      </c>
      <c r="C86" s="826" t="s">
        <v>109</v>
      </c>
      <c r="D86" s="827"/>
      <c r="E86" s="693">
        <v>251260</v>
      </c>
      <c r="F86" s="46">
        <v>9</v>
      </c>
    </row>
    <row r="87" spans="1:6">
      <c r="A87" s="821" t="s">
        <v>61</v>
      </c>
      <c r="B87" s="822" t="s">
        <v>99</v>
      </c>
      <c r="C87" s="824" t="s">
        <v>100</v>
      </c>
      <c r="D87" s="823"/>
      <c r="E87" s="693">
        <v>251260</v>
      </c>
      <c r="F87" s="46">
        <v>9</v>
      </c>
    </row>
    <row r="88" spans="1:6">
      <c r="A88" s="821" t="s">
        <v>61</v>
      </c>
      <c r="B88" s="822" t="s">
        <v>62</v>
      </c>
      <c r="C88" s="826" t="s">
        <v>1050</v>
      </c>
      <c r="D88" s="829"/>
      <c r="E88" s="693">
        <v>101295</v>
      </c>
      <c r="F88" s="46">
        <v>9</v>
      </c>
    </row>
    <row r="89" spans="1:6">
      <c r="A89" s="821" t="s">
        <v>61</v>
      </c>
      <c r="B89" s="822" t="s">
        <v>99</v>
      </c>
      <c r="C89" s="824" t="s">
        <v>100</v>
      </c>
      <c r="D89" s="823"/>
      <c r="E89" s="693">
        <v>101295</v>
      </c>
      <c r="F89" s="46">
        <v>9</v>
      </c>
    </row>
    <row r="90" spans="1:6">
      <c r="A90" s="821" t="s">
        <v>61</v>
      </c>
      <c r="B90" s="822" t="s">
        <v>62</v>
      </c>
      <c r="C90" s="822" t="s">
        <v>103</v>
      </c>
      <c r="D90" s="829"/>
      <c r="E90" s="693">
        <v>101143</v>
      </c>
      <c r="F90" s="46">
        <v>10</v>
      </c>
    </row>
    <row r="91" spans="1:6">
      <c r="A91" s="821" t="s">
        <v>61</v>
      </c>
      <c r="B91" s="822" t="s">
        <v>99</v>
      </c>
      <c r="C91" s="824" t="s">
        <v>100</v>
      </c>
      <c r="D91" s="823"/>
      <c r="E91" s="693">
        <v>101143</v>
      </c>
      <c r="F91" s="46">
        <v>10</v>
      </c>
    </row>
    <row r="92" spans="1:6">
      <c r="A92" s="821" t="s">
        <v>61</v>
      </c>
      <c r="B92" s="822" t="s">
        <v>62</v>
      </c>
      <c r="C92" s="828" t="s">
        <v>110</v>
      </c>
      <c r="D92" s="829"/>
      <c r="E92" s="693">
        <v>100760</v>
      </c>
      <c r="F92" s="46">
        <v>10</v>
      </c>
    </row>
    <row r="93" spans="1:6">
      <c r="A93" s="821" t="s">
        <v>61</v>
      </c>
      <c r="B93" s="822" t="s">
        <v>99</v>
      </c>
      <c r="C93" s="824" t="s">
        <v>100</v>
      </c>
      <c r="D93" s="823"/>
      <c r="E93" s="693">
        <v>100760</v>
      </c>
      <c r="F93" s="46">
        <v>10</v>
      </c>
    </row>
    <row r="94" spans="1:6">
      <c r="A94" s="821" t="s">
        <v>61</v>
      </c>
      <c r="B94" s="822" t="s">
        <v>62</v>
      </c>
      <c r="C94" s="826" t="s">
        <v>1051</v>
      </c>
      <c r="D94" s="827"/>
      <c r="E94" s="693">
        <v>101028</v>
      </c>
      <c r="F94" s="46">
        <v>10</v>
      </c>
    </row>
    <row r="95" spans="1:6">
      <c r="A95" s="821" t="s">
        <v>61</v>
      </c>
      <c r="B95" s="822" t="s">
        <v>99</v>
      </c>
      <c r="C95" s="824" t="s">
        <v>100</v>
      </c>
      <c r="D95" s="823"/>
      <c r="E95" s="693">
        <v>101028</v>
      </c>
      <c r="F95" s="46">
        <v>10</v>
      </c>
    </row>
    <row r="96" spans="1:6">
      <c r="A96" s="821" t="s">
        <v>61</v>
      </c>
      <c r="B96" s="822" t="s">
        <v>62</v>
      </c>
      <c r="C96" s="826" t="s">
        <v>111</v>
      </c>
      <c r="D96" s="830"/>
      <c r="E96" s="693">
        <v>101301</v>
      </c>
      <c r="F96" s="46">
        <v>10</v>
      </c>
    </row>
    <row r="97" spans="1:6">
      <c r="A97" s="821" t="s">
        <v>61</v>
      </c>
      <c r="B97" s="822" t="s">
        <v>99</v>
      </c>
      <c r="C97" s="824" t="s">
        <v>100</v>
      </c>
      <c r="D97" s="823"/>
      <c r="E97" s="693">
        <v>101301</v>
      </c>
      <c r="F97" s="46">
        <v>10</v>
      </c>
    </row>
    <row r="98" spans="1:6">
      <c r="A98" s="821" t="s">
        <v>61</v>
      </c>
      <c r="B98" s="822" t="s">
        <v>62</v>
      </c>
      <c r="C98" s="826" t="s">
        <v>112</v>
      </c>
      <c r="D98" s="827"/>
      <c r="E98" s="693">
        <v>101602</v>
      </c>
      <c r="F98" s="46">
        <v>10</v>
      </c>
    </row>
    <row r="99" spans="1:6">
      <c r="A99" s="821" t="s">
        <v>61</v>
      </c>
      <c r="B99" s="822" t="s">
        <v>99</v>
      </c>
      <c r="C99" s="824" t="s">
        <v>100</v>
      </c>
      <c r="D99" s="823"/>
      <c r="E99" s="693">
        <v>101602</v>
      </c>
      <c r="F99" s="46">
        <v>10</v>
      </c>
    </row>
    <row r="100" spans="1:6">
      <c r="A100" s="821" t="s">
        <v>61</v>
      </c>
      <c r="B100" s="822" t="s">
        <v>62</v>
      </c>
      <c r="C100" s="837" t="s">
        <v>1052</v>
      </c>
      <c r="D100" s="838" t="s">
        <v>1425</v>
      </c>
      <c r="E100" s="693">
        <v>101897</v>
      </c>
      <c r="F100" s="46">
        <v>10</v>
      </c>
    </row>
    <row r="101" spans="1:6">
      <c r="A101" s="821" t="s">
        <v>61</v>
      </c>
      <c r="B101" s="822" t="s">
        <v>99</v>
      </c>
      <c r="C101" s="824" t="s">
        <v>100</v>
      </c>
      <c r="D101" s="823"/>
      <c r="E101" s="693">
        <v>101897</v>
      </c>
      <c r="F101" s="46">
        <v>10</v>
      </c>
    </row>
    <row r="102" spans="1:6">
      <c r="A102" s="821" t="s">
        <v>61</v>
      </c>
      <c r="B102" s="822" t="s">
        <v>62</v>
      </c>
      <c r="C102" s="828" t="s">
        <v>113</v>
      </c>
      <c r="D102" s="838" t="s">
        <v>1425</v>
      </c>
      <c r="E102" s="693">
        <v>102076</v>
      </c>
      <c r="F102" s="46">
        <v>10</v>
      </c>
    </row>
    <row r="103" spans="1:6">
      <c r="A103" s="821" t="s">
        <v>61</v>
      </c>
      <c r="B103" s="822" t="s">
        <v>99</v>
      </c>
      <c r="C103" s="824" t="s">
        <v>100</v>
      </c>
      <c r="D103" s="823"/>
      <c r="E103" s="693">
        <v>102076</v>
      </c>
      <c r="F103" s="46">
        <v>10</v>
      </c>
    </row>
    <row r="104" spans="1:6">
      <c r="A104" s="821" t="s">
        <v>61</v>
      </c>
      <c r="B104" s="822" t="s">
        <v>62</v>
      </c>
      <c r="C104" s="826" t="s">
        <v>1053</v>
      </c>
      <c r="D104" s="827"/>
      <c r="E104" s="693">
        <v>102313</v>
      </c>
      <c r="F104" s="46">
        <v>12</v>
      </c>
    </row>
    <row r="105" spans="1:6">
      <c r="A105" s="821" t="s">
        <v>61</v>
      </c>
      <c r="B105" s="822" t="s">
        <v>99</v>
      </c>
      <c r="C105" s="824" t="s">
        <v>100</v>
      </c>
      <c r="D105" s="823"/>
      <c r="E105" s="693">
        <v>102313</v>
      </c>
      <c r="F105" s="46">
        <v>12</v>
      </c>
    </row>
    <row r="106" spans="1:6">
      <c r="A106" s="821" t="s">
        <v>61</v>
      </c>
      <c r="B106" s="822" t="s">
        <v>62</v>
      </c>
      <c r="C106" s="828" t="s">
        <v>1054</v>
      </c>
      <c r="D106" s="830"/>
      <c r="E106" s="693">
        <v>101462</v>
      </c>
      <c r="F106" s="46">
        <v>13</v>
      </c>
    </row>
    <row r="107" spans="1:6">
      <c r="A107" s="821" t="s">
        <v>61</v>
      </c>
      <c r="B107" s="822" t="s">
        <v>99</v>
      </c>
      <c r="C107" s="824" t="s">
        <v>100</v>
      </c>
      <c r="D107" s="823"/>
      <c r="E107" s="693">
        <v>101462</v>
      </c>
      <c r="F107" s="46">
        <v>13</v>
      </c>
    </row>
    <row r="108" spans="1:6">
      <c r="A108" s="821" t="s">
        <v>61</v>
      </c>
      <c r="B108" s="822" t="s">
        <v>62</v>
      </c>
      <c r="C108" s="826" t="s">
        <v>114</v>
      </c>
      <c r="D108" s="827"/>
      <c r="E108" s="693">
        <v>101471</v>
      </c>
      <c r="F108" s="46">
        <v>13</v>
      </c>
    </row>
    <row r="109" spans="1:6">
      <c r="A109" s="821" t="s">
        <v>61</v>
      </c>
      <c r="B109" s="822" t="s">
        <v>99</v>
      </c>
      <c r="C109" s="824" t="s">
        <v>100</v>
      </c>
      <c r="D109" s="823"/>
      <c r="E109" s="693">
        <v>101471</v>
      </c>
      <c r="F109" s="46">
        <v>13</v>
      </c>
    </row>
    <row r="110" spans="1:6">
      <c r="A110" s="821" t="s">
        <v>61</v>
      </c>
      <c r="B110" s="822" t="s">
        <v>62</v>
      </c>
      <c r="C110" s="826" t="s">
        <v>115</v>
      </c>
      <c r="D110" s="827"/>
      <c r="E110" s="693">
        <v>101994</v>
      </c>
      <c r="F110" s="46">
        <v>13</v>
      </c>
    </row>
    <row r="111" spans="1:6">
      <c r="A111" s="821" t="s">
        <v>61</v>
      </c>
      <c r="B111" s="822" t="s">
        <v>99</v>
      </c>
      <c r="C111" s="824" t="s">
        <v>100</v>
      </c>
      <c r="D111" s="823"/>
      <c r="E111" s="693">
        <v>101994</v>
      </c>
      <c r="F111" s="46">
        <v>13</v>
      </c>
    </row>
    <row r="112" spans="1:6">
      <c r="A112" s="821" t="s">
        <v>61</v>
      </c>
      <c r="B112" s="822" t="s">
        <v>116</v>
      </c>
      <c r="C112" s="822" t="s">
        <v>117</v>
      </c>
      <c r="D112" s="839"/>
      <c r="E112" s="693">
        <v>101648</v>
      </c>
      <c r="F112" s="46">
        <v>15</v>
      </c>
    </row>
    <row r="113" spans="1:6">
      <c r="A113" s="821" t="s">
        <v>61</v>
      </c>
      <c r="B113" s="822" t="s">
        <v>118</v>
      </c>
      <c r="C113" s="827" t="s">
        <v>119</v>
      </c>
      <c r="D113" s="827"/>
      <c r="E113" s="833"/>
      <c r="F113" s="840">
        <v>99</v>
      </c>
    </row>
    <row r="114" spans="1:6">
      <c r="A114" s="821" t="s">
        <v>61</v>
      </c>
      <c r="B114" s="822" t="s">
        <v>120</v>
      </c>
      <c r="C114" s="824" t="s">
        <v>79</v>
      </c>
      <c r="D114" s="823"/>
      <c r="E114" s="841"/>
      <c r="F114" s="840">
        <v>99</v>
      </c>
    </row>
    <row r="115" spans="1:6">
      <c r="A115" s="821" t="s">
        <v>61</v>
      </c>
      <c r="B115" s="822" t="s">
        <v>120</v>
      </c>
      <c r="C115" s="825" t="s">
        <v>121</v>
      </c>
      <c r="D115" s="823"/>
      <c r="E115" s="841"/>
      <c r="F115" s="840">
        <v>99</v>
      </c>
    </row>
    <row r="116" spans="1:6">
      <c r="A116" s="821" t="s">
        <v>61</v>
      </c>
      <c r="B116" s="822" t="s">
        <v>120</v>
      </c>
      <c r="C116" s="825" t="s">
        <v>122</v>
      </c>
      <c r="D116" s="823"/>
      <c r="E116" s="841"/>
      <c r="F116" s="840">
        <v>99</v>
      </c>
    </row>
    <row r="117" spans="1:6">
      <c r="A117" s="821" t="s">
        <v>61</v>
      </c>
      <c r="B117" s="822" t="s">
        <v>123</v>
      </c>
      <c r="C117" s="824" t="s">
        <v>100</v>
      </c>
      <c r="D117" s="823"/>
      <c r="E117" s="841"/>
      <c r="F117" s="840">
        <v>99</v>
      </c>
    </row>
    <row r="118" spans="1:6">
      <c r="A118" s="821" t="s">
        <v>61</v>
      </c>
      <c r="B118" s="822" t="s">
        <v>123</v>
      </c>
      <c r="C118" s="825" t="s">
        <v>124</v>
      </c>
      <c r="D118" s="823"/>
      <c r="E118" s="841"/>
      <c r="F118" s="840">
        <v>99</v>
      </c>
    </row>
    <row r="119" spans="1:6">
      <c r="A119" s="821" t="s">
        <v>61</v>
      </c>
      <c r="B119" s="822" t="s">
        <v>123</v>
      </c>
      <c r="C119" s="825" t="s">
        <v>88</v>
      </c>
      <c r="D119" s="823"/>
      <c r="E119" s="841"/>
      <c r="F119" s="840">
        <v>99</v>
      </c>
    </row>
    <row r="120" spans="1:6">
      <c r="A120" s="821" t="s">
        <v>61</v>
      </c>
      <c r="B120" s="822" t="s">
        <v>123</v>
      </c>
      <c r="C120" s="825" t="s">
        <v>125</v>
      </c>
      <c r="D120" s="823"/>
      <c r="E120" s="833"/>
      <c r="F120" s="840">
        <v>99</v>
      </c>
    </row>
    <row r="121" spans="1:6">
      <c r="A121" s="821" t="s">
        <v>61</v>
      </c>
      <c r="B121" s="822" t="s">
        <v>123</v>
      </c>
      <c r="C121" s="824" t="s">
        <v>126</v>
      </c>
      <c r="D121" s="823"/>
      <c r="E121" s="841"/>
      <c r="F121" s="840">
        <v>99</v>
      </c>
    </row>
    <row r="122" spans="1:6">
      <c r="A122" s="821" t="s">
        <v>61</v>
      </c>
      <c r="B122" s="822" t="s">
        <v>123</v>
      </c>
      <c r="C122" s="825" t="s">
        <v>127</v>
      </c>
      <c r="D122" s="823"/>
      <c r="E122" s="841"/>
      <c r="F122" s="840">
        <v>99</v>
      </c>
    </row>
    <row r="123" spans="1:6">
      <c r="A123" s="821" t="s">
        <v>61</v>
      </c>
      <c r="B123" s="822" t="s">
        <v>123</v>
      </c>
      <c r="C123" s="825" t="s">
        <v>128</v>
      </c>
      <c r="D123" s="823"/>
      <c r="E123" s="833"/>
      <c r="F123" s="840">
        <v>99</v>
      </c>
    </row>
    <row r="124" spans="1:6">
      <c r="A124" s="821" t="s">
        <v>61</v>
      </c>
      <c r="B124" s="822" t="s">
        <v>123</v>
      </c>
      <c r="C124" s="825" t="s">
        <v>129</v>
      </c>
      <c r="D124" s="823"/>
      <c r="E124" s="833"/>
      <c r="F124" s="840">
        <v>99</v>
      </c>
    </row>
    <row r="125" spans="1:6">
      <c r="A125" s="821" t="s">
        <v>61</v>
      </c>
      <c r="B125" s="822" t="s">
        <v>123</v>
      </c>
      <c r="C125" s="825" t="s">
        <v>130</v>
      </c>
      <c r="D125" s="823"/>
      <c r="E125" s="833"/>
      <c r="F125" s="840">
        <v>99</v>
      </c>
    </row>
    <row r="126" spans="1:6">
      <c r="A126" s="821" t="s">
        <v>61</v>
      </c>
      <c r="B126" s="822" t="s">
        <v>123</v>
      </c>
      <c r="C126" s="825" t="s">
        <v>1055</v>
      </c>
      <c r="D126" s="823"/>
      <c r="E126" s="833"/>
      <c r="F126" s="840">
        <v>99</v>
      </c>
    </row>
    <row r="127" spans="1:6">
      <c r="A127" s="821" t="s">
        <v>61</v>
      </c>
      <c r="B127" s="822" t="s">
        <v>123</v>
      </c>
      <c r="C127" s="825" t="s">
        <v>1056</v>
      </c>
      <c r="D127" s="823"/>
      <c r="E127" s="833"/>
      <c r="F127" s="840">
        <v>99</v>
      </c>
    </row>
    <row r="128" spans="1:6">
      <c r="A128" s="821" t="s">
        <v>61</v>
      </c>
      <c r="B128" s="822" t="s">
        <v>123</v>
      </c>
      <c r="C128" s="825" t="s">
        <v>1057</v>
      </c>
      <c r="D128" s="823"/>
      <c r="E128" s="833"/>
      <c r="F128" s="840">
        <v>99</v>
      </c>
    </row>
    <row r="129" spans="1:6">
      <c r="A129" s="821" t="s">
        <v>61</v>
      </c>
      <c r="B129" s="822" t="s">
        <v>123</v>
      </c>
      <c r="C129" s="825" t="s">
        <v>1058</v>
      </c>
      <c r="D129" s="823"/>
      <c r="E129" s="833"/>
      <c r="F129" s="840">
        <v>99</v>
      </c>
    </row>
    <row r="130" spans="1:6">
      <c r="A130" s="821" t="s">
        <v>61</v>
      </c>
      <c r="B130" s="822" t="s">
        <v>123</v>
      </c>
      <c r="C130" s="825" t="s">
        <v>1059</v>
      </c>
      <c r="D130" s="823"/>
      <c r="E130" s="833"/>
      <c r="F130" s="840">
        <v>99</v>
      </c>
    </row>
    <row r="131" spans="1:6">
      <c r="A131" s="821" t="s">
        <v>61</v>
      </c>
      <c r="B131" s="822" t="s">
        <v>123</v>
      </c>
      <c r="C131" s="825" t="s">
        <v>131</v>
      </c>
      <c r="D131" s="823"/>
      <c r="E131" s="841"/>
      <c r="F131" s="840">
        <v>99</v>
      </c>
    </row>
    <row r="132" spans="1:6">
      <c r="A132" s="821" t="s">
        <v>61</v>
      </c>
      <c r="B132" s="822" t="s">
        <v>123</v>
      </c>
      <c r="C132" s="825" t="s">
        <v>1426</v>
      </c>
      <c r="D132" s="823"/>
      <c r="E132" s="841"/>
      <c r="F132" s="840">
        <v>99</v>
      </c>
    </row>
    <row r="133" spans="1:6">
      <c r="A133" s="821" t="s">
        <v>61</v>
      </c>
      <c r="B133" s="822" t="s">
        <v>123</v>
      </c>
      <c r="C133" s="825" t="s">
        <v>1427</v>
      </c>
      <c r="D133" s="823"/>
      <c r="E133" s="841"/>
      <c r="F133" s="840">
        <v>99</v>
      </c>
    </row>
    <row r="134" spans="1:6">
      <c r="A134" s="821" t="s">
        <v>61</v>
      </c>
      <c r="B134" s="822" t="s">
        <v>123</v>
      </c>
      <c r="C134" s="825" t="s">
        <v>1428</v>
      </c>
      <c r="D134" s="823"/>
      <c r="E134" s="841"/>
      <c r="F134" s="840">
        <v>99</v>
      </c>
    </row>
    <row r="135" spans="1:6">
      <c r="A135" s="821" t="s">
        <v>61</v>
      </c>
      <c r="B135" s="822" t="s">
        <v>123</v>
      </c>
      <c r="C135" s="825" t="s">
        <v>1429</v>
      </c>
      <c r="D135" s="823"/>
      <c r="E135" s="841"/>
      <c r="F135" s="836">
        <v>99</v>
      </c>
    </row>
    <row r="136" spans="1:6">
      <c r="A136" s="821" t="s">
        <v>61</v>
      </c>
      <c r="B136" s="822" t="s">
        <v>123</v>
      </c>
      <c r="C136" s="825" t="s">
        <v>1647</v>
      </c>
      <c r="D136" s="823"/>
      <c r="E136" s="841"/>
      <c r="F136" s="840">
        <v>99</v>
      </c>
    </row>
    <row r="137" spans="1:6">
      <c r="A137" s="821" t="s">
        <v>61</v>
      </c>
      <c r="B137" s="822" t="s">
        <v>132</v>
      </c>
      <c r="C137" s="827" t="s">
        <v>133</v>
      </c>
      <c r="D137" s="827"/>
      <c r="E137" s="841"/>
      <c r="F137" s="840">
        <v>99</v>
      </c>
    </row>
    <row r="138" spans="1:6">
      <c r="A138" s="821" t="s">
        <v>61</v>
      </c>
      <c r="B138" s="822" t="s">
        <v>132</v>
      </c>
      <c r="C138" s="825" t="s">
        <v>134</v>
      </c>
      <c r="D138" s="823"/>
      <c r="E138" s="841"/>
      <c r="F138" s="840">
        <v>99</v>
      </c>
    </row>
    <row r="139" spans="1:6">
      <c r="A139" s="821" t="s">
        <v>61</v>
      </c>
      <c r="B139" s="822" t="s">
        <v>132</v>
      </c>
      <c r="C139" s="825" t="s">
        <v>135</v>
      </c>
      <c r="D139" s="823"/>
      <c r="E139" s="841"/>
      <c r="F139" s="840">
        <v>99</v>
      </c>
    </row>
    <row r="140" spans="1:6">
      <c r="A140" s="821" t="s">
        <v>61</v>
      </c>
      <c r="B140" s="822" t="s">
        <v>132</v>
      </c>
      <c r="C140" s="825" t="s">
        <v>136</v>
      </c>
      <c r="D140" s="823"/>
      <c r="E140" s="841"/>
      <c r="F140" s="840">
        <v>99</v>
      </c>
    </row>
    <row r="141" spans="1:6">
      <c r="A141" s="821" t="s">
        <v>61</v>
      </c>
      <c r="B141" s="822" t="s">
        <v>132</v>
      </c>
      <c r="C141" s="825" t="s">
        <v>137</v>
      </c>
      <c r="D141" s="825" t="s">
        <v>137</v>
      </c>
      <c r="E141" s="833"/>
      <c r="F141" s="840">
        <v>99</v>
      </c>
    </row>
    <row r="142" spans="1:6">
      <c r="A142" s="821" t="s">
        <v>61</v>
      </c>
      <c r="B142" s="822" t="s">
        <v>132</v>
      </c>
      <c r="C142" s="825" t="s">
        <v>1430</v>
      </c>
      <c r="D142" s="823"/>
      <c r="E142" s="833"/>
      <c r="F142" s="840">
        <v>99</v>
      </c>
    </row>
    <row r="143" spans="1:6">
      <c r="A143" s="821" t="s">
        <v>61</v>
      </c>
      <c r="B143" s="822" t="s">
        <v>138</v>
      </c>
      <c r="C143" s="842" t="s">
        <v>139</v>
      </c>
      <c r="D143" s="823"/>
      <c r="E143" s="833"/>
      <c r="F143" s="840">
        <v>99</v>
      </c>
    </row>
    <row r="144" spans="1:6">
      <c r="A144" s="821" t="s">
        <v>61</v>
      </c>
      <c r="B144" s="822" t="s">
        <v>140</v>
      </c>
      <c r="C144" s="824" t="s">
        <v>141</v>
      </c>
      <c r="D144" s="842"/>
      <c r="E144" s="841"/>
      <c r="F144" s="840">
        <v>99</v>
      </c>
    </row>
    <row r="145" spans="1:6">
      <c r="A145" s="821" t="s">
        <v>61</v>
      </c>
      <c r="B145" s="822" t="s">
        <v>140</v>
      </c>
      <c r="C145" s="825" t="s">
        <v>1060</v>
      </c>
      <c r="D145" s="823"/>
      <c r="E145" s="841"/>
      <c r="F145" s="840">
        <v>99</v>
      </c>
    </row>
    <row r="146" spans="1:6">
      <c r="A146" s="821" t="s">
        <v>61</v>
      </c>
      <c r="B146" s="822" t="s">
        <v>142</v>
      </c>
      <c r="C146" s="824" t="s">
        <v>143</v>
      </c>
      <c r="D146" s="823"/>
      <c r="E146" s="841"/>
      <c r="F146" s="840">
        <v>99</v>
      </c>
    </row>
    <row r="147" spans="1:6">
      <c r="A147" s="821" t="s">
        <v>61</v>
      </c>
      <c r="B147" s="822" t="s">
        <v>142</v>
      </c>
      <c r="C147" s="825" t="s">
        <v>1061</v>
      </c>
      <c r="D147" s="823"/>
      <c r="E147" s="841"/>
      <c r="F147" s="840">
        <v>99</v>
      </c>
    </row>
    <row r="148" spans="1:6">
      <c r="A148" s="821" t="s">
        <v>61</v>
      </c>
      <c r="B148" s="822" t="s">
        <v>142</v>
      </c>
      <c r="C148" s="822" t="s">
        <v>144</v>
      </c>
      <c r="D148" s="823"/>
      <c r="E148" s="841"/>
      <c r="F148" s="840">
        <v>99</v>
      </c>
    </row>
    <row r="149" spans="1:6">
      <c r="A149" s="821" t="s">
        <v>61</v>
      </c>
      <c r="B149" s="822" t="s">
        <v>145</v>
      </c>
      <c r="C149" s="824" t="s">
        <v>146</v>
      </c>
      <c r="D149" s="839"/>
      <c r="E149" s="833"/>
      <c r="F149" s="840">
        <v>99</v>
      </c>
    </row>
    <row r="150" spans="1:6">
      <c r="A150" s="821" t="s">
        <v>61</v>
      </c>
      <c r="B150" s="822" t="s">
        <v>145</v>
      </c>
      <c r="C150" s="825" t="s">
        <v>147</v>
      </c>
      <c r="D150" s="823"/>
      <c r="E150" s="841"/>
      <c r="F150" s="840">
        <v>99</v>
      </c>
    </row>
    <row r="151" spans="1:6">
      <c r="A151" s="821" t="s">
        <v>61</v>
      </c>
      <c r="B151" s="822" t="s">
        <v>145</v>
      </c>
      <c r="C151" s="825" t="s">
        <v>148</v>
      </c>
      <c r="D151" s="823"/>
      <c r="E151" s="841"/>
      <c r="F151" s="840">
        <v>99</v>
      </c>
    </row>
    <row r="152" spans="1:6">
      <c r="A152" s="821" t="s">
        <v>61</v>
      </c>
      <c r="B152" s="822" t="s">
        <v>149</v>
      </c>
      <c r="C152" s="824" t="s">
        <v>150</v>
      </c>
      <c r="D152" s="823"/>
      <c r="E152" s="841"/>
      <c r="F152" s="840">
        <v>99</v>
      </c>
    </row>
    <row r="153" spans="1:6">
      <c r="A153" s="821" t="s">
        <v>61</v>
      </c>
      <c r="B153" s="822" t="s">
        <v>151</v>
      </c>
      <c r="C153" s="842" t="s">
        <v>152</v>
      </c>
      <c r="D153" s="823"/>
      <c r="E153" s="841"/>
      <c r="F153" s="840">
        <v>99</v>
      </c>
    </row>
    <row r="154" spans="1:6">
      <c r="A154" s="821" t="s">
        <v>61</v>
      </c>
      <c r="B154" s="822" t="s">
        <v>151</v>
      </c>
      <c r="C154" s="825" t="s">
        <v>153</v>
      </c>
      <c r="D154" s="842"/>
      <c r="E154" s="841"/>
      <c r="F154" s="840">
        <v>99</v>
      </c>
    </row>
    <row r="155" spans="1:6">
      <c r="A155" s="821" t="s">
        <v>61</v>
      </c>
      <c r="B155" s="822" t="s">
        <v>151</v>
      </c>
      <c r="C155" s="825" t="s">
        <v>154</v>
      </c>
      <c r="D155" s="823"/>
      <c r="E155" s="841"/>
      <c r="F155" s="840">
        <v>99</v>
      </c>
    </row>
    <row r="156" spans="1:6">
      <c r="A156" s="821" t="s">
        <v>61</v>
      </c>
      <c r="B156" s="822" t="s">
        <v>151</v>
      </c>
      <c r="C156" s="825" t="s">
        <v>155</v>
      </c>
      <c r="D156" s="823"/>
      <c r="E156" s="841"/>
      <c r="F156" s="840">
        <v>99</v>
      </c>
    </row>
    <row r="157" spans="1:6">
      <c r="A157" s="821" t="s">
        <v>61</v>
      </c>
      <c r="B157" s="822" t="s">
        <v>151</v>
      </c>
      <c r="C157" s="825" t="s">
        <v>156</v>
      </c>
      <c r="D157" s="823"/>
      <c r="E157" s="841"/>
      <c r="F157" s="840">
        <v>99</v>
      </c>
    </row>
    <row r="158" spans="1:6">
      <c r="A158" s="821" t="s">
        <v>61</v>
      </c>
      <c r="B158" s="822" t="s">
        <v>151</v>
      </c>
      <c r="C158" s="825" t="s">
        <v>1431</v>
      </c>
      <c r="D158" s="823"/>
      <c r="E158" s="841"/>
      <c r="F158" s="840">
        <v>99</v>
      </c>
    </row>
    <row r="159" spans="1:6">
      <c r="A159" s="821" t="s">
        <v>61</v>
      </c>
      <c r="B159" s="822" t="s">
        <v>157</v>
      </c>
      <c r="C159" s="824" t="s">
        <v>158</v>
      </c>
      <c r="D159" s="823"/>
      <c r="E159" s="841"/>
      <c r="F159" s="840">
        <v>99</v>
      </c>
    </row>
    <row r="160" spans="1:6">
      <c r="A160" s="821" t="s">
        <v>61</v>
      </c>
      <c r="B160" s="822" t="s">
        <v>159</v>
      </c>
      <c r="C160" s="842" t="s">
        <v>160</v>
      </c>
      <c r="D160" s="823"/>
      <c r="E160" s="841"/>
      <c r="F160" s="840">
        <v>99</v>
      </c>
    </row>
    <row r="161" spans="1:6">
      <c r="A161" s="821" t="s">
        <v>61</v>
      </c>
      <c r="B161" s="822" t="s">
        <v>161</v>
      </c>
      <c r="C161" s="843" t="s">
        <v>162</v>
      </c>
      <c r="D161" s="842"/>
      <c r="E161" s="841"/>
      <c r="F161" s="840">
        <v>99</v>
      </c>
    </row>
    <row r="162" spans="1:6">
      <c r="A162" s="821" t="s">
        <v>61</v>
      </c>
      <c r="B162" s="822" t="s">
        <v>161</v>
      </c>
      <c r="C162" s="844" t="s">
        <v>163</v>
      </c>
      <c r="D162" s="839"/>
      <c r="E162" s="841"/>
      <c r="F162" s="840">
        <v>99</v>
      </c>
    </row>
    <row r="163" spans="1:6">
      <c r="A163" s="821" t="s">
        <v>61</v>
      </c>
      <c r="B163" s="822" t="s">
        <v>164</v>
      </c>
      <c r="C163" s="825" t="s">
        <v>165</v>
      </c>
      <c r="D163" s="823"/>
      <c r="E163" s="841"/>
      <c r="F163" s="840">
        <v>99</v>
      </c>
    </row>
    <row r="164" spans="1:6">
      <c r="A164" s="821" t="s">
        <v>61</v>
      </c>
      <c r="B164" s="822" t="s">
        <v>166</v>
      </c>
      <c r="C164" s="825" t="s">
        <v>167</v>
      </c>
      <c r="D164" s="823"/>
      <c r="E164" s="841"/>
      <c r="F164" s="840">
        <v>99</v>
      </c>
    </row>
    <row r="165" spans="1:6">
      <c r="A165" s="821" t="s">
        <v>61</v>
      </c>
      <c r="B165" s="822" t="s">
        <v>161</v>
      </c>
      <c r="C165" s="844" t="s">
        <v>168</v>
      </c>
      <c r="D165" s="823"/>
      <c r="E165" s="841"/>
      <c r="F165" s="840">
        <v>99</v>
      </c>
    </row>
    <row r="166" spans="1:6">
      <c r="A166" s="821" t="s">
        <v>61</v>
      </c>
      <c r="B166" s="822" t="s">
        <v>164</v>
      </c>
      <c r="C166" s="825" t="s">
        <v>165</v>
      </c>
      <c r="D166" s="823"/>
      <c r="E166" s="841"/>
      <c r="F166" s="840">
        <v>99</v>
      </c>
    </row>
    <row r="167" spans="1:6">
      <c r="A167" s="821" t="s">
        <v>61</v>
      </c>
      <c r="B167" s="822" t="s">
        <v>166</v>
      </c>
      <c r="C167" s="825" t="s">
        <v>167</v>
      </c>
      <c r="D167" s="823"/>
      <c r="E167" s="841"/>
      <c r="F167" s="840">
        <v>99</v>
      </c>
    </row>
    <row r="168" spans="1:6">
      <c r="A168" s="821" t="s">
        <v>61</v>
      </c>
      <c r="B168" s="822" t="s">
        <v>161</v>
      </c>
      <c r="C168" s="844" t="s">
        <v>169</v>
      </c>
      <c r="D168" s="823"/>
      <c r="E168" s="841"/>
      <c r="F168" s="840">
        <v>99</v>
      </c>
    </row>
    <row r="169" spans="1:6">
      <c r="A169" s="821" t="s">
        <v>61</v>
      </c>
      <c r="B169" s="845" t="s">
        <v>170</v>
      </c>
      <c r="C169" s="825" t="s">
        <v>171</v>
      </c>
      <c r="D169" s="823"/>
      <c r="E169" s="841"/>
      <c r="F169" s="840">
        <v>99</v>
      </c>
    </row>
    <row r="170" spans="1:6">
      <c r="A170" s="821" t="s">
        <v>61</v>
      </c>
      <c r="B170" s="845" t="s">
        <v>172</v>
      </c>
      <c r="C170" s="825" t="s">
        <v>165</v>
      </c>
      <c r="D170" s="823"/>
      <c r="E170" s="841"/>
      <c r="F170" s="840">
        <v>99</v>
      </c>
    </row>
    <row r="171" spans="1:6">
      <c r="A171" s="821" t="s">
        <v>61</v>
      </c>
      <c r="B171" s="845" t="s">
        <v>173</v>
      </c>
      <c r="C171" s="825" t="s">
        <v>167</v>
      </c>
      <c r="D171" s="823"/>
      <c r="E171" s="841"/>
      <c r="F171" s="840">
        <v>99</v>
      </c>
    </row>
    <row r="172" spans="1:6">
      <c r="A172" s="821" t="s">
        <v>61</v>
      </c>
      <c r="B172" s="822" t="s">
        <v>161</v>
      </c>
      <c r="C172" s="844" t="s">
        <v>174</v>
      </c>
      <c r="D172" s="823"/>
      <c r="E172" s="841"/>
      <c r="F172" s="840">
        <v>99</v>
      </c>
    </row>
    <row r="173" spans="1:6">
      <c r="A173" s="821" t="s">
        <v>61</v>
      </c>
      <c r="B173" s="822" t="s">
        <v>164</v>
      </c>
      <c r="C173" s="825" t="s">
        <v>165</v>
      </c>
      <c r="D173" s="823"/>
      <c r="E173" s="841"/>
      <c r="F173" s="840">
        <v>99</v>
      </c>
    </row>
    <row r="174" spans="1:6">
      <c r="A174" s="821" t="s">
        <v>61</v>
      </c>
      <c r="B174" s="822" t="s">
        <v>166</v>
      </c>
      <c r="C174" s="825" t="s">
        <v>167</v>
      </c>
      <c r="D174" s="823"/>
      <c r="E174" s="841"/>
      <c r="F174" s="840">
        <v>99</v>
      </c>
    </row>
    <row r="175" spans="1:6">
      <c r="A175" s="821" t="s">
        <v>61</v>
      </c>
      <c r="B175" s="822" t="s">
        <v>161</v>
      </c>
      <c r="C175" s="844" t="s">
        <v>175</v>
      </c>
      <c r="D175" s="823"/>
      <c r="E175" s="841"/>
      <c r="F175" s="840">
        <v>99</v>
      </c>
    </row>
    <row r="176" spans="1:6">
      <c r="A176" s="821" t="s">
        <v>61</v>
      </c>
      <c r="B176" s="845" t="s">
        <v>170</v>
      </c>
      <c r="C176" s="825" t="s">
        <v>171</v>
      </c>
      <c r="D176" s="823"/>
      <c r="E176" s="841"/>
      <c r="F176" s="840">
        <v>99</v>
      </c>
    </row>
    <row r="177" spans="1:6">
      <c r="A177" s="821" t="s">
        <v>61</v>
      </c>
      <c r="B177" s="845" t="s">
        <v>173</v>
      </c>
      <c r="C177" s="825" t="s">
        <v>167</v>
      </c>
      <c r="D177" s="823"/>
      <c r="E177" s="841"/>
      <c r="F177" s="840">
        <v>99</v>
      </c>
    </row>
    <row r="178" spans="1:6">
      <c r="A178" s="821" t="s">
        <v>61</v>
      </c>
      <c r="B178" s="845" t="s">
        <v>176</v>
      </c>
      <c r="C178" s="825" t="s">
        <v>177</v>
      </c>
      <c r="D178" s="823"/>
      <c r="E178" s="841"/>
      <c r="F178" s="840">
        <v>99</v>
      </c>
    </row>
    <row r="179" spans="1:6">
      <c r="A179" s="821" t="s">
        <v>61</v>
      </c>
      <c r="B179" s="845" t="s">
        <v>178</v>
      </c>
      <c r="C179" s="825" t="s">
        <v>167</v>
      </c>
      <c r="D179" s="823"/>
      <c r="E179" s="841"/>
      <c r="F179" s="840">
        <v>99</v>
      </c>
    </row>
    <row r="180" spans="1:6">
      <c r="A180" s="821" t="s">
        <v>61</v>
      </c>
      <c r="B180" s="822" t="s">
        <v>161</v>
      </c>
      <c r="C180" s="844" t="s">
        <v>179</v>
      </c>
      <c r="D180" s="823"/>
      <c r="E180" s="841"/>
      <c r="F180" s="840">
        <v>99</v>
      </c>
    </row>
    <row r="181" spans="1:6">
      <c r="A181" s="821" t="s">
        <v>61</v>
      </c>
      <c r="B181" s="845" t="s">
        <v>170</v>
      </c>
      <c r="C181" s="825" t="s">
        <v>171</v>
      </c>
      <c r="D181" s="823"/>
      <c r="E181" s="841"/>
      <c r="F181" s="840">
        <v>99</v>
      </c>
    </row>
    <row r="182" spans="1:6">
      <c r="A182" s="821" t="s">
        <v>61</v>
      </c>
      <c r="B182" s="845" t="s">
        <v>172</v>
      </c>
      <c r="C182" s="825" t="s">
        <v>165</v>
      </c>
      <c r="D182" s="823"/>
      <c r="E182" s="841"/>
      <c r="F182" s="840">
        <v>99</v>
      </c>
    </row>
    <row r="183" spans="1:6">
      <c r="A183" s="821" t="s">
        <v>61</v>
      </c>
      <c r="B183" s="845" t="s">
        <v>176</v>
      </c>
      <c r="C183" s="825" t="s">
        <v>177</v>
      </c>
      <c r="D183" s="823"/>
      <c r="E183" s="841"/>
      <c r="F183" s="840">
        <v>99</v>
      </c>
    </row>
    <row r="184" spans="1:6">
      <c r="A184" s="821" t="s">
        <v>61</v>
      </c>
      <c r="B184" s="845" t="s">
        <v>180</v>
      </c>
      <c r="C184" s="825" t="s">
        <v>165</v>
      </c>
      <c r="D184" s="823"/>
      <c r="E184" s="841"/>
      <c r="F184" s="840">
        <v>99</v>
      </c>
    </row>
    <row r="185" spans="1:6">
      <c r="A185" s="821" t="s">
        <v>61</v>
      </c>
      <c r="B185" s="822" t="s">
        <v>161</v>
      </c>
      <c r="C185" s="844" t="s">
        <v>181</v>
      </c>
      <c r="D185" s="823"/>
      <c r="E185" s="841"/>
      <c r="F185" s="840">
        <v>99</v>
      </c>
    </row>
    <row r="186" spans="1:6">
      <c r="A186" s="821" t="s">
        <v>61</v>
      </c>
      <c r="B186" s="822" t="s">
        <v>164</v>
      </c>
      <c r="C186" s="825" t="s">
        <v>165</v>
      </c>
      <c r="D186" s="823"/>
      <c r="E186" s="841"/>
      <c r="F186" s="840">
        <v>99</v>
      </c>
    </row>
    <row r="187" spans="1:6">
      <c r="A187" s="821" t="s">
        <v>61</v>
      </c>
      <c r="B187" s="822" t="s">
        <v>166</v>
      </c>
      <c r="C187" s="825" t="s">
        <v>167</v>
      </c>
      <c r="D187" s="823"/>
      <c r="E187" s="841"/>
      <c r="F187" s="840">
        <v>99</v>
      </c>
    </row>
    <row r="188" spans="1:6">
      <c r="A188" s="821" t="s">
        <v>61</v>
      </c>
      <c r="B188" s="822" t="s">
        <v>161</v>
      </c>
      <c r="C188" s="844" t="s">
        <v>182</v>
      </c>
      <c r="D188" s="823"/>
      <c r="E188" s="841"/>
      <c r="F188" s="840">
        <v>99</v>
      </c>
    </row>
    <row r="189" spans="1:6">
      <c r="A189" s="821" t="s">
        <v>61</v>
      </c>
      <c r="B189" s="845" t="s">
        <v>170</v>
      </c>
      <c r="C189" s="825" t="s">
        <v>171</v>
      </c>
      <c r="D189" s="823"/>
      <c r="E189" s="841"/>
      <c r="F189" s="840">
        <v>99</v>
      </c>
    </row>
    <row r="190" spans="1:6">
      <c r="A190" s="821" t="s">
        <v>61</v>
      </c>
      <c r="B190" s="845" t="s">
        <v>172</v>
      </c>
      <c r="C190" s="825" t="s">
        <v>165</v>
      </c>
      <c r="D190" s="823"/>
      <c r="E190" s="841"/>
      <c r="F190" s="840">
        <v>99</v>
      </c>
    </row>
    <row r="191" spans="1:6">
      <c r="A191" s="821" t="s">
        <v>61</v>
      </c>
      <c r="B191" s="845" t="s">
        <v>173</v>
      </c>
      <c r="C191" s="825" t="s">
        <v>167</v>
      </c>
      <c r="D191" s="823"/>
      <c r="E191" s="841"/>
      <c r="F191" s="840">
        <v>99</v>
      </c>
    </row>
    <row r="192" spans="1:6">
      <c r="A192" s="821" t="s">
        <v>61</v>
      </c>
      <c r="B192" s="845" t="s">
        <v>176</v>
      </c>
      <c r="C192" s="825" t="s">
        <v>177</v>
      </c>
      <c r="D192" s="823"/>
      <c r="E192" s="841"/>
      <c r="F192" s="840">
        <v>99</v>
      </c>
    </row>
    <row r="193" spans="1:6">
      <c r="A193" s="821" t="s">
        <v>61</v>
      </c>
      <c r="B193" s="845" t="s">
        <v>180</v>
      </c>
      <c r="C193" s="825" t="s">
        <v>165</v>
      </c>
      <c r="D193" s="823"/>
      <c r="E193" s="841"/>
      <c r="F193" s="840">
        <v>99</v>
      </c>
    </row>
    <row r="194" spans="1:6">
      <c r="A194" s="821" t="s">
        <v>61</v>
      </c>
      <c r="B194" s="845" t="s">
        <v>178</v>
      </c>
      <c r="C194" s="825" t="s">
        <v>167</v>
      </c>
      <c r="D194" s="823"/>
      <c r="E194" s="841"/>
      <c r="F194" s="840">
        <v>99</v>
      </c>
    </row>
    <row r="195" spans="1:6">
      <c r="A195" s="821" t="s">
        <v>61</v>
      </c>
      <c r="B195" s="822" t="s">
        <v>161</v>
      </c>
      <c r="C195" s="844" t="s">
        <v>183</v>
      </c>
      <c r="D195" s="823"/>
      <c r="E195" s="841"/>
      <c r="F195" s="840">
        <v>99</v>
      </c>
    </row>
    <row r="196" spans="1:6">
      <c r="A196" s="821" t="s">
        <v>61</v>
      </c>
      <c r="B196" s="845" t="s">
        <v>170</v>
      </c>
      <c r="C196" s="825" t="s">
        <v>171</v>
      </c>
      <c r="D196" s="823"/>
      <c r="E196" s="841"/>
      <c r="F196" s="840">
        <v>99</v>
      </c>
    </row>
    <row r="197" spans="1:6">
      <c r="A197" s="821" t="s">
        <v>61</v>
      </c>
      <c r="B197" s="845" t="s">
        <v>172</v>
      </c>
      <c r="C197" s="825" t="s">
        <v>165</v>
      </c>
      <c r="D197" s="823"/>
      <c r="E197" s="841"/>
      <c r="F197" s="840">
        <v>99</v>
      </c>
    </row>
    <row r="198" spans="1:6">
      <c r="A198" s="821" t="s">
        <v>61</v>
      </c>
      <c r="B198" s="845" t="s">
        <v>173</v>
      </c>
      <c r="C198" s="825" t="s">
        <v>167</v>
      </c>
      <c r="D198" s="823"/>
      <c r="E198" s="841"/>
      <c r="F198" s="840">
        <v>99</v>
      </c>
    </row>
    <row r="199" spans="1:6">
      <c r="A199" s="821" t="s">
        <v>61</v>
      </c>
      <c r="B199" s="822" t="s">
        <v>161</v>
      </c>
      <c r="C199" s="844" t="s">
        <v>184</v>
      </c>
      <c r="D199" s="823"/>
      <c r="E199" s="841"/>
      <c r="F199" s="840">
        <v>99</v>
      </c>
    </row>
    <row r="200" spans="1:6">
      <c r="A200" s="821" t="s">
        <v>61</v>
      </c>
      <c r="B200" s="845" t="s">
        <v>170</v>
      </c>
      <c r="C200" s="825" t="s">
        <v>171</v>
      </c>
      <c r="D200" s="823"/>
      <c r="E200" s="841"/>
      <c r="F200" s="840">
        <v>99</v>
      </c>
    </row>
    <row r="201" spans="1:6">
      <c r="A201" s="821" t="s">
        <v>61</v>
      </c>
      <c r="B201" s="845" t="s">
        <v>172</v>
      </c>
      <c r="C201" s="825" t="s">
        <v>165</v>
      </c>
      <c r="D201" s="823"/>
      <c r="E201" s="841"/>
      <c r="F201" s="840">
        <v>99</v>
      </c>
    </row>
    <row r="202" spans="1:6">
      <c r="A202" s="821" t="s">
        <v>61</v>
      </c>
      <c r="B202" s="845" t="s">
        <v>176</v>
      </c>
      <c r="C202" s="825" t="s">
        <v>177</v>
      </c>
      <c r="D202" s="823"/>
      <c r="E202" s="841"/>
      <c r="F202" s="840">
        <v>99</v>
      </c>
    </row>
    <row r="203" spans="1:6">
      <c r="A203" s="821" t="s">
        <v>61</v>
      </c>
      <c r="B203" s="845" t="s">
        <v>180</v>
      </c>
      <c r="C203" s="825" t="s">
        <v>165</v>
      </c>
      <c r="D203" s="823"/>
      <c r="E203" s="841"/>
      <c r="F203" s="840">
        <v>99</v>
      </c>
    </row>
    <row r="204" spans="1:6">
      <c r="A204" s="821" t="s">
        <v>61</v>
      </c>
      <c r="B204" s="822" t="s">
        <v>161</v>
      </c>
      <c r="C204" s="844" t="s">
        <v>185</v>
      </c>
      <c r="D204" s="823"/>
      <c r="E204" s="841"/>
      <c r="F204" s="840">
        <v>99</v>
      </c>
    </row>
    <row r="205" spans="1:6">
      <c r="A205" s="821" t="s">
        <v>61</v>
      </c>
      <c r="B205" s="845" t="s">
        <v>170</v>
      </c>
      <c r="C205" s="825" t="s">
        <v>171</v>
      </c>
      <c r="D205" s="823"/>
      <c r="E205" s="841"/>
      <c r="F205" s="840">
        <v>99</v>
      </c>
    </row>
    <row r="206" spans="1:6">
      <c r="A206" s="821" t="s">
        <v>61</v>
      </c>
      <c r="B206" s="845" t="s">
        <v>172</v>
      </c>
      <c r="C206" s="825" t="s">
        <v>165</v>
      </c>
      <c r="D206" s="823"/>
      <c r="E206" s="841"/>
      <c r="F206" s="840">
        <v>99</v>
      </c>
    </row>
    <row r="207" spans="1:6">
      <c r="A207" s="821" t="s">
        <v>61</v>
      </c>
      <c r="B207" s="845" t="s">
        <v>173</v>
      </c>
      <c r="C207" s="825" t="s">
        <v>167</v>
      </c>
      <c r="D207" s="823"/>
      <c r="E207" s="841"/>
      <c r="F207" s="840">
        <v>99</v>
      </c>
    </row>
    <row r="208" spans="1:6">
      <c r="A208" s="821" t="s">
        <v>61</v>
      </c>
      <c r="B208" s="845" t="s">
        <v>176</v>
      </c>
      <c r="C208" s="825" t="s">
        <v>177</v>
      </c>
      <c r="D208" s="823"/>
      <c r="E208" s="841"/>
      <c r="F208" s="840">
        <v>99</v>
      </c>
    </row>
    <row r="209" spans="1:6">
      <c r="A209" s="821" t="s">
        <v>61</v>
      </c>
      <c r="B209" s="845" t="s">
        <v>180</v>
      </c>
      <c r="C209" s="825" t="s">
        <v>165</v>
      </c>
      <c r="D209" s="823"/>
      <c r="E209" s="841"/>
      <c r="F209" s="840">
        <v>99</v>
      </c>
    </row>
    <row r="210" spans="1:6">
      <c r="A210" s="821" t="s">
        <v>61</v>
      </c>
      <c r="B210" s="845" t="s">
        <v>178</v>
      </c>
      <c r="C210" s="825" t="s">
        <v>167</v>
      </c>
      <c r="D210" s="823"/>
      <c r="E210" s="841"/>
      <c r="F210" s="840">
        <v>99</v>
      </c>
    </row>
    <row r="211" spans="1:6">
      <c r="A211" s="821" t="s">
        <v>61</v>
      </c>
      <c r="B211" s="845" t="s">
        <v>161</v>
      </c>
      <c r="C211" s="844" t="s">
        <v>1648</v>
      </c>
      <c r="D211" s="823"/>
      <c r="E211" s="841"/>
      <c r="F211" s="840">
        <v>99</v>
      </c>
    </row>
    <row r="212" spans="1:6">
      <c r="A212" s="821" t="s">
        <v>61</v>
      </c>
      <c r="B212" s="845" t="s">
        <v>172</v>
      </c>
      <c r="C212" s="825" t="s">
        <v>165</v>
      </c>
      <c r="D212" s="823"/>
      <c r="E212" s="841"/>
      <c r="F212" s="840">
        <v>99</v>
      </c>
    </row>
    <row r="213" spans="1:6">
      <c r="A213" s="821" t="s">
        <v>61</v>
      </c>
      <c r="B213" s="845" t="s">
        <v>173</v>
      </c>
      <c r="C213" s="825" t="s">
        <v>167</v>
      </c>
      <c r="D213" s="823"/>
      <c r="E213" s="841"/>
      <c r="F213" s="840">
        <v>99</v>
      </c>
    </row>
    <row r="214" spans="1:6">
      <c r="A214" s="821" t="s">
        <v>61</v>
      </c>
      <c r="B214" s="822" t="s">
        <v>161</v>
      </c>
      <c r="C214" s="844" t="s">
        <v>186</v>
      </c>
      <c r="D214" s="823"/>
      <c r="E214" s="841"/>
      <c r="F214" s="840">
        <v>99</v>
      </c>
    </row>
    <row r="215" spans="1:6">
      <c r="A215" s="821" t="s">
        <v>61</v>
      </c>
      <c r="B215" s="845" t="s">
        <v>170</v>
      </c>
      <c r="C215" s="825" t="s">
        <v>171</v>
      </c>
      <c r="D215" s="823"/>
      <c r="E215" s="841"/>
      <c r="F215" s="840">
        <v>99</v>
      </c>
    </row>
    <row r="216" spans="1:6">
      <c r="A216" s="821" t="s">
        <v>61</v>
      </c>
      <c r="B216" s="845" t="s">
        <v>172</v>
      </c>
      <c r="C216" s="825" t="s">
        <v>165</v>
      </c>
      <c r="D216" s="823"/>
      <c r="E216" s="841"/>
      <c r="F216" s="840">
        <v>99</v>
      </c>
    </row>
    <row r="217" spans="1:6">
      <c r="A217" s="821" t="s">
        <v>61</v>
      </c>
      <c r="B217" s="845" t="s">
        <v>173</v>
      </c>
      <c r="C217" s="825" t="s">
        <v>167</v>
      </c>
      <c r="D217" s="823"/>
      <c r="E217" s="841"/>
      <c r="F217" s="840">
        <v>99</v>
      </c>
    </row>
    <row r="218" spans="1:6">
      <c r="A218" s="821" t="s">
        <v>61</v>
      </c>
      <c r="B218" s="845" t="s">
        <v>176</v>
      </c>
      <c r="C218" s="825" t="s">
        <v>177</v>
      </c>
      <c r="D218" s="823"/>
      <c r="E218" s="841"/>
      <c r="F218" s="840">
        <v>99</v>
      </c>
    </row>
    <row r="219" spans="1:6">
      <c r="A219" s="821" t="s">
        <v>61</v>
      </c>
      <c r="B219" s="845" t="s">
        <v>180</v>
      </c>
      <c r="C219" s="825" t="s">
        <v>165</v>
      </c>
      <c r="D219" s="823"/>
      <c r="E219" s="841"/>
      <c r="F219" s="840">
        <v>99</v>
      </c>
    </row>
    <row r="220" spans="1:6">
      <c r="A220" s="821" t="s">
        <v>61</v>
      </c>
      <c r="B220" s="845" t="s">
        <v>178</v>
      </c>
      <c r="C220" s="825" t="s">
        <v>167</v>
      </c>
      <c r="D220" s="823"/>
      <c r="E220" s="841"/>
      <c r="F220" s="840">
        <v>99</v>
      </c>
    </row>
    <row r="221" spans="1:6">
      <c r="A221" s="821" t="s">
        <v>61</v>
      </c>
      <c r="B221" s="845" t="s">
        <v>187</v>
      </c>
      <c r="C221" s="843" t="s">
        <v>188</v>
      </c>
      <c r="D221" s="823"/>
      <c r="E221" s="841"/>
      <c r="F221" s="840">
        <v>99</v>
      </c>
    </row>
    <row r="222" spans="1:6">
      <c r="A222" s="821" t="s">
        <v>61</v>
      </c>
      <c r="B222" s="822" t="s">
        <v>161</v>
      </c>
      <c r="C222" s="844" t="s">
        <v>189</v>
      </c>
      <c r="D222" s="823"/>
      <c r="E222" s="841"/>
      <c r="F222" s="840">
        <v>99</v>
      </c>
    </row>
    <row r="223" spans="1:6">
      <c r="A223" s="821" t="s">
        <v>61</v>
      </c>
      <c r="B223" s="845" t="s">
        <v>190</v>
      </c>
      <c r="C223" s="825" t="s">
        <v>165</v>
      </c>
      <c r="D223" s="823"/>
      <c r="E223" s="841"/>
      <c r="F223" s="840">
        <v>99</v>
      </c>
    </row>
    <row r="224" spans="1:6">
      <c r="A224" s="821" t="s">
        <v>61</v>
      </c>
      <c r="B224" s="845" t="s">
        <v>191</v>
      </c>
      <c r="C224" s="825" t="s">
        <v>167</v>
      </c>
      <c r="D224" s="823"/>
      <c r="E224" s="841"/>
      <c r="F224" s="840">
        <v>99</v>
      </c>
    </row>
    <row r="225" spans="1:6">
      <c r="A225" s="821" t="s">
        <v>61</v>
      </c>
      <c r="B225" s="845" t="s">
        <v>192</v>
      </c>
      <c r="C225" s="843" t="s">
        <v>193</v>
      </c>
      <c r="D225" s="823"/>
      <c r="E225" s="841"/>
      <c r="F225" s="840">
        <v>99</v>
      </c>
    </row>
    <row r="226" spans="1:6">
      <c r="A226" s="821" t="s">
        <v>61</v>
      </c>
      <c r="B226" s="822" t="s">
        <v>192</v>
      </c>
      <c r="C226" s="844" t="s">
        <v>194</v>
      </c>
      <c r="D226" s="839"/>
      <c r="E226" s="841"/>
      <c r="F226" s="840">
        <v>99</v>
      </c>
    </row>
    <row r="227" spans="1:6">
      <c r="A227" s="821" t="s">
        <v>61</v>
      </c>
      <c r="B227" s="845" t="s">
        <v>195</v>
      </c>
      <c r="C227" s="825" t="s">
        <v>165</v>
      </c>
      <c r="D227" s="823"/>
      <c r="E227" s="841"/>
      <c r="F227" s="840">
        <v>99</v>
      </c>
    </row>
    <row r="228" spans="1:6">
      <c r="A228" s="821" t="s">
        <v>61</v>
      </c>
      <c r="B228" s="845" t="s">
        <v>196</v>
      </c>
      <c r="C228" s="825" t="s">
        <v>167</v>
      </c>
      <c r="D228" s="823"/>
      <c r="E228" s="841"/>
      <c r="F228" s="840">
        <v>99</v>
      </c>
    </row>
    <row r="229" spans="1:6">
      <c r="A229" s="846" t="s">
        <v>197</v>
      </c>
      <c r="B229" s="847" t="s">
        <v>62</v>
      </c>
      <c r="C229" s="848" t="s">
        <v>198</v>
      </c>
      <c r="D229" s="849"/>
      <c r="E229" s="850">
        <v>106397</v>
      </c>
      <c r="F229" s="851">
        <v>1</v>
      </c>
    </row>
    <row r="230" spans="1:6">
      <c r="A230" s="852" t="s">
        <v>197</v>
      </c>
      <c r="B230" s="847" t="s">
        <v>199</v>
      </c>
      <c r="C230" s="853" t="s">
        <v>75</v>
      </c>
      <c r="D230" s="854"/>
      <c r="E230" s="850">
        <v>106397</v>
      </c>
      <c r="F230" s="851">
        <v>1</v>
      </c>
    </row>
    <row r="231" spans="1:6">
      <c r="A231" s="852" t="s">
        <v>197</v>
      </c>
      <c r="B231" s="847" t="s">
        <v>199</v>
      </c>
      <c r="C231" s="855" t="s">
        <v>200</v>
      </c>
      <c r="D231" s="854"/>
      <c r="E231" s="850">
        <v>106397</v>
      </c>
      <c r="F231" s="851">
        <v>1</v>
      </c>
    </row>
    <row r="232" spans="1:6">
      <c r="A232" s="852" t="s">
        <v>197</v>
      </c>
      <c r="B232" s="847" t="s">
        <v>120</v>
      </c>
      <c r="C232" s="855" t="s">
        <v>201</v>
      </c>
      <c r="D232" s="854"/>
      <c r="E232" s="850">
        <v>106397</v>
      </c>
      <c r="F232" s="851">
        <v>1</v>
      </c>
    </row>
    <row r="233" spans="1:6">
      <c r="A233" s="852" t="s">
        <v>197</v>
      </c>
      <c r="B233" s="847" t="s">
        <v>120</v>
      </c>
      <c r="C233" s="855" t="s">
        <v>202</v>
      </c>
      <c r="D233" s="854"/>
      <c r="E233" s="850">
        <v>106397</v>
      </c>
      <c r="F233" s="851">
        <v>1</v>
      </c>
    </row>
    <row r="234" spans="1:6">
      <c r="A234" s="852" t="s">
        <v>197</v>
      </c>
      <c r="B234" s="847" t="s">
        <v>69</v>
      </c>
      <c r="C234" s="853" t="s">
        <v>70</v>
      </c>
      <c r="D234" s="854"/>
      <c r="E234" s="850">
        <v>106397</v>
      </c>
      <c r="F234" s="851">
        <v>1</v>
      </c>
    </row>
    <row r="235" spans="1:6">
      <c r="A235" s="852" t="s">
        <v>197</v>
      </c>
      <c r="B235" s="847" t="s">
        <v>69</v>
      </c>
      <c r="C235" s="855" t="s">
        <v>203</v>
      </c>
      <c r="D235" s="854"/>
      <c r="E235" s="850">
        <v>106397</v>
      </c>
      <c r="F235" s="851">
        <v>1</v>
      </c>
    </row>
    <row r="236" spans="1:6">
      <c r="A236" s="846" t="s">
        <v>197</v>
      </c>
      <c r="B236" s="847" t="s">
        <v>62</v>
      </c>
      <c r="C236" s="855" t="s">
        <v>204</v>
      </c>
      <c r="D236" s="854"/>
      <c r="E236" s="850">
        <v>106397</v>
      </c>
      <c r="F236" s="851">
        <v>1</v>
      </c>
    </row>
    <row r="237" spans="1:6">
      <c r="A237" s="852" t="s">
        <v>197</v>
      </c>
      <c r="B237" s="847" t="s">
        <v>62</v>
      </c>
      <c r="C237" s="848" t="s">
        <v>205</v>
      </c>
      <c r="D237" s="856"/>
      <c r="E237" s="850">
        <v>106245</v>
      </c>
      <c r="F237" s="851">
        <v>2</v>
      </c>
    </row>
    <row r="238" spans="1:6">
      <c r="A238" s="852" t="s">
        <v>197</v>
      </c>
      <c r="B238" s="847" t="s">
        <v>69</v>
      </c>
      <c r="C238" s="853" t="s">
        <v>70</v>
      </c>
      <c r="D238" s="854"/>
      <c r="E238" s="850">
        <v>106245</v>
      </c>
      <c r="F238" s="851">
        <v>2</v>
      </c>
    </row>
    <row r="239" spans="1:6">
      <c r="A239" s="852" t="s">
        <v>197</v>
      </c>
      <c r="B239" s="847" t="s">
        <v>69</v>
      </c>
      <c r="C239" s="855" t="s">
        <v>206</v>
      </c>
      <c r="D239" s="854"/>
      <c r="E239" s="850">
        <v>106245</v>
      </c>
      <c r="F239" s="851">
        <v>2</v>
      </c>
    </row>
    <row r="240" spans="1:6">
      <c r="A240" s="852" t="s">
        <v>197</v>
      </c>
      <c r="B240" s="847" t="s">
        <v>62</v>
      </c>
      <c r="C240" s="848" t="s">
        <v>207</v>
      </c>
      <c r="D240" s="849"/>
      <c r="E240" s="850">
        <v>106458</v>
      </c>
      <c r="F240" s="851">
        <v>3</v>
      </c>
    </row>
    <row r="241" spans="1:6">
      <c r="A241" s="852" t="s">
        <v>197</v>
      </c>
      <c r="B241" s="847" t="s">
        <v>69</v>
      </c>
      <c r="C241" s="853" t="s">
        <v>70</v>
      </c>
      <c r="D241" s="854"/>
      <c r="E241" s="850">
        <v>106458</v>
      </c>
      <c r="F241" s="851">
        <v>3</v>
      </c>
    </row>
    <row r="242" spans="1:6">
      <c r="A242" s="852" t="s">
        <v>197</v>
      </c>
      <c r="B242" s="847" t="s">
        <v>62</v>
      </c>
      <c r="C242" s="857" t="s">
        <v>208</v>
      </c>
      <c r="D242" s="858"/>
      <c r="E242" s="851">
        <v>106467</v>
      </c>
      <c r="F242" s="851">
        <v>3</v>
      </c>
    </row>
    <row r="243" spans="1:6">
      <c r="A243" s="852" t="s">
        <v>197</v>
      </c>
      <c r="B243" s="847" t="s">
        <v>69</v>
      </c>
      <c r="C243" s="853" t="s">
        <v>70</v>
      </c>
      <c r="D243" s="854"/>
      <c r="E243" s="850">
        <v>106467</v>
      </c>
      <c r="F243" s="851">
        <v>3</v>
      </c>
    </row>
    <row r="244" spans="1:6">
      <c r="A244" s="852" t="s">
        <v>197</v>
      </c>
      <c r="B244" s="847" t="s">
        <v>69</v>
      </c>
      <c r="C244" s="855" t="s">
        <v>209</v>
      </c>
      <c r="D244" s="854"/>
      <c r="E244" s="850">
        <v>106467</v>
      </c>
      <c r="F244" s="851">
        <v>3</v>
      </c>
    </row>
    <row r="245" spans="1:6">
      <c r="A245" s="852" t="s">
        <v>197</v>
      </c>
      <c r="B245" s="847" t="s">
        <v>62</v>
      </c>
      <c r="C245" s="848" t="s">
        <v>210</v>
      </c>
      <c r="D245" s="849"/>
      <c r="E245" s="850">
        <v>106704</v>
      </c>
      <c r="F245" s="851">
        <v>3</v>
      </c>
    </row>
    <row r="246" spans="1:6">
      <c r="A246" s="852" t="s">
        <v>197</v>
      </c>
      <c r="B246" s="847" t="s">
        <v>62</v>
      </c>
      <c r="C246" s="848" t="s">
        <v>211</v>
      </c>
      <c r="D246" s="849"/>
      <c r="E246" s="850">
        <v>107071</v>
      </c>
      <c r="F246" s="851">
        <v>4</v>
      </c>
    </row>
    <row r="247" spans="1:6">
      <c r="A247" s="852" t="s">
        <v>197</v>
      </c>
      <c r="B247" s="847" t="s">
        <v>69</v>
      </c>
      <c r="C247" s="853" t="s">
        <v>70</v>
      </c>
      <c r="D247" s="854"/>
      <c r="E247" s="850">
        <v>107071</v>
      </c>
      <c r="F247" s="851">
        <v>4</v>
      </c>
    </row>
    <row r="248" spans="1:6">
      <c r="A248" s="852" t="s">
        <v>197</v>
      </c>
      <c r="B248" s="847" t="s">
        <v>69</v>
      </c>
      <c r="C248" s="855" t="s">
        <v>212</v>
      </c>
      <c r="D248" s="859"/>
      <c r="E248" s="850">
        <v>107071</v>
      </c>
      <c r="F248" s="851">
        <v>4</v>
      </c>
    </row>
    <row r="249" spans="1:6">
      <c r="A249" s="852" t="s">
        <v>197</v>
      </c>
      <c r="B249" s="847" t="s">
        <v>62</v>
      </c>
      <c r="C249" s="857" t="s">
        <v>213</v>
      </c>
      <c r="D249" s="858"/>
      <c r="E249" s="850">
        <v>107983</v>
      </c>
      <c r="F249" s="851">
        <v>4</v>
      </c>
    </row>
    <row r="250" spans="1:6">
      <c r="A250" s="852" t="s">
        <v>197</v>
      </c>
      <c r="B250" s="847" t="s">
        <v>62</v>
      </c>
      <c r="C250" s="848" t="s">
        <v>214</v>
      </c>
      <c r="D250" s="856"/>
      <c r="E250" s="850">
        <v>106485</v>
      </c>
      <c r="F250" s="860">
        <v>4</v>
      </c>
    </row>
    <row r="251" spans="1:6">
      <c r="A251" s="852" t="s">
        <v>197</v>
      </c>
      <c r="B251" s="847" t="s">
        <v>69</v>
      </c>
      <c r="C251" s="853" t="s">
        <v>70</v>
      </c>
      <c r="D251" s="861" t="s">
        <v>1784</v>
      </c>
      <c r="E251" s="850">
        <v>106485</v>
      </c>
      <c r="F251" s="860">
        <v>4</v>
      </c>
    </row>
    <row r="252" spans="1:6">
      <c r="A252" s="852" t="s">
        <v>197</v>
      </c>
      <c r="B252" s="847" t="s">
        <v>69</v>
      </c>
      <c r="C252" s="855" t="s">
        <v>215</v>
      </c>
      <c r="D252" s="861" t="s">
        <v>1784</v>
      </c>
      <c r="E252" s="850">
        <v>106485</v>
      </c>
      <c r="F252" s="860">
        <v>4</v>
      </c>
    </row>
    <row r="253" spans="1:6">
      <c r="A253" s="852" t="s">
        <v>197</v>
      </c>
      <c r="B253" s="847" t="s">
        <v>69</v>
      </c>
      <c r="C253" s="855" t="s">
        <v>216</v>
      </c>
      <c r="D253" s="861"/>
      <c r="E253" s="850">
        <v>106485</v>
      </c>
      <c r="F253" s="860">
        <v>4</v>
      </c>
    </row>
    <row r="254" spans="1:6">
      <c r="A254" s="852" t="s">
        <v>197</v>
      </c>
      <c r="B254" s="847" t="s">
        <v>62</v>
      </c>
      <c r="C254" s="857" t="s">
        <v>217</v>
      </c>
      <c r="D254" s="859"/>
      <c r="E254" s="850">
        <v>108092</v>
      </c>
      <c r="F254" s="851">
        <v>6</v>
      </c>
    </row>
    <row r="255" spans="1:6">
      <c r="A255" s="852" t="s">
        <v>197</v>
      </c>
      <c r="B255" s="847" t="s">
        <v>62</v>
      </c>
      <c r="C255" s="857" t="s">
        <v>218</v>
      </c>
      <c r="D255" s="856" t="s">
        <v>1796</v>
      </c>
      <c r="E255" s="850">
        <v>106412</v>
      </c>
      <c r="F255" s="851">
        <v>6</v>
      </c>
    </row>
    <row r="256" spans="1:6">
      <c r="A256" s="852" t="s">
        <v>197</v>
      </c>
      <c r="B256" s="847" t="s">
        <v>62</v>
      </c>
      <c r="C256" s="857" t="s">
        <v>219</v>
      </c>
      <c r="D256" s="856" t="s">
        <v>1797</v>
      </c>
      <c r="E256" s="850">
        <v>367459</v>
      </c>
      <c r="F256" s="851">
        <v>8</v>
      </c>
    </row>
    <row r="257" spans="1:6">
      <c r="A257" s="852" t="s">
        <v>197</v>
      </c>
      <c r="B257" s="847" t="s">
        <v>62</v>
      </c>
      <c r="C257" s="848" t="s">
        <v>220</v>
      </c>
      <c r="D257" s="856"/>
      <c r="E257" s="850">
        <v>106449</v>
      </c>
      <c r="F257" s="851">
        <v>9</v>
      </c>
    </row>
    <row r="258" spans="1:6">
      <c r="A258" s="852" t="s">
        <v>197</v>
      </c>
      <c r="B258" s="847" t="s">
        <v>62</v>
      </c>
      <c r="C258" s="848" t="s">
        <v>1062</v>
      </c>
      <c r="D258" s="863"/>
      <c r="E258" s="850">
        <v>107664</v>
      </c>
      <c r="F258" s="851">
        <v>9</v>
      </c>
    </row>
    <row r="259" spans="1:6">
      <c r="A259" s="852" t="s">
        <v>197</v>
      </c>
      <c r="B259" s="847" t="s">
        <v>62</v>
      </c>
      <c r="C259" s="848" t="s">
        <v>222</v>
      </c>
      <c r="D259" s="849"/>
      <c r="E259" s="850">
        <v>107327</v>
      </c>
      <c r="F259" s="851">
        <v>10</v>
      </c>
    </row>
    <row r="260" spans="1:6">
      <c r="A260" s="852" t="s">
        <v>197</v>
      </c>
      <c r="B260" s="847" t="s">
        <v>62</v>
      </c>
      <c r="C260" s="857" t="s">
        <v>223</v>
      </c>
      <c r="D260" s="849"/>
      <c r="E260" s="850">
        <v>107318</v>
      </c>
      <c r="F260" s="851">
        <v>10</v>
      </c>
    </row>
    <row r="261" spans="1:6">
      <c r="A261" s="852" t="s">
        <v>197</v>
      </c>
      <c r="B261" s="847" t="s">
        <v>62</v>
      </c>
      <c r="C261" s="848" t="s">
        <v>224</v>
      </c>
      <c r="D261" s="849"/>
      <c r="E261" s="850">
        <v>420538</v>
      </c>
      <c r="F261" s="851">
        <v>10</v>
      </c>
    </row>
    <row r="262" spans="1:6">
      <c r="A262" s="852" t="s">
        <v>197</v>
      </c>
      <c r="B262" s="847" t="s">
        <v>62</v>
      </c>
      <c r="C262" s="848" t="s">
        <v>225</v>
      </c>
      <c r="D262" s="849"/>
      <c r="E262" s="850">
        <v>440402</v>
      </c>
      <c r="F262" s="851">
        <v>10</v>
      </c>
    </row>
    <row r="263" spans="1:6">
      <c r="A263" s="852" t="s">
        <v>197</v>
      </c>
      <c r="B263" s="847" t="s">
        <v>62</v>
      </c>
      <c r="C263" s="857" t="s">
        <v>226</v>
      </c>
      <c r="D263" s="859"/>
      <c r="E263" s="850">
        <v>106625</v>
      </c>
      <c r="F263" s="851">
        <v>10</v>
      </c>
    </row>
    <row r="264" spans="1:6">
      <c r="A264" s="852" t="s">
        <v>197</v>
      </c>
      <c r="B264" s="847" t="s">
        <v>62</v>
      </c>
      <c r="C264" s="857" t="s">
        <v>1432</v>
      </c>
      <c r="D264" s="856" t="s">
        <v>1433</v>
      </c>
      <c r="E264" s="850">
        <v>107521</v>
      </c>
      <c r="F264" s="851">
        <v>10</v>
      </c>
    </row>
    <row r="265" spans="1:6">
      <c r="A265" s="852" t="s">
        <v>197</v>
      </c>
      <c r="B265" s="847" t="s">
        <v>62</v>
      </c>
      <c r="C265" s="848" t="s">
        <v>227</v>
      </c>
      <c r="D265" s="849"/>
      <c r="E265" s="850">
        <v>106795</v>
      </c>
      <c r="F265" s="851">
        <v>10</v>
      </c>
    </row>
    <row r="266" spans="1:6">
      <c r="A266" s="852" t="s">
        <v>197</v>
      </c>
      <c r="B266" s="847" t="s">
        <v>62</v>
      </c>
      <c r="C266" s="848" t="s">
        <v>228</v>
      </c>
      <c r="D266" s="849"/>
      <c r="E266" s="850">
        <v>106883</v>
      </c>
      <c r="F266" s="851">
        <v>10</v>
      </c>
    </row>
    <row r="267" spans="1:6">
      <c r="A267" s="852" t="s">
        <v>197</v>
      </c>
      <c r="B267" s="847" t="s">
        <v>62</v>
      </c>
      <c r="C267" s="864" t="s">
        <v>221</v>
      </c>
      <c r="D267" s="865"/>
      <c r="E267" s="850">
        <v>106980</v>
      </c>
      <c r="F267" s="851">
        <v>10</v>
      </c>
    </row>
    <row r="268" spans="1:6">
      <c r="A268" s="852" t="s">
        <v>197</v>
      </c>
      <c r="B268" s="847" t="s">
        <v>62</v>
      </c>
      <c r="C268" s="848" t="s">
        <v>229</v>
      </c>
      <c r="D268" s="849"/>
      <c r="E268" s="850">
        <v>107460</v>
      </c>
      <c r="F268" s="851">
        <v>10</v>
      </c>
    </row>
    <row r="269" spans="1:6">
      <c r="A269" s="852" t="s">
        <v>197</v>
      </c>
      <c r="B269" s="847" t="s">
        <v>62</v>
      </c>
      <c r="C269" s="848" t="s">
        <v>230</v>
      </c>
      <c r="D269" s="849"/>
      <c r="E269" s="850">
        <v>107549</v>
      </c>
      <c r="F269" s="851">
        <v>10</v>
      </c>
    </row>
    <row r="270" spans="1:6">
      <c r="A270" s="852" t="s">
        <v>197</v>
      </c>
      <c r="B270" s="847" t="s">
        <v>62</v>
      </c>
      <c r="C270" s="848" t="s">
        <v>231</v>
      </c>
      <c r="D270" s="849"/>
      <c r="E270" s="850">
        <v>107619</v>
      </c>
      <c r="F270" s="851">
        <v>10</v>
      </c>
    </row>
    <row r="271" spans="1:6">
      <c r="A271" s="852" t="s">
        <v>197</v>
      </c>
      <c r="B271" s="847" t="s">
        <v>62</v>
      </c>
      <c r="C271" s="848" t="s">
        <v>1063</v>
      </c>
      <c r="D271" s="849"/>
      <c r="E271" s="850">
        <v>107743</v>
      </c>
      <c r="F271" s="851">
        <v>10</v>
      </c>
    </row>
    <row r="272" spans="1:6">
      <c r="A272" s="852" t="s">
        <v>197</v>
      </c>
      <c r="B272" s="847" t="s">
        <v>62</v>
      </c>
      <c r="C272" s="848" t="s">
        <v>232</v>
      </c>
      <c r="D272" s="849"/>
      <c r="E272" s="850">
        <v>107974</v>
      </c>
      <c r="F272" s="851">
        <v>10</v>
      </c>
    </row>
    <row r="273" spans="1:6">
      <c r="A273" s="852" t="s">
        <v>197</v>
      </c>
      <c r="B273" s="847" t="s">
        <v>62</v>
      </c>
      <c r="C273" s="848" t="s">
        <v>233</v>
      </c>
      <c r="D273" s="849"/>
      <c r="E273" s="850">
        <v>107637</v>
      </c>
      <c r="F273" s="851">
        <v>10</v>
      </c>
    </row>
    <row r="274" spans="1:6">
      <c r="A274" s="852" t="s">
        <v>197</v>
      </c>
      <c r="B274" s="847" t="s">
        <v>62</v>
      </c>
      <c r="C274" s="848" t="s">
        <v>234</v>
      </c>
      <c r="D274" s="849"/>
      <c r="E274" s="850">
        <v>107992</v>
      </c>
      <c r="F274" s="851">
        <v>10</v>
      </c>
    </row>
    <row r="275" spans="1:6">
      <c r="A275" s="852" t="s">
        <v>197</v>
      </c>
      <c r="B275" s="847" t="s">
        <v>69</v>
      </c>
      <c r="C275" s="855" t="s">
        <v>235</v>
      </c>
      <c r="D275" s="866"/>
      <c r="E275" s="850">
        <v>107992</v>
      </c>
      <c r="F275" s="851">
        <v>10</v>
      </c>
    </row>
    <row r="276" spans="1:6">
      <c r="A276" s="852" t="s">
        <v>197</v>
      </c>
      <c r="B276" s="847" t="s">
        <v>62</v>
      </c>
      <c r="C276" s="848" t="s">
        <v>236</v>
      </c>
      <c r="D276" s="849"/>
      <c r="E276" s="850">
        <v>106999</v>
      </c>
      <c r="F276" s="851">
        <v>10</v>
      </c>
    </row>
    <row r="277" spans="1:6">
      <c r="A277" s="852" t="s">
        <v>197</v>
      </c>
      <c r="B277" s="847" t="s">
        <v>62</v>
      </c>
      <c r="C277" s="848" t="s">
        <v>1434</v>
      </c>
      <c r="D277" s="849"/>
      <c r="E277" s="850">
        <v>107725</v>
      </c>
      <c r="F277" s="851">
        <v>10</v>
      </c>
    </row>
    <row r="278" spans="1:6">
      <c r="A278" s="852" t="s">
        <v>197</v>
      </c>
      <c r="B278" s="847" t="s">
        <v>62</v>
      </c>
      <c r="C278" s="848" t="s">
        <v>237</v>
      </c>
      <c r="D278" s="849"/>
      <c r="E278" s="850">
        <v>107585</v>
      </c>
      <c r="F278" s="851">
        <v>10</v>
      </c>
    </row>
    <row r="279" spans="1:6">
      <c r="A279" s="852" t="s">
        <v>197</v>
      </c>
      <c r="B279" s="847" t="s">
        <v>238</v>
      </c>
      <c r="C279" s="848" t="s">
        <v>239</v>
      </c>
      <c r="D279" s="849"/>
      <c r="E279" s="850">
        <v>106263</v>
      </c>
      <c r="F279" s="851">
        <v>15</v>
      </c>
    </row>
    <row r="280" spans="1:6">
      <c r="A280" s="852" t="s">
        <v>197</v>
      </c>
      <c r="B280" s="847" t="s">
        <v>132</v>
      </c>
      <c r="C280" s="867" t="s">
        <v>240</v>
      </c>
      <c r="D280" s="849"/>
      <c r="E280" s="868"/>
      <c r="F280" s="869">
        <v>99</v>
      </c>
    </row>
    <row r="281" spans="1:6">
      <c r="A281" s="852" t="s">
        <v>197</v>
      </c>
      <c r="B281" s="847" t="s">
        <v>132</v>
      </c>
      <c r="C281" s="855" t="s">
        <v>241</v>
      </c>
      <c r="D281" s="854"/>
      <c r="E281" s="868"/>
      <c r="F281" s="869">
        <v>99</v>
      </c>
    </row>
    <row r="282" spans="1:6">
      <c r="A282" s="852" t="s">
        <v>197</v>
      </c>
      <c r="B282" s="847" t="s">
        <v>132</v>
      </c>
      <c r="C282" s="855" t="s">
        <v>242</v>
      </c>
      <c r="D282" s="854"/>
      <c r="E282" s="868"/>
      <c r="F282" s="869">
        <v>99</v>
      </c>
    </row>
    <row r="283" spans="1:6">
      <c r="A283" s="852" t="s">
        <v>197</v>
      </c>
      <c r="B283" s="847" t="s">
        <v>138</v>
      </c>
      <c r="C283" s="867" t="s">
        <v>139</v>
      </c>
      <c r="D283" s="849"/>
      <c r="E283" s="868"/>
      <c r="F283" s="869">
        <v>99</v>
      </c>
    </row>
    <row r="284" spans="1:6">
      <c r="A284" s="852" t="s">
        <v>197</v>
      </c>
      <c r="B284" s="847" t="s">
        <v>140</v>
      </c>
      <c r="C284" s="853" t="s">
        <v>141</v>
      </c>
      <c r="D284" s="854"/>
      <c r="E284" s="868"/>
      <c r="F284" s="869">
        <v>99</v>
      </c>
    </row>
    <row r="285" spans="1:6">
      <c r="A285" s="852" t="s">
        <v>197</v>
      </c>
      <c r="B285" s="847" t="s">
        <v>140</v>
      </c>
      <c r="C285" s="855" t="s">
        <v>243</v>
      </c>
      <c r="D285" s="854"/>
      <c r="E285" s="868"/>
      <c r="F285" s="869">
        <v>99</v>
      </c>
    </row>
    <row r="286" spans="1:6">
      <c r="A286" s="852" t="s">
        <v>197</v>
      </c>
      <c r="B286" s="847" t="s">
        <v>140</v>
      </c>
      <c r="C286" s="855" t="s">
        <v>244</v>
      </c>
      <c r="D286" s="854"/>
      <c r="E286" s="868"/>
      <c r="F286" s="869">
        <v>99</v>
      </c>
    </row>
    <row r="287" spans="1:6">
      <c r="A287" s="852" t="s">
        <v>197</v>
      </c>
      <c r="B287" s="847" t="s">
        <v>140</v>
      </c>
      <c r="C287" s="855" t="s">
        <v>245</v>
      </c>
      <c r="D287" s="854"/>
      <c r="E287" s="868"/>
      <c r="F287" s="869">
        <v>99</v>
      </c>
    </row>
    <row r="288" spans="1:6">
      <c r="A288" s="852" t="s">
        <v>197</v>
      </c>
      <c r="B288" s="847" t="s">
        <v>145</v>
      </c>
      <c r="C288" s="853" t="s">
        <v>146</v>
      </c>
      <c r="D288" s="854"/>
      <c r="E288" s="868"/>
      <c r="F288" s="869">
        <v>99</v>
      </c>
    </row>
    <row r="289" spans="1:6">
      <c r="A289" s="852" t="s">
        <v>197</v>
      </c>
      <c r="B289" s="847" t="s">
        <v>145</v>
      </c>
      <c r="C289" s="855" t="s">
        <v>246</v>
      </c>
      <c r="D289" s="854"/>
      <c r="E289" s="868"/>
      <c r="F289" s="869">
        <v>99</v>
      </c>
    </row>
    <row r="290" spans="1:6">
      <c r="A290" s="852" t="s">
        <v>197</v>
      </c>
      <c r="B290" s="847" t="s">
        <v>149</v>
      </c>
      <c r="C290" s="870" t="s">
        <v>247</v>
      </c>
      <c r="D290" s="871"/>
      <c r="E290" s="868"/>
      <c r="F290" s="869">
        <v>99</v>
      </c>
    </row>
    <row r="291" spans="1:6">
      <c r="A291" s="852" t="s">
        <v>197</v>
      </c>
      <c r="B291" s="847" t="s">
        <v>151</v>
      </c>
      <c r="C291" s="867" t="s">
        <v>152</v>
      </c>
      <c r="D291" s="849"/>
      <c r="E291" s="868"/>
      <c r="F291" s="869">
        <v>99</v>
      </c>
    </row>
    <row r="292" spans="1:6">
      <c r="A292" s="852" t="s">
        <v>197</v>
      </c>
      <c r="B292" s="847" t="s">
        <v>248</v>
      </c>
      <c r="C292" s="867" t="s">
        <v>249</v>
      </c>
      <c r="D292" s="849"/>
      <c r="E292" s="868"/>
      <c r="F292" s="869">
        <v>99</v>
      </c>
    </row>
    <row r="293" spans="1:6">
      <c r="A293" s="852" t="s">
        <v>197</v>
      </c>
      <c r="B293" s="847" t="s">
        <v>250</v>
      </c>
      <c r="C293" s="853" t="s">
        <v>251</v>
      </c>
      <c r="D293" s="854"/>
      <c r="E293" s="868"/>
      <c r="F293" s="869">
        <v>99</v>
      </c>
    </row>
    <row r="294" spans="1:6">
      <c r="A294" s="852" t="s">
        <v>197</v>
      </c>
      <c r="B294" s="847" t="s">
        <v>250</v>
      </c>
      <c r="C294" s="855" t="s">
        <v>252</v>
      </c>
      <c r="D294" s="854"/>
      <c r="E294" s="868"/>
      <c r="F294" s="869">
        <v>99</v>
      </c>
    </row>
    <row r="295" spans="1:6">
      <c r="A295" s="852" t="s">
        <v>197</v>
      </c>
      <c r="B295" s="847" t="s">
        <v>250</v>
      </c>
      <c r="C295" s="855" t="s">
        <v>253</v>
      </c>
      <c r="D295" s="854"/>
      <c r="E295" s="868"/>
      <c r="F295" s="869">
        <v>99</v>
      </c>
    </row>
    <row r="296" spans="1:6">
      <c r="A296" s="852" t="s">
        <v>197</v>
      </c>
      <c r="B296" s="847" t="s">
        <v>250</v>
      </c>
      <c r="C296" s="855" t="s">
        <v>254</v>
      </c>
      <c r="D296" s="854"/>
      <c r="E296" s="868"/>
      <c r="F296" s="869">
        <v>99</v>
      </c>
    </row>
    <row r="297" spans="1:6">
      <c r="A297" s="852" t="s">
        <v>197</v>
      </c>
      <c r="B297" s="847" t="s">
        <v>250</v>
      </c>
      <c r="C297" s="855" t="s">
        <v>255</v>
      </c>
      <c r="D297" s="854"/>
      <c r="E297" s="868"/>
      <c r="F297" s="869">
        <v>99</v>
      </c>
    </row>
    <row r="298" spans="1:6">
      <c r="A298" s="852" t="s">
        <v>197</v>
      </c>
      <c r="B298" s="847" t="s">
        <v>250</v>
      </c>
      <c r="C298" s="855" t="s">
        <v>256</v>
      </c>
      <c r="D298" s="854"/>
      <c r="E298" s="868"/>
      <c r="F298" s="869">
        <v>99</v>
      </c>
    </row>
    <row r="299" spans="1:6">
      <c r="A299" s="852" t="s">
        <v>197</v>
      </c>
      <c r="B299" s="847" t="s">
        <v>250</v>
      </c>
      <c r="C299" s="855" t="s">
        <v>257</v>
      </c>
      <c r="D299" s="854"/>
      <c r="E299" s="868"/>
      <c r="F299" s="869">
        <v>99</v>
      </c>
    </row>
    <row r="300" spans="1:6">
      <c r="A300" s="852" t="s">
        <v>197</v>
      </c>
      <c r="B300" s="847" t="s">
        <v>258</v>
      </c>
      <c r="C300" s="853" t="s">
        <v>259</v>
      </c>
      <c r="D300" s="854"/>
      <c r="E300" s="868"/>
      <c r="F300" s="869">
        <v>99</v>
      </c>
    </row>
    <row r="301" spans="1:6">
      <c r="A301" s="852" t="s">
        <v>197</v>
      </c>
      <c r="B301" s="847" t="s">
        <v>258</v>
      </c>
      <c r="C301" s="855" t="s">
        <v>260</v>
      </c>
      <c r="D301" s="854"/>
      <c r="E301" s="868"/>
      <c r="F301" s="869">
        <v>99</v>
      </c>
    </row>
    <row r="302" spans="1:6">
      <c r="A302" s="852" t="s">
        <v>197</v>
      </c>
      <c r="B302" s="847" t="s">
        <v>258</v>
      </c>
      <c r="C302" s="855" t="s">
        <v>261</v>
      </c>
      <c r="D302" s="854"/>
      <c r="E302" s="868"/>
      <c r="F302" s="869">
        <v>99</v>
      </c>
    </row>
    <row r="303" spans="1:6">
      <c r="A303" s="852" t="s">
        <v>197</v>
      </c>
      <c r="B303" s="847" t="s">
        <v>258</v>
      </c>
      <c r="C303" s="855" t="s">
        <v>262</v>
      </c>
      <c r="D303" s="854"/>
      <c r="E303" s="868"/>
      <c r="F303" s="869">
        <v>99</v>
      </c>
    </row>
    <row r="304" spans="1:6">
      <c r="A304" s="852" t="s">
        <v>197</v>
      </c>
      <c r="B304" s="847" t="s">
        <v>258</v>
      </c>
      <c r="C304" s="855" t="s">
        <v>263</v>
      </c>
      <c r="D304" s="854"/>
      <c r="E304" s="868"/>
      <c r="F304" s="869">
        <v>99</v>
      </c>
    </row>
    <row r="305" spans="1:6">
      <c r="A305" s="852" t="s">
        <v>197</v>
      </c>
      <c r="B305" s="847" t="s">
        <v>258</v>
      </c>
      <c r="C305" s="855" t="s">
        <v>264</v>
      </c>
      <c r="D305" s="854"/>
      <c r="E305" s="868"/>
      <c r="F305" s="869">
        <v>99</v>
      </c>
    </row>
    <row r="306" spans="1:6">
      <c r="A306" s="852" t="s">
        <v>197</v>
      </c>
      <c r="B306" s="847" t="s">
        <v>258</v>
      </c>
      <c r="C306" s="855" t="s">
        <v>265</v>
      </c>
      <c r="D306" s="854"/>
      <c r="E306" s="868"/>
      <c r="F306" s="869">
        <v>99</v>
      </c>
    </row>
    <row r="307" spans="1:6">
      <c r="A307" s="852" t="s">
        <v>197</v>
      </c>
      <c r="B307" s="847" t="s">
        <v>258</v>
      </c>
      <c r="C307" s="855" t="s">
        <v>266</v>
      </c>
      <c r="D307" s="854"/>
      <c r="E307" s="868"/>
      <c r="F307" s="869">
        <v>99</v>
      </c>
    </row>
    <row r="308" spans="1:6">
      <c r="A308" s="852" t="s">
        <v>197</v>
      </c>
      <c r="B308" s="847" t="s">
        <v>258</v>
      </c>
      <c r="C308" s="855" t="s">
        <v>267</v>
      </c>
      <c r="D308" s="854"/>
      <c r="E308" s="868"/>
      <c r="F308" s="869">
        <v>99</v>
      </c>
    </row>
    <row r="309" spans="1:6">
      <c r="A309" s="852" t="s">
        <v>197</v>
      </c>
      <c r="B309" s="847" t="s">
        <v>258</v>
      </c>
      <c r="C309" s="855" t="s">
        <v>268</v>
      </c>
      <c r="D309" s="854"/>
      <c r="E309" s="868"/>
      <c r="F309" s="869">
        <v>99</v>
      </c>
    </row>
    <row r="310" spans="1:6">
      <c r="A310" s="852" t="s">
        <v>197</v>
      </c>
      <c r="B310" s="847" t="s">
        <v>157</v>
      </c>
      <c r="C310" s="853" t="s">
        <v>158</v>
      </c>
      <c r="D310" s="854"/>
      <c r="E310" s="868"/>
      <c r="F310" s="869">
        <v>99</v>
      </c>
    </row>
    <row r="311" spans="1:6">
      <c r="A311" s="852" t="s">
        <v>197</v>
      </c>
      <c r="B311" s="847" t="s">
        <v>159</v>
      </c>
      <c r="C311" s="867" t="s">
        <v>160</v>
      </c>
      <c r="D311" s="849"/>
      <c r="E311" s="868"/>
      <c r="F311" s="869">
        <v>99</v>
      </c>
    </row>
    <row r="312" spans="1:6">
      <c r="A312" s="852" t="s">
        <v>197</v>
      </c>
      <c r="B312" s="847" t="s">
        <v>161</v>
      </c>
      <c r="C312" s="872" t="s">
        <v>162</v>
      </c>
      <c r="D312" s="866"/>
      <c r="E312" s="868"/>
      <c r="F312" s="869">
        <v>99</v>
      </c>
    </row>
    <row r="313" spans="1:6">
      <c r="A313" s="852" t="s">
        <v>197</v>
      </c>
      <c r="B313" s="847" t="s">
        <v>161</v>
      </c>
      <c r="C313" s="873" t="s">
        <v>269</v>
      </c>
      <c r="D313" s="854"/>
      <c r="E313" s="868"/>
      <c r="F313" s="869">
        <v>99</v>
      </c>
    </row>
    <row r="314" spans="1:6">
      <c r="A314" s="852" t="s">
        <v>197</v>
      </c>
      <c r="B314" s="874" t="s">
        <v>170</v>
      </c>
      <c r="C314" s="875" t="s">
        <v>171</v>
      </c>
      <c r="D314" s="871"/>
      <c r="E314" s="868"/>
      <c r="F314" s="869">
        <v>99</v>
      </c>
    </row>
    <row r="315" spans="1:6">
      <c r="A315" s="852" t="s">
        <v>197</v>
      </c>
      <c r="B315" s="874" t="s">
        <v>172</v>
      </c>
      <c r="C315" s="875" t="s">
        <v>165</v>
      </c>
      <c r="D315" s="871"/>
      <c r="E315" s="868"/>
      <c r="F315" s="869">
        <v>99</v>
      </c>
    </row>
    <row r="316" spans="1:6">
      <c r="A316" s="852" t="s">
        <v>197</v>
      </c>
      <c r="B316" s="874" t="s">
        <v>173</v>
      </c>
      <c r="C316" s="875" t="s">
        <v>167</v>
      </c>
      <c r="D316" s="871"/>
      <c r="E316" s="868"/>
      <c r="F316" s="869">
        <v>99</v>
      </c>
    </row>
    <row r="317" spans="1:6">
      <c r="A317" s="852" t="s">
        <v>197</v>
      </c>
      <c r="B317" s="874" t="s">
        <v>176</v>
      </c>
      <c r="C317" s="875" t="s">
        <v>177</v>
      </c>
      <c r="D317" s="871"/>
      <c r="E317" s="868"/>
      <c r="F317" s="869">
        <v>99</v>
      </c>
    </row>
    <row r="318" spans="1:6">
      <c r="A318" s="852" t="s">
        <v>197</v>
      </c>
      <c r="B318" s="874" t="s">
        <v>180</v>
      </c>
      <c r="C318" s="875" t="s">
        <v>165</v>
      </c>
      <c r="D318" s="871"/>
      <c r="E318" s="868"/>
      <c r="F318" s="869">
        <v>99</v>
      </c>
    </row>
    <row r="319" spans="1:6">
      <c r="A319" s="852" t="s">
        <v>197</v>
      </c>
      <c r="B319" s="874" t="s">
        <v>178</v>
      </c>
      <c r="C319" s="875" t="s">
        <v>167</v>
      </c>
      <c r="D319" s="871"/>
      <c r="E319" s="868"/>
      <c r="F319" s="869">
        <v>99</v>
      </c>
    </row>
    <row r="320" spans="1:6">
      <c r="A320" s="852" t="s">
        <v>197</v>
      </c>
      <c r="B320" s="847" t="s">
        <v>161</v>
      </c>
      <c r="C320" s="873" t="s">
        <v>270</v>
      </c>
      <c r="D320" s="854"/>
      <c r="E320" s="868"/>
      <c r="F320" s="869">
        <v>99</v>
      </c>
    </row>
    <row r="321" spans="1:6">
      <c r="A321" s="852" t="s">
        <v>197</v>
      </c>
      <c r="B321" s="874" t="s">
        <v>170</v>
      </c>
      <c r="C321" s="875" t="s">
        <v>171</v>
      </c>
      <c r="D321" s="871"/>
      <c r="E321" s="868"/>
      <c r="F321" s="869">
        <v>99</v>
      </c>
    </row>
    <row r="322" spans="1:6">
      <c r="A322" s="852" t="s">
        <v>197</v>
      </c>
      <c r="B322" s="874" t="s">
        <v>172</v>
      </c>
      <c r="C322" s="875" t="s">
        <v>165</v>
      </c>
      <c r="D322" s="871"/>
      <c r="E322" s="868"/>
      <c r="F322" s="869">
        <v>99</v>
      </c>
    </row>
    <row r="323" spans="1:6">
      <c r="A323" s="852" t="s">
        <v>197</v>
      </c>
      <c r="B323" s="874" t="s">
        <v>173</v>
      </c>
      <c r="C323" s="875" t="s">
        <v>167</v>
      </c>
      <c r="D323" s="871"/>
      <c r="E323" s="868"/>
      <c r="F323" s="869">
        <v>99</v>
      </c>
    </row>
    <row r="324" spans="1:6">
      <c r="A324" s="852" t="s">
        <v>197</v>
      </c>
      <c r="B324" s="874" t="s">
        <v>176</v>
      </c>
      <c r="C324" s="875" t="s">
        <v>177</v>
      </c>
      <c r="D324" s="871"/>
      <c r="E324" s="868"/>
      <c r="F324" s="869">
        <v>99</v>
      </c>
    </row>
    <row r="325" spans="1:6">
      <c r="A325" s="852" t="s">
        <v>197</v>
      </c>
      <c r="B325" s="874" t="s">
        <v>180</v>
      </c>
      <c r="C325" s="875" t="s">
        <v>165</v>
      </c>
      <c r="D325" s="871"/>
      <c r="E325" s="868"/>
      <c r="F325" s="869">
        <v>99</v>
      </c>
    </row>
    <row r="326" spans="1:6">
      <c r="A326" s="852" t="s">
        <v>197</v>
      </c>
      <c r="B326" s="874" t="s">
        <v>178</v>
      </c>
      <c r="C326" s="875" t="s">
        <v>167</v>
      </c>
      <c r="D326" s="871"/>
      <c r="E326" s="868"/>
      <c r="F326" s="869">
        <v>99</v>
      </c>
    </row>
    <row r="327" spans="1:6">
      <c r="A327" s="852" t="s">
        <v>197</v>
      </c>
      <c r="B327" s="847" t="s">
        <v>161</v>
      </c>
      <c r="C327" s="876" t="s">
        <v>271</v>
      </c>
      <c r="D327" s="871"/>
      <c r="E327" s="868"/>
      <c r="F327" s="869">
        <v>99</v>
      </c>
    </row>
    <row r="328" spans="1:6">
      <c r="A328" s="852" t="s">
        <v>197</v>
      </c>
      <c r="B328" s="874" t="s">
        <v>170</v>
      </c>
      <c r="C328" s="875" t="s">
        <v>171</v>
      </c>
      <c r="D328" s="871"/>
      <c r="E328" s="868"/>
      <c r="F328" s="869">
        <v>99</v>
      </c>
    </row>
    <row r="329" spans="1:6">
      <c r="A329" s="852" t="s">
        <v>197</v>
      </c>
      <c r="B329" s="874" t="s">
        <v>172</v>
      </c>
      <c r="C329" s="875" t="s">
        <v>165</v>
      </c>
      <c r="D329" s="871"/>
      <c r="E329" s="868"/>
      <c r="F329" s="869">
        <v>99</v>
      </c>
    </row>
    <row r="330" spans="1:6">
      <c r="A330" s="852" t="s">
        <v>197</v>
      </c>
      <c r="B330" s="874" t="s">
        <v>173</v>
      </c>
      <c r="C330" s="875" t="s">
        <v>167</v>
      </c>
      <c r="D330" s="871"/>
      <c r="E330" s="868"/>
      <c r="F330" s="869">
        <v>99</v>
      </c>
    </row>
    <row r="331" spans="1:6">
      <c r="A331" s="852" t="s">
        <v>197</v>
      </c>
      <c r="B331" s="874" t="s">
        <v>176</v>
      </c>
      <c r="C331" s="875" t="s">
        <v>177</v>
      </c>
      <c r="D331" s="871"/>
      <c r="E331" s="868"/>
      <c r="F331" s="869">
        <v>99</v>
      </c>
    </row>
    <row r="332" spans="1:6">
      <c r="A332" s="852" t="s">
        <v>197</v>
      </c>
      <c r="B332" s="874" t="s">
        <v>180</v>
      </c>
      <c r="C332" s="875" t="s">
        <v>165</v>
      </c>
      <c r="D332" s="871"/>
      <c r="E332" s="868"/>
      <c r="F332" s="869">
        <v>99</v>
      </c>
    </row>
    <row r="333" spans="1:6">
      <c r="A333" s="852" t="s">
        <v>197</v>
      </c>
      <c r="B333" s="874" t="s">
        <v>178</v>
      </c>
      <c r="C333" s="875" t="s">
        <v>167</v>
      </c>
      <c r="D333" s="871"/>
      <c r="E333" s="868"/>
      <c r="F333" s="869">
        <v>99</v>
      </c>
    </row>
    <row r="334" spans="1:6">
      <c r="A334" s="852" t="s">
        <v>197</v>
      </c>
      <c r="B334" s="847" t="s">
        <v>161</v>
      </c>
      <c r="C334" s="873" t="s">
        <v>272</v>
      </c>
      <c r="D334" s="854"/>
      <c r="E334" s="868"/>
      <c r="F334" s="869">
        <v>99</v>
      </c>
    </row>
    <row r="335" spans="1:6">
      <c r="A335" s="852" t="s">
        <v>197</v>
      </c>
      <c r="B335" s="874" t="s">
        <v>170</v>
      </c>
      <c r="C335" s="875" t="s">
        <v>171</v>
      </c>
      <c r="D335" s="871"/>
      <c r="E335" s="868"/>
      <c r="F335" s="869">
        <v>99</v>
      </c>
    </row>
    <row r="336" spans="1:6">
      <c r="A336" s="852" t="s">
        <v>197</v>
      </c>
      <c r="B336" s="874" t="s">
        <v>172</v>
      </c>
      <c r="C336" s="875" t="s">
        <v>165</v>
      </c>
      <c r="D336" s="871"/>
      <c r="E336" s="868"/>
      <c r="F336" s="869">
        <v>99</v>
      </c>
    </row>
    <row r="337" spans="1:6">
      <c r="A337" s="852" t="s">
        <v>197</v>
      </c>
      <c r="B337" s="874" t="s">
        <v>173</v>
      </c>
      <c r="C337" s="875" t="s">
        <v>167</v>
      </c>
      <c r="D337" s="871"/>
      <c r="E337" s="868"/>
      <c r="F337" s="869">
        <v>99</v>
      </c>
    </row>
    <row r="338" spans="1:6">
      <c r="A338" s="852" t="s">
        <v>197</v>
      </c>
      <c r="B338" s="874" t="s">
        <v>176</v>
      </c>
      <c r="C338" s="875" t="s">
        <v>177</v>
      </c>
      <c r="D338" s="871"/>
      <c r="E338" s="868"/>
      <c r="F338" s="869">
        <v>99</v>
      </c>
    </row>
    <row r="339" spans="1:6">
      <c r="A339" s="852" t="s">
        <v>197</v>
      </c>
      <c r="B339" s="874" t="s">
        <v>180</v>
      </c>
      <c r="C339" s="875" t="s">
        <v>165</v>
      </c>
      <c r="D339" s="871"/>
      <c r="E339" s="868"/>
      <c r="F339" s="869">
        <v>99</v>
      </c>
    </row>
    <row r="340" spans="1:6">
      <c r="A340" s="852" t="s">
        <v>197</v>
      </c>
      <c r="B340" s="874" t="s">
        <v>178</v>
      </c>
      <c r="C340" s="875" t="s">
        <v>167</v>
      </c>
      <c r="D340" s="871"/>
      <c r="E340" s="868"/>
      <c r="F340" s="869">
        <v>99</v>
      </c>
    </row>
    <row r="341" spans="1:6">
      <c r="A341" s="852" t="s">
        <v>197</v>
      </c>
      <c r="B341" s="847" t="s">
        <v>161</v>
      </c>
      <c r="C341" s="873" t="s">
        <v>273</v>
      </c>
      <c r="D341" s="854"/>
      <c r="E341" s="868"/>
      <c r="F341" s="869">
        <v>99</v>
      </c>
    </row>
    <row r="342" spans="1:6">
      <c r="A342" s="852" t="s">
        <v>197</v>
      </c>
      <c r="B342" s="874" t="s">
        <v>170</v>
      </c>
      <c r="C342" s="875" t="s">
        <v>171</v>
      </c>
      <c r="D342" s="871"/>
      <c r="E342" s="868"/>
      <c r="F342" s="869">
        <v>99</v>
      </c>
    </row>
    <row r="343" spans="1:6">
      <c r="A343" s="852" t="s">
        <v>197</v>
      </c>
      <c r="B343" s="874" t="s">
        <v>172</v>
      </c>
      <c r="C343" s="875" t="s">
        <v>165</v>
      </c>
      <c r="D343" s="871"/>
      <c r="E343" s="868"/>
      <c r="F343" s="869">
        <v>99</v>
      </c>
    </row>
    <row r="344" spans="1:6">
      <c r="A344" s="852" t="s">
        <v>197</v>
      </c>
      <c r="B344" s="874" t="s">
        <v>173</v>
      </c>
      <c r="C344" s="875" t="s">
        <v>167</v>
      </c>
      <c r="D344" s="871"/>
      <c r="E344" s="868"/>
      <c r="F344" s="869">
        <v>99</v>
      </c>
    </row>
    <row r="345" spans="1:6">
      <c r="A345" s="852" t="s">
        <v>197</v>
      </c>
      <c r="B345" s="874" t="s">
        <v>176</v>
      </c>
      <c r="C345" s="875" t="s">
        <v>177</v>
      </c>
      <c r="D345" s="871"/>
      <c r="E345" s="868"/>
      <c r="F345" s="869">
        <v>99</v>
      </c>
    </row>
    <row r="346" spans="1:6">
      <c r="A346" s="852" t="s">
        <v>197</v>
      </c>
      <c r="B346" s="874" t="s">
        <v>180</v>
      </c>
      <c r="C346" s="875" t="s">
        <v>165</v>
      </c>
      <c r="D346" s="871"/>
      <c r="E346" s="868"/>
      <c r="F346" s="869">
        <v>99</v>
      </c>
    </row>
    <row r="347" spans="1:6">
      <c r="A347" s="852" t="s">
        <v>197</v>
      </c>
      <c r="B347" s="874" t="s">
        <v>178</v>
      </c>
      <c r="C347" s="875" t="s">
        <v>167</v>
      </c>
      <c r="D347" s="871"/>
      <c r="E347" s="868"/>
      <c r="F347" s="869">
        <v>99</v>
      </c>
    </row>
    <row r="348" spans="1:6">
      <c r="A348" s="852" t="s">
        <v>197</v>
      </c>
      <c r="B348" s="847" t="s">
        <v>161</v>
      </c>
      <c r="C348" s="873" t="s">
        <v>274</v>
      </c>
      <c r="D348" s="854"/>
      <c r="E348" s="868"/>
      <c r="F348" s="869">
        <v>99</v>
      </c>
    </row>
    <row r="349" spans="1:6">
      <c r="A349" s="852" t="s">
        <v>197</v>
      </c>
      <c r="B349" s="874" t="s">
        <v>170</v>
      </c>
      <c r="C349" s="875" t="s">
        <v>171</v>
      </c>
      <c r="D349" s="871"/>
      <c r="E349" s="868"/>
      <c r="F349" s="869">
        <v>99</v>
      </c>
    </row>
    <row r="350" spans="1:6">
      <c r="A350" s="852" t="s">
        <v>197</v>
      </c>
      <c r="B350" s="874" t="s">
        <v>172</v>
      </c>
      <c r="C350" s="875" t="s">
        <v>165</v>
      </c>
      <c r="D350" s="871"/>
      <c r="E350" s="868"/>
      <c r="F350" s="869">
        <v>99</v>
      </c>
    </row>
    <row r="351" spans="1:6">
      <c r="A351" s="852" t="s">
        <v>197</v>
      </c>
      <c r="B351" s="874" t="s">
        <v>173</v>
      </c>
      <c r="C351" s="875" t="s">
        <v>167</v>
      </c>
      <c r="D351" s="871"/>
      <c r="E351" s="868"/>
      <c r="F351" s="869">
        <v>99</v>
      </c>
    </row>
    <row r="352" spans="1:6">
      <c r="A352" s="852" t="s">
        <v>197</v>
      </c>
      <c r="B352" s="874" t="s">
        <v>176</v>
      </c>
      <c r="C352" s="875" t="s">
        <v>177</v>
      </c>
      <c r="D352" s="871"/>
      <c r="E352" s="868"/>
      <c r="F352" s="869">
        <v>99</v>
      </c>
    </row>
    <row r="353" spans="1:6">
      <c r="A353" s="852" t="s">
        <v>197</v>
      </c>
      <c r="B353" s="874" t="s">
        <v>180</v>
      </c>
      <c r="C353" s="875" t="s">
        <v>165</v>
      </c>
      <c r="D353" s="871"/>
      <c r="E353" s="868"/>
      <c r="F353" s="869">
        <v>99</v>
      </c>
    </row>
    <row r="354" spans="1:6">
      <c r="A354" s="852" t="s">
        <v>197</v>
      </c>
      <c r="B354" s="874" t="s">
        <v>178</v>
      </c>
      <c r="C354" s="875" t="s">
        <v>167</v>
      </c>
      <c r="D354" s="871"/>
      <c r="E354" s="868"/>
      <c r="F354" s="869">
        <v>99</v>
      </c>
    </row>
    <row r="355" spans="1:6">
      <c r="A355" s="852" t="s">
        <v>197</v>
      </c>
      <c r="B355" s="847" t="s">
        <v>161</v>
      </c>
      <c r="C355" s="873" t="s">
        <v>275</v>
      </c>
      <c r="D355" s="854"/>
      <c r="E355" s="868"/>
      <c r="F355" s="869">
        <v>99</v>
      </c>
    </row>
    <row r="356" spans="1:6">
      <c r="A356" s="852" t="s">
        <v>197</v>
      </c>
      <c r="B356" s="874" t="s">
        <v>170</v>
      </c>
      <c r="C356" s="875" t="s">
        <v>171</v>
      </c>
      <c r="D356" s="871"/>
      <c r="E356" s="868"/>
      <c r="F356" s="869">
        <v>99</v>
      </c>
    </row>
    <row r="357" spans="1:6">
      <c r="A357" s="852" t="s">
        <v>197</v>
      </c>
      <c r="B357" s="874" t="s">
        <v>172</v>
      </c>
      <c r="C357" s="875" t="s">
        <v>165</v>
      </c>
      <c r="D357" s="871"/>
      <c r="E357" s="868"/>
      <c r="F357" s="869">
        <v>99</v>
      </c>
    </row>
    <row r="358" spans="1:6">
      <c r="A358" s="852" t="s">
        <v>197</v>
      </c>
      <c r="B358" s="874" t="s">
        <v>173</v>
      </c>
      <c r="C358" s="875" t="s">
        <v>167</v>
      </c>
      <c r="D358" s="871"/>
      <c r="E358" s="868"/>
      <c r="F358" s="869">
        <v>99</v>
      </c>
    </row>
    <row r="359" spans="1:6">
      <c r="A359" s="852" t="s">
        <v>197</v>
      </c>
      <c r="B359" s="874" t="s">
        <v>176</v>
      </c>
      <c r="C359" s="875" t="s">
        <v>177</v>
      </c>
      <c r="D359" s="871"/>
      <c r="E359" s="868"/>
      <c r="F359" s="869">
        <v>99</v>
      </c>
    </row>
    <row r="360" spans="1:6">
      <c r="A360" s="852" t="s">
        <v>197</v>
      </c>
      <c r="B360" s="874" t="s">
        <v>180</v>
      </c>
      <c r="C360" s="875" t="s">
        <v>165</v>
      </c>
      <c r="D360" s="871"/>
      <c r="E360" s="868"/>
      <c r="F360" s="869">
        <v>99</v>
      </c>
    </row>
    <row r="361" spans="1:6">
      <c r="A361" s="852" t="s">
        <v>197</v>
      </c>
      <c r="B361" s="874" t="s">
        <v>178</v>
      </c>
      <c r="C361" s="875" t="s">
        <v>167</v>
      </c>
      <c r="D361" s="871"/>
      <c r="E361" s="868"/>
      <c r="F361" s="869">
        <v>99</v>
      </c>
    </row>
    <row r="362" spans="1:6">
      <c r="A362" s="852" t="s">
        <v>197</v>
      </c>
      <c r="B362" s="847" t="s">
        <v>161</v>
      </c>
      <c r="C362" s="873" t="s">
        <v>276</v>
      </c>
      <c r="D362" s="854"/>
      <c r="E362" s="868"/>
      <c r="F362" s="869">
        <v>99</v>
      </c>
    </row>
    <row r="363" spans="1:6">
      <c r="A363" s="852" t="s">
        <v>197</v>
      </c>
      <c r="B363" s="874" t="s">
        <v>170</v>
      </c>
      <c r="C363" s="875" t="s">
        <v>171</v>
      </c>
      <c r="D363" s="871"/>
      <c r="E363" s="868"/>
      <c r="F363" s="869">
        <v>99</v>
      </c>
    </row>
    <row r="364" spans="1:6">
      <c r="A364" s="852" t="s">
        <v>197</v>
      </c>
      <c r="B364" s="874" t="s">
        <v>172</v>
      </c>
      <c r="C364" s="875" t="s">
        <v>165</v>
      </c>
      <c r="D364" s="871"/>
      <c r="E364" s="868"/>
      <c r="F364" s="869">
        <v>99</v>
      </c>
    </row>
    <row r="365" spans="1:6">
      <c r="A365" s="852" t="s">
        <v>197</v>
      </c>
      <c r="B365" s="874" t="s">
        <v>173</v>
      </c>
      <c r="C365" s="875" t="s">
        <v>167</v>
      </c>
      <c r="D365" s="871"/>
      <c r="E365" s="868"/>
      <c r="F365" s="869">
        <v>99</v>
      </c>
    </row>
    <row r="366" spans="1:6">
      <c r="A366" s="852" t="s">
        <v>197</v>
      </c>
      <c r="B366" s="874" t="s">
        <v>176</v>
      </c>
      <c r="C366" s="875" t="s">
        <v>177</v>
      </c>
      <c r="D366" s="871"/>
      <c r="E366" s="868"/>
      <c r="F366" s="869">
        <v>99</v>
      </c>
    </row>
    <row r="367" spans="1:6">
      <c r="A367" s="852" t="s">
        <v>197</v>
      </c>
      <c r="B367" s="874" t="s">
        <v>180</v>
      </c>
      <c r="C367" s="875" t="s">
        <v>165</v>
      </c>
      <c r="D367" s="871"/>
      <c r="E367" s="868"/>
      <c r="F367" s="869">
        <v>99</v>
      </c>
    </row>
    <row r="368" spans="1:6">
      <c r="A368" s="852" t="s">
        <v>197</v>
      </c>
      <c r="B368" s="874" t="s">
        <v>178</v>
      </c>
      <c r="C368" s="875" t="s">
        <v>167</v>
      </c>
      <c r="D368" s="871"/>
      <c r="E368" s="868"/>
      <c r="F368" s="869">
        <v>99</v>
      </c>
    </row>
    <row r="369" spans="1:6">
      <c r="A369" s="852" t="s">
        <v>197</v>
      </c>
      <c r="B369" s="847" t="s">
        <v>161</v>
      </c>
      <c r="C369" s="873" t="s">
        <v>277</v>
      </c>
      <c r="D369" s="854"/>
      <c r="E369" s="868"/>
      <c r="F369" s="869">
        <v>99</v>
      </c>
    </row>
    <row r="370" spans="1:6">
      <c r="A370" s="852" t="s">
        <v>197</v>
      </c>
      <c r="B370" s="874" t="s">
        <v>170</v>
      </c>
      <c r="C370" s="875" t="s">
        <v>171</v>
      </c>
      <c r="D370" s="871"/>
      <c r="E370" s="868"/>
      <c r="F370" s="869">
        <v>99</v>
      </c>
    </row>
    <row r="371" spans="1:6">
      <c r="A371" s="852" t="s">
        <v>197</v>
      </c>
      <c r="B371" s="874" t="s">
        <v>172</v>
      </c>
      <c r="C371" s="875" t="s">
        <v>165</v>
      </c>
      <c r="D371" s="871"/>
      <c r="E371" s="868"/>
      <c r="F371" s="869">
        <v>99</v>
      </c>
    </row>
    <row r="372" spans="1:6">
      <c r="A372" s="852" t="s">
        <v>197</v>
      </c>
      <c r="B372" s="874" t="s">
        <v>173</v>
      </c>
      <c r="C372" s="875" t="s">
        <v>167</v>
      </c>
      <c r="D372" s="871"/>
      <c r="E372" s="868"/>
      <c r="F372" s="869">
        <v>99</v>
      </c>
    </row>
    <row r="373" spans="1:6">
      <c r="A373" s="852" t="s">
        <v>197</v>
      </c>
      <c r="B373" s="874" t="s">
        <v>176</v>
      </c>
      <c r="C373" s="875" t="s">
        <v>177</v>
      </c>
      <c r="D373" s="871"/>
      <c r="E373" s="868"/>
      <c r="F373" s="869">
        <v>99</v>
      </c>
    </row>
    <row r="374" spans="1:6">
      <c r="A374" s="852" t="s">
        <v>197</v>
      </c>
      <c r="B374" s="874" t="s">
        <v>180</v>
      </c>
      <c r="C374" s="875" t="s">
        <v>165</v>
      </c>
      <c r="D374" s="871"/>
      <c r="E374" s="868"/>
      <c r="F374" s="869">
        <v>99</v>
      </c>
    </row>
    <row r="375" spans="1:6">
      <c r="A375" s="852" t="s">
        <v>197</v>
      </c>
      <c r="B375" s="874" t="s">
        <v>178</v>
      </c>
      <c r="C375" s="875" t="s">
        <v>167</v>
      </c>
      <c r="D375" s="871"/>
      <c r="E375" s="868"/>
      <c r="F375" s="869">
        <v>99</v>
      </c>
    </row>
    <row r="376" spans="1:6">
      <c r="A376" s="852" t="s">
        <v>197</v>
      </c>
      <c r="B376" s="847" t="s">
        <v>161</v>
      </c>
      <c r="C376" s="873" t="s">
        <v>278</v>
      </c>
      <c r="D376" s="854"/>
      <c r="E376" s="868"/>
      <c r="F376" s="869">
        <v>99</v>
      </c>
    </row>
    <row r="377" spans="1:6">
      <c r="A377" s="852" t="s">
        <v>197</v>
      </c>
      <c r="B377" s="874" t="s">
        <v>164</v>
      </c>
      <c r="C377" s="875" t="s">
        <v>165</v>
      </c>
      <c r="D377" s="871"/>
      <c r="E377" s="868"/>
      <c r="F377" s="869">
        <v>99</v>
      </c>
    </row>
    <row r="378" spans="1:6">
      <c r="A378" s="852" t="s">
        <v>197</v>
      </c>
      <c r="B378" s="874" t="s">
        <v>166</v>
      </c>
      <c r="C378" s="875" t="s">
        <v>167</v>
      </c>
      <c r="D378" s="871"/>
      <c r="E378" s="868"/>
      <c r="F378" s="869">
        <v>99</v>
      </c>
    </row>
    <row r="379" spans="1:6">
      <c r="A379" s="852" t="s">
        <v>197</v>
      </c>
      <c r="B379" s="874" t="s">
        <v>170</v>
      </c>
      <c r="C379" s="875" t="s">
        <v>171</v>
      </c>
      <c r="D379" s="871"/>
      <c r="E379" s="868"/>
      <c r="F379" s="869">
        <v>99</v>
      </c>
    </row>
    <row r="380" spans="1:6">
      <c r="A380" s="852" t="s">
        <v>197</v>
      </c>
      <c r="B380" s="874" t="s">
        <v>172</v>
      </c>
      <c r="C380" s="875" t="s">
        <v>165</v>
      </c>
      <c r="D380" s="871"/>
      <c r="E380" s="868"/>
      <c r="F380" s="869">
        <v>99</v>
      </c>
    </row>
    <row r="381" spans="1:6">
      <c r="A381" s="852" t="s">
        <v>197</v>
      </c>
      <c r="B381" s="874" t="s">
        <v>173</v>
      </c>
      <c r="C381" s="875" t="s">
        <v>167</v>
      </c>
      <c r="D381" s="871"/>
      <c r="E381" s="868"/>
      <c r="F381" s="869">
        <v>99</v>
      </c>
    </row>
    <row r="382" spans="1:6">
      <c r="A382" s="852" t="s">
        <v>197</v>
      </c>
      <c r="B382" s="874" t="s">
        <v>176</v>
      </c>
      <c r="C382" s="875" t="s">
        <v>177</v>
      </c>
      <c r="D382" s="871"/>
      <c r="E382" s="868"/>
      <c r="F382" s="869">
        <v>99</v>
      </c>
    </row>
    <row r="383" spans="1:6">
      <c r="A383" s="852" t="s">
        <v>197</v>
      </c>
      <c r="B383" s="874" t="s">
        <v>180</v>
      </c>
      <c r="C383" s="875" t="s">
        <v>165</v>
      </c>
      <c r="D383" s="871"/>
      <c r="E383" s="868"/>
      <c r="F383" s="869">
        <v>99</v>
      </c>
    </row>
    <row r="384" spans="1:6">
      <c r="A384" s="852" t="s">
        <v>197</v>
      </c>
      <c r="B384" s="874" t="s">
        <v>178</v>
      </c>
      <c r="C384" s="875" t="s">
        <v>167</v>
      </c>
      <c r="D384" s="871"/>
      <c r="E384" s="868"/>
      <c r="F384" s="869">
        <v>99</v>
      </c>
    </row>
    <row r="385" spans="1:6">
      <c r="A385" s="852" t="s">
        <v>197</v>
      </c>
      <c r="B385" s="847" t="s">
        <v>161</v>
      </c>
      <c r="C385" s="873" t="s">
        <v>279</v>
      </c>
      <c r="D385" s="854"/>
      <c r="E385" s="868"/>
      <c r="F385" s="869">
        <v>99</v>
      </c>
    </row>
    <row r="386" spans="1:6">
      <c r="A386" s="852" t="s">
        <v>197</v>
      </c>
      <c r="B386" s="874" t="s">
        <v>170</v>
      </c>
      <c r="C386" s="875" t="s">
        <v>171</v>
      </c>
      <c r="D386" s="871"/>
      <c r="E386" s="868"/>
      <c r="F386" s="869">
        <v>99</v>
      </c>
    </row>
    <row r="387" spans="1:6">
      <c r="A387" s="852" t="s">
        <v>197</v>
      </c>
      <c r="B387" s="874" t="s">
        <v>172</v>
      </c>
      <c r="C387" s="875" t="s">
        <v>165</v>
      </c>
      <c r="D387" s="871"/>
      <c r="E387" s="868"/>
      <c r="F387" s="869">
        <v>99</v>
      </c>
    </row>
    <row r="388" spans="1:6">
      <c r="A388" s="852" t="s">
        <v>197</v>
      </c>
      <c r="B388" s="874" t="s">
        <v>173</v>
      </c>
      <c r="C388" s="875" t="s">
        <v>167</v>
      </c>
      <c r="D388" s="871"/>
      <c r="E388" s="868"/>
      <c r="F388" s="869">
        <v>99</v>
      </c>
    </row>
    <row r="389" spans="1:6">
      <c r="A389" s="852" t="s">
        <v>197</v>
      </c>
      <c r="B389" s="874" t="s">
        <v>176</v>
      </c>
      <c r="C389" s="875" t="s">
        <v>177</v>
      </c>
      <c r="D389" s="871"/>
      <c r="E389" s="868"/>
      <c r="F389" s="869">
        <v>99</v>
      </c>
    </row>
    <row r="390" spans="1:6">
      <c r="A390" s="852" t="s">
        <v>197</v>
      </c>
      <c r="B390" s="874" t="s">
        <v>180</v>
      </c>
      <c r="C390" s="875" t="s">
        <v>165</v>
      </c>
      <c r="D390" s="871"/>
      <c r="E390" s="868"/>
      <c r="F390" s="869">
        <v>99</v>
      </c>
    </row>
    <row r="391" spans="1:6">
      <c r="A391" s="852" t="s">
        <v>197</v>
      </c>
      <c r="B391" s="874" t="s">
        <v>178</v>
      </c>
      <c r="C391" s="875" t="s">
        <v>167</v>
      </c>
      <c r="D391" s="871"/>
      <c r="E391" s="868"/>
      <c r="F391" s="869">
        <v>99</v>
      </c>
    </row>
    <row r="392" spans="1:6">
      <c r="A392" s="852" t="s">
        <v>197</v>
      </c>
      <c r="B392" s="847" t="s">
        <v>161</v>
      </c>
      <c r="C392" s="873" t="s">
        <v>280</v>
      </c>
      <c r="D392" s="854"/>
      <c r="E392" s="877"/>
      <c r="F392" s="869">
        <v>99</v>
      </c>
    </row>
    <row r="393" spans="1:6">
      <c r="A393" s="852" t="s">
        <v>197</v>
      </c>
      <c r="B393" s="878" t="s">
        <v>170</v>
      </c>
      <c r="C393" s="875" t="s">
        <v>171</v>
      </c>
      <c r="D393" s="871"/>
      <c r="E393" s="877"/>
      <c r="F393" s="869">
        <v>99</v>
      </c>
    </row>
    <row r="394" spans="1:6">
      <c r="A394" s="852" t="s">
        <v>197</v>
      </c>
      <c r="B394" s="874" t="s">
        <v>172</v>
      </c>
      <c r="C394" s="875" t="s">
        <v>165</v>
      </c>
      <c r="D394" s="871"/>
      <c r="E394" s="877"/>
      <c r="F394" s="869">
        <v>99</v>
      </c>
    </row>
    <row r="395" spans="1:6">
      <c r="A395" s="852" t="s">
        <v>197</v>
      </c>
      <c r="B395" s="874" t="s">
        <v>173</v>
      </c>
      <c r="C395" s="875" t="s">
        <v>167</v>
      </c>
      <c r="D395" s="871"/>
      <c r="E395" s="877"/>
      <c r="F395" s="869">
        <v>99</v>
      </c>
    </row>
    <row r="396" spans="1:6">
      <c r="A396" s="852" t="s">
        <v>197</v>
      </c>
      <c r="B396" s="874" t="s">
        <v>176</v>
      </c>
      <c r="C396" s="875" t="s">
        <v>177</v>
      </c>
      <c r="D396" s="871"/>
      <c r="E396" s="879"/>
      <c r="F396" s="869">
        <v>99</v>
      </c>
    </row>
    <row r="397" spans="1:6">
      <c r="A397" s="852" t="s">
        <v>197</v>
      </c>
      <c r="B397" s="874" t="s">
        <v>180</v>
      </c>
      <c r="C397" s="875" t="s">
        <v>165</v>
      </c>
      <c r="D397" s="871"/>
      <c r="E397" s="877"/>
      <c r="F397" s="869">
        <v>99</v>
      </c>
    </row>
    <row r="398" spans="1:6">
      <c r="A398" s="852" t="s">
        <v>197</v>
      </c>
      <c r="B398" s="874" t="s">
        <v>178</v>
      </c>
      <c r="C398" s="875" t="s">
        <v>167</v>
      </c>
      <c r="D398" s="871"/>
      <c r="E398" s="877"/>
      <c r="F398" s="869">
        <v>99</v>
      </c>
    </row>
    <row r="399" spans="1:6">
      <c r="A399" s="852" t="s">
        <v>197</v>
      </c>
      <c r="B399" s="847" t="s">
        <v>161</v>
      </c>
      <c r="C399" s="873" t="s">
        <v>281</v>
      </c>
      <c r="D399" s="854"/>
      <c r="E399" s="877"/>
      <c r="F399" s="869">
        <v>99</v>
      </c>
    </row>
    <row r="400" spans="1:6">
      <c r="A400" s="852" t="s">
        <v>197</v>
      </c>
      <c r="B400" s="878" t="s">
        <v>170</v>
      </c>
      <c r="C400" s="875" t="s">
        <v>171</v>
      </c>
      <c r="D400" s="871"/>
      <c r="E400" s="877"/>
      <c r="F400" s="869">
        <v>99</v>
      </c>
    </row>
    <row r="401" spans="1:6">
      <c r="A401" s="852" t="s">
        <v>197</v>
      </c>
      <c r="B401" s="874" t="s">
        <v>172</v>
      </c>
      <c r="C401" s="875" t="s">
        <v>165</v>
      </c>
      <c r="D401" s="871"/>
      <c r="E401" s="877"/>
      <c r="F401" s="869">
        <v>99</v>
      </c>
    </row>
    <row r="402" spans="1:6">
      <c r="A402" s="852" t="s">
        <v>197</v>
      </c>
      <c r="B402" s="874" t="s">
        <v>173</v>
      </c>
      <c r="C402" s="875" t="s">
        <v>167</v>
      </c>
      <c r="D402" s="871"/>
      <c r="E402" s="877"/>
      <c r="F402" s="869">
        <v>99</v>
      </c>
    </row>
    <row r="403" spans="1:6">
      <c r="A403" s="852" t="s">
        <v>197</v>
      </c>
      <c r="B403" s="874" t="s">
        <v>176</v>
      </c>
      <c r="C403" s="875" t="s">
        <v>177</v>
      </c>
      <c r="D403" s="871"/>
      <c r="E403" s="877"/>
      <c r="F403" s="869">
        <v>99</v>
      </c>
    </row>
    <row r="404" spans="1:6">
      <c r="A404" s="852" t="s">
        <v>197</v>
      </c>
      <c r="B404" s="874" t="s">
        <v>180</v>
      </c>
      <c r="C404" s="875" t="s">
        <v>165</v>
      </c>
      <c r="D404" s="871"/>
      <c r="E404" s="877"/>
      <c r="F404" s="869">
        <v>99</v>
      </c>
    </row>
    <row r="405" spans="1:6">
      <c r="A405" s="852" t="s">
        <v>197</v>
      </c>
      <c r="B405" s="874" t="s">
        <v>178</v>
      </c>
      <c r="C405" s="875" t="s">
        <v>167</v>
      </c>
      <c r="D405" s="871"/>
      <c r="E405" s="877"/>
      <c r="F405" s="869">
        <v>99</v>
      </c>
    </row>
    <row r="406" spans="1:6">
      <c r="A406" s="852" t="s">
        <v>197</v>
      </c>
      <c r="B406" s="874" t="s">
        <v>187</v>
      </c>
      <c r="C406" s="880" t="s">
        <v>188</v>
      </c>
      <c r="D406" s="881"/>
      <c r="E406" s="868"/>
      <c r="F406" s="869">
        <v>99</v>
      </c>
    </row>
    <row r="407" spans="1:6">
      <c r="A407" s="852" t="s">
        <v>197</v>
      </c>
      <c r="B407" s="847" t="s">
        <v>187</v>
      </c>
      <c r="C407" s="873" t="s">
        <v>282</v>
      </c>
      <c r="D407" s="854"/>
      <c r="E407" s="868"/>
      <c r="F407" s="869">
        <v>99</v>
      </c>
    </row>
    <row r="408" spans="1:6">
      <c r="A408" s="852" t="s">
        <v>197</v>
      </c>
      <c r="B408" s="874" t="s">
        <v>190</v>
      </c>
      <c r="C408" s="875" t="s">
        <v>165</v>
      </c>
      <c r="D408" s="871"/>
      <c r="E408" s="868"/>
      <c r="F408" s="869">
        <v>99</v>
      </c>
    </row>
    <row r="409" spans="1:6">
      <c r="A409" s="852" t="s">
        <v>197</v>
      </c>
      <c r="B409" s="874" t="s">
        <v>191</v>
      </c>
      <c r="C409" s="875" t="s">
        <v>167</v>
      </c>
      <c r="D409" s="871"/>
      <c r="E409" s="868"/>
      <c r="F409" s="869">
        <v>99</v>
      </c>
    </row>
    <row r="410" spans="1:6">
      <c r="A410" s="882" t="s">
        <v>283</v>
      </c>
      <c r="B410" s="883" t="s">
        <v>62</v>
      </c>
      <c r="C410" s="884" t="s">
        <v>284</v>
      </c>
      <c r="D410" s="885"/>
      <c r="E410" s="886">
        <v>130943</v>
      </c>
      <c r="F410" s="887">
        <v>1</v>
      </c>
    </row>
    <row r="411" spans="1:6">
      <c r="A411" s="882" t="s">
        <v>283</v>
      </c>
      <c r="B411" s="888" t="s">
        <v>69</v>
      </c>
      <c r="C411" s="889" t="s">
        <v>285</v>
      </c>
      <c r="D411" s="890"/>
      <c r="E411" s="891">
        <v>130943</v>
      </c>
      <c r="F411" s="892">
        <v>1</v>
      </c>
    </row>
    <row r="412" spans="1:6">
      <c r="A412" s="882" t="s">
        <v>283</v>
      </c>
      <c r="B412" s="888" t="s">
        <v>69</v>
      </c>
      <c r="C412" s="893" t="s">
        <v>286</v>
      </c>
      <c r="D412" s="890"/>
      <c r="E412" s="891">
        <v>130943</v>
      </c>
      <c r="F412" s="892">
        <v>1</v>
      </c>
    </row>
    <row r="413" spans="1:6">
      <c r="A413" s="882" t="s">
        <v>283</v>
      </c>
      <c r="B413" s="888" t="s">
        <v>74</v>
      </c>
      <c r="C413" s="889" t="s">
        <v>75</v>
      </c>
      <c r="D413" s="890"/>
      <c r="E413" s="891">
        <v>130943</v>
      </c>
      <c r="F413" s="892">
        <v>1</v>
      </c>
    </row>
    <row r="414" spans="1:6">
      <c r="A414" s="882" t="s">
        <v>283</v>
      </c>
      <c r="B414" s="888" t="s">
        <v>76</v>
      </c>
      <c r="C414" s="889" t="s">
        <v>77</v>
      </c>
      <c r="D414" s="890"/>
      <c r="E414" s="891">
        <v>130943</v>
      </c>
      <c r="F414" s="892">
        <v>1</v>
      </c>
    </row>
    <row r="415" spans="1:6">
      <c r="A415" s="882" t="s">
        <v>283</v>
      </c>
      <c r="B415" s="888" t="s">
        <v>78</v>
      </c>
      <c r="C415" s="889" t="s">
        <v>79</v>
      </c>
      <c r="D415" s="890"/>
      <c r="E415" s="891">
        <v>130943</v>
      </c>
      <c r="F415" s="892">
        <v>1</v>
      </c>
    </row>
    <row r="416" spans="1:6">
      <c r="A416" s="894" t="s">
        <v>283</v>
      </c>
      <c r="B416" s="888" t="s">
        <v>78</v>
      </c>
      <c r="C416" s="893" t="s">
        <v>287</v>
      </c>
      <c r="D416" s="890"/>
      <c r="E416" s="891">
        <v>130943</v>
      </c>
      <c r="F416" s="892">
        <v>1</v>
      </c>
    </row>
    <row r="417" spans="1:6">
      <c r="A417" s="894" t="s">
        <v>283</v>
      </c>
      <c r="B417" s="888" t="s">
        <v>78</v>
      </c>
      <c r="C417" s="893" t="s">
        <v>288</v>
      </c>
      <c r="D417" s="890"/>
      <c r="E417" s="891">
        <v>130943</v>
      </c>
      <c r="F417" s="892">
        <v>1</v>
      </c>
    </row>
    <row r="418" spans="1:6">
      <c r="A418" s="894" t="s">
        <v>283</v>
      </c>
      <c r="B418" s="888" t="s">
        <v>78</v>
      </c>
      <c r="C418" s="893" t="s">
        <v>289</v>
      </c>
      <c r="D418" s="890"/>
      <c r="E418" s="891">
        <v>130943</v>
      </c>
      <c r="F418" s="892">
        <v>1</v>
      </c>
    </row>
    <row r="419" spans="1:6">
      <c r="A419" s="894" t="s">
        <v>283</v>
      </c>
      <c r="B419" s="888" t="s">
        <v>78</v>
      </c>
      <c r="C419" s="893" t="s">
        <v>290</v>
      </c>
      <c r="D419" s="890"/>
      <c r="E419" s="891">
        <v>130943</v>
      </c>
      <c r="F419" s="892">
        <v>1</v>
      </c>
    </row>
    <row r="420" spans="1:6">
      <c r="A420" s="894" t="s">
        <v>283</v>
      </c>
      <c r="B420" s="888" t="s">
        <v>78</v>
      </c>
      <c r="C420" s="893" t="s">
        <v>291</v>
      </c>
      <c r="D420" s="890"/>
      <c r="E420" s="891">
        <v>130943</v>
      </c>
      <c r="F420" s="892">
        <v>1</v>
      </c>
    </row>
    <row r="421" spans="1:6">
      <c r="A421" s="894" t="s">
        <v>283</v>
      </c>
      <c r="B421" s="888" t="s">
        <v>78</v>
      </c>
      <c r="C421" s="893" t="s">
        <v>292</v>
      </c>
      <c r="D421" s="890"/>
      <c r="E421" s="891">
        <v>130943</v>
      </c>
      <c r="F421" s="892">
        <v>1</v>
      </c>
    </row>
    <row r="422" spans="1:6">
      <c r="A422" s="894" t="s">
        <v>283</v>
      </c>
      <c r="B422" s="888" t="s">
        <v>78</v>
      </c>
      <c r="C422" s="893" t="s">
        <v>293</v>
      </c>
      <c r="D422" s="890"/>
      <c r="E422" s="891">
        <v>130943</v>
      </c>
      <c r="F422" s="892">
        <v>1</v>
      </c>
    </row>
    <row r="423" spans="1:6">
      <c r="A423" s="894" t="s">
        <v>283</v>
      </c>
      <c r="B423" s="888" t="s">
        <v>78</v>
      </c>
      <c r="C423" s="893" t="s">
        <v>294</v>
      </c>
      <c r="D423" s="890"/>
      <c r="E423" s="891">
        <v>130943</v>
      </c>
      <c r="F423" s="892">
        <v>1</v>
      </c>
    </row>
    <row r="424" spans="1:6">
      <c r="A424" s="894" t="s">
        <v>283</v>
      </c>
      <c r="B424" s="888" t="s">
        <v>62</v>
      </c>
      <c r="C424" s="895" t="s">
        <v>295</v>
      </c>
      <c r="D424" s="896"/>
      <c r="E424" s="892">
        <v>130934</v>
      </c>
      <c r="F424" s="892">
        <v>3</v>
      </c>
    </row>
    <row r="425" spans="1:6">
      <c r="A425" s="897" t="s">
        <v>283</v>
      </c>
      <c r="B425" s="883" t="s">
        <v>62</v>
      </c>
      <c r="C425" s="898" t="s">
        <v>296</v>
      </c>
      <c r="D425" s="1102" t="s">
        <v>1798</v>
      </c>
      <c r="E425" s="886">
        <v>130907</v>
      </c>
      <c r="F425" s="887">
        <v>9</v>
      </c>
    </row>
    <row r="426" spans="1:6">
      <c r="A426" s="894" t="s">
        <v>283</v>
      </c>
      <c r="B426" s="883" t="s">
        <v>132</v>
      </c>
      <c r="C426" s="885" t="s">
        <v>297</v>
      </c>
      <c r="D426" s="885"/>
      <c r="E426" s="899"/>
      <c r="F426" s="900">
        <v>99</v>
      </c>
    </row>
    <row r="427" spans="1:6">
      <c r="A427" s="901" t="s">
        <v>283</v>
      </c>
      <c r="B427" s="883" t="s">
        <v>132</v>
      </c>
      <c r="C427" s="893" t="s">
        <v>298</v>
      </c>
      <c r="D427" s="890"/>
      <c r="E427" s="899"/>
      <c r="F427" s="900">
        <v>99</v>
      </c>
    </row>
    <row r="428" spans="1:6">
      <c r="A428" s="894" t="s">
        <v>283</v>
      </c>
      <c r="B428" s="883" t="s">
        <v>132</v>
      </c>
      <c r="C428" s="893" t="s">
        <v>299</v>
      </c>
      <c r="D428" s="890"/>
      <c r="E428" s="899"/>
      <c r="F428" s="900">
        <v>99</v>
      </c>
    </row>
    <row r="429" spans="1:6">
      <c r="A429" s="894" t="s">
        <v>283</v>
      </c>
      <c r="B429" s="883" t="s">
        <v>132</v>
      </c>
      <c r="C429" s="893" t="s">
        <v>300</v>
      </c>
      <c r="D429" s="890"/>
      <c r="E429" s="899"/>
      <c r="F429" s="900">
        <v>99</v>
      </c>
    </row>
    <row r="430" spans="1:6">
      <c r="A430" s="894" t="s">
        <v>283</v>
      </c>
      <c r="B430" s="883" t="s">
        <v>138</v>
      </c>
      <c r="C430" s="885" t="s">
        <v>301</v>
      </c>
      <c r="D430" s="885"/>
      <c r="E430" s="899"/>
      <c r="F430" s="900">
        <v>99</v>
      </c>
    </row>
    <row r="431" spans="1:6">
      <c r="A431" s="894" t="s">
        <v>283</v>
      </c>
      <c r="B431" s="883" t="s">
        <v>140</v>
      </c>
      <c r="C431" s="902" t="s">
        <v>141</v>
      </c>
      <c r="D431" s="903"/>
      <c r="E431" s="899"/>
      <c r="F431" s="900">
        <v>99</v>
      </c>
    </row>
    <row r="432" spans="1:6">
      <c r="A432" s="894" t="s">
        <v>283</v>
      </c>
      <c r="B432" s="883" t="s">
        <v>140</v>
      </c>
      <c r="C432" s="904" t="s">
        <v>302</v>
      </c>
      <c r="D432" s="903"/>
      <c r="E432" s="899"/>
      <c r="F432" s="900">
        <v>99</v>
      </c>
    </row>
    <row r="433" spans="1:6">
      <c r="A433" s="894" t="s">
        <v>283</v>
      </c>
      <c r="B433" s="883" t="s">
        <v>142</v>
      </c>
      <c r="C433" s="902" t="s">
        <v>143</v>
      </c>
      <c r="D433" s="903"/>
      <c r="E433" s="899"/>
      <c r="F433" s="900">
        <v>99</v>
      </c>
    </row>
    <row r="434" spans="1:6">
      <c r="A434" s="894" t="s">
        <v>283</v>
      </c>
      <c r="B434" s="883" t="s">
        <v>142</v>
      </c>
      <c r="C434" s="904" t="s">
        <v>303</v>
      </c>
      <c r="D434" s="903"/>
      <c r="E434" s="899"/>
      <c r="F434" s="900">
        <v>99</v>
      </c>
    </row>
    <row r="435" spans="1:6">
      <c r="A435" s="894" t="s">
        <v>283</v>
      </c>
      <c r="B435" s="883" t="s">
        <v>145</v>
      </c>
      <c r="C435" s="902" t="s">
        <v>146</v>
      </c>
      <c r="D435" s="903"/>
      <c r="E435" s="899"/>
      <c r="F435" s="900">
        <v>99</v>
      </c>
    </row>
    <row r="436" spans="1:6">
      <c r="A436" s="894" t="s">
        <v>283</v>
      </c>
      <c r="B436" s="883" t="s">
        <v>145</v>
      </c>
      <c r="C436" s="904" t="s">
        <v>304</v>
      </c>
      <c r="D436" s="903"/>
      <c r="E436" s="899"/>
      <c r="F436" s="900">
        <v>99</v>
      </c>
    </row>
    <row r="437" spans="1:6">
      <c r="A437" s="894" t="s">
        <v>283</v>
      </c>
      <c r="B437" s="883" t="s">
        <v>149</v>
      </c>
      <c r="C437" s="902" t="s">
        <v>305</v>
      </c>
      <c r="D437" s="903"/>
      <c r="E437" s="899"/>
      <c r="F437" s="900">
        <v>99</v>
      </c>
    </row>
    <row r="438" spans="1:6">
      <c r="A438" s="894" t="s">
        <v>283</v>
      </c>
      <c r="B438" s="883" t="s">
        <v>151</v>
      </c>
      <c r="C438" s="885" t="s">
        <v>306</v>
      </c>
      <c r="D438" s="885"/>
      <c r="E438" s="899"/>
      <c r="F438" s="900">
        <v>99</v>
      </c>
    </row>
    <row r="439" spans="1:6">
      <c r="A439" s="894" t="s">
        <v>283</v>
      </c>
      <c r="B439" s="883" t="s">
        <v>248</v>
      </c>
      <c r="C439" s="885" t="s">
        <v>307</v>
      </c>
      <c r="D439" s="885"/>
      <c r="E439" s="899"/>
      <c r="F439" s="900">
        <v>99</v>
      </c>
    </row>
    <row r="440" spans="1:6">
      <c r="A440" s="894" t="s">
        <v>283</v>
      </c>
      <c r="B440" s="883" t="s">
        <v>250</v>
      </c>
      <c r="C440" s="902" t="s">
        <v>251</v>
      </c>
      <c r="D440" s="903"/>
      <c r="E440" s="899"/>
      <c r="F440" s="900">
        <v>99</v>
      </c>
    </row>
    <row r="441" spans="1:6">
      <c r="A441" s="894" t="s">
        <v>283</v>
      </c>
      <c r="B441" s="883" t="s">
        <v>250</v>
      </c>
      <c r="C441" s="893" t="s">
        <v>308</v>
      </c>
      <c r="D441" s="890"/>
      <c r="E441" s="899"/>
      <c r="F441" s="900">
        <v>99</v>
      </c>
    </row>
    <row r="442" spans="1:6">
      <c r="A442" s="894" t="s">
        <v>283</v>
      </c>
      <c r="B442" s="883" t="s">
        <v>258</v>
      </c>
      <c r="C442" s="902" t="s">
        <v>259</v>
      </c>
      <c r="D442" s="903"/>
      <c r="E442" s="899"/>
      <c r="F442" s="900">
        <v>99</v>
      </c>
    </row>
    <row r="443" spans="1:6" ht="63.5">
      <c r="A443" s="894" t="s">
        <v>283</v>
      </c>
      <c r="B443" s="883" t="s">
        <v>258</v>
      </c>
      <c r="C443" s="905" t="s">
        <v>309</v>
      </c>
      <c r="D443" s="906"/>
      <c r="E443" s="899"/>
      <c r="F443" s="900">
        <v>99</v>
      </c>
    </row>
    <row r="444" spans="1:6">
      <c r="A444" s="897" t="s">
        <v>283</v>
      </c>
      <c r="B444" s="883" t="s">
        <v>258</v>
      </c>
      <c r="C444" s="893" t="s">
        <v>310</v>
      </c>
      <c r="D444" s="890"/>
      <c r="E444" s="899"/>
      <c r="F444" s="900">
        <v>99</v>
      </c>
    </row>
    <row r="445" spans="1:6">
      <c r="A445" s="894" t="s">
        <v>283</v>
      </c>
      <c r="B445" s="883" t="s">
        <v>157</v>
      </c>
      <c r="C445" s="902" t="s">
        <v>158</v>
      </c>
      <c r="D445" s="903"/>
      <c r="E445" s="899"/>
      <c r="F445" s="900">
        <v>99</v>
      </c>
    </row>
    <row r="446" spans="1:6">
      <c r="A446" s="894" t="s">
        <v>283</v>
      </c>
      <c r="B446" s="883" t="s">
        <v>159</v>
      </c>
      <c r="C446" s="885" t="s">
        <v>311</v>
      </c>
      <c r="D446" s="885"/>
      <c r="E446" s="899"/>
      <c r="F446" s="900">
        <v>99</v>
      </c>
    </row>
    <row r="447" spans="1:6">
      <c r="A447" s="894" t="s">
        <v>283</v>
      </c>
      <c r="B447" s="883" t="s">
        <v>161</v>
      </c>
      <c r="C447" s="907" t="s">
        <v>162</v>
      </c>
      <c r="D447" s="908"/>
      <c r="E447" s="899"/>
      <c r="F447" s="900">
        <v>99</v>
      </c>
    </row>
    <row r="448" spans="1:6">
      <c r="A448" s="894" t="s">
        <v>283</v>
      </c>
      <c r="B448" s="883" t="s">
        <v>161</v>
      </c>
      <c r="C448" s="909" t="s">
        <v>312</v>
      </c>
      <c r="D448" s="890"/>
      <c r="E448" s="899"/>
      <c r="F448" s="900">
        <v>99</v>
      </c>
    </row>
    <row r="449" spans="1:6">
      <c r="A449" s="894" t="s">
        <v>283</v>
      </c>
      <c r="B449" s="883" t="s">
        <v>170</v>
      </c>
      <c r="C449" s="904" t="s">
        <v>313</v>
      </c>
      <c r="D449" s="903"/>
      <c r="E449" s="899"/>
      <c r="F449" s="900">
        <v>99</v>
      </c>
    </row>
    <row r="450" spans="1:6">
      <c r="A450" s="894" t="s">
        <v>283</v>
      </c>
      <c r="B450" s="883" t="s">
        <v>172</v>
      </c>
      <c r="C450" s="904" t="s">
        <v>165</v>
      </c>
      <c r="D450" s="903"/>
      <c r="E450" s="899"/>
      <c r="F450" s="900">
        <v>99</v>
      </c>
    </row>
    <row r="451" spans="1:6">
      <c r="A451" s="894" t="s">
        <v>283</v>
      </c>
      <c r="B451" s="883" t="s">
        <v>173</v>
      </c>
      <c r="C451" s="904" t="s">
        <v>167</v>
      </c>
      <c r="D451" s="903"/>
      <c r="E451" s="899"/>
      <c r="F451" s="900">
        <v>99</v>
      </c>
    </row>
    <row r="452" spans="1:6">
      <c r="A452" s="894" t="s">
        <v>283</v>
      </c>
      <c r="B452" s="883" t="s">
        <v>176</v>
      </c>
      <c r="C452" s="904" t="s">
        <v>314</v>
      </c>
      <c r="D452" s="903"/>
      <c r="E452" s="899"/>
      <c r="F452" s="900">
        <v>99</v>
      </c>
    </row>
    <row r="453" spans="1:6">
      <c r="A453" s="894" t="s">
        <v>283</v>
      </c>
      <c r="B453" s="883" t="s">
        <v>180</v>
      </c>
      <c r="C453" s="904" t="s">
        <v>165</v>
      </c>
      <c r="D453" s="903"/>
      <c r="E453" s="899"/>
      <c r="F453" s="900">
        <v>99</v>
      </c>
    </row>
    <row r="454" spans="1:6">
      <c r="A454" s="894" t="s">
        <v>283</v>
      </c>
      <c r="B454" s="883" t="s">
        <v>178</v>
      </c>
      <c r="C454" s="904" t="s">
        <v>167</v>
      </c>
      <c r="D454" s="903"/>
      <c r="E454" s="899"/>
      <c r="F454" s="900">
        <v>99</v>
      </c>
    </row>
    <row r="455" spans="1:6">
      <c r="A455" s="894" t="s">
        <v>283</v>
      </c>
      <c r="B455" s="883" t="s">
        <v>161</v>
      </c>
      <c r="C455" s="909" t="s">
        <v>315</v>
      </c>
      <c r="D455" s="890"/>
      <c r="E455" s="899"/>
      <c r="F455" s="900">
        <v>99</v>
      </c>
    </row>
    <row r="456" spans="1:6">
      <c r="A456" s="894" t="s">
        <v>283</v>
      </c>
      <c r="B456" s="883" t="s">
        <v>170</v>
      </c>
      <c r="C456" s="904" t="s">
        <v>313</v>
      </c>
      <c r="D456" s="903"/>
      <c r="E456" s="899"/>
      <c r="F456" s="900">
        <v>99</v>
      </c>
    </row>
    <row r="457" spans="1:6">
      <c r="A457" s="894" t="s">
        <v>283</v>
      </c>
      <c r="B457" s="883" t="s">
        <v>172</v>
      </c>
      <c r="C457" s="904" t="s">
        <v>165</v>
      </c>
      <c r="D457" s="903"/>
      <c r="E457" s="899"/>
      <c r="F457" s="900">
        <v>99</v>
      </c>
    </row>
    <row r="458" spans="1:6">
      <c r="A458" s="894" t="s">
        <v>283</v>
      </c>
      <c r="B458" s="883" t="s">
        <v>173</v>
      </c>
      <c r="C458" s="904" t="s">
        <v>167</v>
      </c>
      <c r="D458" s="903"/>
      <c r="E458" s="899"/>
      <c r="F458" s="900">
        <v>99</v>
      </c>
    </row>
    <row r="459" spans="1:6">
      <c r="A459" s="894" t="s">
        <v>283</v>
      </c>
      <c r="B459" s="883" t="s">
        <v>176</v>
      </c>
      <c r="C459" s="904" t="s">
        <v>314</v>
      </c>
      <c r="D459" s="903"/>
      <c r="E459" s="899"/>
      <c r="F459" s="900">
        <v>99</v>
      </c>
    </row>
    <row r="460" spans="1:6">
      <c r="A460" s="894" t="s">
        <v>283</v>
      </c>
      <c r="B460" s="883" t="s">
        <v>180</v>
      </c>
      <c r="C460" s="904" t="s">
        <v>165</v>
      </c>
      <c r="D460" s="903"/>
      <c r="E460" s="899"/>
      <c r="F460" s="900">
        <v>99</v>
      </c>
    </row>
    <row r="461" spans="1:6">
      <c r="A461" s="894" t="s">
        <v>283</v>
      </c>
      <c r="B461" s="883" t="s">
        <v>178</v>
      </c>
      <c r="C461" s="904" t="s">
        <v>167</v>
      </c>
      <c r="D461" s="903"/>
      <c r="E461" s="899"/>
      <c r="F461" s="900">
        <v>99</v>
      </c>
    </row>
    <row r="462" spans="1:6">
      <c r="A462" s="894" t="s">
        <v>283</v>
      </c>
      <c r="B462" s="883" t="s">
        <v>161</v>
      </c>
      <c r="C462" s="909" t="s">
        <v>316</v>
      </c>
      <c r="D462" s="890"/>
      <c r="E462" s="899"/>
      <c r="F462" s="900">
        <v>99</v>
      </c>
    </row>
    <row r="463" spans="1:6">
      <c r="A463" s="894" t="s">
        <v>283</v>
      </c>
      <c r="B463" s="883" t="s">
        <v>170</v>
      </c>
      <c r="C463" s="904" t="s">
        <v>313</v>
      </c>
      <c r="D463" s="903"/>
      <c r="E463" s="899"/>
      <c r="F463" s="900">
        <v>99</v>
      </c>
    </row>
    <row r="464" spans="1:6">
      <c r="A464" s="894" t="s">
        <v>283</v>
      </c>
      <c r="B464" s="883" t="s">
        <v>172</v>
      </c>
      <c r="C464" s="904" t="s">
        <v>165</v>
      </c>
      <c r="D464" s="903"/>
      <c r="E464" s="899"/>
      <c r="F464" s="900">
        <v>99</v>
      </c>
    </row>
    <row r="465" spans="1:6">
      <c r="A465" s="894" t="s">
        <v>283</v>
      </c>
      <c r="B465" s="883" t="s">
        <v>173</v>
      </c>
      <c r="C465" s="904" t="s">
        <v>167</v>
      </c>
      <c r="D465" s="903"/>
      <c r="E465" s="899"/>
      <c r="F465" s="900">
        <v>99</v>
      </c>
    </row>
    <row r="466" spans="1:6">
      <c r="A466" s="894" t="s">
        <v>283</v>
      </c>
      <c r="B466" s="883" t="s">
        <v>176</v>
      </c>
      <c r="C466" s="904" t="s">
        <v>314</v>
      </c>
      <c r="D466" s="903"/>
      <c r="E466" s="899"/>
      <c r="F466" s="900">
        <v>99</v>
      </c>
    </row>
    <row r="467" spans="1:6">
      <c r="A467" s="894" t="s">
        <v>283</v>
      </c>
      <c r="B467" s="883" t="s">
        <v>180</v>
      </c>
      <c r="C467" s="904" t="s">
        <v>165</v>
      </c>
      <c r="D467" s="903"/>
      <c r="E467" s="899"/>
      <c r="F467" s="900">
        <v>99</v>
      </c>
    </row>
    <row r="468" spans="1:6">
      <c r="A468" s="894" t="s">
        <v>283</v>
      </c>
      <c r="B468" s="883" t="s">
        <v>178</v>
      </c>
      <c r="C468" s="904" t="s">
        <v>167</v>
      </c>
      <c r="D468" s="903"/>
      <c r="E468" s="899"/>
      <c r="F468" s="900">
        <v>99</v>
      </c>
    </row>
    <row r="469" spans="1:6">
      <c r="A469" s="894" t="s">
        <v>283</v>
      </c>
      <c r="B469" s="883" t="s">
        <v>161</v>
      </c>
      <c r="C469" s="909" t="s">
        <v>317</v>
      </c>
      <c r="D469" s="890"/>
      <c r="E469" s="899"/>
      <c r="F469" s="900">
        <v>99</v>
      </c>
    </row>
    <row r="470" spans="1:6">
      <c r="A470" s="894" t="s">
        <v>283</v>
      </c>
      <c r="B470" s="883" t="s">
        <v>170</v>
      </c>
      <c r="C470" s="904" t="s">
        <v>313</v>
      </c>
      <c r="D470" s="903"/>
      <c r="E470" s="899"/>
      <c r="F470" s="900">
        <v>99</v>
      </c>
    </row>
    <row r="471" spans="1:6">
      <c r="A471" s="894" t="s">
        <v>283</v>
      </c>
      <c r="B471" s="883" t="s">
        <v>172</v>
      </c>
      <c r="C471" s="904" t="s">
        <v>165</v>
      </c>
      <c r="D471" s="903"/>
      <c r="E471" s="899"/>
      <c r="F471" s="900">
        <v>99</v>
      </c>
    </row>
    <row r="472" spans="1:6">
      <c r="A472" s="894" t="s">
        <v>283</v>
      </c>
      <c r="B472" s="883" t="s">
        <v>173</v>
      </c>
      <c r="C472" s="904" t="s">
        <v>167</v>
      </c>
      <c r="D472" s="903"/>
      <c r="E472" s="899"/>
      <c r="F472" s="900">
        <v>99</v>
      </c>
    </row>
    <row r="473" spans="1:6">
      <c r="A473" s="894" t="s">
        <v>283</v>
      </c>
      <c r="B473" s="883" t="s">
        <v>176</v>
      </c>
      <c r="C473" s="904" t="s">
        <v>314</v>
      </c>
      <c r="D473" s="903"/>
      <c r="E473" s="899"/>
      <c r="F473" s="900">
        <v>99</v>
      </c>
    </row>
    <row r="474" spans="1:6">
      <c r="A474" s="894" t="s">
        <v>283</v>
      </c>
      <c r="B474" s="883" t="s">
        <v>180</v>
      </c>
      <c r="C474" s="904" t="s">
        <v>165</v>
      </c>
      <c r="D474" s="903"/>
      <c r="E474" s="899"/>
      <c r="F474" s="900">
        <v>99</v>
      </c>
    </row>
    <row r="475" spans="1:6">
      <c r="A475" s="894" t="s">
        <v>283</v>
      </c>
      <c r="B475" s="883" t="s">
        <v>178</v>
      </c>
      <c r="C475" s="904" t="s">
        <v>167</v>
      </c>
      <c r="D475" s="903"/>
      <c r="E475" s="899"/>
      <c r="F475" s="900">
        <v>99</v>
      </c>
    </row>
    <row r="476" spans="1:6">
      <c r="A476" s="894" t="s">
        <v>283</v>
      </c>
      <c r="B476" s="883" t="s">
        <v>161</v>
      </c>
      <c r="C476" s="909" t="s">
        <v>318</v>
      </c>
      <c r="D476" s="890"/>
      <c r="E476" s="899"/>
      <c r="F476" s="900">
        <v>99</v>
      </c>
    </row>
    <row r="477" spans="1:6">
      <c r="A477" s="894" t="s">
        <v>283</v>
      </c>
      <c r="B477" s="883" t="s">
        <v>170</v>
      </c>
      <c r="C477" s="904" t="s">
        <v>313</v>
      </c>
      <c r="D477" s="903"/>
      <c r="E477" s="899"/>
      <c r="F477" s="900">
        <v>99</v>
      </c>
    </row>
    <row r="478" spans="1:6">
      <c r="A478" s="894" t="s">
        <v>283</v>
      </c>
      <c r="B478" s="883" t="s">
        <v>172</v>
      </c>
      <c r="C478" s="904" t="s">
        <v>165</v>
      </c>
      <c r="D478" s="903"/>
      <c r="E478" s="899"/>
      <c r="F478" s="900">
        <v>99</v>
      </c>
    </row>
    <row r="479" spans="1:6">
      <c r="A479" s="894" t="s">
        <v>283</v>
      </c>
      <c r="B479" s="883" t="s">
        <v>173</v>
      </c>
      <c r="C479" s="904" t="s">
        <v>167</v>
      </c>
      <c r="D479" s="903"/>
      <c r="E479" s="899"/>
      <c r="F479" s="900">
        <v>99</v>
      </c>
    </row>
    <row r="480" spans="1:6">
      <c r="A480" s="894" t="s">
        <v>283</v>
      </c>
      <c r="B480" s="883" t="s">
        <v>176</v>
      </c>
      <c r="C480" s="904" t="s">
        <v>314</v>
      </c>
      <c r="D480" s="903"/>
      <c r="E480" s="899"/>
      <c r="F480" s="900">
        <v>99</v>
      </c>
    </row>
    <row r="481" spans="1:6">
      <c r="A481" s="894" t="s">
        <v>283</v>
      </c>
      <c r="B481" s="883" t="s">
        <v>180</v>
      </c>
      <c r="C481" s="904" t="s">
        <v>165</v>
      </c>
      <c r="D481" s="903"/>
      <c r="E481" s="899"/>
      <c r="F481" s="900">
        <v>99</v>
      </c>
    </row>
    <row r="482" spans="1:6">
      <c r="A482" s="894" t="s">
        <v>283</v>
      </c>
      <c r="B482" s="883" t="s">
        <v>178</v>
      </c>
      <c r="C482" s="904" t="s">
        <v>167</v>
      </c>
      <c r="D482" s="903"/>
      <c r="E482" s="899"/>
      <c r="F482" s="900">
        <v>99</v>
      </c>
    </row>
    <row r="483" spans="1:6">
      <c r="A483" s="894" t="s">
        <v>283</v>
      </c>
      <c r="B483" s="883" t="s">
        <v>161</v>
      </c>
      <c r="C483" s="909" t="s">
        <v>319</v>
      </c>
      <c r="D483" s="890"/>
      <c r="E483" s="899"/>
      <c r="F483" s="900">
        <v>99</v>
      </c>
    </row>
    <row r="484" spans="1:6">
      <c r="A484" s="894" t="s">
        <v>283</v>
      </c>
      <c r="B484" s="883" t="s">
        <v>170</v>
      </c>
      <c r="C484" s="904" t="s">
        <v>313</v>
      </c>
      <c r="D484" s="903"/>
      <c r="E484" s="899"/>
      <c r="F484" s="900">
        <v>99</v>
      </c>
    </row>
    <row r="485" spans="1:6">
      <c r="A485" s="894" t="s">
        <v>283</v>
      </c>
      <c r="B485" s="883" t="s">
        <v>172</v>
      </c>
      <c r="C485" s="904" t="s">
        <v>165</v>
      </c>
      <c r="D485" s="903"/>
      <c r="E485" s="899"/>
      <c r="F485" s="900">
        <v>99</v>
      </c>
    </row>
    <row r="486" spans="1:6">
      <c r="A486" s="894" t="s">
        <v>283</v>
      </c>
      <c r="B486" s="883" t="s">
        <v>173</v>
      </c>
      <c r="C486" s="904" t="s">
        <v>167</v>
      </c>
      <c r="D486" s="903"/>
      <c r="E486" s="899"/>
      <c r="F486" s="900">
        <v>99</v>
      </c>
    </row>
    <row r="487" spans="1:6">
      <c r="A487" s="894" t="s">
        <v>283</v>
      </c>
      <c r="B487" s="883" t="s">
        <v>176</v>
      </c>
      <c r="C487" s="904" t="s">
        <v>314</v>
      </c>
      <c r="D487" s="903"/>
      <c r="E487" s="899"/>
      <c r="F487" s="900">
        <v>99</v>
      </c>
    </row>
    <row r="488" spans="1:6">
      <c r="A488" s="894" t="s">
        <v>283</v>
      </c>
      <c r="B488" s="883" t="s">
        <v>180</v>
      </c>
      <c r="C488" s="904" t="s">
        <v>165</v>
      </c>
      <c r="D488" s="903"/>
      <c r="E488" s="899"/>
      <c r="F488" s="900">
        <v>99</v>
      </c>
    </row>
    <row r="489" spans="1:6">
      <c r="A489" s="894" t="s">
        <v>283</v>
      </c>
      <c r="B489" s="883" t="s">
        <v>178</v>
      </c>
      <c r="C489" s="904" t="s">
        <v>167</v>
      </c>
      <c r="D489" s="903"/>
      <c r="E489" s="899"/>
      <c r="F489" s="900">
        <v>99</v>
      </c>
    </row>
    <row r="490" spans="1:6">
      <c r="A490" s="894" t="s">
        <v>283</v>
      </c>
      <c r="B490" s="883" t="s">
        <v>161</v>
      </c>
      <c r="C490" s="909" t="s">
        <v>320</v>
      </c>
      <c r="D490" s="890"/>
      <c r="E490" s="899"/>
      <c r="F490" s="900">
        <v>99</v>
      </c>
    </row>
    <row r="491" spans="1:6">
      <c r="A491" s="894" t="s">
        <v>283</v>
      </c>
      <c r="B491" s="883" t="s">
        <v>170</v>
      </c>
      <c r="C491" s="904" t="s">
        <v>313</v>
      </c>
      <c r="D491" s="903"/>
      <c r="E491" s="899"/>
      <c r="F491" s="900">
        <v>99</v>
      </c>
    </row>
    <row r="492" spans="1:6">
      <c r="A492" s="894" t="s">
        <v>283</v>
      </c>
      <c r="B492" s="883" t="s">
        <v>172</v>
      </c>
      <c r="C492" s="904" t="s">
        <v>165</v>
      </c>
      <c r="D492" s="903"/>
      <c r="E492" s="899"/>
      <c r="F492" s="900">
        <v>99</v>
      </c>
    </row>
    <row r="493" spans="1:6">
      <c r="A493" s="894" t="s">
        <v>283</v>
      </c>
      <c r="B493" s="883" t="s">
        <v>173</v>
      </c>
      <c r="C493" s="904" t="s">
        <v>167</v>
      </c>
      <c r="D493" s="903"/>
      <c r="E493" s="899"/>
      <c r="F493" s="900">
        <v>99</v>
      </c>
    </row>
    <row r="494" spans="1:6">
      <c r="A494" s="894" t="s">
        <v>283</v>
      </c>
      <c r="B494" s="883" t="s">
        <v>176</v>
      </c>
      <c r="C494" s="904" t="s">
        <v>314</v>
      </c>
      <c r="D494" s="903"/>
      <c r="E494" s="899"/>
      <c r="F494" s="900">
        <v>99</v>
      </c>
    </row>
    <row r="495" spans="1:6">
      <c r="A495" s="894" t="s">
        <v>283</v>
      </c>
      <c r="B495" s="883" t="s">
        <v>180</v>
      </c>
      <c r="C495" s="904" t="s">
        <v>165</v>
      </c>
      <c r="D495" s="903"/>
      <c r="E495" s="899"/>
      <c r="F495" s="900">
        <v>99</v>
      </c>
    </row>
    <row r="496" spans="1:6">
      <c r="A496" s="894" t="s">
        <v>283</v>
      </c>
      <c r="B496" s="883" t="s">
        <v>178</v>
      </c>
      <c r="C496" s="904" t="s">
        <v>167</v>
      </c>
      <c r="D496" s="903"/>
      <c r="E496" s="899"/>
      <c r="F496" s="900">
        <v>99</v>
      </c>
    </row>
    <row r="497" spans="1:6">
      <c r="A497" s="894" t="s">
        <v>283</v>
      </c>
      <c r="B497" s="883" t="s">
        <v>161</v>
      </c>
      <c r="C497" s="909" t="s">
        <v>321</v>
      </c>
      <c r="D497" s="890"/>
      <c r="E497" s="899"/>
      <c r="F497" s="900">
        <v>99</v>
      </c>
    </row>
    <row r="498" spans="1:6">
      <c r="A498" s="894" t="s">
        <v>283</v>
      </c>
      <c r="B498" s="883" t="s">
        <v>170</v>
      </c>
      <c r="C498" s="904" t="s">
        <v>313</v>
      </c>
      <c r="D498" s="903"/>
      <c r="E498" s="899"/>
      <c r="F498" s="900">
        <v>99</v>
      </c>
    </row>
    <row r="499" spans="1:6">
      <c r="A499" s="894" t="s">
        <v>283</v>
      </c>
      <c r="B499" s="883" t="s">
        <v>172</v>
      </c>
      <c r="C499" s="904" t="s">
        <v>165</v>
      </c>
      <c r="D499" s="903"/>
      <c r="E499" s="899"/>
      <c r="F499" s="900">
        <v>99</v>
      </c>
    </row>
    <row r="500" spans="1:6">
      <c r="A500" s="894" t="s">
        <v>283</v>
      </c>
      <c r="B500" s="883" t="s">
        <v>173</v>
      </c>
      <c r="C500" s="904" t="s">
        <v>167</v>
      </c>
      <c r="D500" s="903"/>
      <c r="E500" s="899"/>
      <c r="F500" s="900">
        <v>99</v>
      </c>
    </row>
    <row r="501" spans="1:6">
      <c r="A501" s="894" t="s">
        <v>283</v>
      </c>
      <c r="B501" s="883" t="s">
        <v>176</v>
      </c>
      <c r="C501" s="904" t="s">
        <v>314</v>
      </c>
      <c r="D501" s="903"/>
      <c r="E501" s="899"/>
      <c r="F501" s="900">
        <v>99</v>
      </c>
    </row>
    <row r="502" spans="1:6">
      <c r="A502" s="894" t="s">
        <v>283</v>
      </c>
      <c r="B502" s="883" t="s">
        <v>180</v>
      </c>
      <c r="C502" s="904" t="s">
        <v>165</v>
      </c>
      <c r="D502" s="903"/>
      <c r="E502" s="899"/>
      <c r="F502" s="900">
        <v>99</v>
      </c>
    </row>
    <row r="503" spans="1:6">
      <c r="A503" s="894" t="s">
        <v>283</v>
      </c>
      <c r="B503" s="883" t="s">
        <v>178</v>
      </c>
      <c r="C503" s="904" t="s">
        <v>167</v>
      </c>
      <c r="D503" s="903"/>
      <c r="E503" s="899"/>
      <c r="F503" s="900">
        <v>99</v>
      </c>
    </row>
    <row r="504" spans="1:6">
      <c r="A504" s="894" t="s">
        <v>283</v>
      </c>
      <c r="B504" s="883" t="s">
        <v>161</v>
      </c>
      <c r="C504" s="909" t="s">
        <v>322</v>
      </c>
      <c r="D504" s="890"/>
      <c r="E504" s="899"/>
      <c r="F504" s="900">
        <v>99</v>
      </c>
    </row>
    <row r="505" spans="1:6">
      <c r="A505" s="894" t="s">
        <v>283</v>
      </c>
      <c r="B505" s="883" t="s">
        <v>170</v>
      </c>
      <c r="C505" s="904" t="s">
        <v>313</v>
      </c>
      <c r="D505" s="903"/>
      <c r="E505" s="899"/>
      <c r="F505" s="900">
        <v>99</v>
      </c>
    </row>
    <row r="506" spans="1:6">
      <c r="A506" s="894" t="s">
        <v>283</v>
      </c>
      <c r="B506" s="883" t="s">
        <v>172</v>
      </c>
      <c r="C506" s="904" t="s">
        <v>165</v>
      </c>
      <c r="D506" s="903"/>
      <c r="E506" s="899"/>
      <c r="F506" s="900">
        <v>99</v>
      </c>
    </row>
    <row r="507" spans="1:6">
      <c r="A507" s="894" t="s">
        <v>283</v>
      </c>
      <c r="B507" s="883" t="s">
        <v>173</v>
      </c>
      <c r="C507" s="904" t="s">
        <v>167</v>
      </c>
      <c r="D507" s="903"/>
      <c r="E507" s="899"/>
      <c r="F507" s="900">
        <v>99</v>
      </c>
    </row>
    <row r="508" spans="1:6">
      <c r="A508" s="894" t="s">
        <v>283</v>
      </c>
      <c r="B508" s="883" t="s">
        <v>176</v>
      </c>
      <c r="C508" s="904" t="s">
        <v>314</v>
      </c>
      <c r="D508" s="903"/>
      <c r="E508" s="899"/>
      <c r="F508" s="900">
        <v>99</v>
      </c>
    </row>
    <row r="509" spans="1:6">
      <c r="A509" s="894" t="s">
        <v>283</v>
      </c>
      <c r="B509" s="883" t="s">
        <v>180</v>
      </c>
      <c r="C509" s="904" t="s">
        <v>165</v>
      </c>
      <c r="D509" s="903"/>
      <c r="E509" s="899"/>
      <c r="F509" s="900">
        <v>99</v>
      </c>
    </row>
    <row r="510" spans="1:6">
      <c r="A510" s="894" t="s">
        <v>283</v>
      </c>
      <c r="B510" s="883" t="s">
        <v>178</v>
      </c>
      <c r="C510" s="904" t="s">
        <v>167</v>
      </c>
      <c r="D510" s="903"/>
      <c r="E510" s="899"/>
      <c r="F510" s="900">
        <v>99</v>
      </c>
    </row>
    <row r="511" spans="1:6">
      <c r="A511" s="894" t="s">
        <v>283</v>
      </c>
      <c r="B511" s="883" t="s">
        <v>161</v>
      </c>
      <c r="C511" s="909" t="s">
        <v>323</v>
      </c>
      <c r="D511" s="884"/>
      <c r="E511" s="899"/>
      <c r="F511" s="900">
        <v>99</v>
      </c>
    </row>
    <row r="512" spans="1:6">
      <c r="A512" s="894" t="s">
        <v>283</v>
      </c>
      <c r="B512" s="883" t="s">
        <v>170</v>
      </c>
      <c r="C512" s="904" t="s">
        <v>313</v>
      </c>
      <c r="D512" s="884"/>
      <c r="E512" s="899"/>
      <c r="F512" s="900">
        <v>99</v>
      </c>
    </row>
    <row r="513" spans="1:6">
      <c r="A513" s="894" t="s">
        <v>283</v>
      </c>
      <c r="B513" s="883" t="s">
        <v>172</v>
      </c>
      <c r="C513" s="904" t="s">
        <v>165</v>
      </c>
      <c r="D513" s="884"/>
      <c r="E513" s="899"/>
      <c r="F513" s="900">
        <v>99</v>
      </c>
    </row>
    <row r="514" spans="1:6">
      <c r="A514" s="894" t="s">
        <v>283</v>
      </c>
      <c r="B514" s="883" t="s">
        <v>173</v>
      </c>
      <c r="C514" s="904" t="s">
        <v>167</v>
      </c>
      <c r="D514" s="884"/>
      <c r="E514" s="899"/>
      <c r="F514" s="900">
        <v>99</v>
      </c>
    </row>
    <row r="515" spans="1:6">
      <c r="A515" s="894" t="s">
        <v>283</v>
      </c>
      <c r="B515" s="883" t="s">
        <v>176</v>
      </c>
      <c r="C515" s="904" t="s">
        <v>314</v>
      </c>
      <c r="D515" s="884"/>
      <c r="E515" s="899"/>
      <c r="F515" s="900">
        <v>99</v>
      </c>
    </row>
    <row r="516" spans="1:6">
      <c r="A516" s="894" t="s">
        <v>283</v>
      </c>
      <c r="B516" s="883" t="s">
        <v>180</v>
      </c>
      <c r="C516" s="904" t="s">
        <v>165</v>
      </c>
      <c r="D516" s="884"/>
      <c r="E516" s="899"/>
      <c r="F516" s="900">
        <v>99</v>
      </c>
    </row>
    <row r="517" spans="1:6">
      <c r="A517" s="894" t="s">
        <v>283</v>
      </c>
      <c r="B517" s="883" t="s">
        <v>178</v>
      </c>
      <c r="C517" s="904" t="s">
        <v>167</v>
      </c>
      <c r="D517" s="884"/>
      <c r="E517" s="899"/>
      <c r="F517" s="900">
        <v>99</v>
      </c>
    </row>
    <row r="518" spans="1:6">
      <c r="A518" s="894" t="s">
        <v>283</v>
      </c>
      <c r="B518" s="883" t="s">
        <v>161</v>
      </c>
      <c r="C518" s="909" t="s">
        <v>324</v>
      </c>
      <c r="D518" s="884"/>
      <c r="E518" s="899"/>
      <c r="F518" s="900">
        <v>99</v>
      </c>
    </row>
    <row r="519" spans="1:6">
      <c r="A519" s="894" t="s">
        <v>283</v>
      </c>
      <c r="B519" s="883" t="s">
        <v>170</v>
      </c>
      <c r="C519" s="904" t="s">
        <v>313</v>
      </c>
      <c r="D519" s="884"/>
      <c r="E519" s="899"/>
      <c r="F519" s="900">
        <v>99</v>
      </c>
    </row>
    <row r="520" spans="1:6">
      <c r="A520" s="894" t="s">
        <v>283</v>
      </c>
      <c r="B520" s="883" t="s">
        <v>172</v>
      </c>
      <c r="C520" s="904" t="s">
        <v>165</v>
      </c>
      <c r="D520" s="884"/>
      <c r="E520" s="899"/>
      <c r="F520" s="900">
        <v>99</v>
      </c>
    </row>
    <row r="521" spans="1:6">
      <c r="A521" s="894" t="s">
        <v>283</v>
      </c>
      <c r="B521" s="883" t="s">
        <v>173</v>
      </c>
      <c r="C521" s="904" t="s">
        <v>167</v>
      </c>
      <c r="D521" s="884"/>
      <c r="E521" s="899"/>
      <c r="F521" s="900">
        <v>99</v>
      </c>
    </row>
    <row r="522" spans="1:6">
      <c r="A522" s="894" t="s">
        <v>283</v>
      </c>
      <c r="B522" s="883" t="s">
        <v>176</v>
      </c>
      <c r="C522" s="904" t="s">
        <v>314</v>
      </c>
      <c r="D522" s="884"/>
      <c r="E522" s="899"/>
      <c r="F522" s="900">
        <v>99</v>
      </c>
    </row>
    <row r="523" spans="1:6">
      <c r="A523" s="894" t="s">
        <v>283</v>
      </c>
      <c r="B523" s="883" t="s">
        <v>180</v>
      </c>
      <c r="C523" s="904" t="s">
        <v>165</v>
      </c>
      <c r="D523" s="884"/>
      <c r="E523" s="899"/>
      <c r="F523" s="900">
        <v>99</v>
      </c>
    </row>
    <row r="524" spans="1:6">
      <c r="A524" s="894" t="s">
        <v>283</v>
      </c>
      <c r="B524" s="883" t="s">
        <v>178</v>
      </c>
      <c r="C524" s="904" t="s">
        <v>167</v>
      </c>
      <c r="D524" s="884"/>
      <c r="E524" s="899"/>
      <c r="F524" s="900">
        <v>99</v>
      </c>
    </row>
    <row r="525" spans="1:6">
      <c r="A525" s="894" t="s">
        <v>283</v>
      </c>
      <c r="B525" s="883" t="s">
        <v>161</v>
      </c>
      <c r="C525" s="909" t="s">
        <v>325</v>
      </c>
      <c r="D525" s="884"/>
      <c r="E525" s="899"/>
      <c r="F525" s="900">
        <v>99</v>
      </c>
    </row>
    <row r="526" spans="1:6">
      <c r="A526" s="894" t="s">
        <v>283</v>
      </c>
      <c r="B526" s="883" t="s">
        <v>170</v>
      </c>
      <c r="C526" s="904" t="s">
        <v>313</v>
      </c>
      <c r="D526" s="884"/>
      <c r="E526" s="899"/>
      <c r="F526" s="900">
        <v>99</v>
      </c>
    </row>
    <row r="527" spans="1:6">
      <c r="A527" s="894" t="s">
        <v>283</v>
      </c>
      <c r="B527" s="883" t="s">
        <v>172</v>
      </c>
      <c r="C527" s="904" t="s">
        <v>165</v>
      </c>
      <c r="D527" s="884"/>
      <c r="E527" s="899"/>
      <c r="F527" s="900">
        <v>99</v>
      </c>
    </row>
    <row r="528" spans="1:6">
      <c r="A528" s="894" t="s">
        <v>283</v>
      </c>
      <c r="B528" s="883" t="s">
        <v>173</v>
      </c>
      <c r="C528" s="904" t="s">
        <v>167</v>
      </c>
      <c r="D528" s="884"/>
      <c r="E528" s="899"/>
      <c r="F528" s="900">
        <v>99</v>
      </c>
    </row>
    <row r="529" spans="1:6">
      <c r="A529" s="894" t="s">
        <v>283</v>
      </c>
      <c r="B529" s="883" t="s">
        <v>176</v>
      </c>
      <c r="C529" s="904" t="s">
        <v>314</v>
      </c>
      <c r="D529" s="884"/>
      <c r="E529" s="899"/>
      <c r="F529" s="900">
        <v>99</v>
      </c>
    </row>
    <row r="530" spans="1:6">
      <c r="A530" s="894" t="s">
        <v>283</v>
      </c>
      <c r="B530" s="883" t="s">
        <v>180</v>
      </c>
      <c r="C530" s="904" t="s">
        <v>165</v>
      </c>
      <c r="D530" s="884"/>
      <c r="E530" s="899"/>
      <c r="F530" s="900">
        <v>99</v>
      </c>
    </row>
    <row r="531" spans="1:6">
      <c r="A531" s="894" t="s">
        <v>283</v>
      </c>
      <c r="B531" s="883" t="s">
        <v>178</v>
      </c>
      <c r="C531" s="904" t="s">
        <v>167</v>
      </c>
      <c r="D531" s="884"/>
      <c r="E531" s="899"/>
      <c r="F531" s="900">
        <v>99</v>
      </c>
    </row>
    <row r="532" spans="1:6">
      <c r="A532" s="894" t="s">
        <v>283</v>
      </c>
      <c r="B532" s="883" t="s">
        <v>161</v>
      </c>
      <c r="C532" s="909" t="s">
        <v>326</v>
      </c>
      <c r="D532" s="884"/>
      <c r="E532" s="899"/>
      <c r="F532" s="900">
        <v>99</v>
      </c>
    </row>
    <row r="533" spans="1:6">
      <c r="A533" s="894" t="s">
        <v>283</v>
      </c>
      <c r="B533" s="883" t="s">
        <v>170</v>
      </c>
      <c r="C533" s="904" t="s">
        <v>313</v>
      </c>
      <c r="D533" s="884"/>
      <c r="E533" s="899"/>
      <c r="F533" s="900">
        <v>99</v>
      </c>
    </row>
    <row r="534" spans="1:6">
      <c r="A534" s="894" t="s">
        <v>283</v>
      </c>
      <c r="B534" s="883" t="s">
        <v>172</v>
      </c>
      <c r="C534" s="904" t="s">
        <v>165</v>
      </c>
      <c r="D534" s="884"/>
      <c r="E534" s="899"/>
      <c r="F534" s="900">
        <v>99</v>
      </c>
    </row>
    <row r="535" spans="1:6">
      <c r="A535" s="894" t="s">
        <v>283</v>
      </c>
      <c r="B535" s="883" t="s">
        <v>173</v>
      </c>
      <c r="C535" s="904" t="s">
        <v>167</v>
      </c>
      <c r="D535" s="884"/>
      <c r="E535" s="899"/>
      <c r="F535" s="900">
        <v>99</v>
      </c>
    </row>
    <row r="536" spans="1:6">
      <c r="A536" s="894" t="s">
        <v>283</v>
      </c>
      <c r="B536" s="883" t="s">
        <v>176</v>
      </c>
      <c r="C536" s="904" t="s">
        <v>314</v>
      </c>
      <c r="D536" s="884"/>
      <c r="E536" s="899"/>
      <c r="F536" s="900">
        <v>99</v>
      </c>
    </row>
    <row r="537" spans="1:6">
      <c r="A537" s="894" t="s">
        <v>283</v>
      </c>
      <c r="B537" s="883" t="s">
        <v>180</v>
      </c>
      <c r="C537" s="904" t="s">
        <v>165</v>
      </c>
      <c r="D537" s="884"/>
      <c r="E537" s="899"/>
      <c r="F537" s="900">
        <v>99</v>
      </c>
    </row>
    <row r="538" spans="1:6">
      <c r="A538" s="894" t="s">
        <v>283</v>
      </c>
      <c r="B538" s="883" t="s">
        <v>178</v>
      </c>
      <c r="C538" s="904" t="s">
        <v>167</v>
      </c>
      <c r="D538" s="884"/>
      <c r="E538" s="899"/>
      <c r="F538" s="900">
        <v>99</v>
      </c>
    </row>
    <row r="539" spans="1:6">
      <c r="A539" s="894" t="s">
        <v>283</v>
      </c>
      <c r="B539" s="883" t="s">
        <v>161</v>
      </c>
      <c r="C539" s="909" t="s">
        <v>327</v>
      </c>
      <c r="D539" s="884"/>
      <c r="E539" s="899"/>
      <c r="F539" s="900">
        <v>99</v>
      </c>
    </row>
    <row r="540" spans="1:6">
      <c r="A540" s="894" t="s">
        <v>283</v>
      </c>
      <c r="B540" s="883" t="s">
        <v>170</v>
      </c>
      <c r="C540" s="904" t="s">
        <v>313</v>
      </c>
      <c r="D540" s="884"/>
      <c r="E540" s="899"/>
      <c r="F540" s="900">
        <v>99</v>
      </c>
    </row>
    <row r="541" spans="1:6">
      <c r="A541" s="894" t="s">
        <v>283</v>
      </c>
      <c r="B541" s="883" t="s">
        <v>172</v>
      </c>
      <c r="C541" s="904" t="s">
        <v>165</v>
      </c>
      <c r="D541" s="884"/>
      <c r="E541" s="899"/>
      <c r="F541" s="900">
        <v>99</v>
      </c>
    </row>
    <row r="542" spans="1:6">
      <c r="A542" s="894" t="s">
        <v>283</v>
      </c>
      <c r="B542" s="883" t="s">
        <v>173</v>
      </c>
      <c r="C542" s="904" t="s">
        <v>167</v>
      </c>
      <c r="D542" s="884"/>
      <c r="E542" s="899"/>
      <c r="F542" s="900">
        <v>99</v>
      </c>
    </row>
    <row r="543" spans="1:6">
      <c r="A543" s="894" t="s">
        <v>283</v>
      </c>
      <c r="B543" s="883" t="s">
        <v>176</v>
      </c>
      <c r="C543" s="904" t="s">
        <v>314</v>
      </c>
      <c r="D543" s="884"/>
      <c r="E543" s="899"/>
      <c r="F543" s="900">
        <v>99</v>
      </c>
    </row>
    <row r="544" spans="1:6">
      <c r="A544" s="894" t="s">
        <v>283</v>
      </c>
      <c r="B544" s="883" t="s">
        <v>180</v>
      </c>
      <c r="C544" s="904" t="s">
        <v>165</v>
      </c>
      <c r="D544" s="884"/>
      <c r="E544" s="899"/>
      <c r="F544" s="900">
        <v>99</v>
      </c>
    </row>
    <row r="545" spans="1:6">
      <c r="A545" s="894" t="s">
        <v>283</v>
      </c>
      <c r="B545" s="883" t="s">
        <v>178</v>
      </c>
      <c r="C545" s="904" t="s">
        <v>167</v>
      </c>
      <c r="D545" s="884"/>
      <c r="E545" s="899"/>
      <c r="F545" s="900">
        <v>99</v>
      </c>
    </row>
    <row r="546" spans="1:6">
      <c r="A546" s="894" t="s">
        <v>283</v>
      </c>
      <c r="B546" s="883" t="s">
        <v>161</v>
      </c>
      <c r="C546" s="909" t="s">
        <v>328</v>
      </c>
      <c r="D546" s="910" t="s">
        <v>1649</v>
      </c>
      <c r="E546" s="899"/>
      <c r="F546" s="900">
        <v>99</v>
      </c>
    </row>
    <row r="547" spans="1:6">
      <c r="A547" s="894" t="s">
        <v>283</v>
      </c>
      <c r="B547" s="883" t="s">
        <v>164</v>
      </c>
      <c r="C547" s="893" t="s">
        <v>165</v>
      </c>
      <c r="D547" s="890"/>
      <c r="E547" s="899"/>
      <c r="F547" s="900">
        <v>99</v>
      </c>
    </row>
    <row r="548" spans="1:6">
      <c r="A548" s="894" t="s">
        <v>283</v>
      </c>
      <c r="B548" s="883" t="s">
        <v>166</v>
      </c>
      <c r="C548" s="893" t="s">
        <v>167</v>
      </c>
      <c r="D548" s="890"/>
      <c r="E548" s="899"/>
      <c r="F548" s="900">
        <v>99</v>
      </c>
    </row>
    <row r="549" spans="1:6">
      <c r="A549" s="894" t="s">
        <v>283</v>
      </c>
      <c r="B549" s="883" t="s">
        <v>170</v>
      </c>
      <c r="C549" s="911" t="s">
        <v>313</v>
      </c>
      <c r="D549" s="890"/>
      <c r="E549" s="899"/>
      <c r="F549" s="900">
        <v>99</v>
      </c>
    </row>
    <row r="550" spans="1:6">
      <c r="A550" s="894" t="s">
        <v>283</v>
      </c>
      <c r="B550" s="883" t="s">
        <v>172</v>
      </c>
      <c r="C550" s="904" t="s">
        <v>165</v>
      </c>
      <c r="D550" s="903"/>
      <c r="E550" s="899"/>
      <c r="F550" s="900">
        <v>99</v>
      </c>
    </row>
    <row r="551" spans="1:6">
      <c r="A551" s="894" t="s">
        <v>283</v>
      </c>
      <c r="B551" s="883" t="s">
        <v>173</v>
      </c>
      <c r="C551" s="904" t="s">
        <v>167</v>
      </c>
      <c r="D551" s="903"/>
      <c r="E551" s="899"/>
      <c r="F551" s="900">
        <v>99</v>
      </c>
    </row>
    <row r="552" spans="1:6">
      <c r="A552" s="894" t="s">
        <v>283</v>
      </c>
      <c r="B552" s="883" t="s">
        <v>176</v>
      </c>
      <c r="C552" s="904" t="s">
        <v>314</v>
      </c>
      <c r="D552" s="903"/>
      <c r="E552" s="899"/>
      <c r="F552" s="900">
        <v>99</v>
      </c>
    </row>
    <row r="553" spans="1:6">
      <c r="A553" s="894" t="s">
        <v>283</v>
      </c>
      <c r="B553" s="883" t="s">
        <v>180</v>
      </c>
      <c r="C553" s="904" t="s">
        <v>165</v>
      </c>
      <c r="D553" s="903"/>
      <c r="E553" s="899"/>
      <c r="F553" s="900">
        <v>99</v>
      </c>
    </row>
    <row r="554" spans="1:6">
      <c r="A554" s="894" t="s">
        <v>283</v>
      </c>
      <c r="B554" s="883" t="s">
        <v>178</v>
      </c>
      <c r="C554" s="904" t="s">
        <v>167</v>
      </c>
      <c r="D554" s="903"/>
      <c r="E554" s="899"/>
      <c r="F554" s="900">
        <v>99</v>
      </c>
    </row>
    <row r="555" spans="1:6">
      <c r="A555" s="894" t="s">
        <v>283</v>
      </c>
      <c r="B555" s="883" t="s">
        <v>161</v>
      </c>
      <c r="C555" s="909" t="s">
        <v>329</v>
      </c>
      <c r="D555" s="910"/>
      <c r="E555" s="899"/>
      <c r="F555" s="900">
        <v>99</v>
      </c>
    </row>
    <row r="556" spans="1:6">
      <c r="A556" s="894" t="s">
        <v>283</v>
      </c>
      <c r="B556" s="883" t="s">
        <v>164</v>
      </c>
      <c r="C556" s="893" t="s">
        <v>165</v>
      </c>
      <c r="D556" s="890"/>
      <c r="E556" s="899"/>
      <c r="F556" s="900">
        <v>99</v>
      </c>
    </row>
    <row r="557" spans="1:6">
      <c r="A557" s="894" t="s">
        <v>283</v>
      </c>
      <c r="B557" s="883" t="s">
        <v>166</v>
      </c>
      <c r="C557" s="893" t="s">
        <v>167</v>
      </c>
      <c r="D557" s="890"/>
      <c r="E557" s="899"/>
      <c r="F557" s="900">
        <v>99</v>
      </c>
    </row>
    <row r="558" spans="1:6">
      <c r="A558" s="894" t="s">
        <v>283</v>
      </c>
      <c r="B558" s="883" t="s">
        <v>170</v>
      </c>
      <c r="C558" s="911" t="s">
        <v>313</v>
      </c>
      <c r="D558" s="890"/>
      <c r="E558" s="899"/>
      <c r="F558" s="900">
        <v>99</v>
      </c>
    </row>
    <row r="559" spans="1:6">
      <c r="A559" s="894" t="s">
        <v>283</v>
      </c>
      <c r="B559" s="883" t="s">
        <v>172</v>
      </c>
      <c r="C559" s="904" t="s">
        <v>165</v>
      </c>
      <c r="D559" s="903"/>
      <c r="E559" s="899"/>
      <c r="F559" s="900">
        <v>99</v>
      </c>
    </row>
    <row r="560" spans="1:6">
      <c r="A560" s="894" t="s">
        <v>283</v>
      </c>
      <c r="B560" s="883" t="s">
        <v>173</v>
      </c>
      <c r="C560" s="904" t="s">
        <v>167</v>
      </c>
      <c r="D560" s="903"/>
      <c r="E560" s="899"/>
      <c r="F560" s="900">
        <v>99</v>
      </c>
    </row>
    <row r="561" spans="1:6">
      <c r="A561" s="894" t="s">
        <v>283</v>
      </c>
      <c r="B561" s="883" t="s">
        <v>176</v>
      </c>
      <c r="C561" s="904" t="s">
        <v>314</v>
      </c>
      <c r="D561" s="903"/>
      <c r="E561" s="899"/>
      <c r="F561" s="900">
        <v>99</v>
      </c>
    </row>
    <row r="562" spans="1:6">
      <c r="A562" s="894" t="s">
        <v>283</v>
      </c>
      <c r="B562" s="883" t="s">
        <v>180</v>
      </c>
      <c r="C562" s="904" t="s">
        <v>165</v>
      </c>
      <c r="D562" s="903"/>
      <c r="E562" s="899"/>
      <c r="F562" s="900">
        <v>99</v>
      </c>
    </row>
    <row r="563" spans="1:6">
      <c r="A563" s="894" t="s">
        <v>283</v>
      </c>
      <c r="B563" s="883" t="s">
        <v>178</v>
      </c>
      <c r="C563" s="904" t="s">
        <v>167</v>
      </c>
      <c r="D563" s="903"/>
      <c r="E563" s="899"/>
      <c r="F563" s="900">
        <v>99</v>
      </c>
    </row>
    <row r="564" spans="1:6">
      <c r="A564" s="894" t="s">
        <v>283</v>
      </c>
      <c r="B564" s="883" t="s">
        <v>161</v>
      </c>
      <c r="C564" s="909" t="s">
        <v>330</v>
      </c>
      <c r="D564" s="890"/>
      <c r="E564" s="899"/>
      <c r="F564" s="900">
        <v>99</v>
      </c>
    </row>
    <row r="565" spans="1:6">
      <c r="A565" s="894" t="s">
        <v>283</v>
      </c>
      <c r="B565" s="883" t="s">
        <v>164</v>
      </c>
      <c r="C565" s="893" t="s">
        <v>165</v>
      </c>
      <c r="D565" s="890"/>
      <c r="E565" s="899"/>
      <c r="F565" s="900">
        <v>99</v>
      </c>
    </row>
    <row r="566" spans="1:6">
      <c r="A566" s="894" t="s">
        <v>283</v>
      </c>
      <c r="B566" s="883" t="s">
        <v>166</v>
      </c>
      <c r="C566" s="893" t="s">
        <v>167</v>
      </c>
      <c r="D566" s="890"/>
      <c r="E566" s="899"/>
      <c r="F566" s="900">
        <v>99</v>
      </c>
    </row>
    <row r="567" spans="1:6">
      <c r="A567" s="894" t="s">
        <v>283</v>
      </c>
      <c r="B567" s="883" t="s">
        <v>170</v>
      </c>
      <c r="C567" s="911" t="s">
        <v>313</v>
      </c>
      <c r="D567" s="890"/>
      <c r="E567" s="899"/>
      <c r="F567" s="900">
        <v>99</v>
      </c>
    </row>
    <row r="568" spans="1:6">
      <c r="A568" s="894" t="s">
        <v>283</v>
      </c>
      <c r="B568" s="883" t="s">
        <v>172</v>
      </c>
      <c r="C568" s="904" t="s">
        <v>165</v>
      </c>
      <c r="D568" s="903"/>
      <c r="E568" s="899"/>
      <c r="F568" s="900">
        <v>99</v>
      </c>
    </row>
    <row r="569" spans="1:6">
      <c r="A569" s="894" t="s">
        <v>283</v>
      </c>
      <c r="B569" s="883" t="s">
        <v>173</v>
      </c>
      <c r="C569" s="904" t="s">
        <v>167</v>
      </c>
      <c r="D569" s="903"/>
      <c r="E569" s="899"/>
      <c r="F569" s="900">
        <v>99</v>
      </c>
    </row>
    <row r="570" spans="1:6">
      <c r="A570" s="894" t="s">
        <v>283</v>
      </c>
      <c r="B570" s="883" t="s">
        <v>176</v>
      </c>
      <c r="C570" s="904" t="s">
        <v>314</v>
      </c>
      <c r="D570" s="903"/>
      <c r="E570" s="899"/>
      <c r="F570" s="900">
        <v>99</v>
      </c>
    </row>
    <row r="571" spans="1:6">
      <c r="A571" s="894" t="s">
        <v>283</v>
      </c>
      <c r="B571" s="883" t="s">
        <v>180</v>
      </c>
      <c r="C571" s="904" t="s">
        <v>165</v>
      </c>
      <c r="D571" s="903"/>
      <c r="E571" s="899"/>
      <c r="F571" s="900">
        <v>99</v>
      </c>
    </row>
    <row r="572" spans="1:6">
      <c r="A572" s="894" t="s">
        <v>283</v>
      </c>
      <c r="B572" s="883" t="s">
        <v>178</v>
      </c>
      <c r="C572" s="904" t="s">
        <v>167</v>
      </c>
      <c r="D572" s="903"/>
      <c r="E572" s="899"/>
      <c r="F572" s="900">
        <v>99</v>
      </c>
    </row>
    <row r="573" spans="1:6">
      <c r="A573" s="894" t="s">
        <v>283</v>
      </c>
      <c r="B573" s="883" t="s">
        <v>187</v>
      </c>
      <c r="C573" s="907" t="s">
        <v>331</v>
      </c>
      <c r="D573" s="908"/>
      <c r="E573" s="899"/>
      <c r="F573" s="900">
        <v>99</v>
      </c>
    </row>
    <row r="574" spans="1:6">
      <c r="A574" s="894" t="s">
        <v>283</v>
      </c>
      <c r="B574" s="883" t="s">
        <v>190</v>
      </c>
      <c r="C574" s="904" t="s">
        <v>165</v>
      </c>
      <c r="D574" s="903"/>
      <c r="E574" s="899"/>
      <c r="F574" s="900">
        <v>99</v>
      </c>
    </row>
    <row r="575" spans="1:6">
      <c r="A575" s="894" t="s">
        <v>283</v>
      </c>
      <c r="B575" s="883" t="s">
        <v>191</v>
      </c>
      <c r="C575" s="904" t="s">
        <v>167</v>
      </c>
      <c r="D575" s="903"/>
      <c r="E575" s="899"/>
      <c r="F575" s="900">
        <v>99</v>
      </c>
    </row>
    <row r="576" spans="1:6">
      <c r="A576" s="894" t="s">
        <v>283</v>
      </c>
      <c r="B576" s="883" t="s">
        <v>192</v>
      </c>
      <c r="C576" s="907" t="s">
        <v>332</v>
      </c>
      <c r="D576" s="908"/>
      <c r="E576" s="899"/>
      <c r="F576" s="900">
        <v>99</v>
      </c>
    </row>
    <row r="577" spans="1:6">
      <c r="A577" s="894" t="s">
        <v>283</v>
      </c>
      <c r="B577" s="883" t="s">
        <v>195</v>
      </c>
      <c r="C577" s="904" t="s">
        <v>165</v>
      </c>
      <c r="D577" s="903"/>
      <c r="E577" s="899"/>
      <c r="F577" s="900">
        <v>99</v>
      </c>
    </row>
    <row r="578" spans="1:6">
      <c r="A578" s="894" t="s">
        <v>283</v>
      </c>
      <c r="B578" s="883" t="s">
        <v>196</v>
      </c>
      <c r="C578" s="904" t="s">
        <v>167</v>
      </c>
      <c r="D578" s="903"/>
      <c r="E578" s="899"/>
      <c r="F578" s="900">
        <v>99</v>
      </c>
    </row>
    <row r="579" spans="1:6">
      <c r="A579" s="716" t="s">
        <v>333</v>
      </c>
      <c r="B579" s="717"/>
      <c r="C579" s="718"/>
      <c r="D579" s="719"/>
      <c r="E579" s="719"/>
      <c r="F579" s="720"/>
    </row>
    <row r="580" spans="1:6">
      <c r="A580" s="912" t="s">
        <v>333</v>
      </c>
      <c r="B580" s="913" t="s">
        <v>62</v>
      </c>
      <c r="C580" s="914" t="s">
        <v>357</v>
      </c>
      <c r="D580" s="915"/>
      <c r="E580" s="916">
        <v>132693</v>
      </c>
      <c r="F580" s="916">
        <v>7</v>
      </c>
    </row>
    <row r="581" spans="1:6">
      <c r="A581" s="912" t="s">
        <v>333</v>
      </c>
      <c r="B581" s="913" t="s">
        <v>62</v>
      </c>
      <c r="C581" s="914" t="s">
        <v>338</v>
      </c>
      <c r="D581" s="917"/>
      <c r="E581" s="916">
        <v>132709</v>
      </c>
      <c r="F581" s="916">
        <v>7</v>
      </c>
    </row>
    <row r="582" spans="1:6">
      <c r="A582" s="912" t="s">
        <v>333</v>
      </c>
      <c r="B582" s="913" t="s">
        <v>62</v>
      </c>
      <c r="C582" s="914" t="s">
        <v>340</v>
      </c>
      <c r="D582" s="915"/>
      <c r="E582" s="916">
        <v>132851</v>
      </c>
      <c r="F582" s="916">
        <v>7</v>
      </c>
    </row>
    <row r="583" spans="1:6">
      <c r="A583" s="912" t="s">
        <v>333</v>
      </c>
      <c r="B583" s="913" t="s">
        <v>62</v>
      </c>
      <c r="C583" s="914" t="s">
        <v>339</v>
      </c>
      <c r="D583" s="918"/>
      <c r="E583" s="916">
        <v>133021</v>
      </c>
      <c r="F583" s="916">
        <v>7</v>
      </c>
    </row>
    <row r="584" spans="1:6">
      <c r="A584" s="912" t="s">
        <v>333</v>
      </c>
      <c r="B584" s="913" t="s">
        <v>62</v>
      </c>
      <c r="C584" s="914" t="s">
        <v>341</v>
      </c>
      <c r="D584" s="918"/>
      <c r="E584" s="916">
        <v>133386</v>
      </c>
      <c r="F584" s="916">
        <v>7</v>
      </c>
    </row>
    <row r="585" spans="1:6">
      <c r="A585" s="912" t="s">
        <v>333</v>
      </c>
      <c r="B585" s="913" t="s">
        <v>62</v>
      </c>
      <c r="C585" s="919" t="s">
        <v>342</v>
      </c>
      <c r="D585" s="918"/>
      <c r="E585" s="916">
        <v>133508</v>
      </c>
      <c r="F585" s="916">
        <v>7</v>
      </c>
    </row>
    <row r="586" spans="1:6">
      <c r="A586" s="912" t="s">
        <v>333</v>
      </c>
      <c r="B586" s="913" t="s">
        <v>62</v>
      </c>
      <c r="C586" s="914" t="s">
        <v>343</v>
      </c>
      <c r="D586" s="920"/>
      <c r="E586" s="916">
        <v>133702</v>
      </c>
      <c r="F586" s="916">
        <v>7</v>
      </c>
    </row>
    <row r="587" spans="1:6">
      <c r="A587" s="912" t="s">
        <v>333</v>
      </c>
      <c r="B587" s="913" t="s">
        <v>62</v>
      </c>
      <c r="C587" s="914" t="s">
        <v>1436</v>
      </c>
      <c r="D587" s="921" t="s">
        <v>1437</v>
      </c>
      <c r="E587" s="916">
        <v>133960</v>
      </c>
      <c r="F587" s="916">
        <v>10</v>
      </c>
    </row>
    <row r="588" spans="1:6">
      <c r="A588" s="912" t="s">
        <v>333</v>
      </c>
      <c r="B588" s="913" t="s">
        <v>62</v>
      </c>
      <c r="C588" s="914" t="s">
        <v>344</v>
      </c>
      <c r="D588" s="917"/>
      <c r="E588" s="916">
        <v>134343</v>
      </c>
      <c r="F588" s="916">
        <v>7</v>
      </c>
    </row>
    <row r="589" spans="1:6">
      <c r="A589" s="912" t="s">
        <v>333</v>
      </c>
      <c r="B589" s="913" t="s">
        <v>62</v>
      </c>
      <c r="C589" s="914" t="s">
        <v>358</v>
      </c>
      <c r="D589" s="918"/>
      <c r="E589" s="916">
        <v>134495</v>
      </c>
      <c r="F589" s="916">
        <v>8</v>
      </c>
    </row>
    <row r="590" spans="1:6">
      <c r="A590" s="912" t="s">
        <v>333</v>
      </c>
      <c r="B590" s="913" t="s">
        <v>62</v>
      </c>
      <c r="C590" s="914" t="s">
        <v>345</v>
      </c>
      <c r="D590" s="920"/>
      <c r="E590" s="916">
        <v>134608</v>
      </c>
      <c r="F590" s="916">
        <v>7</v>
      </c>
    </row>
    <row r="591" spans="1:6">
      <c r="A591" s="912" t="s">
        <v>333</v>
      </c>
      <c r="B591" s="913" t="s">
        <v>62</v>
      </c>
      <c r="C591" s="914" t="s">
        <v>361</v>
      </c>
      <c r="D591" s="915"/>
      <c r="E591" s="916">
        <v>135160</v>
      </c>
      <c r="F591" s="916">
        <v>7</v>
      </c>
    </row>
    <row r="592" spans="1:6">
      <c r="A592" s="912" t="s">
        <v>333</v>
      </c>
      <c r="B592" s="913" t="s">
        <v>62</v>
      </c>
      <c r="C592" s="914" t="s">
        <v>362</v>
      </c>
      <c r="D592" s="915"/>
      <c r="E592" s="916">
        <v>135188</v>
      </c>
      <c r="F592" s="916">
        <v>7</v>
      </c>
    </row>
    <row r="593" spans="1:6">
      <c r="A593" s="912" t="s">
        <v>333</v>
      </c>
      <c r="B593" s="913" t="s">
        <v>62</v>
      </c>
      <c r="C593" s="914" t="s">
        <v>355</v>
      </c>
      <c r="D593" s="917"/>
      <c r="E593" s="916">
        <v>135391</v>
      </c>
      <c r="F593" s="916">
        <v>7</v>
      </c>
    </row>
    <row r="594" spans="1:6">
      <c r="A594" s="912" t="s">
        <v>333</v>
      </c>
      <c r="B594" s="913" t="s">
        <v>62</v>
      </c>
      <c r="C594" s="914" t="s">
        <v>346</v>
      </c>
      <c r="D594" s="918"/>
      <c r="E594" s="916">
        <v>135717</v>
      </c>
      <c r="F594" s="916">
        <v>7</v>
      </c>
    </row>
    <row r="595" spans="1:6">
      <c r="A595" s="912" t="s">
        <v>333</v>
      </c>
      <c r="B595" s="913" t="s">
        <v>62</v>
      </c>
      <c r="C595" s="914" t="s">
        <v>1438</v>
      </c>
      <c r="D595" s="921" t="s">
        <v>1435</v>
      </c>
      <c r="E595" s="916">
        <v>136145</v>
      </c>
      <c r="F595" s="916">
        <v>10</v>
      </c>
    </row>
    <row r="596" spans="1:6">
      <c r="A596" s="912" t="s">
        <v>333</v>
      </c>
      <c r="B596" s="913" t="s">
        <v>62</v>
      </c>
      <c r="C596" s="914" t="s">
        <v>347</v>
      </c>
      <c r="D596" s="918"/>
      <c r="E596" s="916">
        <v>136233</v>
      </c>
      <c r="F596" s="916">
        <v>7</v>
      </c>
    </row>
    <row r="597" spans="1:6">
      <c r="A597" s="912" t="s">
        <v>333</v>
      </c>
      <c r="B597" s="913" t="s">
        <v>62</v>
      </c>
      <c r="C597" s="914" t="s">
        <v>348</v>
      </c>
      <c r="D597" s="917"/>
      <c r="E597" s="916">
        <v>136358</v>
      </c>
      <c r="F597" s="916">
        <v>7</v>
      </c>
    </row>
    <row r="598" spans="1:6">
      <c r="A598" s="912" t="s">
        <v>333</v>
      </c>
      <c r="B598" s="913" t="s">
        <v>62</v>
      </c>
      <c r="C598" s="914" t="s">
        <v>359</v>
      </c>
      <c r="D598" s="915"/>
      <c r="E598" s="916">
        <v>136400</v>
      </c>
      <c r="F598" s="916">
        <v>7</v>
      </c>
    </row>
    <row r="599" spans="1:6">
      <c r="A599" s="912" t="s">
        <v>333</v>
      </c>
      <c r="B599" s="913" t="s">
        <v>62</v>
      </c>
      <c r="C599" s="914" t="s">
        <v>349</v>
      </c>
      <c r="D599" s="917"/>
      <c r="E599" s="916">
        <v>136473</v>
      </c>
      <c r="F599" s="916">
        <v>7</v>
      </c>
    </row>
    <row r="600" spans="1:6">
      <c r="A600" s="912" t="s">
        <v>333</v>
      </c>
      <c r="B600" s="913" t="s">
        <v>62</v>
      </c>
      <c r="C600" s="914" t="s">
        <v>350</v>
      </c>
      <c r="D600" s="917"/>
      <c r="E600" s="916">
        <v>136516</v>
      </c>
      <c r="F600" s="916">
        <v>7</v>
      </c>
    </row>
    <row r="601" spans="1:6">
      <c r="A601" s="912" t="s">
        <v>333</v>
      </c>
      <c r="B601" s="913" t="s">
        <v>62</v>
      </c>
      <c r="C601" s="914" t="s">
        <v>353</v>
      </c>
      <c r="D601" s="917"/>
      <c r="E601" s="916">
        <v>137281</v>
      </c>
      <c r="F601" s="916">
        <v>7</v>
      </c>
    </row>
    <row r="602" spans="1:6">
      <c r="A602" s="912" t="s">
        <v>333</v>
      </c>
      <c r="B602" s="913" t="s">
        <v>62</v>
      </c>
      <c r="C602" s="914" t="s">
        <v>354</v>
      </c>
      <c r="D602" s="918"/>
      <c r="E602" s="916">
        <v>137078</v>
      </c>
      <c r="F602" s="916">
        <v>7</v>
      </c>
    </row>
    <row r="603" spans="1:6">
      <c r="A603" s="912" t="s">
        <v>333</v>
      </c>
      <c r="B603" s="913" t="s">
        <v>62</v>
      </c>
      <c r="C603" s="914" t="s">
        <v>351</v>
      </c>
      <c r="D603" s="917"/>
      <c r="E603" s="916">
        <v>137096</v>
      </c>
      <c r="F603" s="916">
        <v>7</v>
      </c>
    </row>
    <row r="604" spans="1:6">
      <c r="A604" s="912" t="s">
        <v>333</v>
      </c>
      <c r="B604" s="913" t="s">
        <v>62</v>
      </c>
      <c r="C604" s="914" t="s">
        <v>352</v>
      </c>
      <c r="D604" s="917"/>
      <c r="E604" s="916">
        <v>137209</v>
      </c>
      <c r="F604" s="916">
        <v>7</v>
      </c>
    </row>
    <row r="605" spans="1:6">
      <c r="A605" s="912" t="s">
        <v>333</v>
      </c>
      <c r="B605" s="913" t="s">
        <v>62</v>
      </c>
      <c r="C605" s="914" t="s">
        <v>363</v>
      </c>
      <c r="D605" s="915"/>
      <c r="E605" s="916">
        <v>137315</v>
      </c>
      <c r="F605" s="916">
        <v>7</v>
      </c>
    </row>
    <row r="606" spans="1:6">
      <c r="A606" s="912" t="s">
        <v>333</v>
      </c>
      <c r="B606" s="913" t="s">
        <v>62</v>
      </c>
      <c r="C606" s="914" t="s">
        <v>360</v>
      </c>
      <c r="D606" s="921" t="s">
        <v>1435</v>
      </c>
      <c r="E606" s="916">
        <v>137759</v>
      </c>
      <c r="F606" s="916">
        <v>8</v>
      </c>
    </row>
    <row r="607" spans="1:6">
      <c r="A607" s="912" t="s">
        <v>333</v>
      </c>
      <c r="B607" s="913" t="s">
        <v>62</v>
      </c>
      <c r="C607" s="914" t="s">
        <v>356</v>
      </c>
      <c r="D607" s="915"/>
      <c r="E607" s="916">
        <v>138187</v>
      </c>
      <c r="F607" s="916">
        <v>7</v>
      </c>
    </row>
    <row r="608" spans="1:6">
      <c r="A608" s="912" t="s">
        <v>333</v>
      </c>
      <c r="B608" s="913" t="s">
        <v>142</v>
      </c>
      <c r="C608" s="922" t="s">
        <v>364</v>
      </c>
      <c r="D608" s="923"/>
      <c r="E608" s="924"/>
      <c r="F608" s="916">
        <v>99</v>
      </c>
    </row>
    <row r="609" spans="1:6">
      <c r="A609" s="912" t="s">
        <v>333</v>
      </c>
      <c r="B609" s="913" t="s">
        <v>138</v>
      </c>
      <c r="C609" s="925" t="s">
        <v>139</v>
      </c>
      <c r="D609" s="925"/>
      <c r="E609" s="926"/>
      <c r="F609" s="916">
        <v>99</v>
      </c>
    </row>
    <row r="610" spans="1:6">
      <c r="A610" s="927" t="s">
        <v>365</v>
      </c>
      <c r="B610" s="928" t="s">
        <v>62</v>
      </c>
      <c r="C610" s="929" t="s">
        <v>366</v>
      </c>
      <c r="D610" s="930"/>
      <c r="E610" s="931">
        <v>139940</v>
      </c>
      <c r="F610" s="932">
        <v>1</v>
      </c>
    </row>
    <row r="611" spans="1:6">
      <c r="A611" s="927" t="s">
        <v>365</v>
      </c>
      <c r="B611" s="928" t="s">
        <v>62</v>
      </c>
      <c r="C611" s="929" t="s">
        <v>367</v>
      </c>
      <c r="D611" s="930"/>
      <c r="E611" s="931">
        <v>139959</v>
      </c>
      <c r="F611" s="932">
        <v>1</v>
      </c>
    </row>
    <row r="612" spans="1:6">
      <c r="A612" s="927" t="s">
        <v>365</v>
      </c>
      <c r="B612" s="928" t="s">
        <v>64</v>
      </c>
      <c r="C612" s="933" t="s">
        <v>368</v>
      </c>
      <c r="D612" s="934"/>
      <c r="E612" s="931">
        <v>139959</v>
      </c>
      <c r="F612" s="932">
        <v>1</v>
      </c>
    </row>
    <row r="613" spans="1:6">
      <c r="A613" s="927" t="s">
        <v>365</v>
      </c>
      <c r="B613" s="928" t="s">
        <v>64</v>
      </c>
      <c r="C613" s="935" t="s">
        <v>369</v>
      </c>
      <c r="D613" s="934"/>
      <c r="E613" s="931">
        <v>139959</v>
      </c>
      <c r="F613" s="932">
        <v>1</v>
      </c>
    </row>
    <row r="614" spans="1:6">
      <c r="A614" s="927" t="s">
        <v>365</v>
      </c>
      <c r="B614" s="928" t="s">
        <v>64</v>
      </c>
      <c r="C614" s="935" t="s">
        <v>370</v>
      </c>
      <c r="D614" s="934"/>
      <c r="E614" s="931">
        <v>139959</v>
      </c>
      <c r="F614" s="932">
        <v>1</v>
      </c>
    </row>
    <row r="615" spans="1:6">
      <c r="A615" s="927" t="s">
        <v>365</v>
      </c>
      <c r="B615" s="928" t="s">
        <v>69</v>
      </c>
      <c r="C615" s="933" t="s">
        <v>371</v>
      </c>
      <c r="D615" s="934"/>
      <c r="E615" s="931">
        <v>139959</v>
      </c>
      <c r="F615" s="932">
        <v>1</v>
      </c>
    </row>
    <row r="616" spans="1:6">
      <c r="A616" s="927" t="s">
        <v>365</v>
      </c>
      <c r="B616" s="928" t="s">
        <v>74</v>
      </c>
      <c r="C616" s="933" t="s">
        <v>372</v>
      </c>
      <c r="D616" s="934"/>
      <c r="E616" s="931">
        <v>139959</v>
      </c>
      <c r="F616" s="932">
        <v>1</v>
      </c>
    </row>
    <row r="617" spans="1:6">
      <c r="A617" s="927" t="s">
        <v>365</v>
      </c>
      <c r="B617" s="928" t="s">
        <v>76</v>
      </c>
      <c r="C617" s="933" t="s">
        <v>373</v>
      </c>
      <c r="D617" s="934"/>
      <c r="E617" s="931">
        <v>139959</v>
      </c>
      <c r="F617" s="932">
        <v>1</v>
      </c>
    </row>
    <row r="618" spans="1:6">
      <c r="A618" s="927" t="s">
        <v>365</v>
      </c>
      <c r="B618" s="928" t="s">
        <v>78</v>
      </c>
      <c r="C618" s="933" t="s">
        <v>374</v>
      </c>
      <c r="D618" s="934"/>
      <c r="E618" s="931">
        <v>139959</v>
      </c>
      <c r="F618" s="932">
        <v>1</v>
      </c>
    </row>
    <row r="619" spans="1:6">
      <c r="A619" s="927" t="s">
        <v>365</v>
      </c>
      <c r="B619" s="928" t="s">
        <v>78</v>
      </c>
      <c r="C619" s="935" t="s">
        <v>375</v>
      </c>
      <c r="D619" s="934"/>
      <c r="E619" s="931">
        <v>139959</v>
      </c>
      <c r="F619" s="932">
        <v>1</v>
      </c>
    </row>
    <row r="620" spans="1:6">
      <c r="A620" s="927" t="s">
        <v>365</v>
      </c>
      <c r="B620" s="928" t="s">
        <v>78</v>
      </c>
      <c r="C620" s="935" t="s">
        <v>376</v>
      </c>
      <c r="D620" s="934"/>
      <c r="E620" s="931">
        <v>139959</v>
      </c>
      <c r="F620" s="932">
        <v>1</v>
      </c>
    </row>
    <row r="621" spans="1:6">
      <c r="A621" s="927" t="s">
        <v>365</v>
      </c>
      <c r="B621" s="928" t="s">
        <v>78</v>
      </c>
      <c r="C621" s="935" t="s">
        <v>377</v>
      </c>
      <c r="D621" s="934"/>
      <c r="E621" s="931">
        <v>139959</v>
      </c>
      <c r="F621" s="932">
        <v>1</v>
      </c>
    </row>
    <row r="622" spans="1:6">
      <c r="A622" s="927" t="s">
        <v>365</v>
      </c>
      <c r="B622" s="928" t="s">
        <v>78</v>
      </c>
      <c r="C622" s="935" t="s">
        <v>378</v>
      </c>
      <c r="D622" s="934"/>
      <c r="E622" s="931">
        <v>139959</v>
      </c>
      <c r="F622" s="932">
        <v>1</v>
      </c>
    </row>
    <row r="623" spans="1:6">
      <c r="A623" s="927" t="s">
        <v>365</v>
      </c>
      <c r="B623" s="928" t="s">
        <v>78</v>
      </c>
      <c r="C623" s="935" t="s">
        <v>379</v>
      </c>
      <c r="D623" s="934"/>
      <c r="E623" s="931">
        <v>139959</v>
      </c>
      <c r="F623" s="932">
        <v>1</v>
      </c>
    </row>
    <row r="624" spans="1:6">
      <c r="A624" s="927" t="s">
        <v>365</v>
      </c>
      <c r="B624" s="928" t="s">
        <v>62</v>
      </c>
      <c r="C624" s="929" t="s">
        <v>380</v>
      </c>
      <c r="D624" s="930"/>
      <c r="E624" s="931">
        <v>139755</v>
      </c>
      <c r="F624" s="932">
        <v>2</v>
      </c>
    </row>
    <row r="625" spans="1:6">
      <c r="A625" s="927" t="s">
        <v>365</v>
      </c>
      <c r="B625" s="928" t="s">
        <v>69</v>
      </c>
      <c r="C625" s="933" t="s">
        <v>371</v>
      </c>
      <c r="D625" s="934"/>
      <c r="E625" s="931">
        <v>139755</v>
      </c>
      <c r="F625" s="932">
        <v>2</v>
      </c>
    </row>
    <row r="626" spans="1:6">
      <c r="A626" s="936" t="s">
        <v>365</v>
      </c>
      <c r="B626" s="937" t="s">
        <v>69</v>
      </c>
      <c r="C626" s="938" t="s">
        <v>1064</v>
      </c>
      <c r="D626" s="939"/>
      <c r="E626" s="940">
        <v>139755</v>
      </c>
      <c r="F626" s="941">
        <v>2</v>
      </c>
    </row>
    <row r="627" spans="1:6">
      <c r="A627" s="927" t="s">
        <v>365</v>
      </c>
      <c r="B627" s="928" t="s">
        <v>78</v>
      </c>
      <c r="C627" s="933" t="s">
        <v>374</v>
      </c>
      <c r="D627" s="934"/>
      <c r="E627" s="931">
        <v>139755</v>
      </c>
      <c r="F627" s="932">
        <v>2</v>
      </c>
    </row>
    <row r="628" spans="1:6">
      <c r="A628" s="927" t="s">
        <v>365</v>
      </c>
      <c r="B628" s="928" t="s">
        <v>381</v>
      </c>
      <c r="C628" s="933" t="s">
        <v>382</v>
      </c>
      <c r="D628" s="934"/>
      <c r="E628" s="931">
        <v>139755</v>
      </c>
      <c r="F628" s="932">
        <v>2</v>
      </c>
    </row>
    <row r="629" spans="1:6">
      <c r="A629" s="927" t="s">
        <v>365</v>
      </c>
      <c r="B629" s="928" t="s">
        <v>62</v>
      </c>
      <c r="C629" s="929" t="s">
        <v>383</v>
      </c>
      <c r="D629" s="942" t="s">
        <v>1439</v>
      </c>
      <c r="E629" s="931">
        <v>139931</v>
      </c>
      <c r="F629" s="932">
        <v>3</v>
      </c>
    </row>
    <row r="630" spans="1:6">
      <c r="A630" s="927" t="s">
        <v>365</v>
      </c>
      <c r="B630" s="928" t="s">
        <v>62</v>
      </c>
      <c r="C630" s="929" t="s">
        <v>384</v>
      </c>
      <c r="D630" s="943" t="s">
        <v>1439</v>
      </c>
      <c r="E630" s="931">
        <v>486840</v>
      </c>
      <c r="F630" s="932">
        <v>3</v>
      </c>
    </row>
    <row r="631" spans="1:6">
      <c r="A631" s="927" t="s">
        <v>365</v>
      </c>
      <c r="B631" s="928" t="s">
        <v>62</v>
      </c>
      <c r="C631" s="929" t="s">
        <v>385</v>
      </c>
      <c r="D631" s="930"/>
      <c r="E631" s="931">
        <v>141334</v>
      </c>
      <c r="F631" s="932">
        <v>3</v>
      </c>
    </row>
    <row r="632" spans="1:6">
      <c r="A632" s="927" t="s">
        <v>365</v>
      </c>
      <c r="B632" s="928" t="s">
        <v>62</v>
      </c>
      <c r="C632" s="929" t="s">
        <v>386</v>
      </c>
      <c r="D632" s="930"/>
      <c r="E632" s="931">
        <v>141264</v>
      </c>
      <c r="F632" s="932">
        <v>3</v>
      </c>
    </row>
    <row r="633" spans="1:6">
      <c r="A633" s="936" t="s">
        <v>365</v>
      </c>
      <c r="B633" s="937" t="s">
        <v>62</v>
      </c>
      <c r="C633" s="944" t="s">
        <v>387</v>
      </c>
      <c r="D633" s="945"/>
      <c r="E633" s="940">
        <v>138716</v>
      </c>
      <c r="F633" s="941">
        <v>4</v>
      </c>
    </row>
    <row r="634" spans="1:6">
      <c r="A634" s="927" t="s">
        <v>365</v>
      </c>
      <c r="B634" s="928" t="s">
        <v>62</v>
      </c>
      <c r="C634" s="929" t="s">
        <v>392</v>
      </c>
      <c r="D634" s="930"/>
      <c r="E634" s="931">
        <v>482149</v>
      </c>
      <c r="F634" s="932">
        <v>4</v>
      </c>
    </row>
    <row r="635" spans="1:6">
      <c r="A635" s="927" t="s">
        <v>365</v>
      </c>
      <c r="B635" s="928" t="s">
        <v>64</v>
      </c>
      <c r="C635" s="933" t="s">
        <v>368</v>
      </c>
      <c r="D635" s="930"/>
      <c r="E635" s="931">
        <v>482149</v>
      </c>
      <c r="F635" s="932">
        <v>4</v>
      </c>
    </row>
    <row r="636" spans="1:6">
      <c r="A636" s="927" t="s">
        <v>365</v>
      </c>
      <c r="B636" s="928" t="s">
        <v>62</v>
      </c>
      <c r="C636" s="946" t="s">
        <v>388</v>
      </c>
      <c r="D636" s="947"/>
      <c r="E636" s="931">
        <v>139311</v>
      </c>
      <c r="F636" s="932">
        <v>4</v>
      </c>
    </row>
    <row r="637" spans="1:6">
      <c r="A637" s="927" t="s">
        <v>365</v>
      </c>
      <c r="B637" s="928" t="s">
        <v>62</v>
      </c>
      <c r="C637" s="929" t="s">
        <v>389</v>
      </c>
      <c r="D637" s="942" t="s">
        <v>1423</v>
      </c>
      <c r="E637" s="931">
        <v>139366</v>
      </c>
      <c r="F637" s="932">
        <v>4</v>
      </c>
    </row>
    <row r="638" spans="1:6">
      <c r="A638" s="927" t="s">
        <v>365</v>
      </c>
      <c r="B638" s="928" t="s">
        <v>62</v>
      </c>
      <c r="C638" s="929" t="s">
        <v>390</v>
      </c>
      <c r="D638" s="948" t="s">
        <v>1785</v>
      </c>
      <c r="E638" s="949">
        <v>139719</v>
      </c>
      <c r="F638" s="950">
        <v>5</v>
      </c>
    </row>
    <row r="639" spans="1:6">
      <c r="A639" s="927" t="s">
        <v>365</v>
      </c>
      <c r="B639" s="928" t="s">
        <v>62</v>
      </c>
      <c r="C639" s="929" t="s">
        <v>391</v>
      </c>
      <c r="D639" s="930"/>
      <c r="E639" s="931">
        <v>139861</v>
      </c>
      <c r="F639" s="932">
        <v>4</v>
      </c>
    </row>
    <row r="640" spans="1:6">
      <c r="A640" s="927" t="s">
        <v>365</v>
      </c>
      <c r="B640" s="928" t="s">
        <v>62</v>
      </c>
      <c r="C640" s="929" t="s">
        <v>394</v>
      </c>
      <c r="D640" s="943" t="s">
        <v>1424</v>
      </c>
      <c r="E640" s="931">
        <v>139764</v>
      </c>
      <c r="F640" s="932">
        <v>4</v>
      </c>
    </row>
    <row r="641" spans="1:6">
      <c r="A641" s="927" t="s">
        <v>365</v>
      </c>
      <c r="B641" s="928" t="s">
        <v>62</v>
      </c>
      <c r="C641" s="929" t="s">
        <v>393</v>
      </c>
      <c r="D641" s="930"/>
      <c r="E641" s="951">
        <v>482680</v>
      </c>
      <c r="F641" s="932">
        <v>4</v>
      </c>
    </row>
    <row r="642" spans="1:6">
      <c r="A642" s="927" t="s">
        <v>365</v>
      </c>
      <c r="B642" s="928" t="s">
        <v>62</v>
      </c>
      <c r="C642" s="929" t="s">
        <v>395</v>
      </c>
      <c r="D642" s="943" t="s">
        <v>1796</v>
      </c>
      <c r="E642" s="931">
        <v>140960</v>
      </c>
      <c r="F642" s="932">
        <v>5</v>
      </c>
    </row>
    <row r="643" spans="1:6">
      <c r="A643" s="927" t="s">
        <v>365</v>
      </c>
      <c r="B643" s="928" t="s">
        <v>62</v>
      </c>
      <c r="C643" s="929" t="s">
        <v>400</v>
      </c>
      <c r="D643" s="942"/>
      <c r="E643" s="931">
        <v>138558</v>
      </c>
      <c r="F643" s="952">
        <v>6</v>
      </c>
    </row>
    <row r="644" spans="1:6">
      <c r="A644" s="927" t="s">
        <v>365</v>
      </c>
      <c r="B644" s="928" t="s">
        <v>62</v>
      </c>
      <c r="C644" s="929" t="s">
        <v>396</v>
      </c>
      <c r="D644" s="947"/>
      <c r="E644" s="931">
        <v>139250</v>
      </c>
      <c r="F644" s="932">
        <v>6</v>
      </c>
    </row>
    <row r="645" spans="1:6">
      <c r="A645" s="927" t="s">
        <v>365</v>
      </c>
      <c r="B645" s="928" t="s">
        <v>62</v>
      </c>
      <c r="C645" s="929" t="s">
        <v>397</v>
      </c>
      <c r="D645" s="947"/>
      <c r="E645" s="931">
        <v>139463</v>
      </c>
      <c r="F645" s="932">
        <v>6</v>
      </c>
    </row>
    <row r="646" spans="1:6">
      <c r="A646" s="927" t="s">
        <v>365</v>
      </c>
      <c r="B646" s="928" t="s">
        <v>116</v>
      </c>
      <c r="C646" s="929" t="s">
        <v>398</v>
      </c>
      <c r="D646" s="947"/>
      <c r="E646" s="931">
        <v>447689</v>
      </c>
      <c r="F646" s="932">
        <v>6</v>
      </c>
    </row>
    <row r="647" spans="1:6">
      <c r="A647" s="927" t="s">
        <v>365</v>
      </c>
      <c r="B647" s="928" t="s">
        <v>62</v>
      </c>
      <c r="C647" s="929" t="s">
        <v>401</v>
      </c>
      <c r="D647" s="943"/>
      <c r="E647" s="932">
        <v>482158</v>
      </c>
      <c r="F647" s="952">
        <v>6</v>
      </c>
    </row>
    <row r="648" spans="1:6">
      <c r="A648" s="927" t="s">
        <v>365</v>
      </c>
      <c r="B648" s="928" t="s">
        <v>62</v>
      </c>
      <c r="C648" s="929" t="s">
        <v>399</v>
      </c>
      <c r="D648" s="948" t="s">
        <v>1785</v>
      </c>
      <c r="E648" s="951">
        <v>482158</v>
      </c>
      <c r="F648" s="950">
        <v>5</v>
      </c>
    </row>
    <row r="649" spans="1:6">
      <c r="A649" s="927" t="s">
        <v>365</v>
      </c>
      <c r="B649" s="928" t="s">
        <v>62</v>
      </c>
      <c r="C649" s="946" t="s">
        <v>402</v>
      </c>
      <c r="D649" s="947"/>
      <c r="E649" s="931">
        <v>138901</v>
      </c>
      <c r="F649" s="932">
        <v>7</v>
      </c>
    </row>
    <row r="650" spans="1:6">
      <c r="A650" s="927" t="s">
        <v>365</v>
      </c>
      <c r="B650" s="928" t="s">
        <v>62</v>
      </c>
      <c r="C650" s="946" t="s">
        <v>403</v>
      </c>
      <c r="D650" s="947"/>
      <c r="E650" s="931">
        <v>139621</v>
      </c>
      <c r="F650" s="932">
        <v>7</v>
      </c>
    </row>
    <row r="651" spans="1:6">
      <c r="A651" s="927" t="s">
        <v>365</v>
      </c>
      <c r="B651" s="928" t="s">
        <v>62</v>
      </c>
      <c r="C651" s="929" t="s">
        <v>404</v>
      </c>
      <c r="D651" s="947"/>
      <c r="E651" s="931">
        <v>139700</v>
      </c>
      <c r="F651" s="932">
        <v>7</v>
      </c>
    </row>
    <row r="652" spans="1:6">
      <c r="A652" s="927" t="s">
        <v>365</v>
      </c>
      <c r="B652" s="928" t="s">
        <v>62</v>
      </c>
      <c r="C652" s="929" t="s">
        <v>405</v>
      </c>
      <c r="D652" s="947"/>
      <c r="E652" s="951">
        <v>482699</v>
      </c>
      <c r="F652" s="932">
        <v>7</v>
      </c>
    </row>
    <row r="653" spans="1:6">
      <c r="A653" s="927" t="s">
        <v>365</v>
      </c>
      <c r="B653" s="928" t="s">
        <v>118</v>
      </c>
      <c r="C653" s="930" t="s">
        <v>406</v>
      </c>
      <c r="D653" s="930"/>
      <c r="E653" s="953"/>
      <c r="F653" s="954">
        <v>99</v>
      </c>
    </row>
    <row r="654" spans="1:6">
      <c r="A654" s="927" t="s">
        <v>365</v>
      </c>
      <c r="B654" s="928" t="s">
        <v>120</v>
      </c>
      <c r="C654" s="933" t="s">
        <v>79</v>
      </c>
      <c r="D654" s="934"/>
      <c r="E654" s="953"/>
      <c r="F654" s="954">
        <v>99</v>
      </c>
    </row>
    <row r="655" spans="1:6">
      <c r="A655" s="927" t="s">
        <v>365</v>
      </c>
      <c r="B655" s="928" t="s">
        <v>120</v>
      </c>
      <c r="C655" s="935" t="s">
        <v>407</v>
      </c>
      <c r="D655" s="934"/>
      <c r="E655" s="953"/>
      <c r="F655" s="954">
        <v>99</v>
      </c>
    </row>
    <row r="656" spans="1:6">
      <c r="A656" s="927" t="s">
        <v>365</v>
      </c>
      <c r="B656" s="928" t="s">
        <v>120</v>
      </c>
      <c r="C656" s="935" t="s">
        <v>408</v>
      </c>
      <c r="D656" s="934"/>
      <c r="E656" s="953"/>
      <c r="F656" s="954">
        <v>99</v>
      </c>
    </row>
    <row r="657" spans="1:6">
      <c r="A657" s="927" t="s">
        <v>365</v>
      </c>
      <c r="B657" s="928" t="s">
        <v>132</v>
      </c>
      <c r="C657" s="930" t="s">
        <v>335</v>
      </c>
      <c r="D657" s="930"/>
      <c r="E657" s="955"/>
      <c r="F657" s="954">
        <v>99</v>
      </c>
    </row>
    <row r="658" spans="1:6">
      <c r="A658" s="927" t="s">
        <v>365</v>
      </c>
      <c r="B658" s="928" t="s">
        <v>132</v>
      </c>
      <c r="C658" s="935" t="s">
        <v>409</v>
      </c>
      <c r="D658" s="934"/>
      <c r="E658" s="955"/>
      <c r="F658" s="954">
        <v>99</v>
      </c>
    </row>
    <row r="659" spans="1:6">
      <c r="A659" s="927" t="s">
        <v>365</v>
      </c>
      <c r="B659" s="928" t="s">
        <v>132</v>
      </c>
      <c r="C659" s="935" t="s">
        <v>410</v>
      </c>
      <c r="D659" s="934"/>
      <c r="E659" s="955"/>
      <c r="F659" s="954">
        <v>99</v>
      </c>
    </row>
    <row r="660" spans="1:6">
      <c r="A660" s="927" t="s">
        <v>365</v>
      </c>
      <c r="B660" s="928" t="s">
        <v>132</v>
      </c>
      <c r="C660" s="935" t="s">
        <v>411</v>
      </c>
      <c r="D660" s="934"/>
      <c r="E660" s="955"/>
      <c r="F660" s="954">
        <v>99</v>
      </c>
    </row>
    <row r="661" spans="1:6">
      <c r="A661" s="927" t="s">
        <v>365</v>
      </c>
      <c r="B661" s="928" t="s">
        <v>132</v>
      </c>
      <c r="C661" s="935" t="s">
        <v>412</v>
      </c>
      <c r="D661" s="934"/>
      <c r="E661" s="955"/>
      <c r="F661" s="954">
        <v>99</v>
      </c>
    </row>
    <row r="662" spans="1:6">
      <c r="A662" s="927" t="s">
        <v>365</v>
      </c>
      <c r="B662" s="928" t="s">
        <v>138</v>
      </c>
      <c r="C662" s="930" t="s">
        <v>139</v>
      </c>
      <c r="D662" s="930"/>
      <c r="E662" s="953"/>
      <c r="F662" s="954">
        <v>99</v>
      </c>
    </row>
    <row r="663" spans="1:6">
      <c r="A663" s="927" t="s">
        <v>365</v>
      </c>
      <c r="B663" s="928" t="s">
        <v>140</v>
      </c>
      <c r="C663" s="933" t="s">
        <v>141</v>
      </c>
      <c r="D663" s="934"/>
      <c r="E663" s="953"/>
      <c r="F663" s="954">
        <v>99</v>
      </c>
    </row>
    <row r="664" spans="1:6">
      <c r="A664" s="927" t="s">
        <v>365</v>
      </c>
      <c r="B664" s="928" t="s">
        <v>140</v>
      </c>
      <c r="C664" s="935" t="s">
        <v>413</v>
      </c>
      <c r="D664" s="934"/>
      <c r="E664" s="955"/>
      <c r="F664" s="954">
        <v>99</v>
      </c>
    </row>
    <row r="665" spans="1:6">
      <c r="A665" s="927" t="s">
        <v>365</v>
      </c>
      <c r="B665" s="928" t="s">
        <v>145</v>
      </c>
      <c r="C665" s="933" t="s">
        <v>146</v>
      </c>
      <c r="D665" s="934"/>
      <c r="E665" s="955"/>
      <c r="F665" s="954">
        <v>99</v>
      </c>
    </row>
    <row r="666" spans="1:6">
      <c r="A666" s="927" t="s">
        <v>365</v>
      </c>
      <c r="B666" s="928" t="s">
        <v>145</v>
      </c>
      <c r="C666" s="956" t="s">
        <v>337</v>
      </c>
      <c r="D666" s="957"/>
      <c r="E666" s="955"/>
      <c r="F666" s="954">
        <v>99</v>
      </c>
    </row>
    <row r="667" spans="1:6">
      <c r="A667" s="927" t="s">
        <v>365</v>
      </c>
      <c r="B667" s="928" t="s">
        <v>145</v>
      </c>
      <c r="C667" s="956" t="s">
        <v>414</v>
      </c>
      <c r="D667" s="957"/>
      <c r="E667" s="955"/>
      <c r="F667" s="954">
        <v>99</v>
      </c>
    </row>
    <row r="668" spans="1:6">
      <c r="A668" s="927" t="s">
        <v>365</v>
      </c>
      <c r="B668" s="928" t="s">
        <v>149</v>
      </c>
      <c r="C668" s="933" t="s">
        <v>247</v>
      </c>
      <c r="D668" s="934"/>
      <c r="E668" s="946"/>
      <c r="F668" s="954">
        <v>99</v>
      </c>
    </row>
    <row r="669" spans="1:6">
      <c r="A669" s="927" t="s">
        <v>365</v>
      </c>
      <c r="B669" s="928" t="s">
        <v>149</v>
      </c>
      <c r="C669" s="935" t="s">
        <v>415</v>
      </c>
      <c r="D669" s="934"/>
      <c r="E669" s="946"/>
      <c r="F669" s="954">
        <v>99</v>
      </c>
    </row>
    <row r="670" spans="1:6">
      <c r="A670" s="927" t="s">
        <v>365</v>
      </c>
      <c r="B670" s="928" t="s">
        <v>151</v>
      </c>
      <c r="C670" s="930" t="s">
        <v>152</v>
      </c>
      <c r="D670" s="930"/>
      <c r="E670" s="955"/>
      <c r="F670" s="954">
        <v>99</v>
      </c>
    </row>
    <row r="671" spans="1:6">
      <c r="A671" s="927" t="s">
        <v>365</v>
      </c>
      <c r="B671" s="928" t="s">
        <v>151</v>
      </c>
      <c r="C671" s="935" t="s">
        <v>416</v>
      </c>
      <c r="D671" s="934"/>
      <c r="E671" s="955"/>
      <c r="F671" s="954">
        <v>99</v>
      </c>
    </row>
    <row r="672" spans="1:6">
      <c r="A672" s="927" t="s">
        <v>365</v>
      </c>
      <c r="B672" s="928" t="s">
        <v>151</v>
      </c>
      <c r="C672" s="935" t="s">
        <v>417</v>
      </c>
      <c r="D672" s="934"/>
      <c r="E672" s="955"/>
      <c r="F672" s="954">
        <v>99</v>
      </c>
    </row>
    <row r="673" spans="1:6">
      <c r="A673" s="927" t="s">
        <v>365</v>
      </c>
      <c r="B673" s="928" t="s">
        <v>151</v>
      </c>
      <c r="C673" s="935" t="s">
        <v>418</v>
      </c>
      <c r="D673" s="934"/>
      <c r="E673" s="955"/>
      <c r="F673" s="954">
        <v>99</v>
      </c>
    </row>
    <row r="674" spans="1:6">
      <c r="A674" s="927" t="s">
        <v>365</v>
      </c>
      <c r="B674" s="928" t="s">
        <v>248</v>
      </c>
      <c r="C674" s="930" t="s">
        <v>249</v>
      </c>
      <c r="D674" s="930"/>
      <c r="E674" s="955"/>
      <c r="F674" s="954">
        <v>99</v>
      </c>
    </row>
    <row r="675" spans="1:6">
      <c r="A675" s="927" t="s">
        <v>365</v>
      </c>
      <c r="B675" s="928" t="s">
        <v>250</v>
      </c>
      <c r="C675" s="933" t="s">
        <v>251</v>
      </c>
      <c r="D675" s="934"/>
      <c r="E675" s="955"/>
      <c r="F675" s="954">
        <v>99</v>
      </c>
    </row>
    <row r="676" spans="1:6">
      <c r="A676" s="927" t="s">
        <v>365</v>
      </c>
      <c r="B676" s="928" t="s">
        <v>250</v>
      </c>
      <c r="C676" s="935" t="s">
        <v>419</v>
      </c>
      <c r="D676" s="934"/>
      <c r="E676" s="955"/>
      <c r="F676" s="954">
        <v>99</v>
      </c>
    </row>
    <row r="677" spans="1:6">
      <c r="A677" s="927" t="s">
        <v>365</v>
      </c>
      <c r="B677" s="928" t="s">
        <v>250</v>
      </c>
      <c r="C677" s="935" t="s">
        <v>420</v>
      </c>
      <c r="D677" s="934"/>
      <c r="E677" s="955"/>
      <c r="F677" s="954">
        <v>99</v>
      </c>
    </row>
    <row r="678" spans="1:6">
      <c r="A678" s="927" t="s">
        <v>365</v>
      </c>
      <c r="B678" s="928" t="s">
        <v>250</v>
      </c>
      <c r="C678" s="935" t="s">
        <v>422</v>
      </c>
      <c r="D678" s="934"/>
      <c r="E678" s="955"/>
      <c r="F678" s="954">
        <v>99</v>
      </c>
    </row>
    <row r="679" spans="1:6">
      <c r="A679" s="927" t="s">
        <v>365</v>
      </c>
      <c r="B679" s="928" t="s">
        <v>258</v>
      </c>
      <c r="C679" s="933" t="s">
        <v>259</v>
      </c>
      <c r="D679" s="934"/>
      <c r="E679" s="955"/>
      <c r="F679" s="954">
        <v>99</v>
      </c>
    </row>
    <row r="680" spans="1:6">
      <c r="A680" s="927" t="s">
        <v>365</v>
      </c>
      <c r="B680" s="928" t="s">
        <v>258</v>
      </c>
      <c r="C680" s="935" t="s">
        <v>423</v>
      </c>
      <c r="D680" s="934"/>
      <c r="E680" s="955"/>
      <c r="F680" s="954">
        <v>99</v>
      </c>
    </row>
    <row r="681" spans="1:6">
      <c r="A681" s="927" t="s">
        <v>365</v>
      </c>
      <c r="B681" s="928" t="s">
        <v>157</v>
      </c>
      <c r="C681" s="933" t="s">
        <v>424</v>
      </c>
      <c r="D681" s="934"/>
      <c r="E681" s="955"/>
      <c r="F681" s="954">
        <v>99</v>
      </c>
    </row>
    <row r="682" spans="1:6">
      <c r="A682" s="927" t="s">
        <v>365</v>
      </c>
      <c r="B682" s="928" t="s">
        <v>157</v>
      </c>
      <c r="C682" s="935" t="s">
        <v>417</v>
      </c>
      <c r="D682" s="934"/>
      <c r="E682" s="955"/>
      <c r="F682" s="954">
        <v>99</v>
      </c>
    </row>
    <row r="683" spans="1:6">
      <c r="A683" s="927" t="s">
        <v>365</v>
      </c>
      <c r="B683" s="928" t="s">
        <v>157</v>
      </c>
      <c r="C683" s="935" t="s">
        <v>418</v>
      </c>
      <c r="D683" s="934"/>
      <c r="E683" s="955"/>
      <c r="F683" s="954">
        <v>99</v>
      </c>
    </row>
    <row r="684" spans="1:6">
      <c r="A684" s="927" t="s">
        <v>365</v>
      </c>
      <c r="B684" s="928" t="s">
        <v>157</v>
      </c>
      <c r="C684" s="935" t="s">
        <v>425</v>
      </c>
      <c r="D684" s="934"/>
      <c r="E684" s="955"/>
      <c r="F684" s="954">
        <v>99</v>
      </c>
    </row>
    <row r="685" spans="1:6">
      <c r="A685" s="927" t="s">
        <v>365</v>
      </c>
      <c r="B685" s="928" t="s">
        <v>157</v>
      </c>
      <c r="C685" s="935" t="s">
        <v>426</v>
      </c>
      <c r="D685" s="934"/>
      <c r="E685" s="955"/>
      <c r="F685" s="954">
        <v>99</v>
      </c>
    </row>
    <row r="686" spans="1:6">
      <c r="A686" s="927" t="s">
        <v>365</v>
      </c>
      <c r="B686" s="928" t="s">
        <v>157</v>
      </c>
      <c r="C686" s="935" t="s">
        <v>1065</v>
      </c>
      <c r="D686" s="934"/>
      <c r="E686" s="955"/>
      <c r="F686" s="954">
        <v>99</v>
      </c>
    </row>
    <row r="687" spans="1:6">
      <c r="A687" s="927" t="s">
        <v>365</v>
      </c>
      <c r="B687" s="928" t="s">
        <v>159</v>
      </c>
      <c r="C687" s="958" t="s">
        <v>160</v>
      </c>
      <c r="D687" s="958"/>
      <c r="E687" s="955"/>
      <c r="F687" s="954">
        <v>99</v>
      </c>
    </row>
    <row r="688" spans="1:6">
      <c r="A688" s="927" t="s">
        <v>365</v>
      </c>
      <c r="B688" s="928" t="s">
        <v>161</v>
      </c>
      <c r="C688" s="959" t="s">
        <v>162</v>
      </c>
      <c r="D688" s="958"/>
      <c r="E688" s="953"/>
      <c r="F688" s="954">
        <v>99</v>
      </c>
    </row>
    <row r="689" spans="1:6">
      <c r="A689" s="927" t="s">
        <v>365</v>
      </c>
      <c r="B689" s="928" t="s">
        <v>161</v>
      </c>
      <c r="C689" s="960" t="s">
        <v>427</v>
      </c>
      <c r="D689" s="934"/>
      <c r="E689" s="955"/>
      <c r="F689" s="954">
        <v>99</v>
      </c>
    </row>
    <row r="690" spans="1:6">
      <c r="A690" s="927" t="s">
        <v>365</v>
      </c>
      <c r="B690" s="961" t="s">
        <v>170</v>
      </c>
      <c r="C690" s="935" t="s">
        <v>171</v>
      </c>
      <c r="D690" s="934"/>
      <c r="E690" s="955"/>
      <c r="F690" s="954">
        <v>99</v>
      </c>
    </row>
    <row r="691" spans="1:6">
      <c r="A691" s="927" t="s">
        <v>365</v>
      </c>
      <c r="B691" s="961" t="s">
        <v>172</v>
      </c>
      <c r="C691" s="935" t="s">
        <v>165</v>
      </c>
      <c r="D691" s="934"/>
      <c r="E691" s="955"/>
      <c r="F691" s="954">
        <v>99</v>
      </c>
    </row>
    <row r="692" spans="1:6">
      <c r="A692" s="927" t="s">
        <v>365</v>
      </c>
      <c r="B692" s="961" t="s">
        <v>173</v>
      </c>
      <c r="C692" s="935" t="s">
        <v>167</v>
      </c>
      <c r="D692" s="934"/>
      <c r="E692" s="955"/>
      <c r="F692" s="954">
        <v>99</v>
      </c>
    </row>
    <row r="693" spans="1:6">
      <c r="A693" s="927" t="s">
        <v>365</v>
      </c>
      <c r="B693" s="961" t="s">
        <v>176</v>
      </c>
      <c r="C693" s="935" t="s">
        <v>177</v>
      </c>
      <c r="D693" s="934"/>
      <c r="E693" s="955"/>
      <c r="F693" s="954">
        <v>99</v>
      </c>
    </row>
    <row r="694" spans="1:6">
      <c r="A694" s="927" t="s">
        <v>365</v>
      </c>
      <c r="B694" s="961" t="s">
        <v>180</v>
      </c>
      <c r="C694" s="935" t="s">
        <v>165</v>
      </c>
      <c r="D694" s="934"/>
      <c r="E694" s="955"/>
      <c r="F694" s="954">
        <v>99</v>
      </c>
    </row>
    <row r="695" spans="1:6">
      <c r="A695" s="927" t="s">
        <v>365</v>
      </c>
      <c r="B695" s="961" t="s">
        <v>178</v>
      </c>
      <c r="C695" s="935" t="s">
        <v>167</v>
      </c>
      <c r="D695" s="934"/>
      <c r="E695" s="955"/>
      <c r="F695" s="954">
        <v>99</v>
      </c>
    </row>
    <row r="696" spans="1:6">
      <c r="A696" s="927" t="s">
        <v>365</v>
      </c>
      <c r="B696" s="928" t="s">
        <v>161</v>
      </c>
      <c r="C696" s="960" t="s">
        <v>428</v>
      </c>
      <c r="D696" s="934"/>
      <c r="E696" s="955"/>
      <c r="F696" s="954">
        <v>99</v>
      </c>
    </row>
    <row r="697" spans="1:6">
      <c r="A697" s="927" t="s">
        <v>365</v>
      </c>
      <c r="B697" s="961" t="s">
        <v>170</v>
      </c>
      <c r="C697" s="935" t="s">
        <v>171</v>
      </c>
      <c r="D697" s="934"/>
      <c r="E697" s="955"/>
      <c r="F697" s="954">
        <v>99</v>
      </c>
    </row>
    <row r="698" spans="1:6">
      <c r="A698" s="927" t="s">
        <v>365</v>
      </c>
      <c r="B698" s="961" t="s">
        <v>172</v>
      </c>
      <c r="C698" s="935" t="s">
        <v>165</v>
      </c>
      <c r="D698" s="934"/>
      <c r="E698" s="955"/>
      <c r="F698" s="954">
        <v>99</v>
      </c>
    </row>
    <row r="699" spans="1:6">
      <c r="A699" s="927" t="s">
        <v>365</v>
      </c>
      <c r="B699" s="961" t="s">
        <v>173</v>
      </c>
      <c r="C699" s="935" t="s">
        <v>167</v>
      </c>
      <c r="D699" s="934"/>
      <c r="E699" s="955"/>
      <c r="F699" s="954">
        <v>99</v>
      </c>
    </row>
    <row r="700" spans="1:6">
      <c r="A700" s="927" t="s">
        <v>365</v>
      </c>
      <c r="B700" s="961" t="s">
        <v>176</v>
      </c>
      <c r="C700" s="935" t="s">
        <v>177</v>
      </c>
      <c r="D700" s="934"/>
      <c r="E700" s="955"/>
      <c r="F700" s="954">
        <v>99</v>
      </c>
    </row>
    <row r="701" spans="1:6">
      <c r="A701" s="927" t="s">
        <v>365</v>
      </c>
      <c r="B701" s="961" t="s">
        <v>180</v>
      </c>
      <c r="C701" s="935" t="s">
        <v>165</v>
      </c>
      <c r="D701" s="934"/>
      <c r="E701" s="955"/>
      <c r="F701" s="954">
        <v>99</v>
      </c>
    </row>
    <row r="702" spans="1:6">
      <c r="A702" s="927" t="s">
        <v>365</v>
      </c>
      <c r="B702" s="961" t="s">
        <v>178</v>
      </c>
      <c r="C702" s="935" t="s">
        <v>167</v>
      </c>
      <c r="D702" s="934"/>
      <c r="E702" s="955"/>
      <c r="F702" s="954">
        <v>99</v>
      </c>
    </row>
    <row r="703" spans="1:6">
      <c r="A703" s="927" t="s">
        <v>365</v>
      </c>
      <c r="B703" s="961" t="s">
        <v>187</v>
      </c>
      <c r="C703" s="959" t="s">
        <v>188</v>
      </c>
      <c r="D703" s="958"/>
      <c r="E703" s="955"/>
      <c r="F703" s="954">
        <v>99</v>
      </c>
    </row>
    <row r="704" spans="1:6">
      <c r="A704" s="927" t="s">
        <v>365</v>
      </c>
      <c r="B704" s="928" t="s">
        <v>187</v>
      </c>
      <c r="C704" s="960" t="s">
        <v>429</v>
      </c>
      <c r="D704" s="934"/>
      <c r="E704" s="955"/>
      <c r="F704" s="954">
        <v>99</v>
      </c>
    </row>
    <row r="705" spans="1:6">
      <c r="A705" s="927" t="s">
        <v>365</v>
      </c>
      <c r="B705" s="961" t="s">
        <v>190</v>
      </c>
      <c r="C705" s="935" t="s">
        <v>165</v>
      </c>
      <c r="D705" s="934"/>
      <c r="E705" s="955"/>
      <c r="F705" s="954">
        <v>99</v>
      </c>
    </row>
    <row r="706" spans="1:6">
      <c r="A706" s="927" t="s">
        <v>365</v>
      </c>
      <c r="B706" s="961" t="s">
        <v>191</v>
      </c>
      <c r="C706" s="935" t="s">
        <v>167</v>
      </c>
      <c r="D706" s="934"/>
      <c r="E706" s="955"/>
      <c r="F706" s="954">
        <v>99</v>
      </c>
    </row>
    <row r="707" spans="1:6">
      <c r="A707" s="927" t="s">
        <v>365</v>
      </c>
      <c r="B707" s="928" t="s">
        <v>192</v>
      </c>
      <c r="C707" s="959" t="s">
        <v>332</v>
      </c>
      <c r="D707" s="958"/>
      <c r="E707" s="955"/>
      <c r="F707" s="954">
        <v>99</v>
      </c>
    </row>
    <row r="708" spans="1:6">
      <c r="A708" s="927" t="s">
        <v>365</v>
      </c>
      <c r="B708" s="928" t="s">
        <v>192</v>
      </c>
      <c r="C708" s="960" t="s">
        <v>430</v>
      </c>
      <c r="D708" s="934"/>
      <c r="E708" s="962"/>
      <c r="F708" s="954">
        <v>99</v>
      </c>
    </row>
    <row r="709" spans="1:6">
      <c r="A709" s="927" t="s">
        <v>365</v>
      </c>
      <c r="B709" s="961" t="s">
        <v>195</v>
      </c>
      <c r="C709" s="935" t="s">
        <v>165</v>
      </c>
      <c r="D709" s="934"/>
      <c r="E709" s="962"/>
      <c r="F709" s="954">
        <v>99</v>
      </c>
    </row>
    <row r="710" spans="1:6">
      <c r="A710" s="927" t="s">
        <v>365</v>
      </c>
      <c r="B710" s="961" t="s">
        <v>196</v>
      </c>
      <c r="C710" s="935" t="s">
        <v>167</v>
      </c>
      <c r="D710" s="934"/>
      <c r="E710" s="962"/>
      <c r="F710" s="954">
        <v>99</v>
      </c>
    </row>
    <row r="711" spans="1:6">
      <c r="A711" s="927" t="s">
        <v>365</v>
      </c>
      <c r="B711" s="928" t="s">
        <v>192</v>
      </c>
      <c r="C711" s="960" t="s">
        <v>429</v>
      </c>
      <c r="D711" s="934"/>
      <c r="E711" s="962"/>
      <c r="F711" s="954">
        <v>99</v>
      </c>
    </row>
    <row r="712" spans="1:6">
      <c r="A712" s="927" t="s">
        <v>365</v>
      </c>
      <c r="B712" s="961" t="s">
        <v>195</v>
      </c>
      <c r="C712" s="935" t="s">
        <v>165</v>
      </c>
      <c r="D712" s="934"/>
      <c r="E712" s="962"/>
      <c r="F712" s="954">
        <v>99</v>
      </c>
    </row>
    <row r="713" spans="1:6">
      <c r="A713" s="927" t="s">
        <v>365</v>
      </c>
      <c r="B713" s="961" t="s">
        <v>195</v>
      </c>
      <c r="C713" s="935" t="s">
        <v>165</v>
      </c>
      <c r="D713" s="934"/>
      <c r="E713" s="962"/>
      <c r="F713" s="954">
        <v>99</v>
      </c>
    </row>
    <row r="714" spans="1:6">
      <c r="A714" s="963" t="s">
        <v>365</v>
      </c>
      <c r="B714" s="689" t="s">
        <v>62</v>
      </c>
      <c r="C714" s="964" t="s">
        <v>1494</v>
      </c>
      <c r="D714" s="965"/>
      <c r="E714" s="46">
        <v>138682</v>
      </c>
      <c r="F714" s="46">
        <v>12</v>
      </c>
    </row>
    <row r="715" spans="1:6">
      <c r="A715" s="963" t="s">
        <v>365</v>
      </c>
      <c r="B715" s="689" t="s">
        <v>62</v>
      </c>
      <c r="C715" s="964" t="s">
        <v>1495</v>
      </c>
      <c r="D715" s="965"/>
      <c r="E715" s="46">
        <v>246813</v>
      </c>
      <c r="F715" s="46">
        <v>12</v>
      </c>
    </row>
    <row r="716" spans="1:6">
      <c r="A716" s="963" t="s">
        <v>365</v>
      </c>
      <c r="B716" s="689" t="s">
        <v>62</v>
      </c>
      <c r="C716" s="964" t="s">
        <v>1496</v>
      </c>
      <c r="D716" s="965"/>
      <c r="E716" s="46">
        <v>138840</v>
      </c>
      <c r="F716" s="46">
        <v>12</v>
      </c>
    </row>
    <row r="717" spans="1:6">
      <c r="A717" s="963" t="s">
        <v>365</v>
      </c>
      <c r="B717" s="689" t="s">
        <v>62</v>
      </c>
      <c r="C717" s="964" t="s">
        <v>1497</v>
      </c>
      <c r="D717" s="965"/>
      <c r="E717" s="46">
        <v>138956</v>
      </c>
      <c r="F717" s="46">
        <v>12</v>
      </c>
    </row>
    <row r="718" spans="1:6">
      <c r="A718" s="963" t="s">
        <v>365</v>
      </c>
      <c r="B718" s="689" t="s">
        <v>62</v>
      </c>
      <c r="C718" s="964" t="s">
        <v>1498</v>
      </c>
      <c r="D718" s="965"/>
      <c r="E718" s="46">
        <v>483045</v>
      </c>
      <c r="F718" s="46">
        <v>12</v>
      </c>
    </row>
    <row r="719" spans="1:6">
      <c r="A719" s="963" t="s">
        <v>365</v>
      </c>
      <c r="B719" s="689" t="s">
        <v>62</v>
      </c>
      <c r="C719" s="964" t="s">
        <v>1499</v>
      </c>
      <c r="D719" s="965"/>
      <c r="E719" s="46">
        <v>140331</v>
      </c>
      <c r="F719" s="46">
        <v>12</v>
      </c>
    </row>
    <row r="720" spans="1:6">
      <c r="A720" s="963" t="s">
        <v>365</v>
      </c>
      <c r="B720" s="689" t="s">
        <v>62</v>
      </c>
      <c r="C720" s="964" t="s">
        <v>1500</v>
      </c>
      <c r="D720" s="830"/>
      <c r="E720" s="840">
        <v>485458</v>
      </c>
      <c r="F720" s="46">
        <v>12</v>
      </c>
    </row>
    <row r="721" spans="1:6">
      <c r="A721" s="963" t="s">
        <v>365</v>
      </c>
      <c r="B721" s="689" t="s">
        <v>62</v>
      </c>
      <c r="C721" s="828" t="s">
        <v>1501</v>
      </c>
      <c r="D721" s="965"/>
      <c r="E721" s="46">
        <v>139357</v>
      </c>
      <c r="F721" s="46">
        <v>12</v>
      </c>
    </row>
    <row r="722" spans="1:6">
      <c r="A722" s="963" t="s">
        <v>365</v>
      </c>
      <c r="B722" s="689" t="s">
        <v>62</v>
      </c>
      <c r="C722" s="964" t="s">
        <v>1502</v>
      </c>
      <c r="D722" s="965"/>
      <c r="E722" s="46">
        <v>139384</v>
      </c>
      <c r="F722" s="46">
        <v>12</v>
      </c>
    </row>
    <row r="723" spans="1:6">
      <c r="A723" s="963" t="s">
        <v>365</v>
      </c>
      <c r="B723" s="689" t="s">
        <v>62</v>
      </c>
      <c r="C723" s="964" t="s">
        <v>1503</v>
      </c>
      <c r="D723" s="831"/>
      <c r="E723" s="46">
        <v>244446</v>
      </c>
      <c r="F723" s="46">
        <v>12</v>
      </c>
    </row>
    <row r="724" spans="1:6">
      <c r="A724" s="963" t="s">
        <v>365</v>
      </c>
      <c r="B724" s="689" t="s">
        <v>62</v>
      </c>
      <c r="C724" s="964" t="s">
        <v>1504</v>
      </c>
      <c r="D724" s="965"/>
      <c r="E724" s="46">
        <v>140012</v>
      </c>
      <c r="F724" s="46">
        <v>12</v>
      </c>
    </row>
    <row r="725" spans="1:6">
      <c r="A725" s="963" t="s">
        <v>365</v>
      </c>
      <c r="B725" s="689" t="s">
        <v>62</v>
      </c>
      <c r="C725" s="964" t="s">
        <v>1505</v>
      </c>
      <c r="D725" s="965"/>
      <c r="E725" s="46">
        <v>140243</v>
      </c>
      <c r="F725" s="46">
        <v>12</v>
      </c>
    </row>
    <row r="726" spans="1:6">
      <c r="A726" s="963" t="s">
        <v>365</v>
      </c>
      <c r="B726" s="689" t="s">
        <v>62</v>
      </c>
      <c r="C726" s="964" t="s">
        <v>1506</v>
      </c>
      <c r="D726" s="965"/>
      <c r="E726" s="46">
        <v>140678</v>
      </c>
      <c r="F726" s="46">
        <v>12</v>
      </c>
    </row>
    <row r="727" spans="1:6">
      <c r="A727" s="963" t="s">
        <v>365</v>
      </c>
      <c r="B727" s="689" t="s">
        <v>62</v>
      </c>
      <c r="C727" s="828" t="s">
        <v>1507</v>
      </c>
      <c r="D727" s="965"/>
      <c r="E727" s="46">
        <v>420431</v>
      </c>
      <c r="F727" s="46">
        <v>12</v>
      </c>
    </row>
    <row r="728" spans="1:6">
      <c r="A728" s="963" t="s">
        <v>365</v>
      </c>
      <c r="B728" s="689" t="s">
        <v>62</v>
      </c>
      <c r="C728" s="964" t="s">
        <v>1508</v>
      </c>
      <c r="D728" s="965"/>
      <c r="E728" s="46">
        <v>366465</v>
      </c>
      <c r="F728" s="46">
        <v>12</v>
      </c>
    </row>
    <row r="729" spans="1:6">
      <c r="A729" s="963" t="s">
        <v>365</v>
      </c>
      <c r="B729" s="689" t="s">
        <v>62</v>
      </c>
      <c r="C729" s="964" t="s">
        <v>1509</v>
      </c>
      <c r="D729" s="965"/>
      <c r="E729" s="46">
        <v>140942</v>
      </c>
      <c r="F729" s="46">
        <v>12</v>
      </c>
    </row>
    <row r="730" spans="1:6">
      <c r="A730" s="963" t="s">
        <v>365</v>
      </c>
      <c r="B730" s="689" t="s">
        <v>62</v>
      </c>
      <c r="C730" s="964" t="s">
        <v>1510</v>
      </c>
      <c r="D730" s="965"/>
      <c r="E730" s="46">
        <v>141006</v>
      </c>
      <c r="F730" s="46">
        <v>12</v>
      </c>
    </row>
    <row r="731" spans="1:6">
      <c r="A731" s="963" t="s">
        <v>365</v>
      </c>
      <c r="B731" s="689" t="s">
        <v>62</v>
      </c>
      <c r="C731" s="964" t="s">
        <v>1511</v>
      </c>
      <c r="D731" s="965"/>
      <c r="E731" s="46">
        <v>368911</v>
      </c>
      <c r="F731" s="46">
        <v>12</v>
      </c>
    </row>
    <row r="732" spans="1:6">
      <c r="A732" s="963" t="s">
        <v>365</v>
      </c>
      <c r="B732" s="689" t="s">
        <v>62</v>
      </c>
      <c r="C732" s="964" t="s">
        <v>1512</v>
      </c>
      <c r="D732" s="965"/>
      <c r="E732" s="46">
        <v>139986</v>
      </c>
      <c r="F732" s="46">
        <v>12</v>
      </c>
    </row>
    <row r="733" spans="1:6">
      <c r="A733" s="963" t="s">
        <v>365</v>
      </c>
      <c r="B733" s="689" t="s">
        <v>62</v>
      </c>
      <c r="C733" s="964" t="s">
        <v>1513</v>
      </c>
      <c r="D733" s="830"/>
      <c r="E733" s="840">
        <v>487162</v>
      </c>
      <c r="F733" s="46">
        <v>12</v>
      </c>
    </row>
    <row r="734" spans="1:6">
      <c r="A734" s="963" t="s">
        <v>365</v>
      </c>
      <c r="B734" s="689" t="s">
        <v>62</v>
      </c>
      <c r="C734" s="964" t="s">
        <v>1514</v>
      </c>
      <c r="D734" s="965"/>
      <c r="E734" s="46">
        <v>139278</v>
      </c>
      <c r="F734" s="46">
        <v>12</v>
      </c>
    </row>
    <row r="735" spans="1:6">
      <c r="A735" s="963" t="s">
        <v>365</v>
      </c>
      <c r="B735" s="689" t="s">
        <v>62</v>
      </c>
      <c r="C735" s="964" t="s">
        <v>1515</v>
      </c>
      <c r="D735" s="965"/>
      <c r="E735" s="46">
        <v>141255</v>
      </c>
      <c r="F735" s="46">
        <v>12</v>
      </c>
    </row>
    <row r="736" spans="1:6">
      <c r="A736" s="963" t="s">
        <v>365</v>
      </c>
      <c r="B736" s="689" t="s">
        <v>138</v>
      </c>
      <c r="C736" s="690" t="s">
        <v>139</v>
      </c>
      <c r="D736" s="690"/>
      <c r="E736" s="833"/>
      <c r="F736" s="840">
        <v>99</v>
      </c>
    </row>
    <row r="737" spans="1:6">
      <c r="A737" s="963" t="s">
        <v>365</v>
      </c>
      <c r="B737" s="689" t="s">
        <v>142</v>
      </c>
      <c r="C737" s="966" t="s">
        <v>143</v>
      </c>
      <c r="D737" s="967"/>
      <c r="E737" s="833"/>
      <c r="F737" s="840">
        <v>99</v>
      </c>
    </row>
    <row r="738" spans="1:6">
      <c r="A738" s="963" t="s">
        <v>365</v>
      </c>
      <c r="B738" s="689" t="s">
        <v>142</v>
      </c>
      <c r="C738" s="968" t="s">
        <v>1516</v>
      </c>
      <c r="D738" s="967"/>
      <c r="E738" s="833"/>
      <c r="F738" s="840">
        <v>99</v>
      </c>
    </row>
    <row r="739" spans="1:6">
      <c r="A739" s="846" t="s">
        <v>432</v>
      </c>
      <c r="B739" s="878" t="s">
        <v>62</v>
      </c>
      <c r="C739" s="969" t="s">
        <v>433</v>
      </c>
      <c r="D739" s="861" t="s">
        <v>1784</v>
      </c>
      <c r="E739" s="850">
        <v>157085</v>
      </c>
      <c r="F739" s="851">
        <v>1</v>
      </c>
    </row>
    <row r="740" spans="1:6">
      <c r="A740" s="846" t="s">
        <v>432</v>
      </c>
      <c r="B740" s="878" t="s">
        <v>64</v>
      </c>
      <c r="C740" s="875" t="s">
        <v>334</v>
      </c>
      <c r="D740" s="861" t="s">
        <v>1784</v>
      </c>
      <c r="E740" s="850">
        <v>157085</v>
      </c>
      <c r="F740" s="851">
        <v>1</v>
      </c>
    </row>
    <row r="741" spans="1:6">
      <c r="A741" s="846" t="s">
        <v>432</v>
      </c>
      <c r="B741" s="878" t="s">
        <v>69</v>
      </c>
      <c r="C741" s="870" t="s">
        <v>371</v>
      </c>
      <c r="D741" s="861" t="s">
        <v>1784</v>
      </c>
      <c r="E741" s="850">
        <v>157085</v>
      </c>
      <c r="F741" s="851">
        <v>1</v>
      </c>
    </row>
    <row r="742" spans="1:6">
      <c r="A742" s="846" t="s">
        <v>432</v>
      </c>
      <c r="B742" s="878" t="s">
        <v>69</v>
      </c>
      <c r="C742" s="875" t="s">
        <v>434</v>
      </c>
      <c r="D742" s="861" t="s">
        <v>1784</v>
      </c>
      <c r="E742" s="850">
        <v>157085</v>
      </c>
      <c r="F742" s="851">
        <v>1</v>
      </c>
    </row>
    <row r="743" spans="1:6">
      <c r="A743" s="846" t="s">
        <v>432</v>
      </c>
      <c r="B743" s="878" t="s">
        <v>69</v>
      </c>
      <c r="C743" s="875" t="s">
        <v>435</v>
      </c>
      <c r="D743" s="861" t="s">
        <v>1784</v>
      </c>
      <c r="E743" s="850">
        <v>157085</v>
      </c>
      <c r="F743" s="851">
        <v>1</v>
      </c>
    </row>
    <row r="744" spans="1:6">
      <c r="A744" s="846" t="s">
        <v>432</v>
      </c>
      <c r="B744" s="878" t="s">
        <v>69</v>
      </c>
      <c r="C744" s="875" t="s">
        <v>436</v>
      </c>
      <c r="D744" s="861" t="s">
        <v>1784</v>
      </c>
      <c r="E744" s="850">
        <v>157085</v>
      </c>
      <c r="F744" s="851">
        <v>1</v>
      </c>
    </row>
    <row r="745" spans="1:6">
      <c r="A745" s="846" t="s">
        <v>432</v>
      </c>
      <c r="B745" s="878" t="s">
        <v>69</v>
      </c>
      <c r="C745" s="875" t="s">
        <v>437</v>
      </c>
      <c r="D745" s="861" t="s">
        <v>1784</v>
      </c>
      <c r="E745" s="850">
        <v>157085</v>
      </c>
      <c r="F745" s="851">
        <v>1</v>
      </c>
    </row>
    <row r="746" spans="1:6">
      <c r="A746" s="846" t="s">
        <v>432</v>
      </c>
      <c r="B746" s="878" t="s">
        <v>69</v>
      </c>
      <c r="C746" s="875" t="s">
        <v>1650</v>
      </c>
      <c r="D746" s="861"/>
      <c r="E746" s="850">
        <v>157085</v>
      </c>
      <c r="F746" s="836">
        <v>1</v>
      </c>
    </row>
    <row r="747" spans="1:6">
      <c r="A747" s="846" t="s">
        <v>432</v>
      </c>
      <c r="B747" s="878" t="s">
        <v>69</v>
      </c>
      <c r="C747" s="875" t="s">
        <v>1651</v>
      </c>
      <c r="D747" s="861"/>
      <c r="E747" s="850">
        <v>157085</v>
      </c>
      <c r="F747" s="836">
        <v>1</v>
      </c>
    </row>
    <row r="748" spans="1:6">
      <c r="A748" s="846" t="s">
        <v>432</v>
      </c>
      <c r="B748" s="878" t="s">
        <v>74</v>
      </c>
      <c r="C748" s="870" t="s">
        <v>75</v>
      </c>
      <c r="D748" s="861" t="s">
        <v>1784</v>
      </c>
      <c r="E748" s="850">
        <v>157085</v>
      </c>
      <c r="F748" s="851">
        <v>1</v>
      </c>
    </row>
    <row r="749" spans="1:6">
      <c r="A749" s="846" t="s">
        <v>432</v>
      </c>
      <c r="B749" s="878" t="s">
        <v>74</v>
      </c>
      <c r="C749" s="870" t="s">
        <v>77</v>
      </c>
      <c r="D749" s="861" t="s">
        <v>1784</v>
      </c>
      <c r="E749" s="850">
        <v>157085</v>
      </c>
      <c r="F749" s="851">
        <v>1</v>
      </c>
    </row>
    <row r="750" spans="1:6">
      <c r="A750" s="846" t="s">
        <v>432</v>
      </c>
      <c r="B750" s="878" t="s">
        <v>78</v>
      </c>
      <c r="C750" s="870" t="s">
        <v>79</v>
      </c>
      <c r="D750" s="861" t="s">
        <v>1784</v>
      </c>
      <c r="E750" s="850">
        <v>157085</v>
      </c>
      <c r="F750" s="851">
        <v>1</v>
      </c>
    </row>
    <row r="751" spans="1:6">
      <c r="A751" s="846" t="s">
        <v>432</v>
      </c>
      <c r="B751" s="878" t="s">
        <v>78</v>
      </c>
      <c r="C751" s="875" t="s">
        <v>438</v>
      </c>
      <c r="D751" s="861" t="s">
        <v>1784</v>
      </c>
      <c r="E751" s="850">
        <v>157085</v>
      </c>
      <c r="F751" s="851">
        <v>1</v>
      </c>
    </row>
    <row r="752" spans="1:6">
      <c r="A752" s="846" t="s">
        <v>432</v>
      </c>
      <c r="B752" s="878" t="s">
        <v>78</v>
      </c>
      <c r="C752" s="875" t="s">
        <v>439</v>
      </c>
      <c r="D752" s="861" t="s">
        <v>1784</v>
      </c>
      <c r="E752" s="850">
        <v>157085</v>
      </c>
      <c r="F752" s="851">
        <v>1</v>
      </c>
    </row>
    <row r="753" spans="1:6">
      <c r="A753" s="846" t="s">
        <v>432</v>
      </c>
      <c r="B753" s="878" t="s">
        <v>78</v>
      </c>
      <c r="C753" s="875" t="s">
        <v>440</v>
      </c>
      <c r="D753" s="861" t="s">
        <v>1784</v>
      </c>
      <c r="E753" s="850">
        <v>157085</v>
      </c>
      <c r="F753" s="851">
        <v>1</v>
      </c>
    </row>
    <row r="754" spans="1:6">
      <c r="A754" s="846" t="s">
        <v>432</v>
      </c>
      <c r="B754" s="878" t="s">
        <v>78</v>
      </c>
      <c r="C754" s="875" t="s">
        <v>441</v>
      </c>
      <c r="D754" s="861" t="s">
        <v>1784</v>
      </c>
      <c r="E754" s="850">
        <v>157085</v>
      </c>
      <c r="F754" s="851">
        <v>1</v>
      </c>
    </row>
    <row r="755" spans="1:6">
      <c r="A755" s="846" t="s">
        <v>432</v>
      </c>
      <c r="B755" s="878" t="s">
        <v>78</v>
      </c>
      <c r="C755" s="875" t="s">
        <v>1652</v>
      </c>
      <c r="D755" s="861"/>
      <c r="E755" s="850">
        <v>157085</v>
      </c>
      <c r="F755" s="836">
        <v>1</v>
      </c>
    </row>
    <row r="756" spans="1:6">
      <c r="A756" s="846" t="s">
        <v>432</v>
      </c>
      <c r="B756" s="878" t="s">
        <v>78</v>
      </c>
      <c r="C756" s="875" t="s">
        <v>1653</v>
      </c>
      <c r="D756" s="861"/>
      <c r="E756" s="850">
        <v>157085</v>
      </c>
      <c r="F756" s="836">
        <v>1</v>
      </c>
    </row>
    <row r="757" spans="1:6">
      <c r="A757" s="846" t="s">
        <v>432</v>
      </c>
      <c r="B757" s="878" t="s">
        <v>78</v>
      </c>
      <c r="C757" s="875" t="s">
        <v>1654</v>
      </c>
      <c r="D757" s="861"/>
      <c r="E757" s="850">
        <v>157085</v>
      </c>
      <c r="F757" s="836">
        <v>1</v>
      </c>
    </row>
    <row r="758" spans="1:6">
      <c r="A758" s="846" t="s">
        <v>432</v>
      </c>
      <c r="B758" s="878" t="s">
        <v>62</v>
      </c>
      <c r="C758" s="878" t="s">
        <v>442</v>
      </c>
      <c r="D758" s="861" t="s">
        <v>1784</v>
      </c>
      <c r="E758" s="850">
        <v>157289</v>
      </c>
      <c r="F758" s="851">
        <v>1</v>
      </c>
    </row>
    <row r="759" spans="1:6">
      <c r="A759" s="846" t="s">
        <v>432</v>
      </c>
      <c r="B759" s="878" t="s">
        <v>64</v>
      </c>
      <c r="C759" s="875" t="s">
        <v>334</v>
      </c>
      <c r="D759" s="861" t="s">
        <v>1784</v>
      </c>
      <c r="E759" s="850">
        <v>157289</v>
      </c>
      <c r="F759" s="851">
        <v>1</v>
      </c>
    </row>
    <row r="760" spans="1:6">
      <c r="A760" s="846" t="s">
        <v>432</v>
      </c>
      <c r="B760" s="878" t="s">
        <v>69</v>
      </c>
      <c r="C760" s="870" t="s">
        <v>371</v>
      </c>
      <c r="D760" s="861" t="s">
        <v>1784</v>
      </c>
      <c r="E760" s="850">
        <v>157289</v>
      </c>
      <c r="F760" s="851">
        <v>1</v>
      </c>
    </row>
    <row r="761" spans="1:6">
      <c r="A761" s="846" t="s">
        <v>432</v>
      </c>
      <c r="B761" s="878" t="s">
        <v>69</v>
      </c>
      <c r="C761" s="870" t="s">
        <v>443</v>
      </c>
      <c r="D761" s="861" t="s">
        <v>1784</v>
      </c>
      <c r="E761" s="850">
        <v>157289</v>
      </c>
      <c r="F761" s="851">
        <v>1</v>
      </c>
    </row>
    <row r="762" spans="1:6">
      <c r="A762" s="846" t="s">
        <v>432</v>
      </c>
      <c r="B762" s="878" t="s">
        <v>69</v>
      </c>
      <c r="C762" s="870" t="s">
        <v>441</v>
      </c>
      <c r="D762" s="861" t="s">
        <v>1784</v>
      </c>
      <c r="E762" s="850">
        <v>157289</v>
      </c>
      <c r="F762" s="851">
        <v>1</v>
      </c>
    </row>
    <row r="763" spans="1:6" ht="51">
      <c r="A763" s="970" t="s">
        <v>432</v>
      </c>
      <c r="B763" s="970" t="s">
        <v>69</v>
      </c>
      <c r="C763" s="971" t="s">
        <v>1655</v>
      </c>
      <c r="D763" s="861" t="s">
        <v>1784</v>
      </c>
      <c r="E763" s="850">
        <v>157289</v>
      </c>
      <c r="F763" s="851">
        <v>1</v>
      </c>
    </row>
    <row r="764" spans="1:6">
      <c r="A764" s="846" t="s">
        <v>432</v>
      </c>
      <c r="B764" s="878" t="s">
        <v>78</v>
      </c>
      <c r="C764" s="870" t="s">
        <v>79</v>
      </c>
      <c r="D764" s="861" t="s">
        <v>1784</v>
      </c>
      <c r="E764" s="850">
        <v>157289</v>
      </c>
      <c r="F764" s="851">
        <v>1</v>
      </c>
    </row>
    <row r="765" spans="1:6">
      <c r="A765" s="846" t="s">
        <v>432</v>
      </c>
      <c r="B765" s="878" t="s">
        <v>62</v>
      </c>
      <c r="C765" s="878" t="s">
        <v>444</v>
      </c>
      <c r="D765" s="861" t="s">
        <v>1784</v>
      </c>
      <c r="E765" s="850">
        <v>156620</v>
      </c>
      <c r="F765" s="851">
        <v>3</v>
      </c>
    </row>
    <row r="766" spans="1:6">
      <c r="A766" s="846" t="s">
        <v>432</v>
      </c>
      <c r="B766" s="878" t="s">
        <v>69</v>
      </c>
      <c r="C766" s="875" t="s">
        <v>445</v>
      </c>
      <c r="D766" s="861" t="s">
        <v>1784</v>
      </c>
      <c r="E766" s="850">
        <v>156620</v>
      </c>
      <c r="F766" s="851">
        <v>3</v>
      </c>
    </row>
    <row r="767" spans="1:6">
      <c r="A767" s="846" t="s">
        <v>432</v>
      </c>
      <c r="B767" s="878" t="s">
        <v>69</v>
      </c>
      <c r="C767" s="875" t="s">
        <v>446</v>
      </c>
      <c r="D767" s="861" t="s">
        <v>1784</v>
      </c>
      <c r="E767" s="850">
        <v>156620</v>
      </c>
      <c r="F767" s="851">
        <v>3</v>
      </c>
    </row>
    <row r="768" spans="1:6">
      <c r="A768" s="846" t="s">
        <v>432</v>
      </c>
      <c r="B768" s="878" t="s">
        <v>62</v>
      </c>
      <c r="C768" s="857" t="s">
        <v>447</v>
      </c>
      <c r="D768" s="861" t="s">
        <v>1784</v>
      </c>
      <c r="E768" s="850">
        <v>157386</v>
      </c>
      <c r="F768" s="851">
        <v>3</v>
      </c>
    </row>
    <row r="769" spans="1:6">
      <c r="A769" s="846" t="s">
        <v>432</v>
      </c>
      <c r="B769" s="878" t="s">
        <v>69</v>
      </c>
      <c r="C769" s="870" t="s">
        <v>371</v>
      </c>
      <c r="D769" s="861" t="s">
        <v>1784</v>
      </c>
      <c r="E769" s="850">
        <v>157386</v>
      </c>
      <c r="F769" s="851">
        <v>3</v>
      </c>
    </row>
    <row r="770" spans="1:6">
      <c r="A770" s="846" t="s">
        <v>432</v>
      </c>
      <c r="B770" s="878" t="s">
        <v>69</v>
      </c>
      <c r="C770" s="875" t="s">
        <v>448</v>
      </c>
      <c r="D770" s="861" t="s">
        <v>1784</v>
      </c>
      <c r="E770" s="850">
        <v>157386</v>
      </c>
      <c r="F770" s="851">
        <v>3</v>
      </c>
    </row>
    <row r="771" spans="1:6">
      <c r="A771" s="846" t="s">
        <v>432</v>
      </c>
      <c r="B771" s="878" t="s">
        <v>69</v>
      </c>
      <c r="C771" s="878" t="s">
        <v>449</v>
      </c>
      <c r="D771" s="861" t="s">
        <v>1784</v>
      </c>
      <c r="E771" s="850">
        <v>157386</v>
      </c>
      <c r="F771" s="851">
        <v>3</v>
      </c>
    </row>
    <row r="772" spans="1:6">
      <c r="A772" s="846" t="s">
        <v>432</v>
      </c>
      <c r="B772" s="878" t="s">
        <v>69</v>
      </c>
      <c r="C772" s="878" t="s">
        <v>1656</v>
      </c>
      <c r="D772" s="861"/>
      <c r="E772" s="850">
        <v>157386</v>
      </c>
      <c r="F772" s="836"/>
    </row>
    <row r="773" spans="1:6">
      <c r="A773" s="846" t="s">
        <v>432</v>
      </c>
      <c r="B773" s="878" t="s">
        <v>78</v>
      </c>
      <c r="C773" s="870" t="s">
        <v>79</v>
      </c>
      <c r="D773" s="861" t="s">
        <v>1784</v>
      </c>
      <c r="E773" s="850">
        <v>157386</v>
      </c>
      <c r="F773" s="851">
        <v>3</v>
      </c>
    </row>
    <row r="774" spans="1:6">
      <c r="A774" s="846" t="s">
        <v>432</v>
      </c>
      <c r="B774" s="878" t="s">
        <v>62</v>
      </c>
      <c r="C774" s="878" t="s">
        <v>450</v>
      </c>
      <c r="D774" s="861" t="s">
        <v>1784</v>
      </c>
      <c r="E774" s="850">
        <v>157401</v>
      </c>
      <c r="F774" s="851">
        <v>3</v>
      </c>
    </row>
    <row r="775" spans="1:6">
      <c r="A775" s="846" t="s">
        <v>432</v>
      </c>
      <c r="B775" s="878" t="s">
        <v>69</v>
      </c>
      <c r="C775" s="870" t="s">
        <v>70</v>
      </c>
      <c r="D775" s="861" t="s">
        <v>1784</v>
      </c>
      <c r="E775" s="850">
        <v>157401</v>
      </c>
      <c r="F775" s="851">
        <v>3</v>
      </c>
    </row>
    <row r="776" spans="1:6">
      <c r="A776" s="846" t="s">
        <v>432</v>
      </c>
      <c r="B776" s="878" t="s">
        <v>69</v>
      </c>
      <c r="C776" s="875" t="s">
        <v>451</v>
      </c>
      <c r="D776" s="861" t="s">
        <v>1784</v>
      </c>
      <c r="E776" s="850">
        <v>157401</v>
      </c>
      <c r="F776" s="851">
        <v>3</v>
      </c>
    </row>
    <row r="777" spans="1:6">
      <c r="A777" s="846" t="s">
        <v>432</v>
      </c>
      <c r="B777" s="878" t="s">
        <v>62</v>
      </c>
      <c r="C777" s="878" t="s">
        <v>452</v>
      </c>
      <c r="D777" s="972" t="s">
        <v>1784</v>
      </c>
      <c r="E777" s="851">
        <v>157447</v>
      </c>
      <c r="F777" s="851">
        <v>3</v>
      </c>
    </row>
    <row r="778" spans="1:6">
      <c r="A778" s="846" t="s">
        <v>432</v>
      </c>
      <c r="B778" s="878" t="s">
        <v>69</v>
      </c>
      <c r="C778" s="870" t="s">
        <v>70</v>
      </c>
      <c r="D778" s="861" t="s">
        <v>1784</v>
      </c>
      <c r="E778" s="851">
        <v>157447</v>
      </c>
      <c r="F778" s="851">
        <v>3</v>
      </c>
    </row>
    <row r="779" spans="1:6">
      <c r="A779" s="846" t="s">
        <v>432</v>
      </c>
      <c r="B779" s="878" t="s">
        <v>69</v>
      </c>
      <c r="C779" s="875" t="s">
        <v>453</v>
      </c>
      <c r="D779" s="861" t="s">
        <v>1784</v>
      </c>
      <c r="E779" s="851">
        <v>157447</v>
      </c>
      <c r="F779" s="851">
        <v>3</v>
      </c>
    </row>
    <row r="780" spans="1:6">
      <c r="A780" s="846" t="s">
        <v>432</v>
      </c>
      <c r="B780" s="878" t="s">
        <v>62</v>
      </c>
      <c r="C780" s="878" t="s">
        <v>454</v>
      </c>
      <c r="D780" s="861" t="s">
        <v>1784</v>
      </c>
      <c r="E780" s="850">
        <v>157951</v>
      </c>
      <c r="F780" s="851">
        <v>3</v>
      </c>
    </row>
    <row r="781" spans="1:6">
      <c r="A781" s="846" t="s">
        <v>432</v>
      </c>
      <c r="B781" s="878" t="s">
        <v>69</v>
      </c>
      <c r="C781" s="870" t="s">
        <v>70</v>
      </c>
      <c r="D781" s="861" t="s">
        <v>1784</v>
      </c>
      <c r="E781" s="850">
        <v>157951</v>
      </c>
      <c r="F781" s="851">
        <v>3</v>
      </c>
    </row>
    <row r="782" spans="1:6">
      <c r="A782" s="846" t="s">
        <v>432</v>
      </c>
      <c r="B782" s="878" t="s">
        <v>69</v>
      </c>
      <c r="C782" s="875" t="s">
        <v>1657</v>
      </c>
      <c r="D782" s="861" t="s">
        <v>1784</v>
      </c>
      <c r="E782" s="850">
        <v>157951</v>
      </c>
      <c r="F782" s="851">
        <v>3</v>
      </c>
    </row>
    <row r="783" spans="1:6">
      <c r="A783" s="846" t="s">
        <v>432</v>
      </c>
      <c r="B783" s="878" t="s">
        <v>69</v>
      </c>
      <c r="C783" s="875" t="s">
        <v>455</v>
      </c>
      <c r="D783" s="861" t="s">
        <v>1784</v>
      </c>
      <c r="E783" s="850">
        <v>157951</v>
      </c>
      <c r="F783" s="851">
        <v>3</v>
      </c>
    </row>
    <row r="784" spans="1:6">
      <c r="A784" s="846" t="s">
        <v>432</v>
      </c>
      <c r="B784" s="878" t="s">
        <v>62</v>
      </c>
      <c r="C784" s="857" t="s">
        <v>456</v>
      </c>
      <c r="D784" s="856" t="s">
        <v>1799</v>
      </c>
      <c r="E784" s="850">
        <v>157058</v>
      </c>
      <c r="F784" s="851">
        <v>4</v>
      </c>
    </row>
    <row r="785" spans="1:6">
      <c r="A785" s="846" t="s">
        <v>432</v>
      </c>
      <c r="B785" s="878" t="s">
        <v>69</v>
      </c>
      <c r="C785" s="870" t="s">
        <v>371</v>
      </c>
      <c r="D785" s="861" t="s">
        <v>1784</v>
      </c>
      <c r="E785" s="850">
        <v>157058</v>
      </c>
      <c r="F785" s="851">
        <v>4</v>
      </c>
    </row>
    <row r="786" spans="1:6">
      <c r="A786" s="846" t="s">
        <v>432</v>
      </c>
      <c r="B786" s="878" t="s">
        <v>74</v>
      </c>
      <c r="C786" s="870" t="s">
        <v>75</v>
      </c>
      <c r="D786" s="861" t="s">
        <v>1784</v>
      </c>
      <c r="E786" s="850">
        <v>157058</v>
      </c>
      <c r="F786" s="851">
        <v>4</v>
      </c>
    </row>
    <row r="787" spans="1:6">
      <c r="A787" s="846" t="s">
        <v>432</v>
      </c>
      <c r="B787" s="878" t="s">
        <v>62</v>
      </c>
      <c r="C787" s="973" t="s">
        <v>457</v>
      </c>
      <c r="D787" s="856" t="s">
        <v>1658</v>
      </c>
      <c r="E787" s="974">
        <v>156392</v>
      </c>
      <c r="F787" s="851">
        <v>8</v>
      </c>
    </row>
    <row r="788" spans="1:6">
      <c r="A788" s="846" t="s">
        <v>432</v>
      </c>
      <c r="B788" s="878" t="s">
        <v>62</v>
      </c>
      <c r="C788" s="973" t="s">
        <v>458</v>
      </c>
      <c r="D788" s="861" t="s">
        <v>1784</v>
      </c>
      <c r="E788" s="850">
        <v>156921</v>
      </c>
      <c r="F788" s="851">
        <v>8</v>
      </c>
    </row>
    <row r="789" spans="1:6">
      <c r="A789" s="846" t="s">
        <v>432</v>
      </c>
      <c r="B789" s="878" t="s">
        <v>62</v>
      </c>
      <c r="C789" s="973" t="s">
        <v>460</v>
      </c>
      <c r="D789" s="856" t="s">
        <v>1800</v>
      </c>
      <c r="E789" s="850">
        <v>157553</v>
      </c>
      <c r="F789" s="851">
        <v>9</v>
      </c>
    </row>
    <row r="790" spans="1:6">
      <c r="A790" s="846" t="s">
        <v>432</v>
      </c>
      <c r="B790" s="878" t="s">
        <v>62</v>
      </c>
      <c r="C790" s="973" t="s">
        <v>461</v>
      </c>
      <c r="D790" s="861" t="s">
        <v>1784</v>
      </c>
      <c r="E790" s="850">
        <v>156648</v>
      </c>
      <c r="F790" s="851">
        <v>9</v>
      </c>
    </row>
    <row r="791" spans="1:6">
      <c r="A791" s="846" t="s">
        <v>432</v>
      </c>
      <c r="B791" s="878" t="s">
        <v>62</v>
      </c>
      <c r="C791" s="973" t="s">
        <v>464</v>
      </c>
      <c r="D791" s="861" t="s">
        <v>1784</v>
      </c>
      <c r="E791" s="850">
        <v>157331</v>
      </c>
      <c r="F791" s="851">
        <v>9</v>
      </c>
    </row>
    <row r="792" spans="1:6">
      <c r="A792" s="846" t="s">
        <v>432</v>
      </c>
      <c r="B792" s="878" t="s">
        <v>62</v>
      </c>
      <c r="C792" s="975" t="s">
        <v>465</v>
      </c>
      <c r="D792" s="861" t="s">
        <v>1784</v>
      </c>
      <c r="E792" s="850">
        <v>247940</v>
      </c>
      <c r="F792" s="976">
        <v>9</v>
      </c>
    </row>
    <row r="793" spans="1:6">
      <c r="A793" s="846" t="s">
        <v>432</v>
      </c>
      <c r="B793" s="878" t="s">
        <v>62</v>
      </c>
      <c r="C793" s="977" t="s">
        <v>466</v>
      </c>
      <c r="D793" s="861" t="s">
        <v>1784</v>
      </c>
      <c r="E793" s="850">
        <v>157711</v>
      </c>
      <c r="F793" s="976">
        <v>9</v>
      </c>
    </row>
    <row r="794" spans="1:6">
      <c r="A794" s="846" t="s">
        <v>432</v>
      </c>
      <c r="B794" s="878" t="s">
        <v>62</v>
      </c>
      <c r="C794" s="973" t="s">
        <v>468</v>
      </c>
      <c r="D794" s="861" t="s">
        <v>1784</v>
      </c>
      <c r="E794" s="850">
        <v>157483</v>
      </c>
      <c r="F794" s="851">
        <v>9</v>
      </c>
    </row>
    <row r="795" spans="1:6">
      <c r="A795" s="846" t="s">
        <v>432</v>
      </c>
      <c r="B795" s="878" t="s">
        <v>62</v>
      </c>
      <c r="C795" s="973" t="s">
        <v>459</v>
      </c>
      <c r="D795" s="978" t="s">
        <v>1440</v>
      </c>
      <c r="E795" s="850">
        <v>156231</v>
      </c>
      <c r="F795" s="862">
        <v>10</v>
      </c>
    </row>
    <row r="796" spans="1:6">
      <c r="A796" s="846" t="s">
        <v>432</v>
      </c>
      <c r="B796" s="878" t="s">
        <v>62</v>
      </c>
      <c r="C796" s="857" t="s">
        <v>469</v>
      </c>
      <c r="D796" s="972" t="s">
        <v>1784</v>
      </c>
      <c r="E796" s="851">
        <v>156790</v>
      </c>
      <c r="F796" s="851">
        <v>10</v>
      </c>
    </row>
    <row r="797" spans="1:6">
      <c r="A797" s="846" t="s">
        <v>432</v>
      </c>
      <c r="B797" s="878" t="s">
        <v>62</v>
      </c>
      <c r="C797" s="878" t="s">
        <v>470</v>
      </c>
      <c r="D797" s="861" t="s">
        <v>1784</v>
      </c>
      <c r="E797" s="850">
        <v>156851</v>
      </c>
      <c r="F797" s="976">
        <v>10</v>
      </c>
    </row>
    <row r="798" spans="1:6">
      <c r="A798" s="846" t="s">
        <v>432</v>
      </c>
      <c r="B798" s="878" t="s">
        <v>62</v>
      </c>
      <c r="C798" s="857" t="s">
        <v>462</v>
      </c>
      <c r="D798" s="972" t="s">
        <v>1784</v>
      </c>
      <c r="E798" s="850">
        <v>156860</v>
      </c>
      <c r="F798" s="976">
        <v>10</v>
      </c>
    </row>
    <row r="799" spans="1:6">
      <c r="A799" s="846" t="s">
        <v>432</v>
      </c>
      <c r="B799" s="878" t="s">
        <v>62</v>
      </c>
      <c r="C799" s="975" t="s">
        <v>463</v>
      </c>
      <c r="D799" s="972" t="s">
        <v>1784</v>
      </c>
      <c r="E799" s="850">
        <v>157304</v>
      </c>
      <c r="F799" s="976">
        <v>10</v>
      </c>
    </row>
    <row r="800" spans="1:6">
      <c r="A800" s="846" t="s">
        <v>432</v>
      </c>
      <c r="B800" s="878" t="s">
        <v>62</v>
      </c>
      <c r="C800" s="857" t="s">
        <v>467</v>
      </c>
      <c r="D800" s="972" t="s">
        <v>1784</v>
      </c>
      <c r="E800" s="850">
        <v>157739</v>
      </c>
      <c r="F800" s="976">
        <v>10</v>
      </c>
    </row>
    <row r="801" spans="1:6">
      <c r="A801" s="846" t="s">
        <v>432</v>
      </c>
      <c r="B801" s="878" t="s">
        <v>62</v>
      </c>
      <c r="C801" s="864" t="s">
        <v>471</v>
      </c>
      <c r="D801" s="861" t="s">
        <v>1784</v>
      </c>
      <c r="E801" s="850">
        <v>157438</v>
      </c>
      <c r="F801" s="976">
        <v>12</v>
      </c>
    </row>
    <row r="802" spans="1:6">
      <c r="A802" s="846" t="s">
        <v>432</v>
      </c>
      <c r="B802" s="878" t="s">
        <v>62</v>
      </c>
      <c r="C802" s="857" t="s">
        <v>472</v>
      </c>
      <c r="D802" s="861" t="s">
        <v>1784</v>
      </c>
      <c r="E802" s="850">
        <v>156338</v>
      </c>
      <c r="F802" s="851">
        <v>12</v>
      </c>
    </row>
    <row r="803" spans="1:6">
      <c r="A803" s="846" t="s">
        <v>432</v>
      </c>
      <c r="B803" s="878" t="s">
        <v>336</v>
      </c>
      <c r="C803" s="979" t="s">
        <v>431</v>
      </c>
      <c r="D803" s="861" t="s">
        <v>1784</v>
      </c>
      <c r="E803" s="868"/>
      <c r="F803" s="869">
        <v>99</v>
      </c>
    </row>
    <row r="804" spans="1:6">
      <c r="A804" s="846" t="s">
        <v>432</v>
      </c>
      <c r="B804" s="878" t="s">
        <v>336</v>
      </c>
      <c r="C804" s="870" t="s">
        <v>371</v>
      </c>
      <c r="D804" s="861" t="s">
        <v>1784</v>
      </c>
      <c r="E804" s="868"/>
      <c r="F804" s="869">
        <v>99</v>
      </c>
    </row>
    <row r="805" spans="1:6">
      <c r="A805" s="846" t="s">
        <v>432</v>
      </c>
      <c r="B805" s="878" t="s">
        <v>336</v>
      </c>
      <c r="C805" s="875" t="s">
        <v>1659</v>
      </c>
      <c r="D805" s="861" t="s">
        <v>1784</v>
      </c>
      <c r="E805" s="868"/>
      <c r="F805" s="869">
        <v>99</v>
      </c>
    </row>
    <row r="806" spans="1:6">
      <c r="A806" s="846" t="s">
        <v>432</v>
      </c>
      <c r="B806" s="878" t="s">
        <v>336</v>
      </c>
      <c r="C806" s="875" t="s">
        <v>473</v>
      </c>
      <c r="D806" s="861" t="s">
        <v>1784</v>
      </c>
      <c r="E806" s="868"/>
      <c r="F806" s="869">
        <v>99</v>
      </c>
    </row>
    <row r="807" spans="1:6">
      <c r="A807" s="846" t="s">
        <v>432</v>
      </c>
      <c r="B807" s="878" t="s">
        <v>336</v>
      </c>
      <c r="C807" s="875" t="s">
        <v>474</v>
      </c>
      <c r="D807" s="861" t="s">
        <v>1784</v>
      </c>
      <c r="E807" s="868"/>
      <c r="F807" s="869">
        <v>99</v>
      </c>
    </row>
    <row r="808" spans="1:6">
      <c r="A808" s="846" t="s">
        <v>432</v>
      </c>
      <c r="B808" s="878" t="s">
        <v>336</v>
      </c>
      <c r="C808" s="875" t="s">
        <v>475</v>
      </c>
      <c r="D808" s="861" t="s">
        <v>1784</v>
      </c>
      <c r="E808" s="868"/>
      <c r="F808" s="869">
        <v>99</v>
      </c>
    </row>
    <row r="809" spans="1:6">
      <c r="A809" s="846" t="s">
        <v>432</v>
      </c>
      <c r="B809" s="878" t="s">
        <v>336</v>
      </c>
      <c r="C809" s="875" t="s">
        <v>1660</v>
      </c>
      <c r="D809" s="861" t="s">
        <v>1784</v>
      </c>
      <c r="E809" s="868"/>
      <c r="F809" s="869">
        <v>99</v>
      </c>
    </row>
    <row r="810" spans="1:6">
      <c r="A810" s="846" t="s">
        <v>432</v>
      </c>
      <c r="B810" s="878" t="s">
        <v>132</v>
      </c>
      <c r="C810" s="979" t="s">
        <v>476</v>
      </c>
      <c r="D810" s="861" t="s">
        <v>1784</v>
      </c>
      <c r="E810" s="868"/>
      <c r="F810" s="869">
        <v>99</v>
      </c>
    </row>
    <row r="811" spans="1:6">
      <c r="A811" s="846" t="s">
        <v>432</v>
      </c>
      <c r="B811" s="878" t="s">
        <v>132</v>
      </c>
      <c r="C811" s="875" t="s">
        <v>1661</v>
      </c>
      <c r="D811" s="861" t="s">
        <v>1784</v>
      </c>
      <c r="E811" s="868"/>
      <c r="F811" s="869">
        <v>99</v>
      </c>
    </row>
    <row r="812" spans="1:6">
      <c r="A812" s="846" t="s">
        <v>432</v>
      </c>
      <c r="B812" s="878" t="s">
        <v>132</v>
      </c>
      <c r="C812" s="875" t="s">
        <v>477</v>
      </c>
      <c r="D812" s="861" t="s">
        <v>1784</v>
      </c>
      <c r="E812" s="868"/>
      <c r="F812" s="869">
        <v>99</v>
      </c>
    </row>
    <row r="813" spans="1:6">
      <c r="A813" s="846" t="s">
        <v>432</v>
      </c>
      <c r="B813" s="878" t="s">
        <v>132</v>
      </c>
      <c r="C813" s="875" t="s">
        <v>1662</v>
      </c>
      <c r="D813" s="861" t="s">
        <v>1784</v>
      </c>
      <c r="E813" s="868"/>
      <c r="F813" s="869">
        <v>99</v>
      </c>
    </row>
    <row r="814" spans="1:6">
      <c r="A814" s="846" t="s">
        <v>432</v>
      </c>
      <c r="B814" s="878" t="s">
        <v>132</v>
      </c>
      <c r="C814" s="875" t="s">
        <v>478</v>
      </c>
      <c r="D814" s="861" t="s">
        <v>1784</v>
      </c>
      <c r="E814" s="868"/>
      <c r="F814" s="869">
        <v>99</v>
      </c>
    </row>
    <row r="815" spans="1:6">
      <c r="A815" s="846" t="s">
        <v>432</v>
      </c>
      <c r="B815" s="878" t="s">
        <v>132</v>
      </c>
      <c r="C815" s="875" t="s">
        <v>1786</v>
      </c>
      <c r="D815" s="861" t="s">
        <v>1784</v>
      </c>
      <c r="E815" s="868"/>
      <c r="F815" s="869">
        <v>99</v>
      </c>
    </row>
    <row r="816" spans="1:6">
      <c r="A816" s="846" t="s">
        <v>432</v>
      </c>
      <c r="B816" s="878" t="s">
        <v>132</v>
      </c>
      <c r="C816" s="875" t="s">
        <v>479</v>
      </c>
      <c r="D816" s="861" t="s">
        <v>1784</v>
      </c>
      <c r="E816" s="868"/>
      <c r="F816" s="869">
        <v>99</v>
      </c>
    </row>
    <row r="817" spans="1:6">
      <c r="A817" s="846" t="s">
        <v>432</v>
      </c>
      <c r="B817" s="878" t="s">
        <v>138</v>
      </c>
      <c r="C817" s="979" t="s">
        <v>139</v>
      </c>
      <c r="D817" s="861" t="s">
        <v>1784</v>
      </c>
      <c r="E817" s="868"/>
      <c r="F817" s="869">
        <v>99</v>
      </c>
    </row>
    <row r="818" spans="1:6">
      <c r="A818" s="846" t="s">
        <v>432</v>
      </c>
      <c r="B818" s="878" t="s">
        <v>140</v>
      </c>
      <c r="C818" s="870" t="s">
        <v>141</v>
      </c>
      <c r="D818" s="861" t="s">
        <v>1784</v>
      </c>
      <c r="E818" s="868"/>
      <c r="F818" s="869">
        <v>99</v>
      </c>
    </row>
    <row r="819" spans="1:6">
      <c r="A819" s="846" t="s">
        <v>432</v>
      </c>
      <c r="B819" s="878" t="s">
        <v>140</v>
      </c>
      <c r="C819" s="875" t="s">
        <v>1787</v>
      </c>
      <c r="D819" s="861" t="s">
        <v>1784</v>
      </c>
      <c r="E819" s="868"/>
      <c r="F819" s="869">
        <v>99</v>
      </c>
    </row>
    <row r="820" spans="1:6">
      <c r="A820" s="846" t="s">
        <v>432</v>
      </c>
      <c r="B820" s="878" t="s">
        <v>142</v>
      </c>
      <c r="C820" s="870" t="s">
        <v>143</v>
      </c>
      <c r="D820" s="861" t="s">
        <v>1784</v>
      </c>
      <c r="E820" s="868"/>
      <c r="F820" s="869">
        <v>99</v>
      </c>
    </row>
    <row r="821" spans="1:6">
      <c r="A821" s="846" t="s">
        <v>432</v>
      </c>
      <c r="B821" s="878" t="s">
        <v>142</v>
      </c>
      <c r="C821" s="878" t="s">
        <v>480</v>
      </c>
      <c r="D821" s="861" t="s">
        <v>1784</v>
      </c>
      <c r="E821" s="868"/>
      <c r="F821" s="869">
        <v>99</v>
      </c>
    </row>
    <row r="822" spans="1:6">
      <c r="A822" s="846" t="s">
        <v>432</v>
      </c>
      <c r="B822" s="878" t="s">
        <v>145</v>
      </c>
      <c r="C822" s="880" t="s">
        <v>146</v>
      </c>
      <c r="D822" s="861" t="s">
        <v>1784</v>
      </c>
      <c r="E822" s="868"/>
      <c r="F822" s="869">
        <v>99</v>
      </c>
    </row>
    <row r="823" spans="1:6">
      <c r="A823" s="846" t="s">
        <v>432</v>
      </c>
      <c r="B823" s="878" t="s">
        <v>145</v>
      </c>
      <c r="C823" s="875" t="s">
        <v>481</v>
      </c>
      <c r="D823" s="861" t="s">
        <v>1784</v>
      </c>
      <c r="E823" s="868"/>
      <c r="F823" s="869">
        <v>99</v>
      </c>
    </row>
    <row r="824" spans="1:6">
      <c r="A824" s="846" t="s">
        <v>432</v>
      </c>
      <c r="B824" s="878" t="s">
        <v>132</v>
      </c>
      <c r="C824" s="875" t="s">
        <v>482</v>
      </c>
      <c r="D824" s="861" t="s">
        <v>1784</v>
      </c>
      <c r="E824" s="868"/>
      <c r="F824" s="869">
        <v>99</v>
      </c>
    </row>
    <row r="825" spans="1:6">
      <c r="A825" s="846" t="s">
        <v>432</v>
      </c>
      <c r="B825" s="878" t="s">
        <v>149</v>
      </c>
      <c r="C825" s="870" t="s">
        <v>150</v>
      </c>
      <c r="D825" s="861" t="s">
        <v>1784</v>
      </c>
      <c r="E825" s="868"/>
      <c r="F825" s="869">
        <v>99</v>
      </c>
    </row>
    <row r="826" spans="1:6">
      <c r="A826" s="846" t="s">
        <v>432</v>
      </c>
      <c r="B826" s="878" t="s">
        <v>149</v>
      </c>
      <c r="C826" s="875" t="s">
        <v>1663</v>
      </c>
      <c r="D826" s="861" t="s">
        <v>1784</v>
      </c>
      <c r="E826" s="877"/>
      <c r="F826" s="869">
        <v>99</v>
      </c>
    </row>
    <row r="827" spans="1:6">
      <c r="A827" s="846" t="s">
        <v>432</v>
      </c>
      <c r="B827" s="878" t="s">
        <v>151</v>
      </c>
      <c r="C827" s="979" t="s">
        <v>152</v>
      </c>
      <c r="D827" s="861" t="s">
        <v>1784</v>
      </c>
      <c r="E827" s="868"/>
      <c r="F827" s="869">
        <v>99</v>
      </c>
    </row>
    <row r="828" spans="1:6">
      <c r="A828" s="846" t="s">
        <v>432</v>
      </c>
      <c r="B828" s="878" t="s">
        <v>248</v>
      </c>
      <c r="C828" s="979" t="s">
        <v>249</v>
      </c>
      <c r="D828" s="861" t="s">
        <v>1784</v>
      </c>
      <c r="E828" s="868"/>
      <c r="F828" s="869">
        <v>99</v>
      </c>
    </row>
    <row r="829" spans="1:6">
      <c r="A829" s="846" t="s">
        <v>432</v>
      </c>
      <c r="B829" s="878" t="s">
        <v>250</v>
      </c>
      <c r="C829" s="870" t="s">
        <v>251</v>
      </c>
      <c r="D829" s="861" t="s">
        <v>1784</v>
      </c>
      <c r="E829" s="868"/>
      <c r="F829" s="869">
        <v>99</v>
      </c>
    </row>
    <row r="830" spans="1:6">
      <c r="A830" s="846" t="s">
        <v>432</v>
      </c>
      <c r="B830" s="878" t="s">
        <v>250</v>
      </c>
      <c r="C830" s="875" t="s">
        <v>483</v>
      </c>
      <c r="D830" s="861" t="s">
        <v>1784</v>
      </c>
      <c r="E830" s="868"/>
      <c r="F830" s="869">
        <v>99</v>
      </c>
    </row>
    <row r="831" spans="1:6">
      <c r="A831" s="846" t="s">
        <v>432</v>
      </c>
      <c r="B831" s="878" t="s">
        <v>250</v>
      </c>
      <c r="C831" s="875" t="s">
        <v>255</v>
      </c>
      <c r="D831" s="861" t="s">
        <v>1784</v>
      </c>
      <c r="E831" s="868"/>
      <c r="F831" s="869">
        <v>99</v>
      </c>
    </row>
    <row r="832" spans="1:6">
      <c r="A832" s="846" t="s">
        <v>432</v>
      </c>
      <c r="B832" s="878" t="s">
        <v>258</v>
      </c>
      <c r="C832" s="870" t="s">
        <v>259</v>
      </c>
      <c r="D832" s="861" t="s">
        <v>1784</v>
      </c>
      <c r="E832" s="868"/>
      <c r="F832" s="869">
        <v>99</v>
      </c>
    </row>
    <row r="833" spans="1:6">
      <c r="A833" s="846" t="s">
        <v>432</v>
      </c>
      <c r="B833" s="878" t="s">
        <v>258</v>
      </c>
      <c r="C833" s="875" t="s">
        <v>484</v>
      </c>
      <c r="D833" s="861" t="s">
        <v>1784</v>
      </c>
      <c r="E833" s="868"/>
      <c r="F833" s="869">
        <v>99</v>
      </c>
    </row>
    <row r="834" spans="1:6">
      <c r="A834" s="846" t="s">
        <v>432</v>
      </c>
      <c r="B834" s="878" t="s">
        <v>258</v>
      </c>
      <c r="C834" s="878" t="s">
        <v>485</v>
      </c>
      <c r="D834" s="861" t="s">
        <v>1784</v>
      </c>
      <c r="E834" s="868"/>
      <c r="F834" s="869">
        <v>99</v>
      </c>
    </row>
    <row r="835" spans="1:6">
      <c r="A835" s="846" t="s">
        <v>432</v>
      </c>
      <c r="B835" s="878" t="s">
        <v>157</v>
      </c>
      <c r="C835" s="880" t="s">
        <v>486</v>
      </c>
      <c r="D835" s="861" t="s">
        <v>1784</v>
      </c>
      <c r="E835" s="868"/>
      <c r="F835" s="869">
        <v>99</v>
      </c>
    </row>
    <row r="836" spans="1:6">
      <c r="A836" s="846" t="s">
        <v>432</v>
      </c>
      <c r="B836" s="878" t="s">
        <v>157</v>
      </c>
      <c r="C836" s="870" t="s">
        <v>487</v>
      </c>
      <c r="D836" s="861" t="s">
        <v>1784</v>
      </c>
      <c r="E836" s="868"/>
      <c r="F836" s="869">
        <v>99</v>
      </c>
    </row>
    <row r="837" spans="1:6">
      <c r="A837" s="846" t="s">
        <v>432</v>
      </c>
      <c r="B837" s="878" t="s">
        <v>159</v>
      </c>
      <c r="C837" s="979" t="s">
        <v>160</v>
      </c>
      <c r="D837" s="861" t="s">
        <v>1784</v>
      </c>
      <c r="E837" s="868"/>
      <c r="F837" s="869">
        <v>99</v>
      </c>
    </row>
    <row r="838" spans="1:6">
      <c r="A838" s="846" t="s">
        <v>432</v>
      </c>
      <c r="B838" s="878" t="s">
        <v>161</v>
      </c>
      <c r="C838" s="880" t="s">
        <v>162</v>
      </c>
      <c r="D838" s="861" t="s">
        <v>1784</v>
      </c>
      <c r="E838" s="868"/>
      <c r="F838" s="869">
        <v>99</v>
      </c>
    </row>
    <row r="839" spans="1:6">
      <c r="A839" s="846" t="s">
        <v>432</v>
      </c>
      <c r="B839" s="980" t="s">
        <v>170</v>
      </c>
      <c r="C839" s="981" t="s">
        <v>488</v>
      </c>
      <c r="D839" s="861" t="s">
        <v>1784</v>
      </c>
      <c r="E839" s="982"/>
      <c r="F839" s="869">
        <v>99</v>
      </c>
    </row>
    <row r="840" spans="1:6">
      <c r="A840" s="846" t="s">
        <v>432</v>
      </c>
      <c r="B840" s="980" t="s">
        <v>170</v>
      </c>
      <c r="C840" s="875" t="s">
        <v>171</v>
      </c>
      <c r="D840" s="861" t="s">
        <v>1784</v>
      </c>
      <c r="E840" s="982"/>
      <c r="F840" s="869">
        <v>99</v>
      </c>
    </row>
    <row r="841" spans="1:6">
      <c r="A841" s="846" t="s">
        <v>432</v>
      </c>
      <c r="B841" s="980" t="s">
        <v>172</v>
      </c>
      <c r="C841" s="875" t="s">
        <v>165</v>
      </c>
      <c r="D841" s="861" t="s">
        <v>1784</v>
      </c>
      <c r="E841" s="982"/>
      <c r="F841" s="869">
        <v>99</v>
      </c>
    </row>
    <row r="842" spans="1:6">
      <c r="A842" s="846" t="s">
        <v>432</v>
      </c>
      <c r="B842" s="980" t="s">
        <v>173</v>
      </c>
      <c r="C842" s="875" t="s">
        <v>167</v>
      </c>
      <c r="D842" s="861" t="s">
        <v>1784</v>
      </c>
      <c r="E842" s="982"/>
      <c r="F842" s="869">
        <v>99</v>
      </c>
    </row>
    <row r="843" spans="1:6">
      <c r="A843" s="846" t="s">
        <v>432</v>
      </c>
      <c r="B843" s="980" t="s">
        <v>176</v>
      </c>
      <c r="C843" s="875" t="s">
        <v>177</v>
      </c>
      <c r="D843" s="861" t="s">
        <v>1784</v>
      </c>
      <c r="E843" s="982"/>
      <c r="F843" s="869">
        <v>99</v>
      </c>
    </row>
    <row r="844" spans="1:6">
      <c r="A844" s="846" t="s">
        <v>432</v>
      </c>
      <c r="B844" s="980" t="s">
        <v>180</v>
      </c>
      <c r="C844" s="875" t="s">
        <v>165</v>
      </c>
      <c r="D844" s="861" t="s">
        <v>1784</v>
      </c>
      <c r="E844" s="982"/>
      <c r="F844" s="869">
        <v>99</v>
      </c>
    </row>
    <row r="845" spans="1:6">
      <c r="A845" s="846" t="s">
        <v>432</v>
      </c>
      <c r="B845" s="980" t="s">
        <v>178</v>
      </c>
      <c r="C845" s="875" t="s">
        <v>167</v>
      </c>
      <c r="D845" s="861" t="s">
        <v>1784</v>
      </c>
      <c r="E845" s="982"/>
      <c r="F845" s="869">
        <v>99</v>
      </c>
    </row>
    <row r="846" spans="1:6">
      <c r="A846" s="846" t="s">
        <v>432</v>
      </c>
      <c r="B846" s="878" t="s">
        <v>161</v>
      </c>
      <c r="C846" s="981" t="s">
        <v>489</v>
      </c>
      <c r="D846" s="861" t="s">
        <v>1784</v>
      </c>
      <c r="E846" s="868"/>
      <c r="F846" s="869">
        <v>99</v>
      </c>
    </row>
    <row r="847" spans="1:6">
      <c r="A847" s="846" t="s">
        <v>432</v>
      </c>
      <c r="B847" s="980" t="s">
        <v>170</v>
      </c>
      <c r="C847" s="875" t="s">
        <v>171</v>
      </c>
      <c r="D847" s="861" t="s">
        <v>1784</v>
      </c>
      <c r="E847" s="982"/>
      <c r="F847" s="869">
        <v>99</v>
      </c>
    </row>
    <row r="848" spans="1:6">
      <c r="A848" s="846" t="s">
        <v>432</v>
      </c>
      <c r="B848" s="980" t="s">
        <v>172</v>
      </c>
      <c r="C848" s="875" t="s">
        <v>165</v>
      </c>
      <c r="D848" s="861" t="s">
        <v>1784</v>
      </c>
      <c r="E848" s="982"/>
      <c r="F848" s="869">
        <v>99</v>
      </c>
    </row>
    <row r="849" spans="1:6">
      <c r="A849" s="846" t="s">
        <v>432</v>
      </c>
      <c r="B849" s="980" t="s">
        <v>173</v>
      </c>
      <c r="C849" s="875" t="s">
        <v>167</v>
      </c>
      <c r="D849" s="861" t="s">
        <v>1784</v>
      </c>
      <c r="E849" s="982"/>
      <c r="F849" s="869">
        <v>99</v>
      </c>
    </row>
    <row r="850" spans="1:6">
      <c r="A850" s="846" t="s">
        <v>432</v>
      </c>
      <c r="B850" s="980" t="s">
        <v>176</v>
      </c>
      <c r="C850" s="875" t="s">
        <v>177</v>
      </c>
      <c r="D850" s="861" t="s">
        <v>1784</v>
      </c>
      <c r="E850" s="982"/>
      <c r="F850" s="869">
        <v>99</v>
      </c>
    </row>
    <row r="851" spans="1:6">
      <c r="A851" s="846" t="s">
        <v>432</v>
      </c>
      <c r="B851" s="980" t="s">
        <v>180</v>
      </c>
      <c r="C851" s="875" t="s">
        <v>165</v>
      </c>
      <c r="D851" s="861" t="s">
        <v>1784</v>
      </c>
      <c r="E851" s="982"/>
      <c r="F851" s="869">
        <v>99</v>
      </c>
    </row>
    <row r="852" spans="1:6">
      <c r="A852" s="846" t="s">
        <v>432</v>
      </c>
      <c r="B852" s="980" t="s">
        <v>178</v>
      </c>
      <c r="C852" s="875" t="s">
        <v>167</v>
      </c>
      <c r="D852" s="861" t="s">
        <v>1784</v>
      </c>
      <c r="E852" s="982"/>
      <c r="F852" s="869">
        <v>99</v>
      </c>
    </row>
    <row r="853" spans="1:6">
      <c r="A853" s="846" t="s">
        <v>432</v>
      </c>
      <c r="B853" s="980" t="s">
        <v>187</v>
      </c>
      <c r="C853" s="880" t="s">
        <v>188</v>
      </c>
      <c r="D853" s="861" t="s">
        <v>1784</v>
      </c>
      <c r="E853" s="982"/>
      <c r="F853" s="869">
        <v>99</v>
      </c>
    </row>
    <row r="854" spans="1:6">
      <c r="A854" s="846" t="s">
        <v>432</v>
      </c>
      <c r="B854" s="878" t="s">
        <v>192</v>
      </c>
      <c r="C854" s="880" t="s">
        <v>332</v>
      </c>
      <c r="D854" s="861" t="s">
        <v>1784</v>
      </c>
      <c r="E854" s="868"/>
      <c r="F854" s="869">
        <v>99</v>
      </c>
    </row>
    <row r="855" spans="1:6">
      <c r="A855" s="846" t="s">
        <v>432</v>
      </c>
      <c r="B855" s="878" t="s">
        <v>192</v>
      </c>
      <c r="C855" s="981" t="s">
        <v>490</v>
      </c>
      <c r="D855" s="861" t="s">
        <v>1784</v>
      </c>
      <c r="E855" s="982"/>
      <c r="F855" s="869">
        <v>99</v>
      </c>
    </row>
    <row r="856" spans="1:6">
      <c r="A856" s="846" t="s">
        <v>432</v>
      </c>
      <c r="B856" s="878" t="s">
        <v>195</v>
      </c>
      <c r="C856" s="875" t="s">
        <v>165</v>
      </c>
      <c r="D856" s="861" t="s">
        <v>1784</v>
      </c>
      <c r="E856" s="982"/>
      <c r="F856" s="869">
        <v>99</v>
      </c>
    </row>
    <row r="857" spans="1:6">
      <c r="A857" s="846" t="s">
        <v>432</v>
      </c>
      <c r="B857" s="878" t="s">
        <v>196</v>
      </c>
      <c r="C857" s="875" t="s">
        <v>167</v>
      </c>
      <c r="D857" s="861" t="s">
        <v>1784</v>
      </c>
      <c r="E857" s="982"/>
      <c r="F857" s="869">
        <v>99</v>
      </c>
    </row>
    <row r="858" spans="1:6">
      <c r="A858" s="846" t="s">
        <v>432</v>
      </c>
      <c r="B858" s="878" t="s">
        <v>192</v>
      </c>
      <c r="C858" s="981" t="s">
        <v>491</v>
      </c>
      <c r="D858" s="861" t="s">
        <v>1784</v>
      </c>
      <c r="E858" s="982"/>
      <c r="F858" s="869">
        <v>99</v>
      </c>
    </row>
    <row r="859" spans="1:6">
      <c r="A859" s="846" t="s">
        <v>432</v>
      </c>
      <c r="B859" s="878" t="s">
        <v>195</v>
      </c>
      <c r="C859" s="875" t="s">
        <v>165</v>
      </c>
      <c r="D859" s="861" t="s">
        <v>1784</v>
      </c>
      <c r="E859" s="982"/>
      <c r="F859" s="869">
        <v>99</v>
      </c>
    </row>
    <row r="860" spans="1:6">
      <c r="A860" s="846" t="s">
        <v>432</v>
      </c>
      <c r="B860" s="878" t="s">
        <v>196</v>
      </c>
      <c r="C860" s="875" t="s">
        <v>167</v>
      </c>
      <c r="D860" s="861" t="s">
        <v>1784</v>
      </c>
      <c r="E860" s="982"/>
      <c r="F860" s="869">
        <v>99</v>
      </c>
    </row>
    <row r="861" spans="1:6">
      <c r="A861" s="983" t="s">
        <v>492</v>
      </c>
      <c r="B861" s="984" t="s">
        <v>62</v>
      </c>
      <c r="C861" s="985" t="s">
        <v>493</v>
      </c>
      <c r="D861" s="986"/>
      <c r="E861" s="987">
        <v>159391</v>
      </c>
      <c r="F861" s="988">
        <v>1</v>
      </c>
    </row>
    <row r="862" spans="1:6">
      <c r="A862" s="983" t="s">
        <v>492</v>
      </c>
      <c r="B862" s="984" t="s">
        <v>123</v>
      </c>
      <c r="C862" s="989" t="s">
        <v>100</v>
      </c>
      <c r="D862" s="990"/>
      <c r="E862" s="987">
        <v>159391</v>
      </c>
      <c r="F862" s="988">
        <v>1</v>
      </c>
    </row>
    <row r="863" spans="1:6">
      <c r="A863" s="983" t="s">
        <v>492</v>
      </c>
      <c r="B863" s="984" t="s">
        <v>123</v>
      </c>
      <c r="C863" s="991" t="s">
        <v>494</v>
      </c>
      <c r="D863" s="990"/>
      <c r="E863" s="987">
        <v>159391</v>
      </c>
      <c r="F863" s="988">
        <v>1</v>
      </c>
    </row>
    <row r="864" spans="1:6">
      <c r="A864" s="983" t="s">
        <v>492</v>
      </c>
      <c r="B864" s="984" t="s">
        <v>64</v>
      </c>
      <c r="C864" s="989" t="s">
        <v>495</v>
      </c>
      <c r="D864" s="990"/>
      <c r="E864" s="987">
        <v>159391</v>
      </c>
      <c r="F864" s="988">
        <v>1</v>
      </c>
    </row>
    <row r="865" spans="1:6">
      <c r="A865" s="983" t="s">
        <v>492</v>
      </c>
      <c r="B865" s="984" t="s">
        <v>64</v>
      </c>
      <c r="C865" s="991" t="s">
        <v>496</v>
      </c>
      <c r="D865" s="990"/>
      <c r="E865" s="987">
        <v>159391</v>
      </c>
      <c r="F865" s="988">
        <v>1</v>
      </c>
    </row>
    <row r="866" spans="1:6">
      <c r="A866" s="983" t="s">
        <v>492</v>
      </c>
      <c r="B866" s="984" t="s">
        <v>74</v>
      </c>
      <c r="C866" s="989" t="s">
        <v>497</v>
      </c>
      <c r="D866" s="990"/>
      <c r="E866" s="987">
        <v>159391</v>
      </c>
      <c r="F866" s="988">
        <v>1</v>
      </c>
    </row>
    <row r="867" spans="1:6">
      <c r="A867" s="983" t="s">
        <v>492</v>
      </c>
      <c r="B867" s="984" t="s">
        <v>74</v>
      </c>
      <c r="C867" s="991" t="s">
        <v>75</v>
      </c>
      <c r="D867" s="990"/>
      <c r="E867" s="987">
        <v>159391</v>
      </c>
      <c r="F867" s="988">
        <v>1</v>
      </c>
    </row>
    <row r="868" spans="1:6">
      <c r="A868" s="983" t="s">
        <v>492</v>
      </c>
      <c r="B868" s="984" t="s">
        <v>76</v>
      </c>
      <c r="C868" s="991" t="s">
        <v>77</v>
      </c>
      <c r="D868" s="990"/>
      <c r="E868" s="987">
        <v>159391</v>
      </c>
      <c r="F868" s="988">
        <v>1</v>
      </c>
    </row>
    <row r="869" spans="1:6">
      <c r="A869" s="983" t="s">
        <v>492</v>
      </c>
      <c r="B869" s="984" t="s">
        <v>74</v>
      </c>
      <c r="C869" s="991" t="s">
        <v>498</v>
      </c>
      <c r="D869" s="990"/>
      <c r="E869" s="987">
        <v>159391</v>
      </c>
      <c r="F869" s="988">
        <v>1</v>
      </c>
    </row>
    <row r="870" spans="1:6">
      <c r="A870" s="983" t="s">
        <v>492</v>
      </c>
      <c r="B870" s="984" t="s">
        <v>62</v>
      </c>
      <c r="C870" s="992" t="s">
        <v>499</v>
      </c>
      <c r="D870" s="993"/>
      <c r="E870" s="987">
        <v>159647</v>
      </c>
      <c r="F870" s="988">
        <v>2</v>
      </c>
    </row>
    <row r="871" spans="1:6">
      <c r="A871" s="983" t="s">
        <v>492</v>
      </c>
      <c r="B871" s="984" t="s">
        <v>62</v>
      </c>
      <c r="C871" s="985" t="s">
        <v>500</v>
      </c>
      <c r="D871" s="986"/>
      <c r="E871" s="987">
        <v>160658</v>
      </c>
      <c r="F871" s="988">
        <v>2</v>
      </c>
    </row>
    <row r="872" spans="1:6">
      <c r="A872" s="983" t="s">
        <v>492</v>
      </c>
      <c r="B872" s="984" t="s">
        <v>62</v>
      </c>
      <c r="C872" s="985" t="s">
        <v>501</v>
      </c>
      <c r="D872" s="986"/>
      <c r="E872" s="987">
        <v>159939</v>
      </c>
      <c r="F872" s="988">
        <v>2</v>
      </c>
    </row>
    <row r="873" spans="1:6">
      <c r="A873" s="983" t="s">
        <v>492</v>
      </c>
      <c r="B873" s="984" t="s">
        <v>62</v>
      </c>
      <c r="C873" s="985" t="s">
        <v>508</v>
      </c>
      <c r="D873" s="994"/>
      <c r="E873" s="988">
        <v>159717</v>
      </c>
      <c r="F873" s="988">
        <v>3</v>
      </c>
    </row>
    <row r="874" spans="1:6">
      <c r="A874" s="983" t="s">
        <v>492</v>
      </c>
      <c r="B874" s="984" t="s">
        <v>62</v>
      </c>
      <c r="C874" s="992" t="s">
        <v>502</v>
      </c>
      <c r="D874" s="993"/>
      <c r="E874" s="987">
        <v>160612</v>
      </c>
      <c r="F874" s="988">
        <v>3</v>
      </c>
    </row>
    <row r="875" spans="1:6">
      <c r="A875" s="983" t="s">
        <v>492</v>
      </c>
      <c r="B875" s="984" t="s">
        <v>62</v>
      </c>
      <c r="C875" s="985" t="s">
        <v>503</v>
      </c>
      <c r="D875" s="995"/>
      <c r="E875" s="987">
        <v>160621</v>
      </c>
      <c r="F875" s="988">
        <v>3</v>
      </c>
    </row>
    <row r="876" spans="1:6">
      <c r="A876" s="983" t="s">
        <v>492</v>
      </c>
      <c r="B876" s="984" t="s">
        <v>74</v>
      </c>
      <c r="C876" s="989" t="s">
        <v>497</v>
      </c>
      <c r="D876" s="990"/>
      <c r="E876" s="987">
        <v>160621</v>
      </c>
      <c r="F876" s="988">
        <v>3</v>
      </c>
    </row>
    <row r="877" spans="1:6">
      <c r="A877" s="983" t="s">
        <v>492</v>
      </c>
      <c r="B877" s="984" t="s">
        <v>74</v>
      </c>
      <c r="C877" s="991" t="s">
        <v>504</v>
      </c>
      <c r="D877" s="990"/>
      <c r="E877" s="987">
        <v>160621</v>
      </c>
      <c r="F877" s="988">
        <v>3</v>
      </c>
    </row>
    <row r="878" spans="1:6">
      <c r="A878" s="983" t="s">
        <v>492</v>
      </c>
      <c r="B878" s="984" t="s">
        <v>62</v>
      </c>
      <c r="C878" s="985" t="s">
        <v>505</v>
      </c>
      <c r="D878" s="986"/>
      <c r="E878" s="987">
        <v>159993</v>
      </c>
      <c r="F878" s="988">
        <v>3</v>
      </c>
    </row>
    <row r="879" spans="1:6">
      <c r="A879" s="983" t="s">
        <v>492</v>
      </c>
      <c r="B879" s="984" t="s">
        <v>62</v>
      </c>
      <c r="C879" s="985" t="s">
        <v>506</v>
      </c>
      <c r="D879" s="995"/>
      <c r="E879" s="988">
        <v>159009</v>
      </c>
      <c r="F879" s="988">
        <v>4</v>
      </c>
    </row>
    <row r="880" spans="1:6">
      <c r="A880" s="983" t="s">
        <v>492</v>
      </c>
      <c r="B880" s="984" t="s">
        <v>62</v>
      </c>
      <c r="C880" s="985" t="s">
        <v>507</v>
      </c>
      <c r="D880" s="995"/>
      <c r="E880" s="988">
        <v>159416</v>
      </c>
      <c r="F880" s="988">
        <v>4</v>
      </c>
    </row>
    <row r="881" spans="1:6">
      <c r="A881" s="983" t="s">
        <v>492</v>
      </c>
      <c r="B881" s="984" t="s">
        <v>62</v>
      </c>
      <c r="C881" s="992" t="s">
        <v>509</v>
      </c>
      <c r="D881" s="995"/>
      <c r="E881" s="988">
        <v>159966</v>
      </c>
      <c r="F881" s="988">
        <v>4</v>
      </c>
    </row>
    <row r="882" spans="1:6">
      <c r="A882" s="983" t="s">
        <v>492</v>
      </c>
      <c r="B882" s="984" t="s">
        <v>62</v>
      </c>
      <c r="C882" s="985" t="s">
        <v>510</v>
      </c>
      <c r="D882" s="995"/>
      <c r="E882" s="988">
        <v>160038</v>
      </c>
      <c r="F882" s="988">
        <v>4</v>
      </c>
    </row>
    <row r="883" spans="1:6">
      <c r="A883" s="983" t="s">
        <v>492</v>
      </c>
      <c r="B883" s="984" t="s">
        <v>62</v>
      </c>
      <c r="C883" s="996" t="s">
        <v>511</v>
      </c>
      <c r="D883" s="994"/>
      <c r="E883" s="988">
        <v>160630</v>
      </c>
      <c r="F883" s="988">
        <v>5</v>
      </c>
    </row>
    <row r="884" spans="1:6">
      <c r="A884" s="983" t="s">
        <v>492</v>
      </c>
      <c r="B884" s="984" t="s">
        <v>62</v>
      </c>
      <c r="C884" s="996" t="s">
        <v>512</v>
      </c>
      <c r="D884" s="994"/>
      <c r="E884" s="988">
        <v>159382</v>
      </c>
      <c r="F884" s="988">
        <v>6</v>
      </c>
    </row>
    <row r="885" spans="1:6">
      <c r="A885" s="983" t="s">
        <v>492</v>
      </c>
      <c r="B885" s="984" t="s">
        <v>62</v>
      </c>
      <c r="C885" s="997" t="s">
        <v>513</v>
      </c>
      <c r="D885" s="998"/>
      <c r="E885" s="988">
        <v>437103</v>
      </c>
      <c r="F885" s="999">
        <v>8</v>
      </c>
    </row>
    <row r="886" spans="1:6">
      <c r="A886" s="983" t="s">
        <v>492</v>
      </c>
      <c r="B886" s="984" t="s">
        <v>62</v>
      </c>
      <c r="C886" s="997" t="s">
        <v>515</v>
      </c>
      <c r="D886" s="998"/>
      <c r="E886" s="988">
        <v>158662</v>
      </c>
      <c r="F886" s="1000">
        <v>8</v>
      </c>
    </row>
    <row r="887" spans="1:6">
      <c r="A887" s="983" t="s">
        <v>492</v>
      </c>
      <c r="B887" s="984" t="s">
        <v>62</v>
      </c>
      <c r="C887" s="996" t="s">
        <v>514</v>
      </c>
      <c r="D887" s="995" t="s">
        <v>1442</v>
      </c>
      <c r="E887" s="988">
        <v>158431</v>
      </c>
      <c r="F887" s="1001">
        <v>9</v>
      </c>
    </row>
    <row r="888" spans="1:6">
      <c r="A888" s="983" t="s">
        <v>492</v>
      </c>
      <c r="B888" s="984" t="s">
        <v>62</v>
      </c>
      <c r="C888" s="985" t="s">
        <v>516</v>
      </c>
      <c r="D888" s="994"/>
      <c r="E888" s="988">
        <v>483212</v>
      </c>
      <c r="F888" s="988">
        <v>9</v>
      </c>
    </row>
    <row r="889" spans="1:6">
      <c r="A889" s="983" t="s">
        <v>492</v>
      </c>
      <c r="B889" s="984" t="s">
        <v>62</v>
      </c>
      <c r="C889" s="985" t="s">
        <v>517</v>
      </c>
      <c r="D889" s="998"/>
      <c r="E889" s="988">
        <v>434061</v>
      </c>
      <c r="F889" s="999">
        <v>9</v>
      </c>
    </row>
    <row r="890" spans="1:6">
      <c r="A890" s="983" t="s">
        <v>492</v>
      </c>
      <c r="B890" s="984" t="s">
        <v>62</v>
      </c>
      <c r="C890" s="996" t="s">
        <v>518</v>
      </c>
      <c r="D890" s="994"/>
      <c r="E890" s="988">
        <v>160649</v>
      </c>
      <c r="F890" s="988">
        <v>9</v>
      </c>
    </row>
    <row r="891" spans="1:6">
      <c r="A891" s="983" t="s">
        <v>492</v>
      </c>
      <c r="B891" s="984" t="s">
        <v>62</v>
      </c>
      <c r="C891" s="985" t="s">
        <v>519</v>
      </c>
      <c r="D891" s="994" t="s">
        <v>1788</v>
      </c>
      <c r="E891" s="988">
        <v>159407</v>
      </c>
      <c r="F891" s="1002">
        <v>9</v>
      </c>
    </row>
    <row r="892" spans="1:6">
      <c r="A892" s="983" t="s">
        <v>492</v>
      </c>
      <c r="B892" s="984" t="s">
        <v>62</v>
      </c>
      <c r="C892" s="985" t="s">
        <v>520</v>
      </c>
      <c r="D892" s="995"/>
      <c r="E892" s="988">
        <v>158884</v>
      </c>
      <c r="F892" s="988">
        <v>10</v>
      </c>
    </row>
    <row r="893" spans="1:6">
      <c r="A893" s="983" t="s">
        <v>492</v>
      </c>
      <c r="B893" s="984" t="s">
        <v>62</v>
      </c>
      <c r="C893" s="997" t="s">
        <v>521</v>
      </c>
      <c r="D893" s="995" t="s">
        <v>1425</v>
      </c>
      <c r="E893" s="988">
        <v>436304</v>
      </c>
      <c r="F893" s="1000">
        <v>10</v>
      </c>
    </row>
    <row r="894" spans="1:6">
      <c r="A894" s="983" t="s">
        <v>492</v>
      </c>
      <c r="B894" s="984" t="s">
        <v>62</v>
      </c>
      <c r="C894" s="1003" t="s">
        <v>1066</v>
      </c>
      <c r="D894" s="1004"/>
      <c r="E894" s="988">
        <v>158088</v>
      </c>
      <c r="F894" s="988">
        <v>12</v>
      </c>
    </row>
    <row r="895" spans="1:6">
      <c r="A895" s="983" t="s">
        <v>492</v>
      </c>
      <c r="B895" s="984" t="s">
        <v>62</v>
      </c>
      <c r="C895" s="996" t="s">
        <v>522</v>
      </c>
      <c r="D895" s="994"/>
      <c r="E895" s="988">
        <v>160481</v>
      </c>
      <c r="F895" s="988">
        <v>12</v>
      </c>
    </row>
    <row r="896" spans="1:6">
      <c r="A896" s="983" t="s">
        <v>492</v>
      </c>
      <c r="B896" s="984" t="s">
        <v>62</v>
      </c>
      <c r="C896" s="1003" t="s">
        <v>523</v>
      </c>
      <c r="D896" s="1004"/>
      <c r="E896" s="988">
        <v>160667</v>
      </c>
      <c r="F896" s="988">
        <v>12</v>
      </c>
    </row>
    <row r="897" spans="1:6">
      <c r="A897" s="983" t="s">
        <v>492</v>
      </c>
      <c r="B897" s="984" t="s">
        <v>62</v>
      </c>
      <c r="C897" s="992" t="s">
        <v>525</v>
      </c>
      <c r="D897" s="995"/>
      <c r="E897" s="988">
        <v>160579</v>
      </c>
      <c r="F897" s="988">
        <v>12</v>
      </c>
    </row>
    <row r="898" spans="1:6">
      <c r="A898" s="983" t="s">
        <v>492</v>
      </c>
      <c r="B898" s="984" t="s">
        <v>62</v>
      </c>
      <c r="C898" s="1003" t="s">
        <v>524</v>
      </c>
      <c r="D898" s="995" t="s">
        <v>1443</v>
      </c>
      <c r="E898" s="988">
        <v>160010</v>
      </c>
      <c r="F898" s="1001">
        <v>13</v>
      </c>
    </row>
    <row r="899" spans="1:6">
      <c r="A899" s="983" t="s">
        <v>492</v>
      </c>
      <c r="B899" s="984" t="s">
        <v>238</v>
      </c>
      <c r="C899" s="985" t="s">
        <v>526</v>
      </c>
      <c r="D899" s="995"/>
      <c r="E899" s="988">
        <v>159373</v>
      </c>
      <c r="F899" s="988">
        <v>15</v>
      </c>
    </row>
    <row r="900" spans="1:6">
      <c r="A900" s="983" t="s">
        <v>492</v>
      </c>
      <c r="B900" s="984" t="s">
        <v>238</v>
      </c>
      <c r="C900" s="992" t="s">
        <v>527</v>
      </c>
      <c r="D900" s="995"/>
      <c r="E900" s="988">
        <v>435000</v>
      </c>
      <c r="F900" s="988">
        <v>15</v>
      </c>
    </row>
    <row r="901" spans="1:6">
      <c r="A901" s="983" t="s">
        <v>492</v>
      </c>
      <c r="B901" s="984" t="s">
        <v>62</v>
      </c>
      <c r="C901" s="992" t="s">
        <v>1441</v>
      </c>
      <c r="D901" s="990"/>
      <c r="E901" s="1005">
        <v>440916</v>
      </c>
      <c r="F901" s="988">
        <v>15</v>
      </c>
    </row>
    <row r="902" spans="1:6">
      <c r="A902" s="983" t="s">
        <v>492</v>
      </c>
      <c r="B902" s="984" t="s">
        <v>118</v>
      </c>
      <c r="C902" s="986" t="s">
        <v>406</v>
      </c>
      <c r="D902" s="986"/>
      <c r="E902" s="1006"/>
      <c r="F902" s="1007">
        <v>99</v>
      </c>
    </row>
    <row r="903" spans="1:6">
      <c r="A903" s="983" t="s">
        <v>492</v>
      </c>
      <c r="B903" s="984" t="s">
        <v>336</v>
      </c>
      <c r="C903" s="989" t="s">
        <v>70</v>
      </c>
      <c r="D903" s="990"/>
      <c r="E903" s="1006"/>
      <c r="F903" s="1007">
        <v>99</v>
      </c>
    </row>
    <row r="904" spans="1:6">
      <c r="A904" s="983" t="s">
        <v>492</v>
      </c>
      <c r="B904" s="984" t="s">
        <v>336</v>
      </c>
      <c r="C904" s="991" t="s">
        <v>528</v>
      </c>
      <c r="D904" s="990"/>
      <c r="E904" s="1006"/>
      <c r="F904" s="1007">
        <v>99</v>
      </c>
    </row>
    <row r="905" spans="1:6">
      <c r="A905" s="983" t="s">
        <v>492</v>
      </c>
      <c r="B905" s="984" t="s">
        <v>120</v>
      </c>
      <c r="C905" s="991" t="s">
        <v>529</v>
      </c>
      <c r="D905" s="990"/>
      <c r="E905" s="1008"/>
      <c r="F905" s="1007">
        <v>99</v>
      </c>
    </row>
    <row r="906" spans="1:6">
      <c r="A906" s="983" t="s">
        <v>492</v>
      </c>
      <c r="B906" s="984" t="s">
        <v>120</v>
      </c>
      <c r="C906" s="991" t="s">
        <v>530</v>
      </c>
      <c r="D906" s="990"/>
      <c r="E906" s="1008"/>
      <c r="F906" s="1007">
        <v>99</v>
      </c>
    </row>
    <row r="907" spans="1:6">
      <c r="A907" s="983" t="s">
        <v>492</v>
      </c>
      <c r="B907" s="984" t="s">
        <v>132</v>
      </c>
      <c r="C907" s="986" t="s">
        <v>476</v>
      </c>
      <c r="D907" s="986"/>
      <c r="E907" s="1006"/>
      <c r="F907" s="1007">
        <v>99</v>
      </c>
    </row>
    <row r="908" spans="1:6">
      <c r="A908" s="983" t="s">
        <v>492</v>
      </c>
      <c r="B908" s="984" t="s">
        <v>132</v>
      </c>
      <c r="C908" s="991" t="s">
        <v>531</v>
      </c>
      <c r="D908" s="990"/>
      <c r="E908" s="1006"/>
      <c r="F908" s="1007">
        <v>99</v>
      </c>
    </row>
    <row r="909" spans="1:6">
      <c r="A909" s="983" t="s">
        <v>492</v>
      </c>
      <c r="B909" s="984" t="s">
        <v>132</v>
      </c>
      <c r="C909" s="991" t="s">
        <v>532</v>
      </c>
      <c r="D909" s="990"/>
      <c r="E909" s="1006"/>
      <c r="F909" s="1007">
        <v>99</v>
      </c>
    </row>
    <row r="910" spans="1:6">
      <c r="A910" s="983" t="s">
        <v>492</v>
      </c>
      <c r="B910" s="984" t="s">
        <v>132</v>
      </c>
      <c r="C910" s="991" t="s">
        <v>533</v>
      </c>
      <c r="D910" s="990"/>
      <c r="E910" s="1006"/>
      <c r="F910" s="1007">
        <v>99</v>
      </c>
    </row>
    <row r="911" spans="1:6">
      <c r="A911" s="983" t="s">
        <v>492</v>
      </c>
      <c r="B911" s="984" t="s">
        <v>132</v>
      </c>
      <c r="C911" s="991" t="s">
        <v>534</v>
      </c>
      <c r="D911" s="990"/>
      <c r="E911" s="1006"/>
      <c r="F911" s="1007">
        <v>99</v>
      </c>
    </row>
    <row r="912" spans="1:6">
      <c r="A912" s="983" t="s">
        <v>492</v>
      </c>
      <c r="B912" s="984" t="s">
        <v>132</v>
      </c>
      <c r="C912" s="991" t="s">
        <v>535</v>
      </c>
      <c r="D912" s="990"/>
      <c r="E912" s="1006"/>
      <c r="F912" s="1007">
        <v>99</v>
      </c>
    </row>
    <row r="913" spans="1:6">
      <c r="A913" s="983" t="s">
        <v>492</v>
      </c>
      <c r="B913" s="984" t="s">
        <v>132</v>
      </c>
      <c r="C913" s="991" t="s">
        <v>536</v>
      </c>
      <c r="D913" s="990"/>
      <c r="E913" s="1006"/>
      <c r="F913" s="1007">
        <v>99</v>
      </c>
    </row>
    <row r="914" spans="1:6">
      <c r="A914" s="983" t="s">
        <v>492</v>
      </c>
      <c r="B914" s="984" t="s">
        <v>132</v>
      </c>
      <c r="C914" s="991" t="s">
        <v>537</v>
      </c>
      <c r="D914" s="990"/>
      <c r="E914" s="1006"/>
      <c r="F914" s="1007">
        <v>99</v>
      </c>
    </row>
    <row r="915" spans="1:6">
      <c r="A915" s="983" t="s">
        <v>492</v>
      </c>
      <c r="B915" s="984" t="s">
        <v>132</v>
      </c>
      <c r="C915" s="991" t="s">
        <v>538</v>
      </c>
      <c r="D915" s="990"/>
      <c r="E915" s="1006"/>
      <c r="F915" s="1007">
        <v>99</v>
      </c>
    </row>
    <row r="916" spans="1:6">
      <c r="A916" s="983" t="s">
        <v>492</v>
      </c>
      <c r="B916" s="984" t="s">
        <v>132</v>
      </c>
      <c r="C916" s="991" t="s">
        <v>539</v>
      </c>
      <c r="D916" s="990"/>
      <c r="E916" s="1006"/>
      <c r="F916" s="1007">
        <v>99</v>
      </c>
    </row>
    <row r="917" spans="1:6">
      <c r="A917" s="983" t="s">
        <v>492</v>
      </c>
      <c r="B917" s="984" t="s">
        <v>138</v>
      </c>
      <c r="C917" s="986" t="s">
        <v>139</v>
      </c>
      <c r="D917" s="986"/>
      <c r="E917" s="1006"/>
      <c r="F917" s="1007">
        <v>99</v>
      </c>
    </row>
    <row r="918" spans="1:6">
      <c r="A918" s="983" t="s">
        <v>492</v>
      </c>
      <c r="B918" s="984" t="s">
        <v>140</v>
      </c>
      <c r="C918" s="989" t="s">
        <v>141</v>
      </c>
      <c r="D918" s="990"/>
      <c r="E918" s="1006"/>
      <c r="F918" s="1007">
        <v>99</v>
      </c>
    </row>
    <row r="919" spans="1:6">
      <c r="A919" s="983" t="s">
        <v>492</v>
      </c>
      <c r="B919" s="984" t="s">
        <v>140</v>
      </c>
      <c r="C919" s="991" t="s">
        <v>540</v>
      </c>
      <c r="D919" s="990"/>
      <c r="E919" s="1006"/>
      <c r="F919" s="1007">
        <v>99</v>
      </c>
    </row>
    <row r="920" spans="1:6">
      <c r="A920" s="983" t="s">
        <v>492</v>
      </c>
      <c r="B920" s="984" t="s">
        <v>140</v>
      </c>
      <c r="C920" s="991" t="s">
        <v>541</v>
      </c>
      <c r="D920" s="990"/>
      <c r="E920" s="1006"/>
      <c r="F920" s="1007">
        <v>99</v>
      </c>
    </row>
    <row r="921" spans="1:6">
      <c r="A921" s="983" t="s">
        <v>492</v>
      </c>
      <c r="B921" s="984" t="s">
        <v>140</v>
      </c>
      <c r="C921" s="991" t="s">
        <v>542</v>
      </c>
      <c r="D921" s="990"/>
      <c r="E921" s="1006"/>
      <c r="F921" s="1007">
        <v>99</v>
      </c>
    </row>
    <row r="922" spans="1:6">
      <c r="A922" s="983" t="s">
        <v>492</v>
      </c>
      <c r="B922" s="984" t="s">
        <v>140</v>
      </c>
      <c r="C922" s="991" t="s">
        <v>543</v>
      </c>
      <c r="D922" s="990"/>
      <c r="E922" s="1006"/>
      <c r="F922" s="1007">
        <v>99</v>
      </c>
    </row>
    <row r="923" spans="1:6">
      <c r="A923" s="983" t="s">
        <v>492</v>
      </c>
      <c r="B923" s="984" t="s">
        <v>142</v>
      </c>
      <c r="C923" s="989" t="s">
        <v>143</v>
      </c>
      <c r="D923" s="990"/>
      <c r="E923" s="1006"/>
      <c r="F923" s="1007">
        <v>99</v>
      </c>
    </row>
    <row r="924" spans="1:6">
      <c r="A924" s="983" t="s">
        <v>492</v>
      </c>
      <c r="B924" s="984" t="s">
        <v>142</v>
      </c>
      <c r="C924" s="991" t="s">
        <v>544</v>
      </c>
      <c r="D924" s="990"/>
      <c r="E924" s="1006"/>
      <c r="F924" s="1007">
        <v>99</v>
      </c>
    </row>
    <row r="925" spans="1:6">
      <c r="A925" s="983" t="s">
        <v>492</v>
      </c>
      <c r="B925" s="984" t="s">
        <v>145</v>
      </c>
      <c r="C925" s="989" t="s">
        <v>146</v>
      </c>
      <c r="D925" s="990"/>
      <c r="E925" s="1006"/>
      <c r="F925" s="1007">
        <v>99</v>
      </c>
    </row>
    <row r="926" spans="1:6">
      <c r="A926" s="983" t="s">
        <v>492</v>
      </c>
      <c r="B926" s="984" t="s">
        <v>145</v>
      </c>
      <c r="C926" s="991" t="s">
        <v>304</v>
      </c>
      <c r="D926" s="990"/>
      <c r="E926" s="1006"/>
      <c r="F926" s="1007">
        <v>99</v>
      </c>
    </row>
    <row r="927" spans="1:6">
      <c r="A927" s="983" t="s">
        <v>492</v>
      </c>
      <c r="B927" s="984" t="s">
        <v>149</v>
      </c>
      <c r="C927" s="1009" t="s">
        <v>247</v>
      </c>
      <c r="D927" s="1010"/>
      <c r="E927" s="1006"/>
      <c r="F927" s="1007">
        <v>99</v>
      </c>
    </row>
    <row r="928" spans="1:6">
      <c r="A928" s="983" t="s">
        <v>492</v>
      </c>
      <c r="B928" s="984" t="s">
        <v>149</v>
      </c>
      <c r="C928" s="1011" t="s">
        <v>545</v>
      </c>
      <c r="D928" s="1010"/>
      <c r="E928" s="1006"/>
      <c r="F928" s="1007">
        <v>99</v>
      </c>
    </row>
    <row r="929" spans="1:6">
      <c r="A929" s="983" t="s">
        <v>492</v>
      </c>
      <c r="B929" s="984" t="s">
        <v>151</v>
      </c>
      <c r="C929" s="986" t="s">
        <v>546</v>
      </c>
      <c r="D929" s="986"/>
      <c r="E929" s="1006"/>
      <c r="F929" s="1007">
        <v>99</v>
      </c>
    </row>
    <row r="930" spans="1:6">
      <c r="A930" s="983" t="s">
        <v>492</v>
      </c>
      <c r="B930" s="984" t="s">
        <v>248</v>
      </c>
      <c r="C930" s="986" t="s">
        <v>249</v>
      </c>
      <c r="D930" s="986"/>
      <c r="E930" s="1006"/>
      <c r="F930" s="1007">
        <v>99</v>
      </c>
    </row>
    <row r="931" spans="1:6">
      <c r="A931" s="983" t="s">
        <v>492</v>
      </c>
      <c r="B931" s="984" t="s">
        <v>250</v>
      </c>
      <c r="C931" s="989" t="s">
        <v>251</v>
      </c>
      <c r="D931" s="990"/>
      <c r="E931" s="1006"/>
      <c r="F931" s="1007">
        <v>99</v>
      </c>
    </row>
    <row r="932" spans="1:6">
      <c r="A932" s="983" t="s">
        <v>492</v>
      </c>
      <c r="B932" s="984" t="s">
        <v>258</v>
      </c>
      <c r="C932" s="989" t="s">
        <v>259</v>
      </c>
      <c r="D932" s="990"/>
      <c r="E932" s="1006"/>
      <c r="F932" s="1007">
        <v>99</v>
      </c>
    </row>
    <row r="933" spans="1:6">
      <c r="A933" s="983" t="s">
        <v>492</v>
      </c>
      <c r="B933" s="984" t="s">
        <v>157</v>
      </c>
      <c r="C933" s="989" t="s">
        <v>158</v>
      </c>
      <c r="D933" s="990"/>
      <c r="E933" s="1006"/>
      <c r="F933" s="1007">
        <v>99</v>
      </c>
    </row>
    <row r="934" spans="1:6">
      <c r="A934" s="983" t="s">
        <v>492</v>
      </c>
      <c r="B934" s="984" t="s">
        <v>159</v>
      </c>
      <c r="C934" s="986" t="s">
        <v>160</v>
      </c>
      <c r="D934" s="986"/>
      <c r="E934" s="1006"/>
      <c r="F934" s="1007">
        <v>99</v>
      </c>
    </row>
    <row r="935" spans="1:6">
      <c r="A935" s="983" t="s">
        <v>492</v>
      </c>
      <c r="B935" s="984" t="s">
        <v>161</v>
      </c>
      <c r="C935" s="1012" t="s">
        <v>162</v>
      </c>
      <c r="D935" s="1013"/>
      <c r="E935" s="1006"/>
      <c r="F935" s="1007">
        <v>99</v>
      </c>
    </row>
    <row r="936" spans="1:6">
      <c r="A936" s="983" t="s">
        <v>492</v>
      </c>
      <c r="B936" s="984" t="s">
        <v>161</v>
      </c>
      <c r="C936" s="990" t="s">
        <v>547</v>
      </c>
      <c r="D936" s="990"/>
      <c r="E936" s="1006"/>
      <c r="F936" s="1007">
        <v>99</v>
      </c>
    </row>
    <row r="937" spans="1:6">
      <c r="A937" s="983" t="s">
        <v>492</v>
      </c>
      <c r="B937" s="1014" t="s">
        <v>170</v>
      </c>
      <c r="C937" s="1011" t="s">
        <v>171</v>
      </c>
      <c r="D937" s="1010"/>
      <c r="E937" s="1006"/>
      <c r="F937" s="1007">
        <v>99</v>
      </c>
    </row>
    <row r="938" spans="1:6">
      <c r="A938" s="983" t="s">
        <v>492</v>
      </c>
      <c r="B938" s="1014" t="s">
        <v>172</v>
      </c>
      <c r="C938" s="1011" t="s">
        <v>165</v>
      </c>
      <c r="D938" s="1010"/>
      <c r="E938" s="1006"/>
      <c r="F938" s="1007">
        <v>99</v>
      </c>
    </row>
    <row r="939" spans="1:6">
      <c r="A939" s="983" t="s">
        <v>492</v>
      </c>
      <c r="B939" s="1014" t="s">
        <v>173</v>
      </c>
      <c r="C939" s="1011" t="s">
        <v>167</v>
      </c>
      <c r="D939" s="1010"/>
      <c r="E939" s="1006"/>
      <c r="F939" s="1007">
        <v>99</v>
      </c>
    </row>
    <row r="940" spans="1:6">
      <c r="A940" s="983" t="s">
        <v>492</v>
      </c>
      <c r="B940" s="1014" t="s">
        <v>176</v>
      </c>
      <c r="C940" s="1011" t="s">
        <v>177</v>
      </c>
      <c r="D940" s="1010"/>
      <c r="E940" s="1006"/>
      <c r="F940" s="1007">
        <v>99</v>
      </c>
    </row>
    <row r="941" spans="1:6">
      <c r="A941" s="983" t="s">
        <v>492</v>
      </c>
      <c r="B941" s="1014" t="s">
        <v>180</v>
      </c>
      <c r="C941" s="1011" t="s">
        <v>165</v>
      </c>
      <c r="D941" s="1010"/>
      <c r="E941" s="1006"/>
      <c r="F941" s="1007">
        <v>99</v>
      </c>
    </row>
    <row r="942" spans="1:6">
      <c r="A942" s="983" t="s">
        <v>492</v>
      </c>
      <c r="B942" s="1014" t="s">
        <v>178</v>
      </c>
      <c r="C942" s="1011" t="s">
        <v>167</v>
      </c>
      <c r="D942" s="1010"/>
      <c r="E942" s="1006"/>
      <c r="F942" s="1007">
        <v>99</v>
      </c>
    </row>
    <row r="943" spans="1:6">
      <c r="A943" s="983" t="s">
        <v>492</v>
      </c>
      <c r="B943" s="1014" t="s">
        <v>187</v>
      </c>
      <c r="C943" s="1015" t="s">
        <v>188</v>
      </c>
      <c r="D943" s="1016"/>
      <c r="E943" s="1006"/>
      <c r="F943" s="1007">
        <v>99</v>
      </c>
    </row>
    <row r="944" spans="1:6">
      <c r="A944" s="983" t="s">
        <v>492</v>
      </c>
      <c r="B944" s="1014" t="s">
        <v>187</v>
      </c>
      <c r="C944" s="990" t="s">
        <v>548</v>
      </c>
      <c r="D944" s="990"/>
      <c r="E944" s="1006"/>
      <c r="F944" s="1007">
        <v>99</v>
      </c>
    </row>
    <row r="945" spans="1:6">
      <c r="A945" s="983" t="s">
        <v>492</v>
      </c>
      <c r="B945" s="1014" t="s">
        <v>190</v>
      </c>
      <c r="C945" s="1011" t="s">
        <v>165</v>
      </c>
      <c r="D945" s="1010"/>
      <c r="E945" s="1006"/>
      <c r="F945" s="1007">
        <v>99</v>
      </c>
    </row>
    <row r="946" spans="1:6">
      <c r="A946" s="983" t="s">
        <v>492</v>
      </c>
      <c r="B946" s="1014" t="s">
        <v>191</v>
      </c>
      <c r="C946" s="1011" t="s">
        <v>167</v>
      </c>
      <c r="D946" s="1010"/>
      <c r="E946" s="1006"/>
      <c r="F946" s="1007">
        <v>99</v>
      </c>
    </row>
    <row r="947" spans="1:6">
      <c r="A947" s="983" t="s">
        <v>492</v>
      </c>
      <c r="B947" s="1017" t="s">
        <v>192</v>
      </c>
      <c r="C947" s="1015" t="s">
        <v>193</v>
      </c>
      <c r="D947" s="1016"/>
      <c r="E947" s="1018"/>
      <c r="F947" s="1007">
        <v>99</v>
      </c>
    </row>
    <row r="948" spans="1:6">
      <c r="A948" s="983" t="s">
        <v>492</v>
      </c>
      <c r="B948" s="1014" t="s">
        <v>195</v>
      </c>
      <c r="C948" s="1011" t="s">
        <v>165</v>
      </c>
      <c r="D948" s="1010"/>
      <c r="E948" s="1018"/>
      <c r="F948" s="1007">
        <v>99</v>
      </c>
    </row>
    <row r="949" spans="1:6">
      <c r="A949" s="983" t="s">
        <v>492</v>
      </c>
      <c r="B949" s="1014" t="s">
        <v>196</v>
      </c>
      <c r="C949" s="1011" t="s">
        <v>167</v>
      </c>
      <c r="D949" s="1010"/>
      <c r="E949" s="1018"/>
      <c r="F949" s="1007">
        <v>99</v>
      </c>
    </row>
    <row r="950" spans="1:6">
      <c r="A950" s="746" t="s">
        <v>549</v>
      </c>
      <c r="B950" s="738" t="s">
        <v>62</v>
      </c>
      <c r="C950" s="752" t="s">
        <v>569</v>
      </c>
      <c r="D950" s="747"/>
      <c r="E950" s="741">
        <v>161688</v>
      </c>
      <c r="F950" s="741">
        <v>10</v>
      </c>
    </row>
    <row r="951" spans="1:6">
      <c r="A951" s="746" t="s">
        <v>549</v>
      </c>
      <c r="B951" s="738" t="s">
        <v>62</v>
      </c>
      <c r="C951" s="740" t="s">
        <v>563</v>
      </c>
      <c r="D951" s="740"/>
      <c r="E951" s="741">
        <v>161767</v>
      </c>
      <c r="F951" s="741">
        <v>8</v>
      </c>
    </row>
    <row r="952" spans="1:6">
      <c r="A952" s="746" t="s">
        <v>549</v>
      </c>
      <c r="B952" s="738" t="s">
        <v>62</v>
      </c>
      <c r="C952" s="750" t="s">
        <v>570</v>
      </c>
      <c r="D952" s="751"/>
      <c r="E952" s="741">
        <v>161864</v>
      </c>
      <c r="F952" s="741">
        <v>9</v>
      </c>
    </row>
    <row r="953" spans="1:6">
      <c r="A953" s="746" t="s">
        <v>549</v>
      </c>
      <c r="B953" s="738" t="s">
        <v>62</v>
      </c>
      <c r="C953" s="752" t="s">
        <v>571</v>
      </c>
      <c r="D953" s="715" t="s">
        <v>1444</v>
      </c>
      <c r="E953" s="741">
        <v>405872</v>
      </c>
      <c r="F953" s="741">
        <v>9</v>
      </c>
    </row>
    <row r="954" spans="1:6">
      <c r="A954" s="746" t="s">
        <v>549</v>
      </c>
      <c r="B954" s="738" t="s">
        <v>62</v>
      </c>
      <c r="C954" s="740" t="s">
        <v>575</v>
      </c>
      <c r="D954" s="740"/>
      <c r="E954" s="741">
        <v>162104</v>
      </c>
      <c r="F954" s="741">
        <v>10</v>
      </c>
    </row>
    <row r="955" spans="1:6">
      <c r="A955" s="746" t="s">
        <v>549</v>
      </c>
      <c r="B955" s="738" t="s">
        <v>62</v>
      </c>
      <c r="C955" s="750" t="s">
        <v>576</v>
      </c>
      <c r="D955" s="751"/>
      <c r="E955" s="741">
        <v>162168</v>
      </c>
      <c r="F955" s="741">
        <v>10</v>
      </c>
    </row>
    <row r="956" spans="1:6">
      <c r="A956" s="749" t="s">
        <v>549</v>
      </c>
      <c r="B956" s="738" t="s">
        <v>62</v>
      </c>
      <c r="C956" s="745" t="s">
        <v>564</v>
      </c>
      <c r="D956" s="715" t="s">
        <v>1442</v>
      </c>
      <c r="E956" s="741">
        <v>162122</v>
      </c>
      <c r="F956" s="1019">
        <v>9</v>
      </c>
    </row>
    <row r="957" spans="1:6">
      <c r="A957" s="746" t="s">
        <v>549</v>
      </c>
      <c r="B957" s="738" t="s">
        <v>62</v>
      </c>
      <c r="C957" s="745" t="s">
        <v>565</v>
      </c>
      <c r="D957" s="744"/>
      <c r="E957" s="741">
        <v>434672</v>
      </c>
      <c r="F957" s="741">
        <v>8</v>
      </c>
    </row>
    <row r="958" spans="1:6">
      <c r="A958" s="746" t="s">
        <v>549</v>
      </c>
      <c r="B958" s="738" t="s">
        <v>62</v>
      </c>
      <c r="C958" s="750" t="s">
        <v>572</v>
      </c>
      <c r="D958" s="751"/>
      <c r="E958" s="741">
        <v>162557</v>
      </c>
      <c r="F958" s="741">
        <v>9</v>
      </c>
    </row>
    <row r="959" spans="1:6">
      <c r="A959" s="746" t="s">
        <v>549</v>
      </c>
      <c r="B959" s="738" t="s">
        <v>62</v>
      </c>
      <c r="C959" s="745" t="s">
        <v>577</v>
      </c>
      <c r="D959" s="744"/>
      <c r="E959" s="741">
        <v>162609</v>
      </c>
      <c r="F959" s="741">
        <v>10</v>
      </c>
    </row>
    <row r="960" spans="1:6">
      <c r="A960" s="746" t="s">
        <v>549</v>
      </c>
      <c r="B960" s="738" t="s">
        <v>62</v>
      </c>
      <c r="C960" s="752" t="s">
        <v>573</v>
      </c>
      <c r="D960" s="751"/>
      <c r="E960" s="741">
        <v>162690</v>
      </c>
      <c r="F960" s="741">
        <v>9</v>
      </c>
    </row>
    <row r="961" spans="1:6">
      <c r="A961" s="746" t="s">
        <v>549</v>
      </c>
      <c r="B961" s="738" t="s">
        <v>62</v>
      </c>
      <c r="C961" s="750" t="s">
        <v>574</v>
      </c>
      <c r="D961" s="751"/>
      <c r="E961" s="741">
        <v>162706</v>
      </c>
      <c r="F961" s="741">
        <v>9</v>
      </c>
    </row>
    <row r="962" spans="1:6">
      <c r="A962" s="746" t="s">
        <v>549</v>
      </c>
      <c r="B962" s="738" t="s">
        <v>62</v>
      </c>
      <c r="C962" s="745" t="s">
        <v>566</v>
      </c>
      <c r="D962" s="744"/>
      <c r="E962" s="741">
        <v>162779</v>
      </c>
      <c r="F962" s="741">
        <v>8</v>
      </c>
    </row>
    <row r="963" spans="1:6">
      <c r="A963" s="746" t="s">
        <v>549</v>
      </c>
      <c r="B963" s="738" t="s">
        <v>62</v>
      </c>
      <c r="C963" s="740" t="s">
        <v>567</v>
      </c>
      <c r="D963" s="740"/>
      <c r="E963" s="741">
        <v>163426</v>
      </c>
      <c r="F963" s="741">
        <v>8</v>
      </c>
    </row>
    <row r="964" spans="1:6">
      <c r="A964" s="746" t="s">
        <v>549</v>
      </c>
      <c r="B964" s="738" t="s">
        <v>62</v>
      </c>
      <c r="C964" s="750" t="s">
        <v>568</v>
      </c>
      <c r="D964" s="751"/>
      <c r="E964" s="741">
        <v>163657</v>
      </c>
      <c r="F964" s="741">
        <v>8</v>
      </c>
    </row>
    <row r="965" spans="1:6">
      <c r="A965" s="746" t="s">
        <v>549</v>
      </c>
      <c r="B965" s="738" t="s">
        <v>62</v>
      </c>
      <c r="C965" s="740" t="s">
        <v>578</v>
      </c>
      <c r="D965" s="747"/>
      <c r="E965" s="741">
        <v>164313</v>
      </c>
      <c r="F965" s="741">
        <v>10</v>
      </c>
    </row>
    <row r="966" spans="1:6">
      <c r="A966" s="746" t="s">
        <v>549</v>
      </c>
      <c r="B966" s="742" t="s">
        <v>62</v>
      </c>
      <c r="C966" s="745" t="s">
        <v>557</v>
      </c>
      <c r="D966" s="715" t="s">
        <v>1423</v>
      </c>
      <c r="E966" s="737">
        <v>162007</v>
      </c>
      <c r="F966" s="737">
        <v>4</v>
      </c>
    </row>
    <row r="967" spans="1:6">
      <c r="A967" s="746" t="s">
        <v>549</v>
      </c>
      <c r="B967" s="742" t="s">
        <v>62</v>
      </c>
      <c r="C967" s="742" t="s">
        <v>561</v>
      </c>
      <c r="D967" s="715" t="s">
        <v>1445</v>
      </c>
      <c r="E967" s="737">
        <v>162283</v>
      </c>
      <c r="F967" s="737">
        <v>5</v>
      </c>
    </row>
    <row r="968" spans="1:6">
      <c r="A968" s="746" t="s">
        <v>549</v>
      </c>
      <c r="B968" s="742" t="s">
        <v>62</v>
      </c>
      <c r="C968" s="745" t="s">
        <v>558</v>
      </c>
      <c r="D968" s="744"/>
      <c r="E968" s="737">
        <v>162584</v>
      </c>
      <c r="F968" s="737">
        <v>4</v>
      </c>
    </row>
    <row r="969" spans="1:6">
      <c r="A969" s="746" t="s">
        <v>549</v>
      </c>
      <c r="B969" s="742" t="s">
        <v>62</v>
      </c>
      <c r="C969" s="745" t="s">
        <v>559</v>
      </c>
      <c r="D969" s="744"/>
      <c r="E969" s="737">
        <v>163851</v>
      </c>
      <c r="F969" s="737">
        <v>4</v>
      </c>
    </row>
    <row r="970" spans="1:6">
      <c r="A970" s="746" t="s">
        <v>549</v>
      </c>
      <c r="B970" s="742" t="s">
        <v>62</v>
      </c>
      <c r="C970" s="745" t="s">
        <v>555</v>
      </c>
      <c r="D970" s="744"/>
      <c r="E970" s="737">
        <v>164076</v>
      </c>
      <c r="F970" s="737">
        <v>3</v>
      </c>
    </row>
    <row r="971" spans="1:6">
      <c r="A971" s="746" t="s">
        <v>549</v>
      </c>
      <c r="B971" s="742" t="s">
        <v>62</v>
      </c>
      <c r="C971" s="745" t="s">
        <v>556</v>
      </c>
      <c r="D971" s="747"/>
      <c r="E971" s="737">
        <v>161873</v>
      </c>
      <c r="F971" s="737">
        <v>3</v>
      </c>
    </row>
    <row r="972" spans="1:6" ht="38.5">
      <c r="A972" s="746" t="s">
        <v>549</v>
      </c>
      <c r="B972" s="738" t="s">
        <v>238</v>
      </c>
      <c r="C972" s="753" t="s">
        <v>579</v>
      </c>
      <c r="D972" s="754"/>
      <c r="E972" s="741">
        <v>163259</v>
      </c>
      <c r="F972" s="741">
        <v>15</v>
      </c>
    </row>
    <row r="973" spans="1:6">
      <c r="A973" s="746" t="s">
        <v>549</v>
      </c>
      <c r="B973" s="742" t="s">
        <v>62</v>
      </c>
      <c r="C973" s="745" t="s">
        <v>554</v>
      </c>
      <c r="D973" s="744"/>
      <c r="E973" s="737">
        <v>163268</v>
      </c>
      <c r="F973" s="737">
        <v>2</v>
      </c>
    </row>
    <row r="974" spans="1:6">
      <c r="A974" s="737" t="s">
        <v>549</v>
      </c>
      <c r="B974" s="738" t="s">
        <v>62</v>
      </c>
      <c r="C974" s="739" t="s">
        <v>550</v>
      </c>
      <c r="D974" s="740"/>
      <c r="E974" s="741">
        <v>163286</v>
      </c>
      <c r="F974" s="741">
        <v>1</v>
      </c>
    </row>
    <row r="975" spans="1:6">
      <c r="A975" s="737" t="s">
        <v>549</v>
      </c>
      <c r="B975" s="742" t="s">
        <v>71</v>
      </c>
      <c r="C975" s="743" t="s">
        <v>551</v>
      </c>
      <c r="D975" s="744"/>
      <c r="E975" s="737">
        <v>163286</v>
      </c>
      <c r="F975" s="737">
        <v>1</v>
      </c>
    </row>
    <row r="976" spans="1:6">
      <c r="A976" s="737" t="s">
        <v>549</v>
      </c>
      <c r="B976" s="742" t="s">
        <v>74</v>
      </c>
      <c r="C976" s="745" t="s">
        <v>75</v>
      </c>
      <c r="D976" s="744"/>
      <c r="E976" s="737">
        <v>163286</v>
      </c>
      <c r="F976" s="737">
        <v>1</v>
      </c>
    </row>
    <row r="977" spans="1:6">
      <c r="A977" s="737" t="s">
        <v>549</v>
      </c>
      <c r="B977" s="742" t="s">
        <v>76</v>
      </c>
      <c r="C977" s="743" t="s">
        <v>77</v>
      </c>
      <c r="D977" s="744"/>
      <c r="E977" s="737">
        <v>163286</v>
      </c>
      <c r="F977" s="737">
        <v>1</v>
      </c>
    </row>
    <row r="978" spans="1:6">
      <c r="A978" s="737" t="s">
        <v>549</v>
      </c>
      <c r="B978" s="742" t="s">
        <v>78</v>
      </c>
      <c r="C978" s="743" t="s">
        <v>79</v>
      </c>
      <c r="D978" s="744"/>
      <c r="E978" s="737">
        <v>163286</v>
      </c>
      <c r="F978" s="737">
        <v>1</v>
      </c>
    </row>
    <row r="979" spans="1:6">
      <c r="A979" s="737" t="s">
        <v>549</v>
      </c>
      <c r="B979" s="742" t="s">
        <v>78</v>
      </c>
      <c r="C979" s="743" t="s">
        <v>552</v>
      </c>
      <c r="D979" s="744"/>
      <c r="E979" s="737">
        <v>163286</v>
      </c>
      <c r="F979" s="737">
        <v>1</v>
      </c>
    </row>
    <row r="980" spans="1:6">
      <c r="A980" s="746" t="s">
        <v>549</v>
      </c>
      <c r="B980" s="742" t="s">
        <v>62</v>
      </c>
      <c r="C980" s="745" t="s">
        <v>560</v>
      </c>
      <c r="D980" s="744"/>
      <c r="E980" s="737">
        <v>163338</v>
      </c>
      <c r="F980" s="737">
        <v>4</v>
      </c>
    </row>
    <row r="981" spans="1:6">
      <c r="A981" s="746" t="s">
        <v>549</v>
      </c>
      <c r="B981" s="738" t="s">
        <v>116</v>
      </c>
      <c r="C981" s="750" t="s">
        <v>1446</v>
      </c>
      <c r="D981" s="751"/>
      <c r="E981" s="741">
        <v>163204</v>
      </c>
      <c r="F981" s="741">
        <v>15</v>
      </c>
    </row>
    <row r="982" spans="1:6">
      <c r="A982" s="746" t="s">
        <v>549</v>
      </c>
      <c r="B982" s="742" t="s">
        <v>62</v>
      </c>
      <c r="C982" s="745" t="s">
        <v>553</v>
      </c>
      <c r="D982" s="744"/>
      <c r="E982" s="737">
        <v>163453</v>
      </c>
      <c r="F982" s="737">
        <v>2</v>
      </c>
    </row>
    <row r="983" spans="1:6">
      <c r="A983" s="737" t="s">
        <v>549</v>
      </c>
      <c r="B983" s="738" t="s">
        <v>62</v>
      </c>
      <c r="C983" s="748" t="s">
        <v>562</v>
      </c>
      <c r="D983" s="715"/>
      <c r="E983" s="741">
        <v>163912</v>
      </c>
      <c r="F983" s="741">
        <v>6</v>
      </c>
    </row>
    <row r="984" spans="1:6">
      <c r="A984" s="737" t="s">
        <v>549</v>
      </c>
      <c r="B984" s="738" t="s">
        <v>132</v>
      </c>
      <c r="C984" s="745" t="s">
        <v>476</v>
      </c>
      <c r="D984" s="744"/>
      <c r="E984" s="741"/>
      <c r="F984" s="741">
        <v>99</v>
      </c>
    </row>
    <row r="985" spans="1:6">
      <c r="A985" s="746" t="s">
        <v>549</v>
      </c>
      <c r="B985" s="738" t="s">
        <v>132</v>
      </c>
      <c r="C985" s="750" t="s">
        <v>580</v>
      </c>
      <c r="D985" s="751"/>
      <c r="E985" s="741"/>
      <c r="F985" s="741">
        <v>99</v>
      </c>
    </row>
    <row r="986" spans="1:6">
      <c r="A986" s="746" t="s">
        <v>549</v>
      </c>
      <c r="B986" s="738" t="s">
        <v>138</v>
      </c>
      <c r="C986" s="740" t="s">
        <v>139</v>
      </c>
      <c r="D986" s="740"/>
      <c r="E986" s="741"/>
      <c r="F986" s="741">
        <v>99</v>
      </c>
    </row>
    <row r="987" spans="1:6">
      <c r="A987" s="746" t="s">
        <v>549</v>
      </c>
      <c r="B987" s="738" t="s">
        <v>140</v>
      </c>
      <c r="C987" s="755" t="s">
        <v>141</v>
      </c>
      <c r="D987" s="756"/>
      <c r="E987" s="741"/>
      <c r="F987" s="741">
        <v>99</v>
      </c>
    </row>
    <row r="988" spans="1:6">
      <c r="A988" s="746" t="s">
        <v>549</v>
      </c>
      <c r="B988" s="738" t="s">
        <v>140</v>
      </c>
      <c r="C988" s="757" t="s">
        <v>581</v>
      </c>
      <c r="D988" s="744"/>
      <c r="E988" s="741"/>
      <c r="F988" s="741">
        <v>99</v>
      </c>
    </row>
    <row r="989" spans="1:6">
      <c r="A989" s="746" t="s">
        <v>549</v>
      </c>
      <c r="B989" s="738" t="s">
        <v>140</v>
      </c>
      <c r="C989" s="752" t="s">
        <v>582</v>
      </c>
      <c r="D989" s="751"/>
      <c r="E989" s="741"/>
      <c r="F989" s="741">
        <v>99</v>
      </c>
    </row>
    <row r="990" spans="1:6">
      <c r="A990" s="746" t="s">
        <v>549</v>
      </c>
      <c r="B990" s="738" t="s">
        <v>145</v>
      </c>
      <c r="C990" s="768" t="s">
        <v>146</v>
      </c>
      <c r="D990" s="751"/>
      <c r="E990" s="741"/>
      <c r="F990" s="741">
        <v>99</v>
      </c>
    </row>
    <row r="991" spans="1:6">
      <c r="A991" s="746" t="s">
        <v>549</v>
      </c>
      <c r="B991" s="738" t="s">
        <v>145</v>
      </c>
      <c r="C991" s="752" t="s">
        <v>304</v>
      </c>
      <c r="D991" s="751"/>
      <c r="E991" s="741"/>
      <c r="F991" s="741">
        <v>99</v>
      </c>
    </row>
    <row r="992" spans="1:6">
      <c r="A992" s="746" t="s">
        <v>549</v>
      </c>
      <c r="B992" s="738" t="s">
        <v>149</v>
      </c>
      <c r="C992" s="755" t="s">
        <v>247</v>
      </c>
      <c r="D992" s="751"/>
      <c r="E992" s="741"/>
      <c r="F992" s="741">
        <v>99</v>
      </c>
    </row>
    <row r="993" spans="1:6">
      <c r="A993" s="746" t="s">
        <v>549</v>
      </c>
      <c r="B993" s="738" t="s">
        <v>149</v>
      </c>
      <c r="C993" s="745" t="s">
        <v>1664</v>
      </c>
      <c r="D993" s="744"/>
      <c r="E993" s="741"/>
      <c r="F993" s="741">
        <v>99</v>
      </c>
    </row>
    <row r="994" spans="1:6">
      <c r="A994" s="746" t="s">
        <v>549</v>
      </c>
      <c r="B994" s="738" t="s">
        <v>149</v>
      </c>
      <c r="C994" s="745" t="s">
        <v>1665</v>
      </c>
      <c r="D994" s="744"/>
      <c r="E994" s="741"/>
      <c r="F994" s="741">
        <v>99</v>
      </c>
    </row>
    <row r="995" spans="1:6">
      <c r="A995" s="746" t="s">
        <v>549</v>
      </c>
      <c r="B995" s="738" t="s">
        <v>151</v>
      </c>
      <c r="C995" s="755" t="s">
        <v>152</v>
      </c>
      <c r="D995" s="751"/>
      <c r="E995" s="741"/>
      <c r="F995" s="741">
        <v>99</v>
      </c>
    </row>
    <row r="996" spans="1:6">
      <c r="A996" s="746" t="s">
        <v>549</v>
      </c>
      <c r="B996" s="738" t="s">
        <v>248</v>
      </c>
      <c r="C996" s="752" t="s">
        <v>249</v>
      </c>
      <c r="D996" s="751"/>
      <c r="E996" s="741"/>
      <c r="F996" s="741">
        <v>99</v>
      </c>
    </row>
    <row r="997" spans="1:6">
      <c r="A997" s="746" t="s">
        <v>549</v>
      </c>
      <c r="B997" s="738" t="s">
        <v>250</v>
      </c>
      <c r="C997" s="757" t="s">
        <v>251</v>
      </c>
      <c r="D997" s="744"/>
      <c r="E997" s="741"/>
      <c r="F997" s="741">
        <v>99</v>
      </c>
    </row>
    <row r="998" spans="1:6">
      <c r="A998" s="746" t="s">
        <v>549</v>
      </c>
      <c r="B998" s="738" t="s">
        <v>258</v>
      </c>
      <c r="C998" s="752" t="s">
        <v>259</v>
      </c>
      <c r="D998" s="751"/>
      <c r="E998" s="741"/>
      <c r="F998" s="741">
        <v>99</v>
      </c>
    </row>
    <row r="999" spans="1:6">
      <c r="A999" s="746" t="s">
        <v>549</v>
      </c>
      <c r="B999" s="738" t="s">
        <v>157</v>
      </c>
      <c r="C999" s="752" t="s">
        <v>158</v>
      </c>
      <c r="D999" s="751"/>
      <c r="E999" s="741"/>
      <c r="F999" s="741">
        <v>99</v>
      </c>
    </row>
    <row r="1000" spans="1:6">
      <c r="A1000" s="746" t="s">
        <v>549</v>
      </c>
      <c r="B1000" s="738" t="s">
        <v>159</v>
      </c>
      <c r="C1000" s="752" t="s">
        <v>160</v>
      </c>
      <c r="D1000" s="751"/>
      <c r="E1000" s="741"/>
      <c r="F1000" s="741">
        <v>99</v>
      </c>
    </row>
    <row r="1001" spans="1:6">
      <c r="A1001" s="746" t="s">
        <v>549</v>
      </c>
      <c r="B1001" s="738" t="s">
        <v>161</v>
      </c>
      <c r="C1001" s="752" t="s">
        <v>162</v>
      </c>
      <c r="D1001" s="751"/>
      <c r="E1001" s="741"/>
      <c r="F1001" s="741">
        <v>99</v>
      </c>
    </row>
    <row r="1002" spans="1:6">
      <c r="A1002" s="746" t="s">
        <v>549</v>
      </c>
      <c r="B1002" s="738" t="s">
        <v>161</v>
      </c>
      <c r="C1002" s="752" t="s">
        <v>583</v>
      </c>
      <c r="D1002" s="751"/>
      <c r="E1002" s="741"/>
      <c r="F1002" s="741">
        <v>99</v>
      </c>
    </row>
    <row r="1003" spans="1:6">
      <c r="A1003" s="746" t="s">
        <v>549</v>
      </c>
      <c r="B1003" s="738" t="s">
        <v>164</v>
      </c>
      <c r="C1003" s="752" t="s">
        <v>165</v>
      </c>
      <c r="D1003" s="751"/>
      <c r="E1003" s="741"/>
      <c r="F1003" s="741">
        <v>99</v>
      </c>
    </row>
    <row r="1004" spans="1:6">
      <c r="A1004" s="746" t="s">
        <v>549</v>
      </c>
      <c r="B1004" s="738" t="s">
        <v>166</v>
      </c>
      <c r="C1004" s="757" t="s">
        <v>167</v>
      </c>
      <c r="D1004" s="744"/>
      <c r="E1004" s="741"/>
      <c r="F1004" s="741">
        <v>99</v>
      </c>
    </row>
    <row r="1005" spans="1:6">
      <c r="A1005" s="746" t="s">
        <v>549</v>
      </c>
      <c r="B1005" s="738" t="s">
        <v>170</v>
      </c>
      <c r="C1005" s="752" t="s">
        <v>171</v>
      </c>
      <c r="D1005" s="751"/>
      <c r="E1005" s="741"/>
      <c r="F1005" s="741">
        <v>99</v>
      </c>
    </row>
    <row r="1006" spans="1:6">
      <c r="A1006" s="746" t="s">
        <v>549</v>
      </c>
      <c r="B1006" s="738" t="s">
        <v>172</v>
      </c>
      <c r="C1006" s="752" t="s">
        <v>165</v>
      </c>
      <c r="D1006" s="751"/>
      <c r="E1006" s="741"/>
      <c r="F1006" s="741">
        <v>99</v>
      </c>
    </row>
    <row r="1007" spans="1:6">
      <c r="A1007" s="746" t="s">
        <v>549</v>
      </c>
      <c r="B1007" s="738" t="s">
        <v>166</v>
      </c>
      <c r="C1007" s="752" t="s">
        <v>167</v>
      </c>
      <c r="D1007" s="751"/>
      <c r="E1007" s="741"/>
      <c r="F1007" s="741">
        <v>99</v>
      </c>
    </row>
    <row r="1008" spans="1:6">
      <c r="A1008" s="746" t="s">
        <v>549</v>
      </c>
      <c r="B1008" s="738" t="s">
        <v>176</v>
      </c>
      <c r="C1008" s="752" t="s">
        <v>177</v>
      </c>
      <c r="D1008" s="751"/>
      <c r="E1008" s="741"/>
      <c r="F1008" s="741">
        <v>99</v>
      </c>
    </row>
    <row r="1009" spans="1:6">
      <c r="A1009" s="746" t="s">
        <v>549</v>
      </c>
      <c r="B1009" s="738" t="s">
        <v>180</v>
      </c>
      <c r="C1009" s="752" t="s">
        <v>165</v>
      </c>
      <c r="D1009" s="751"/>
      <c r="E1009" s="741"/>
      <c r="F1009" s="741">
        <v>99</v>
      </c>
    </row>
    <row r="1010" spans="1:6">
      <c r="A1010" s="746" t="s">
        <v>549</v>
      </c>
      <c r="B1010" s="738" t="s">
        <v>166</v>
      </c>
      <c r="C1010" s="752" t="s">
        <v>167</v>
      </c>
      <c r="D1010" s="751"/>
      <c r="E1010" s="741"/>
      <c r="F1010" s="741">
        <v>99</v>
      </c>
    </row>
    <row r="1011" spans="1:6">
      <c r="A1011" s="746" t="s">
        <v>549</v>
      </c>
      <c r="B1011" s="738" t="s">
        <v>161</v>
      </c>
      <c r="C1011" s="757" t="s">
        <v>584</v>
      </c>
      <c r="D1011" s="744"/>
      <c r="E1011" s="741"/>
      <c r="F1011" s="741">
        <v>99</v>
      </c>
    </row>
    <row r="1012" spans="1:6">
      <c r="A1012" s="746" t="s">
        <v>549</v>
      </c>
      <c r="B1012" s="738" t="s">
        <v>170</v>
      </c>
      <c r="C1012" s="752" t="s">
        <v>171</v>
      </c>
      <c r="D1012" s="751"/>
      <c r="E1012" s="741"/>
      <c r="F1012" s="741">
        <v>99</v>
      </c>
    </row>
    <row r="1013" spans="1:6">
      <c r="A1013" s="746" t="s">
        <v>549</v>
      </c>
      <c r="B1013" s="738" t="s">
        <v>172</v>
      </c>
      <c r="C1013" s="752" t="s">
        <v>165</v>
      </c>
      <c r="D1013" s="751"/>
      <c r="E1013" s="741"/>
      <c r="F1013" s="741">
        <v>99</v>
      </c>
    </row>
    <row r="1014" spans="1:6">
      <c r="A1014" s="746" t="s">
        <v>549</v>
      </c>
      <c r="B1014" s="738" t="s">
        <v>166</v>
      </c>
      <c r="C1014" s="752" t="s">
        <v>167</v>
      </c>
      <c r="D1014" s="751"/>
      <c r="E1014" s="741"/>
      <c r="F1014" s="741">
        <v>99</v>
      </c>
    </row>
    <row r="1015" spans="1:6">
      <c r="A1015" s="746" t="s">
        <v>549</v>
      </c>
      <c r="B1015" s="738" t="s">
        <v>176</v>
      </c>
      <c r="C1015" s="752" t="s">
        <v>177</v>
      </c>
      <c r="D1015" s="751"/>
      <c r="E1015" s="741"/>
      <c r="F1015" s="741">
        <v>99</v>
      </c>
    </row>
    <row r="1016" spans="1:6">
      <c r="A1016" s="746" t="s">
        <v>549</v>
      </c>
      <c r="B1016" s="738" t="s">
        <v>180</v>
      </c>
      <c r="C1016" s="752" t="s">
        <v>165</v>
      </c>
      <c r="D1016" s="751"/>
      <c r="E1016" s="741"/>
      <c r="F1016" s="741">
        <v>99</v>
      </c>
    </row>
    <row r="1017" spans="1:6">
      <c r="A1017" s="746" t="s">
        <v>549</v>
      </c>
      <c r="B1017" s="738" t="s">
        <v>166</v>
      </c>
      <c r="C1017" s="752" t="s">
        <v>167</v>
      </c>
      <c r="D1017" s="751"/>
      <c r="E1017" s="741"/>
      <c r="F1017" s="741">
        <v>99</v>
      </c>
    </row>
    <row r="1018" spans="1:6">
      <c r="A1018" s="746" t="s">
        <v>549</v>
      </c>
      <c r="B1018" s="738" t="s">
        <v>161</v>
      </c>
      <c r="C1018" s="757" t="s">
        <v>585</v>
      </c>
      <c r="D1018" s="744"/>
      <c r="E1018" s="741"/>
      <c r="F1018" s="741">
        <v>99</v>
      </c>
    </row>
    <row r="1019" spans="1:6">
      <c r="A1019" s="746" t="s">
        <v>549</v>
      </c>
      <c r="B1019" s="738" t="s">
        <v>164</v>
      </c>
      <c r="C1019" s="752" t="s">
        <v>165</v>
      </c>
      <c r="D1019" s="751"/>
      <c r="E1019" s="741"/>
      <c r="F1019" s="741">
        <v>99</v>
      </c>
    </row>
    <row r="1020" spans="1:6">
      <c r="A1020" s="746" t="s">
        <v>549</v>
      </c>
      <c r="B1020" s="738" t="s">
        <v>166</v>
      </c>
      <c r="C1020" s="752" t="s">
        <v>167</v>
      </c>
      <c r="D1020" s="751"/>
      <c r="E1020" s="741"/>
      <c r="F1020" s="741">
        <v>99</v>
      </c>
    </row>
    <row r="1021" spans="1:6">
      <c r="A1021" s="746" t="s">
        <v>549</v>
      </c>
      <c r="B1021" s="738" t="s">
        <v>170</v>
      </c>
      <c r="C1021" s="752" t="s">
        <v>171</v>
      </c>
      <c r="D1021" s="751"/>
      <c r="E1021" s="741"/>
      <c r="F1021" s="741">
        <v>99</v>
      </c>
    </row>
    <row r="1022" spans="1:6">
      <c r="A1022" s="746" t="s">
        <v>549</v>
      </c>
      <c r="B1022" s="738" t="s">
        <v>172</v>
      </c>
      <c r="C1022" s="752" t="s">
        <v>165</v>
      </c>
      <c r="D1022" s="751"/>
      <c r="E1022" s="741"/>
      <c r="F1022" s="741">
        <v>99</v>
      </c>
    </row>
    <row r="1023" spans="1:6">
      <c r="A1023" s="746" t="s">
        <v>549</v>
      </c>
      <c r="B1023" s="738" t="s">
        <v>166</v>
      </c>
      <c r="C1023" s="752" t="s">
        <v>167</v>
      </c>
      <c r="D1023" s="751"/>
      <c r="E1023" s="741"/>
      <c r="F1023" s="741">
        <v>99</v>
      </c>
    </row>
    <row r="1024" spans="1:6">
      <c r="A1024" s="746" t="s">
        <v>549</v>
      </c>
      <c r="B1024" s="738" t="s">
        <v>176</v>
      </c>
      <c r="C1024" s="752" t="s">
        <v>177</v>
      </c>
      <c r="D1024" s="751"/>
      <c r="E1024" s="741"/>
      <c r="F1024" s="741">
        <v>99</v>
      </c>
    </row>
    <row r="1025" spans="1:6">
      <c r="A1025" s="746" t="s">
        <v>549</v>
      </c>
      <c r="B1025" s="738" t="s">
        <v>180</v>
      </c>
      <c r="C1025" s="757" t="s">
        <v>165</v>
      </c>
      <c r="D1025" s="744"/>
      <c r="E1025" s="741"/>
      <c r="F1025" s="741">
        <v>99</v>
      </c>
    </row>
    <row r="1026" spans="1:6">
      <c r="A1026" s="746" t="s">
        <v>549</v>
      </c>
      <c r="B1026" s="738" t="s">
        <v>166</v>
      </c>
      <c r="C1026" s="752" t="s">
        <v>167</v>
      </c>
      <c r="D1026" s="751"/>
      <c r="E1026" s="741"/>
      <c r="F1026" s="741">
        <v>99</v>
      </c>
    </row>
    <row r="1027" spans="1:6">
      <c r="A1027" s="746" t="s">
        <v>549</v>
      </c>
      <c r="B1027" s="738" t="s">
        <v>161</v>
      </c>
      <c r="C1027" s="752" t="s">
        <v>586</v>
      </c>
      <c r="D1027" s="751"/>
      <c r="E1027" s="741"/>
      <c r="F1027" s="741">
        <v>99</v>
      </c>
    </row>
    <row r="1028" spans="1:6">
      <c r="A1028" s="746" t="s">
        <v>549</v>
      </c>
      <c r="B1028" s="738" t="s">
        <v>170</v>
      </c>
      <c r="C1028" s="752" t="s">
        <v>171</v>
      </c>
      <c r="D1028" s="751"/>
      <c r="E1028" s="741"/>
      <c r="F1028" s="741">
        <v>99</v>
      </c>
    </row>
    <row r="1029" spans="1:6">
      <c r="A1029" s="746" t="s">
        <v>549</v>
      </c>
      <c r="B1029" s="738" t="s">
        <v>172</v>
      </c>
      <c r="C1029" s="752" t="s">
        <v>165</v>
      </c>
      <c r="D1029" s="751"/>
      <c r="E1029" s="741"/>
      <c r="F1029" s="741">
        <v>99</v>
      </c>
    </row>
    <row r="1030" spans="1:6">
      <c r="A1030" s="746" t="s">
        <v>549</v>
      </c>
      <c r="B1030" s="738" t="s">
        <v>173</v>
      </c>
      <c r="C1030" s="752" t="s">
        <v>587</v>
      </c>
      <c r="D1030" s="751"/>
      <c r="E1030" s="741"/>
      <c r="F1030" s="741">
        <v>99</v>
      </c>
    </row>
    <row r="1031" spans="1:6">
      <c r="A1031" s="746" t="s">
        <v>549</v>
      </c>
      <c r="B1031" s="738" t="s">
        <v>176</v>
      </c>
      <c r="C1031" s="752" t="s">
        <v>177</v>
      </c>
      <c r="D1031" s="751"/>
      <c r="E1031" s="741"/>
      <c r="F1031" s="741">
        <v>99</v>
      </c>
    </row>
    <row r="1032" spans="1:6">
      <c r="A1032" s="746" t="s">
        <v>549</v>
      </c>
      <c r="B1032" s="738" t="s">
        <v>180</v>
      </c>
      <c r="C1032" s="757" t="s">
        <v>165</v>
      </c>
      <c r="D1032" s="744"/>
      <c r="E1032" s="741"/>
      <c r="F1032" s="741">
        <v>99</v>
      </c>
    </row>
    <row r="1033" spans="1:6">
      <c r="A1033" s="746" t="s">
        <v>549</v>
      </c>
      <c r="B1033" s="738" t="s">
        <v>178</v>
      </c>
      <c r="C1033" s="752" t="s">
        <v>587</v>
      </c>
      <c r="D1033" s="751"/>
      <c r="E1033" s="741"/>
      <c r="F1033" s="741">
        <v>99</v>
      </c>
    </row>
    <row r="1034" spans="1:6">
      <c r="A1034" s="746" t="s">
        <v>549</v>
      </c>
      <c r="B1034" s="738" t="s">
        <v>161</v>
      </c>
      <c r="C1034" s="752" t="s">
        <v>588</v>
      </c>
      <c r="D1034" s="751"/>
      <c r="E1034" s="741"/>
      <c r="F1034" s="741">
        <v>99</v>
      </c>
    </row>
    <row r="1035" spans="1:6">
      <c r="A1035" s="746" t="s">
        <v>549</v>
      </c>
      <c r="B1035" s="738" t="s">
        <v>164</v>
      </c>
      <c r="C1035" s="752" t="s">
        <v>165</v>
      </c>
      <c r="D1035" s="751"/>
      <c r="E1035" s="741"/>
      <c r="F1035" s="741">
        <v>99</v>
      </c>
    </row>
    <row r="1036" spans="1:6">
      <c r="A1036" s="746" t="s">
        <v>549</v>
      </c>
      <c r="B1036" s="738" t="s">
        <v>166</v>
      </c>
      <c r="C1036" s="752" t="s">
        <v>167</v>
      </c>
      <c r="D1036" s="751"/>
      <c r="E1036" s="741"/>
      <c r="F1036" s="741">
        <v>99</v>
      </c>
    </row>
    <row r="1037" spans="1:6">
      <c r="A1037" s="746" t="s">
        <v>549</v>
      </c>
      <c r="B1037" s="738" t="s">
        <v>170</v>
      </c>
      <c r="C1037" s="752" t="s">
        <v>171</v>
      </c>
      <c r="D1037" s="751"/>
      <c r="E1037" s="741"/>
      <c r="F1037" s="741">
        <v>99</v>
      </c>
    </row>
    <row r="1038" spans="1:6">
      <c r="A1038" s="746" t="s">
        <v>549</v>
      </c>
      <c r="B1038" s="738" t="s">
        <v>172</v>
      </c>
      <c r="C1038" s="752" t="s">
        <v>165</v>
      </c>
      <c r="D1038" s="751"/>
      <c r="E1038" s="741"/>
      <c r="F1038" s="741">
        <v>99</v>
      </c>
    </row>
    <row r="1039" spans="1:6">
      <c r="A1039" s="746" t="s">
        <v>549</v>
      </c>
      <c r="B1039" s="738" t="s">
        <v>173</v>
      </c>
      <c r="C1039" s="757" t="s">
        <v>587</v>
      </c>
      <c r="D1039" s="744"/>
      <c r="E1039" s="741"/>
      <c r="F1039" s="741">
        <v>99</v>
      </c>
    </row>
    <row r="1040" spans="1:6">
      <c r="A1040" s="746" t="s">
        <v>549</v>
      </c>
      <c r="B1040" s="738" t="s">
        <v>176</v>
      </c>
      <c r="C1040" s="752" t="s">
        <v>177</v>
      </c>
      <c r="D1040" s="751"/>
      <c r="E1040" s="741"/>
      <c r="F1040" s="741">
        <v>99</v>
      </c>
    </row>
    <row r="1041" spans="1:6">
      <c r="A1041" s="746" t="s">
        <v>549</v>
      </c>
      <c r="B1041" s="738" t="s">
        <v>180</v>
      </c>
      <c r="C1041" s="752" t="s">
        <v>165</v>
      </c>
      <c r="D1041" s="751"/>
      <c r="E1041" s="741"/>
      <c r="F1041" s="741">
        <v>99</v>
      </c>
    </row>
    <row r="1042" spans="1:6">
      <c r="A1042" s="746" t="s">
        <v>549</v>
      </c>
      <c r="B1042" s="738" t="s">
        <v>178</v>
      </c>
      <c r="C1042" s="752" t="s">
        <v>587</v>
      </c>
      <c r="D1042" s="751"/>
      <c r="E1042" s="741"/>
      <c r="F1042" s="741">
        <v>99</v>
      </c>
    </row>
    <row r="1043" spans="1:6">
      <c r="A1043" s="746" t="s">
        <v>549</v>
      </c>
      <c r="B1043" s="738" t="s">
        <v>161</v>
      </c>
      <c r="C1043" s="768" t="s">
        <v>1666</v>
      </c>
      <c r="D1043" s="751"/>
      <c r="E1043" s="741"/>
      <c r="F1043" s="741">
        <v>99</v>
      </c>
    </row>
    <row r="1044" spans="1:6">
      <c r="A1044" s="746" t="s">
        <v>549</v>
      </c>
      <c r="B1044" s="738" t="s">
        <v>170</v>
      </c>
      <c r="C1044" s="752" t="s">
        <v>171</v>
      </c>
      <c r="D1044" s="751"/>
      <c r="E1044" s="741"/>
      <c r="F1044" s="741">
        <v>99</v>
      </c>
    </row>
    <row r="1045" spans="1:6">
      <c r="A1045" s="746" t="s">
        <v>549</v>
      </c>
      <c r="B1045" s="738" t="s">
        <v>172</v>
      </c>
      <c r="C1045" s="752" t="s">
        <v>165</v>
      </c>
      <c r="D1045" s="751"/>
      <c r="E1045" s="741"/>
      <c r="F1045" s="741">
        <v>99</v>
      </c>
    </row>
    <row r="1046" spans="1:6">
      <c r="A1046" s="746" t="s">
        <v>549</v>
      </c>
      <c r="B1046" s="738" t="s">
        <v>173</v>
      </c>
      <c r="C1046" s="757" t="s">
        <v>587</v>
      </c>
      <c r="D1046" s="744"/>
      <c r="E1046" s="741"/>
      <c r="F1046" s="741">
        <v>99</v>
      </c>
    </row>
    <row r="1047" spans="1:6">
      <c r="A1047" s="746" t="s">
        <v>549</v>
      </c>
      <c r="B1047" s="738" t="s">
        <v>176</v>
      </c>
      <c r="C1047" s="752" t="s">
        <v>177</v>
      </c>
      <c r="D1047" s="751"/>
      <c r="E1047" s="741"/>
      <c r="F1047" s="741">
        <v>99</v>
      </c>
    </row>
    <row r="1048" spans="1:6">
      <c r="A1048" s="746" t="s">
        <v>549</v>
      </c>
      <c r="B1048" s="738" t="s">
        <v>180</v>
      </c>
      <c r="C1048" s="752" t="s">
        <v>165</v>
      </c>
      <c r="D1048" s="751"/>
      <c r="E1048" s="741"/>
      <c r="F1048" s="741">
        <v>99</v>
      </c>
    </row>
    <row r="1049" spans="1:6">
      <c r="A1049" s="746" t="s">
        <v>549</v>
      </c>
      <c r="B1049" s="738" t="s">
        <v>178</v>
      </c>
      <c r="C1049" s="752" t="s">
        <v>587</v>
      </c>
      <c r="D1049" s="751"/>
      <c r="E1049" s="741"/>
      <c r="F1049" s="741">
        <v>99</v>
      </c>
    </row>
    <row r="1050" spans="1:6">
      <c r="A1050" s="746" t="s">
        <v>549</v>
      </c>
      <c r="B1050" s="738" t="s">
        <v>161</v>
      </c>
      <c r="C1050" s="752" t="s">
        <v>589</v>
      </c>
      <c r="D1050" s="751"/>
      <c r="E1050" s="741"/>
      <c r="F1050" s="741">
        <v>99</v>
      </c>
    </row>
    <row r="1051" spans="1:6">
      <c r="A1051" s="746" t="s">
        <v>549</v>
      </c>
      <c r="B1051" s="738" t="s">
        <v>170</v>
      </c>
      <c r="C1051" s="752" t="s">
        <v>171</v>
      </c>
      <c r="D1051" s="751"/>
      <c r="E1051" s="741"/>
      <c r="F1051" s="741">
        <v>99</v>
      </c>
    </row>
    <row r="1052" spans="1:6">
      <c r="A1052" s="746" t="s">
        <v>549</v>
      </c>
      <c r="B1052" s="738" t="s">
        <v>172</v>
      </c>
      <c r="C1052" s="752" t="s">
        <v>165</v>
      </c>
      <c r="D1052" s="751"/>
      <c r="E1052" s="741"/>
      <c r="F1052" s="741">
        <v>99</v>
      </c>
    </row>
    <row r="1053" spans="1:6">
      <c r="A1053" s="746" t="s">
        <v>549</v>
      </c>
      <c r="B1053" s="738" t="s">
        <v>173</v>
      </c>
      <c r="C1053" s="757" t="s">
        <v>587</v>
      </c>
      <c r="D1053" s="744"/>
      <c r="E1053" s="741"/>
      <c r="F1053" s="741">
        <v>99</v>
      </c>
    </row>
    <row r="1054" spans="1:6">
      <c r="A1054" s="746" t="s">
        <v>549</v>
      </c>
      <c r="B1054" s="738" t="s">
        <v>176</v>
      </c>
      <c r="C1054" s="752" t="s">
        <v>177</v>
      </c>
      <c r="D1054" s="751"/>
      <c r="E1054" s="741"/>
      <c r="F1054" s="741">
        <v>99</v>
      </c>
    </row>
    <row r="1055" spans="1:6">
      <c r="A1055" s="746" t="s">
        <v>549</v>
      </c>
      <c r="B1055" s="738" t="s">
        <v>180</v>
      </c>
      <c r="C1055" s="752" t="s">
        <v>165</v>
      </c>
      <c r="D1055" s="751"/>
      <c r="E1055" s="741"/>
      <c r="F1055" s="741">
        <v>99</v>
      </c>
    </row>
    <row r="1056" spans="1:6">
      <c r="A1056" s="746" t="s">
        <v>549</v>
      </c>
      <c r="B1056" s="738" t="s">
        <v>178</v>
      </c>
      <c r="C1056" s="752" t="s">
        <v>587</v>
      </c>
      <c r="D1056" s="751"/>
      <c r="E1056" s="741"/>
      <c r="F1056" s="741">
        <v>99</v>
      </c>
    </row>
    <row r="1057" spans="1:6">
      <c r="A1057" s="746" t="s">
        <v>549</v>
      </c>
      <c r="B1057" s="738" t="s">
        <v>161</v>
      </c>
      <c r="C1057" s="752" t="s">
        <v>590</v>
      </c>
      <c r="D1057" s="751"/>
      <c r="E1057" s="741"/>
      <c r="F1057" s="741">
        <v>99</v>
      </c>
    </row>
    <row r="1058" spans="1:6">
      <c r="A1058" s="746" t="s">
        <v>549</v>
      </c>
      <c r="B1058" s="738" t="s">
        <v>170</v>
      </c>
      <c r="C1058" s="752" t="s">
        <v>171</v>
      </c>
      <c r="D1058" s="751"/>
      <c r="E1058" s="741"/>
      <c r="F1058" s="741">
        <v>99</v>
      </c>
    </row>
    <row r="1059" spans="1:6">
      <c r="A1059" s="746" t="s">
        <v>549</v>
      </c>
      <c r="B1059" s="738" t="s">
        <v>172</v>
      </c>
      <c r="C1059" s="752" t="s">
        <v>165</v>
      </c>
      <c r="D1059" s="751"/>
      <c r="E1059" s="741"/>
      <c r="F1059" s="741">
        <v>99</v>
      </c>
    </row>
    <row r="1060" spans="1:6">
      <c r="A1060" s="746" t="s">
        <v>549</v>
      </c>
      <c r="B1060" s="738" t="s">
        <v>173</v>
      </c>
      <c r="C1060" s="757" t="s">
        <v>587</v>
      </c>
      <c r="D1060" s="744"/>
      <c r="E1060" s="741"/>
      <c r="F1060" s="741">
        <v>99</v>
      </c>
    </row>
    <row r="1061" spans="1:6">
      <c r="A1061" s="746" t="s">
        <v>549</v>
      </c>
      <c r="B1061" s="738" t="s">
        <v>176</v>
      </c>
      <c r="C1061" s="752" t="s">
        <v>177</v>
      </c>
      <c r="D1061" s="751"/>
      <c r="E1061" s="741"/>
      <c r="F1061" s="741">
        <v>99</v>
      </c>
    </row>
    <row r="1062" spans="1:6">
      <c r="A1062" s="746" t="s">
        <v>549</v>
      </c>
      <c r="B1062" s="738" t="s">
        <v>180</v>
      </c>
      <c r="C1062" s="752" t="s">
        <v>165</v>
      </c>
      <c r="D1062" s="751"/>
      <c r="E1062" s="741"/>
      <c r="F1062" s="741">
        <v>99</v>
      </c>
    </row>
    <row r="1063" spans="1:6">
      <c r="A1063" s="746" t="s">
        <v>549</v>
      </c>
      <c r="B1063" s="738" t="s">
        <v>178</v>
      </c>
      <c r="C1063" s="752" t="s">
        <v>587</v>
      </c>
      <c r="D1063" s="751"/>
      <c r="E1063" s="741"/>
      <c r="F1063" s="741">
        <v>99</v>
      </c>
    </row>
    <row r="1064" spans="1:6">
      <c r="A1064" s="746" t="s">
        <v>549</v>
      </c>
      <c r="B1064" s="738" t="s">
        <v>161</v>
      </c>
      <c r="C1064" s="752" t="s">
        <v>591</v>
      </c>
      <c r="D1064" s="751"/>
      <c r="E1064" s="741"/>
      <c r="F1064" s="741">
        <v>99</v>
      </c>
    </row>
    <row r="1065" spans="1:6">
      <c r="A1065" s="746" t="s">
        <v>549</v>
      </c>
      <c r="B1065" s="738" t="s">
        <v>170</v>
      </c>
      <c r="C1065" s="752" t="s">
        <v>171</v>
      </c>
      <c r="D1065" s="751"/>
      <c r="E1065" s="741"/>
      <c r="F1065" s="741">
        <v>99</v>
      </c>
    </row>
    <row r="1066" spans="1:6">
      <c r="A1066" s="746" t="s">
        <v>549</v>
      </c>
      <c r="B1066" s="738" t="s">
        <v>172</v>
      </c>
      <c r="C1066" s="752" t="s">
        <v>165</v>
      </c>
      <c r="D1066" s="751"/>
      <c r="E1066" s="741"/>
      <c r="F1066" s="741">
        <v>99</v>
      </c>
    </row>
    <row r="1067" spans="1:6">
      <c r="A1067" s="746" t="s">
        <v>549</v>
      </c>
      <c r="B1067" s="738" t="s">
        <v>173</v>
      </c>
      <c r="C1067" s="757" t="s">
        <v>587</v>
      </c>
      <c r="D1067" s="744"/>
      <c r="E1067" s="741"/>
      <c r="F1067" s="741">
        <v>99</v>
      </c>
    </row>
    <row r="1068" spans="1:6">
      <c r="A1068" s="746" t="s">
        <v>549</v>
      </c>
      <c r="B1068" s="738" t="s">
        <v>176</v>
      </c>
      <c r="C1068" s="752" t="s">
        <v>177</v>
      </c>
      <c r="D1068" s="751"/>
      <c r="E1068" s="741"/>
      <c r="F1068" s="741">
        <v>99</v>
      </c>
    </row>
    <row r="1069" spans="1:6">
      <c r="A1069" s="746" t="s">
        <v>549</v>
      </c>
      <c r="B1069" s="738" t="s">
        <v>180</v>
      </c>
      <c r="C1069" s="752" t="s">
        <v>165</v>
      </c>
      <c r="D1069" s="751"/>
      <c r="E1069" s="741"/>
      <c r="F1069" s="741">
        <v>99</v>
      </c>
    </row>
    <row r="1070" spans="1:6">
      <c r="A1070" s="746" t="s">
        <v>549</v>
      </c>
      <c r="B1070" s="738" t="s">
        <v>178</v>
      </c>
      <c r="C1070" s="752" t="s">
        <v>587</v>
      </c>
      <c r="D1070" s="751"/>
      <c r="E1070" s="741"/>
      <c r="F1070" s="741">
        <v>99</v>
      </c>
    </row>
    <row r="1071" spans="1:6">
      <c r="A1071" s="746" t="s">
        <v>549</v>
      </c>
      <c r="B1071" s="738" t="s">
        <v>161</v>
      </c>
      <c r="C1071" s="752" t="s">
        <v>592</v>
      </c>
      <c r="D1071" s="751"/>
      <c r="E1071" s="741"/>
      <c r="F1071" s="741">
        <v>99</v>
      </c>
    </row>
    <row r="1072" spans="1:6">
      <c r="A1072" s="746" t="s">
        <v>549</v>
      </c>
      <c r="B1072" s="738" t="s">
        <v>170</v>
      </c>
      <c r="C1072" s="752" t="s">
        <v>171</v>
      </c>
      <c r="D1072" s="751"/>
      <c r="E1072" s="741"/>
      <c r="F1072" s="741">
        <v>99</v>
      </c>
    </row>
    <row r="1073" spans="1:6">
      <c r="A1073" s="746" t="s">
        <v>549</v>
      </c>
      <c r="B1073" s="738" t="s">
        <v>172</v>
      </c>
      <c r="C1073" s="752" t="s">
        <v>165</v>
      </c>
      <c r="D1073" s="751"/>
      <c r="E1073" s="741"/>
      <c r="F1073" s="741">
        <v>99</v>
      </c>
    </row>
    <row r="1074" spans="1:6">
      <c r="A1074" s="746" t="s">
        <v>549</v>
      </c>
      <c r="B1074" s="738" t="s">
        <v>173</v>
      </c>
      <c r="C1074" s="757" t="s">
        <v>587</v>
      </c>
      <c r="D1074" s="744"/>
      <c r="E1074" s="741"/>
      <c r="F1074" s="741">
        <v>99</v>
      </c>
    </row>
    <row r="1075" spans="1:6">
      <c r="A1075" s="746" t="s">
        <v>549</v>
      </c>
      <c r="B1075" s="738" t="s">
        <v>176</v>
      </c>
      <c r="C1075" s="752" t="s">
        <v>177</v>
      </c>
      <c r="D1075" s="751"/>
      <c r="E1075" s="741"/>
      <c r="F1075" s="741">
        <v>99</v>
      </c>
    </row>
    <row r="1076" spans="1:6">
      <c r="A1076" s="746" t="s">
        <v>549</v>
      </c>
      <c r="B1076" s="738" t="s">
        <v>180</v>
      </c>
      <c r="C1076" s="752" t="s">
        <v>165</v>
      </c>
      <c r="D1076" s="751"/>
      <c r="E1076" s="741"/>
      <c r="F1076" s="741">
        <v>99</v>
      </c>
    </row>
    <row r="1077" spans="1:6">
      <c r="A1077" s="746" t="s">
        <v>549</v>
      </c>
      <c r="B1077" s="738" t="s">
        <v>178</v>
      </c>
      <c r="C1077" s="752" t="s">
        <v>587</v>
      </c>
      <c r="D1077" s="751"/>
      <c r="E1077" s="741"/>
      <c r="F1077" s="741">
        <v>99</v>
      </c>
    </row>
    <row r="1078" spans="1:6">
      <c r="A1078" s="746" t="s">
        <v>549</v>
      </c>
      <c r="B1078" s="738" t="s">
        <v>161</v>
      </c>
      <c r="C1078" s="752" t="s">
        <v>593</v>
      </c>
      <c r="D1078" s="751"/>
      <c r="E1078" s="741"/>
      <c r="F1078" s="741">
        <v>99</v>
      </c>
    </row>
    <row r="1079" spans="1:6">
      <c r="A1079" s="746" t="s">
        <v>549</v>
      </c>
      <c r="B1079" s="738" t="s">
        <v>170</v>
      </c>
      <c r="C1079" s="752" t="s">
        <v>171</v>
      </c>
      <c r="D1079" s="751"/>
      <c r="E1079" s="741"/>
      <c r="F1079" s="741">
        <v>99</v>
      </c>
    </row>
    <row r="1080" spans="1:6">
      <c r="A1080" s="746" t="s">
        <v>549</v>
      </c>
      <c r="B1080" s="738" t="s">
        <v>172</v>
      </c>
      <c r="C1080" s="752" t="s">
        <v>165</v>
      </c>
      <c r="D1080" s="751"/>
      <c r="E1080" s="741"/>
      <c r="F1080" s="741">
        <v>99</v>
      </c>
    </row>
    <row r="1081" spans="1:6">
      <c r="A1081" s="746" t="s">
        <v>549</v>
      </c>
      <c r="B1081" s="738" t="s">
        <v>173</v>
      </c>
      <c r="C1081" s="757" t="s">
        <v>587</v>
      </c>
      <c r="D1081" s="744"/>
      <c r="E1081" s="741"/>
      <c r="F1081" s="741">
        <v>99</v>
      </c>
    </row>
    <row r="1082" spans="1:6">
      <c r="A1082" s="746" t="s">
        <v>549</v>
      </c>
      <c r="B1082" s="738" t="s">
        <v>176</v>
      </c>
      <c r="C1082" s="752" t="s">
        <v>177</v>
      </c>
      <c r="D1082" s="751"/>
      <c r="E1082" s="741"/>
      <c r="F1082" s="741">
        <v>99</v>
      </c>
    </row>
    <row r="1083" spans="1:6">
      <c r="A1083" s="746" t="s">
        <v>549</v>
      </c>
      <c r="B1083" s="738" t="s">
        <v>180</v>
      </c>
      <c r="C1083" s="752" t="s">
        <v>165</v>
      </c>
      <c r="D1083" s="751"/>
      <c r="E1083" s="741"/>
      <c r="F1083" s="741">
        <v>99</v>
      </c>
    </row>
    <row r="1084" spans="1:6">
      <c r="A1084" s="746" t="s">
        <v>549</v>
      </c>
      <c r="B1084" s="738" t="s">
        <v>178</v>
      </c>
      <c r="C1084" s="752" t="s">
        <v>587</v>
      </c>
      <c r="D1084" s="751"/>
      <c r="E1084" s="741"/>
      <c r="F1084" s="741">
        <v>99</v>
      </c>
    </row>
    <row r="1085" spans="1:6">
      <c r="A1085" s="746" t="s">
        <v>549</v>
      </c>
      <c r="B1085" s="738" t="s">
        <v>161</v>
      </c>
      <c r="C1085" s="752" t="s">
        <v>594</v>
      </c>
      <c r="D1085" s="751"/>
      <c r="E1085" s="741"/>
      <c r="F1085" s="741">
        <v>99</v>
      </c>
    </row>
    <row r="1086" spans="1:6">
      <c r="A1086" s="746" t="s">
        <v>549</v>
      </c>
      <c r="B1086" s="738" t="s">
        <v>164</v>
      </c>
      <c r="C1086" s="752" t="s">
        <v>165</v>
      </c>
      <c r="D1086" s="751"/>
      <c r="E1086" s="741"/>
      <c r="F1086" s="741">
        <v>99</v>
      </c>
    </row>
    <row r="1087" spans="1:6">
      <c r="A1087" s="746" t="s">
        <v>549</v>
      </c>
      <c r="B1087" s="738" t="s">
        <v>170</v>
      </c>
      <c r="C1087" s="752" t="s">
        <v>171</v>
      </c>
      <c r="D1087" s="751"/>
      <c r="E1087" s="741"/>
      <c r="F1087" s="741">
        <v>99</v>
      </c>
    </row>
    <row r="1088" spans="1:6">
      <c r="A1088" s="746" t="s">
        <v>549</v>
      </c>
      <c r="B1088" s="738" t="s">
        <v>172</v>
      </c>
      <c r="C1088" s="757" t="s">
        <v>165</v>
      </c>
      <c r="D1088" s="744"/>
      <c r="E1088" s="741"/>
      <c r="F1088" s="741">
        <v>99</v>
      </c>
    </row>
    <row r="1089" spans="1:6">
      <c r="A1089" s="746" t="s">
        <v>549</v>
      </c>
      <c r="B1089" s="738" t="s">
        <v>173</v>
      </c>
      <c r="C1089" s="752" t="s">
        <v>587</v>
      </c>
      <c r="D1089" s="751"/>
      <c r="E1089" s="741"/>
      <c r="F1089" s="741">
        <v>99</v>
      </c>
    </row>
    <row r="1090" spans="1:6">
      <c r="A1090" s="746" t="s">
        <v>549</v>
      </c>
      <c r="B1090" s="738" t="s">
        <v>176</v>
      </c>
      <c r="C1090" s="752" t="s">
        <v>177</v>
      </c>
      <c r="D1090" s="751"/>
      <c r="E1090" s="741"/>
      <c r="F1090" s="741">
        <v>99</v>
      </c>
    </row>
    <row r="1091" spans="1:6">
      <c r="A1091" s="746" t="s">
        <v>549</v>
      </c>
      <c r="B1091" s="738" t="s">
        <v>180</v>
      </c>
      <c r="C1091" s="752" t="s">
        <v>165</v>
      </c>
      <c r="D1091" s="751"/>
      <c r="E1091" s="741"/>
      <c r="F1091" s="741">
        <v>99</v>
      </c>
    </row>
    <row r="1092" spans="1:6">
      <c r="A1092" s="746" t="s">
        <v>549</v>
      </c>
      <c r="B1092" s="738" t="s">
        <v>178</v>
      </c>
      <c r="C1092" s="752" t="s">
        <v>587</v>
      </c>
      <c r="D1092" s="751"/>
      <c r="E1092" s="741"/>
      <c r="F1092" s="741">
        <v>99</v>
      </c>
    </row>
    <row r="1093" spans="1:6">
      <c r="A1093" s="746" t="s">
        <v>549</v>
      </c>
      <c r="B1093" s="738" t="s">
        <v>161</v>
      </c>
      <c r="C1093" s="757" t="s">
        <v>1447</v>
      </c>
      <c r="D1093" s="744"/>
      <c r="E1093" s="741"/>
      <c r="F1093" s="741">
        <v>99</v>
      </c>
    </row>
    <row r="1094" spans="1:6">
      <c r="A1094" s="746" t="s">
        <v>549</v>
      </c>
      <c r="B1094" s="738" t="s">
        <v>170</v>
      </c>
      <c r="C1094" s="752" t="s">
        <v>171</v>
      </c>
      <c r="D1094" s="751"/>
      <c r="E1094" s="741"/>
      <c r="F1094" s="741">
        <v>99</v>
      </c>
    </row>
    <row r="1095" spans="1:6">
      <c r="A1095" s="746" t="s">
        <v>549</v>
      </c>
      <c r="B1095" s="738" t="s">
        <v>172</v>
      </c>
      <c r="C1095" s="752" t="s">
        <v>165</v>
      </c>
      <c r="D1095" s="751"/>
      <c r="E1095" s="741"/>
      <c r="F1095" s="741">
        <v>99</v>
      </c>
    </row>
    <row r="1096" spans="1:6">
      <c r="A1096" s="746" t="s">
        <v>549</v>
      </c>
      <c r="B1096" s="738" t="s">
        <v>173</v>
      </c>
      <c r="C1096" s="752" t="s">
        <v>167</v>
      </c>
      <c r="D1096" s="751"/>
      <c r="E1096" s="741"/>
      <c r="F1096" s="741">
        <v>99</v>
      </c>
    </row>
    <row r="1097" spans="1:6">
      <c r="A1097" s="746" t="s">
        <v>549</v>
      </c>
      <c r="B1097" s="738" t="s">
        <v>176</v>
      </c>
      <c r="C1097" s="752" t="s">
        <v>177</v>
      </c>
      <c r="D1097" s="751"/>
      <c r="E1097" s="741"/>
      <c r="F1097" s="741">
        <v>99</v>
      </c>
    </row>
    <row r="1098" spans="1:6">
      <c r="A1098" s="746" t="s">
        <v>549</v>
      </c>
      <c r="B1098" s="738" t="s">
        <v>180</v>
      </c>
      <c r="C1098" s="752" t="s">
        <v>165</v>
      </c>
      <c r="D1098" s="751"/>
      <c r="E1098" s="741"/>
      <c r="F1098" s="741">
        <v>99</v>
      </c>
    </row>
    <row r="1099" spans="1:6">
      <c r="A1099" s="746" t="s">
        <v>549</v>
      </c>
      <c r="B1099" s="738" t="s">
        <v>178</v>
      </c>
      <c r="C1099" s="752" t="s">
        <v>167</v>
      </c>
      <c r="D1099" s="751"/>
      <c r="E1099" s="741"/>
      <c r="F1099" s="741">
        <v>99</v>
      </c>
    </row>
    <row r="1100" spans="1:6">
      <c r="A1100" s="746" t="s">
        <v>549</v>
      </c>
      <c r="B1100" s="738" t="s">
        <v>191</v>
      </c>
      <c r="C1100" s="757" t="s">
        <v>1448</v>
      </c>
      <c r="D1100" s="744"/>
      <c r="E1100" s="741"/>
      <c r="F1100" s="741">
        <v>99</v>
      </c>
    </row>
    <row r="1101" spans="1:6">
      <c r="A1101" s="746" t="s">
        <v>549</v>
      </c>
      <c r="B1101" s="738" t="s">
        <v>170</v>
      </c>
      <c r="C1101" s="752" t="s">
        <v>171</v>
      </c>
      <c r="D1101" s="751"/>
      <c r="E1101" s="741"/>
      <c r="F1101" s="741">
        <v>99</v>
      </c>
    </row>
    <row r="1102" spans="1:6">
      <c r="A1102" s="746" t="s">
        <v>549</v>
      </c>
      <c r="B1102" s="738" t="s">
        <v>172</v>
      </c>
      <c r="C1102" s="752" t="s">
        <v>165</v>
      </c>
      <c r="D1102" s="751"/>
      <c r="E1102" s="741"/>
      <c r="F1102" s="741">
        <v>99</v>
      </c>
    </row>
    <row r="1103" spans="1:6">
      <c r="A1103" s="746" t="s">
        <v>549</v>
      </c>
      <c r="B1103" s="738" t="s">
        <v>191</v>
      </c>
      <c r="C1103" s="752" t="s">
        <v>167</v>
      </c>
      <c r="D1103" s="751"/>
      <c r="E1103" s="741"/>
      <c r="F1103" s="741">
        <v>99</v>
      </c>
    </row>
    <row r="1104" spans="1:6">
      <c r="A1104" s="746" t="s">
        <v>549</v>
      </c>
      <c r="B1104" s="738" t="s">
        <v>176</v>
      </c>
      <c r="C1104" s="752" t="s">
        <v>177</v>
      </c>
      <c r="D1104" s="751"/>
      <c r="E1104" s="741"/>
      <c r="F1104" s="741">
        <v>99</v>
      </c>
    </row>
    <row r="1105" spans="1:6">
      <c r="A1105" s="746" t="s">
        <v>549</v>
      </c>
      <c r="B1105" s="738" t="s">
        <v>180</v>
      </c>
      <c r="C1105" s="752" t="s">
        <v>165</v>
      </c>
      <c r="D1105" s="751"/>
      <c r="E1105" s="741"/>
      <c r="F1105" s="741">
        <v>99</v>
      </c>
    </row>
    <row r="1106" spans="1:6">
      <c r="A1106" s="746" t="s">
        <v>549</v>
      </c>
      <c r="B1106" s="738" t="s">
        <v>166</v>
      </c>
      <c r="C1106" s="752" t="s">
        <v>167</v>
      </c>
      <c r="D1106" s="751"/>
      <c r="E1106" s="741"/>
      <c r="F1106" s="741">
        <v>99</v>
      </c>
    </row>
    <row r="1107" spans="1:6">
      <c r="A1107" s="746" t="s">
        <v>549</v>
      </c>
      <c r="B1107" s="738" t="s">
        <v>161</v>
      </c>
      <c r="C1107" s="757" t="s">
        <v>1449</v>
      </c>
      <c r="D1107" s="744"/>
      <c r="E1107" s="741"/>
      <c r="F1107" s="741">
        <v>99</v>
      </c>
    </row>
    <row r="1108" spans="1:6">
      <c r="A1108" s="746" t="s">
        <v>549</v>
      </c>
      <c r="B1108" s="738" t="s">
        <v>170</v>
      </c>
      <c r="C1108" s="752" t="s">
        <v>171</v>
      </c>
      <c r="D1108" s="751"/>
      <c r="E1108" s="741"/>
      <c r="F1108" s="741">
        <v>99</v>
      </c>
    </row>
    <row r="1109" spans="1:6">
      <c r="A1109" s="746" t="s">
        <v>549</v>
      </c>
      <c r="B1109" s="738" t="s">
        <v>172</v>
      </c>
      <c r="C1109" s="752" t="s">
        <v>165</v>
      </c>
      <c r="D1109" s="751"/>
      <c r="E1109" s="741"/>
      <c r="F1109" s="741">
        <v>99</v>
      </c>
    </row>
    <row r="1110" spans="1:6">
      <c r="A1110" s="746" t="s">
        <v>549</v>
      </c>
      <c r="B1110" s="738" t="s">
        <v>166</v>
      </c>
      <c r="C1110" s="752" t="s">
        <v>167</v>
      </c>
      <c r="D1110" s="751"/>
      <c r="E1110" s="741"/>
      <c r="F1110" s="741">
        <v>99</v>
      </c>
    </row>
    <row r="1111" spans="1:6">
      <c r="A1111" s="746" t="s">
        <v>549</v>
      </c>
      <c r="B1111" s="738" t="s">
        <v>176</v>
      </c>
      <c r="C1111" s="752" t="s">
        <v>177</v>
      </c>
      <c r="D1111" s="751"/>
      <c r="E1111" s="741"/>
      <c r="F1111" s="741">
        <v>99</v>
      </c>
    </row>
    <row r="1112" spans="1:6">
      <c r="A1112" s="746" t="s">
        <v>549</v>
      </c>
      <c r="B1112" s="738" t="s">
        <v>180</v>
      </c>
      <c r="C1112" s="752" t="s">
        <v>165</v>
      </c>
      <c r="D1112" s="751"/>
      <c r="E1112" s="741"/>
      <c r="F1112" s="741">
        <v>99</v>
      </c>
    </row>
    <row r="1113" spans="1:6">
      <c r="A1113" s="746" t="s">
        <v>549</v>
      </c>
      <c r="B1113" s="738" t="s">
        <v>166</v>
      </c>
      <c r="C1113" s="752" t="s">
        <v>167</v>
      </c>
      <c r="D1113" s="751"/>
      <c r="E1113" s="741"/>
      <c r="F1113" s="741">
        <v>99</v>
      </c>
    </row>
    <row r="1114" spans="1:6">
      <c r="A1114" s="746" t="s">
        <v>549</v>
      </c>
      <c r="B1114" s="738" t="s">
        <v>191</v>
      </c>
      <c r="C1114" s="757" t="s">
        <v>1450</v>
      </c>
      <c r="D1114" s="744"/>
      <c r="E1114" s="741"/>
      <c r="F1114" s="741">
        <v>99</v>
      </c>
    </row>
    <row r="1115" spans="1:6">
      <c r="A1115" s="746" t="s">
        <v>549</v>
      </c>
      <c r="B1115" s="738" t="s">
        <v>170</v>
      </c>
      <c r="C1115" s="752" t="s">
        <v>171</v>
      </c>
      <c r="D1115" s="751"/>
      <c r="E1115" s="741"/>
      <c r="F1115" s="741">
        <v>99</v>
      </c>
    </row>
    <row r="1116" spans="1:6">
      <c r="A1116" s="746" t="s">
        <v>549</v>
      </c>
      <c r="B1116" s="738" t="s">
        <v>172</v>
      </c>
      <c r="C1116" s="752" t="s">
        <v>165</v>
      </c>
      <c r="D1116" s="751"/>
      <c r="E1116" s="741"/>
      <c r="F1116" s="741">
        <v>99</v>
      </c>
    </row>
    <row r="1117" spans="1:6">
      <c r="A1117" s="746" t="s">
        <v>549</v>
      </c>
      <c r="B1117" s="738" t="s">
        <v>191</v>
      </c>
      <c r="C1117" s="752" t="s">
        <v>167</v>
      </c>
      <c r="D1117" s="751"/>
      <c r="E1117" s="741"/>
      <c r="F1117" s="741">
        <v>99</v>
      </c>
    </row>
    <row r="1118" spans="1:6">
      <c r="A1118" s="746" t="s">
        <v>549</v>
      </c>
      <c r="B1118" s="738" t="s">
        <v>176</v>
      </c>
      <c r="C1118" s="752" t="s">
        <v>177</v>
      </c>
      <c r="D1118" s="751"/>
      <c r="E1118" s="741"/>
      <c r="F1118" s="741">
        <v>99</v>
      </c>
    </row>
    <row r="1119" spans="1:6">
      <c r="A1119" s="746" t="s">
        <v>549</v>
      </c>
      <c r="B1119" s="738" t="s">
        <v>180</v>
      </c>
      <c r="C1119" s="752" t="s">
        <v>165</v>
      </c>
      <c r="D1119" s="751"/>
      <c r="E1119" s="741"/>
      <c r="F1119" s="741">
        <v>99</v>
      </c>
    </row>
    <row r="1120" spans="1:6">
      <c r="A1120" s="746" t="s">
        <v>549</v>
      </c>
      <c r="B1120" s="738" t="s">
        <v>166</v>
      </c>
      <c r="C1120" s="752" t="s">
        <v>167</v>
      </c>
      <c r="D1120" s="751"/>
      <c r="E1120" s="741"/>
      <c r="F1120" s="741">
        <v>99</v>
      </c>
    </row>
    <row r="1121" spans="1:6">
      <c r="A1121" s="746" t="s">
        <v>549</v>
      </c>
      <c r="B1121" s="738" t="s">
        <v>161</v>
      </c>
      <c r="C1121" s="752" t="s">
        <v>595</v>
      </c>
      <c r="D1121" s="751"/>
      <c r="E1121" s="741"/>
      <c r="F1121" s="741">
        <v>99</v>
      </c>
    </row>
    <row r="1122" spans="1:6">
      <c r="A1122" s="746" t="s">
        <v>549</v>
      </c>
      <c r="B1122" s="738" t="s">
        <v>170</v>
      </c>
      <c r="C1122" s="752" t="s">
        <v>171</v>
      </c>
      <c r="D1122" s="751"/>
      <c r="E1122" s="741"/>
      <c r="F1122" s="741">
        <v>99</v>
      </c>
    </row>
    <row r="1123" spans="1:6">
      <c r="A1123" s="746" t="s">
        <v>549</v>
      </c>
      <c r="B1123" s="738" t="s">
        <v>172</v>
      </c>
      <c r="C1123" s="757" t="s">
        <v>165</v>
      </c>
      <c r="D1123" s="744"/>
      <c r="E1123" s="741"/>
      <c r="F1123" s="741">
        <v>99</v>
      </c>
    </row>
    <row r="1124" spans="1:6">
      <c r="A1124" s="746" t="s">
        <v>549</v>
      </c>
      <c r="B1124" s="738" t="s">
        <v>173</v>
      </c>
      <c r="C1124" s="752" t="s">
        <v>587</v>
      </c>
      <c r="D1124" s="751"/>
      <c r="E1124" s="741"/>
      <c r="F1124" s="741">
        <v>99</v>
      </c>
    </row>
    <row r="1125" spans="1:6">
      <c r="A1125" s="746" t="s">
        <v>549</v>
      </c>
      <c r="B1125" s="738" t="s">
        <v>176</v>
      </c>
      <c r="C1125" s="752" t="s">
        <v>177</v>
      </c>
      <c r="D1125" s="751"/>
      <c r="E1125" s="741"/>
      <c r="F1125" s="741">
        <v>99</v>
      </c>
    </row>
    <row r="1126" spans="1:6">
      <c r="A1126" s="746" t="s">
        <v>549</v>
      </c>
      <c r="B1126" s="738" t="s">
        <v>180</v>
      </c>
      <c r="C1126" s="752" t="s">
        <v>165</v>
      </c>
      <c r="D1126" s="751"/>
      <c r="E1126" s="741"/>
      <c r="F1126" s="741">
        <v>99</v>
      </c>
    </row>
    <row r="1127" spans="1:6">
      <c r="A1127" s="746" t="s">
        <v>549</v>
      </c>
      <c r="B1127" s="738" t="s">
        <v>178</v>
      </c>
      <c r="C1127" s="752" t="s">
        <v>587</v>
      </c>
      <c r="D1127" s="751"/>
      <c r="E1127" s="741"/>
      <c r="F1127" s="741">
        <v>99</v>
      </c>
    </row>
    <row r="1128" spans="1:6">
      <c r="A1128" s="746" t="s">
        <v>549</v>
      </c>
      <c r="B1128" s="738" t="s">
        <v>161</v>
      </c>
      <c r="C1128" s="752" t="s">
        <v>596</v>
      </c>
      <c r="D1128" s="751"/>
      <c r="E1128" s="741"/>
      <c r="F1128" s="741">
        <v>99</v>
      </c>
    </row>
    <row r="1129" spans="1:6">
      <c r="A1129" s="746" t="s">
        <v>549</v>
      </c>
      <c r="B1129" s="738" t="s">
        <v>170</v>
      </c>
      <c r="C1129" s="752" t="s">
        <v>171</v>
      </c>
      <c r="D1129" s="751"/>
      <c r="E1129" s="741"/>
      <c r="F1129" s="741">
        <v>99</v>
      </c>
    </row>
    <row r="1130" spans="1:6">
      <c r="A1130" s="746" t="s">
        <v>549</v>
      </c>
      <c r="B1130" s="738" t="s">
        <v>172</v>
      </c>
      <c r="C1130" s="757" t="s">
        <v>165</v>
      </c>
      <c r="D1130" s="744"/>
      <c r="E1130" s="741"/>
      <c r="F1130" s="741">
        <v>99</v>
      </c>
    </row>
    <row r="1131" spans="1:6">
      <c r="A1131" s="746" t="s">
        <v>549</v>
      </c>
      <c r="B1131" s="738" t="s">
        <v>173</v>
      </c>
      <c r="C1131" s="752" t="s">
        <v>587</v>
      </c>
      <c r="D1131" s="751"/>
      <c r="E1131" s="741"/>
      <c r="F1131" s="741">
        <v>99</v>
      </c>
    </row>
    <row r="1132" spans="1:6">
      <c r="A1132" s="746" t="s">
        <v>549</v>
      </c>
      <c r="B1132" s="738" t="s">
        <v>176</v>
      </c>
      <c r="C1132" s="752" t="s">
        <v>177</v>
      </c>
      <c r="D1132" s="751"/>
      <c r="E1132" s="741"/>
      <c r="F1132" s="741">
        <v>99</v>
      </c>
    </row>
    <row r="1133" spans="1:6">
      <c r="A1133" s="746" t="s">
        <v>549</v>
      </c>
      <c r="B1133" s="738" t="s">
        <v>180</v>
      </c>
      <c r="C1133" s="752" t="s">
        <v>165</v>
      </c>
      <c r="D1133" s="751"/>
      <c r="E1133" s="741"/>
      <c r="F1133" s="741">
        <v>99</v>
      </c>
    </row>
    <row r="1134" spans="1:6">
      <c r="A1134" s="746" t="s">
        <v>549</v>
      </c>
      <c r="B1134" s="738" t="s">
        <v>178</v>
      </c>
      <c r="C1134" s="752" t="s">
        <v>587</v>
      </c>
      <c r="D1134" s="751"/>
      <c r="E1134" s="741"/>
      <c r="F1134" s="741">
        <v>99</v>
      </c>
    </row>
    <row r="1135" spans="1:6">
      <c r="A1135" s="746" t="s">
        <v>549</v>
      </c>
      <c r="B1135" s="738" t="s">
        <v>161</v>
      </c>
      <c r="C1135" s="752" t="s">
        <v>597</v>
      </c>
      <c r="D1135" s="751"/>
      <c r="E1135" s="741"/>
      <c r="F1135" s="741">
        <v>99</v>
      </c>
    </row>
    <row r="1136" spans="1:6">
      <c r="A1136" s="746" t="s">
        <v>549</v>
      </c>
      <c r="B1136" s="738" t="s">
        <v>170</v>
      </c>
      <c r="C1136" s="752" t="s">
        <v>171</v>
      </c>
      <c r="D1136" s="751"/>
      <c r="E1136" s="741"/>
      <c r="F1136" s="741">
        <v>99</v>
      </c>
    </row>
    <row r="1137" spans="1:6">
      <c r="A1137" s="746" t="s">
        <v>549</v>
      </c>
      <c r="B1137" s="738" t="s">
        <v>172</v>
      </c>
      <c r="C1137" s="757" t="s">
        <v>165</v>
      </c>
      <c r="D1137" s="744"/>
      <c r="E1137" s="741"/>
      <c r="F1137" s="741">
        <v>99</v>
      </c>
    </row>
    <row r="1138" spans="1:6">
      <c r="A1138" s="746" t="s">
        <v>549</v>
      </c>
      <c r="B1138" s="738" t="s">
        <v>173</v>
      </c>
      <c r="C1138" s="752" t="s">
        <v>587</v>
      </c>
      <c r="D1138" s="751"/>
      <c r="E1138" s="741"/>
      <c r="F1138" s="741">
        <v>99</v>
      </c>
    </row>
    <row r="1139" spans="1:6">
      <c r="A1139" s="746" t="s">
        <v>549</v>
      </c>
      <c r="B1139" s="738" t="s">
        <v>176</v>
      </c>
      <c r="C1139" s="752" t="s">
        <v>177</v>
      </c>
      <c r="D1139" s="751"/>
      <c r="E1139" s="741"/>
      <c r="F1139" s="741">
        <v>99</v>
      </c>
    </row>
    <row r="1140" spans="1:6">
      <c r="A1140" s="746" t="s">
        <v>549</v>
      </c>
      <c r="B1140" s="738" t="s">
        <v>180</v>
      </c>
      <c r="C1140" s="752" t="s">
        <v>165</v>
      </c>
      <c r="D1140" s="751"/>
      <c r="E1140" s="741"/>
      <c r="F1140" s="741">
        <v>99</v>
      </c>
    </row>
    <row r="1141" spans="1:6">
      <c r="A1141" s="746" t="s">
        <v>549</v>
      </c>
      <c r="B1141" s="738" t="s">
        <v>178</v>
      </c>
      <c r="C1141" s="752" t="s">
        <v>587</v>
      </c>
      <c r="D1141" s="751"/>
      <c r="E1141" s="741"/>
      <c r="F1141" s="741">
        <v>99</v>
      </c>
    </row>
    <row r="1142" spans="1:6">
      <c r="A1142" s="746" t="s">
        <v>549</v>
      </c>
      <c r="B1142" s="738" t="s">
        <v>161</v>
      </c>
      <c r="C1142" s="752" t="s">
        <v>598</v>
      </c>
      <c r="D1142" s="751"/>
      <c r="E1142" s="741"/>
      <c r="F1142" s="741">
        <v>99</v>
      </c>
    </row>
    <row r="1143" spans="1:6">
      <c r="A1143" s="746" t="s">
        <v>549</v>
      </c>
      <c r="B1143" s="738" t="s">
        <v>170</v>
      </c>
      <c r="C1143" s="752" t="s">
        <v>171</v>
      </c>
      <c r="D1143" s="751"/>
      <c r="E1143" s="741"/>
      <c r="F1143" s="741">
        <v>99</v>
      </c>
    </row>
    <row r="1144" spans="1:6">
      <c r="A1144" s="746" t="s">
        <v>549</v>
      </c>
      <c r="B1144" s="738" t="s">
        <v>172</v>
      </c>
      <c r="C1144" s="757" t="s">
        <v>165</v>
      </c>
      <c r="D1144" s="744"/>
      <c r="E1144" s="741"/>
      <c r="F1144" s="741">
        <v>99</v>
      </c>
    </row>
    <row r="1145" spans="1:6">
      <c r="A1145" s="746" t="s">
        <v>549</v>
      </c>
      <c r="B1145" s="738" t="s">
        <v>173</v>
      </c>
      <c r="C1145" s="745" t="s">
        <v>587</v>
      </c>
      <c r="D1145" s="744"/>
      <c r="E1145" s="741"/>
      <c r="F1145" s="741">
        <v>99</v>
      </c>
    </row>
    <row r="1146" spans="1:6">
      <c r="A1146" s="746" t="s">
        <v>549</v>
      </c>
      <c r="B1146" s="738" t="s">
        <v>176</v>
      </c>
      <c r="C1146" s="745" t="s">
        <v>177</v>
      </c>
      <c r="D1146" s="744"/>
      <c r="E1146" s="741"/>
      <c r="F1146" s="741">
        <v>99</v>
      </c>
    </row>
    <row r="1147" spans="1:6">
      <c r="A1147" s="746" t="s">
        <v>549</v>
      </c>
      <c r="B1147" s="738" t="s">
        <v>180</v>
      </c>
      <c r="C1147" s="758" t="s">
        <v>165</v>
      </c>
      <c r="D1147" s="744"/>
      <c r="E1147" s="741"/>
      <c r="F1147" s="741">
        <v>99</v>
      </c>
    </row>
    <row r="1148" spans="1:6">
      <c r="A1148" s="746" t="s">
        <v>549</v>
      </c>
      <c r="B1148" s="738" t="s">
        <v>178</v>
      </c>
      <c r="C1148" s="752" t="s">
        <v>587</v>
      </c>
      <c r="D1148" s="751"/>
      <c r="E1148" s="741"/>
      <c r="F1148" s="741">
        <v>99</v>
      </c>
    </row>
    <row r="1149" spans="1:6" ht="78.5">
      <c r="A1149" s="746"/>
      <c r="B1149" s="738"/>
      <c r="C1149" s="769" t="s">
        <v>1667</v>
      </c>
      <c r="D1149" s="751"/>
      <c r="E1149" s="741"/>
      <c r="F1149" s="741"/>
    </row>
    <row r="1150" spans="1:6">
      <c r="A1150" s="746"/>
      <c r="B1150" s="738"/>
      <c r="C1150" s="745" t="s">
        <v>171</v>
      </c>
      <c r="D1150" s="751"/>
      <c r="E1150" s="741"/>
      <c r="F1150" s="741"/>
    </row>
    <row r="1151" spans="1:6">
      <c r="A1151" s="746"/>
      <c r="B1151" s="738"/>
      <c r="C1151" s="745" t="s">
        <v>165</v>
      </c>
      <c r="D1151" s="751"/>
      <c r="E1151" s="741"/>
      <c r="F1151" s="741"/>
    </row>
    <row r="1152" spans="1:6">
      <c r="A1152" s="746"/>
      <c r="B1152" s="738"/>
      <c r="C1152" s="745" t="s">
        <v>587</v>
      </c>
      <c r="D1152" s="751"/>
      <c r="E1152" s="741"/>
      <c r="F1152" s="741"/>
    </row>
    <row r="1153" spans="1:6">
      <c r="A1153" s="746"/>
      <c r="B1153" s="738"/>
      <c r="C1153" s="745" t="s">
        <v>177</v>
      </c>
      <c r="D1153" s="751"/>
      <c r="E1153" s="741"/>
      <c r="F1153" s="741"/>
    </row>
    <row r="1154" spans="1:6">
      <c r="A1154" s="746"/>
      <c r="B1154" s="738"/>
      <c r="C1154" s="745" t="s">
        <v>165</v>
      </c>
      <c r="D1154" s="751"/>
      <c r="E1154" s="741"/>
      <c r="F1154" s="741"/>
    </row>
    <row r="1155" spans="1:6">
      <c r="A1155" s="746"/>
      <c r="B1155" s="738"/>
      <c r="C1155" s="745" t="s">
        <v>587</v>
      </c>
      <c r="D1155" s="751"/>
      <c r="E1155" s="741"/>
      <c r="F1155" s="741"/>
    </row>
    <row r="1156" spans="1:6" ht="52.5">
      <c r="A1156" s="746"/>
      <c r="B1156" s="738"/>
      <c r="C1156" s="769" t="s">
        <v>1668</v>
      </c>
      <c r="D1156" s="751"/>
      <c r="E1156" s="741"/>
      <c r="F1156" s="741"/>
    </row>
    <row r="1157" spans="1:6">
      <c r="A1157" s="746"/>
      <c r="B1157" s="738"/>
      <c r="C1157" s="745" t="s">
        <v>171</v>
      </c>
      <c r="D1157" s="751"/>
      <c r="E1157" s="741"/>
      <c r="F1157" s="741"/>
    </row>
    <row r="1158" spans="1:6">
      <c r="A1158" s="746"/>
      <c r="B1158" s="738"/>
      <c r="C1158" s="745" t="s">
        <v>165</v>
      </c>
      <c r="D1158" s="751"/>
      <c r="E1158" s="741"/>
      <c r="F1158" s="741"/>
    </row>
    <row r="1159" spans="1:6">
      <c r="A1159" s="746"/>
      <c r="B1159" s="738"/>
      <c r="C1159" s="745" t="s">
        <v>587</v>
      </c>
      <c r="D1159" s="751"/>
      <c r="E1159" s="741"/>
      <c r="F1159" s="741"/>
    </row>
    <row r="1160" spans="1:6">
      <c r="A1160" s="746"/>
      <c r="B1160" s="738"/>
      <c r="C1160" s="745" t="s">
        <v>177</v>
      </c>
      <c r="D1160" s="751"/>
      <c r="E1160" s="741"/>
      <c r="F1160" s="741"/>
    </row>
    <row r="1161" spans="1:6">
      <c r="A1161" s="746"/>
      <c r="B1161" s="738"/>
      <c r="C1161" s="745" t="s">
        <v>165</v>
      </c>
      <c r="D1161" s="751"/>
      <c r="E1161" s="741"/>
      <c r="F1161" s="741"/>
    </row>
    <row r="1162" spans="1:6">
      <c r="A1162" s="746"/>
      <c r="B1162" s="738"/>
      <c r="C1162" s="745" t="s">
        <v>587</v>
      </c>
      <c r="D1162" s="751"/>
      <c r="E1162" s="741"/>
      <c r="F1162" s="741"/>
    </row>
    <row r="1163" spans="1:6" ht="26.5">
      <c r="A1163" s="746"/>
      <c r="B1163" s="738"/>
      <c r="C1163" s="769" t="s">
        <v>1669</v>
      </c>
      <c r="D1163" s="751"/>
      <c r="E1163" s="741"/>
      <c r="F1163" s="741"/>
    </row>
    <row r="1164" spans="1:6">
      <c r="A1164" s="746"/>
      <c r="B1164" s="738"/>
      <c r="C1164" s="745" t="s">
        <v>171</v>
      </c>
      <c r="D1164" s="751"/>
      <c r="E1164" s="741"/>
      <c r="F1164" s="741"/>
    </row>
    <row r="1165" spans="1:6">
      <c r="A1165" s="746"/>
      <c r="B1165" s="738"/>
      <c r="C1165" s="745" t="s">
        <v>165</v>
      </c>
      <c r="D1165" s="751"/>
      <c r="E1165" s="741"/>
      <c r="F1165" s="741"/>
    </row>
    <row r="1166" spans="1:6">
      <c r="A1166" s="746"/>
      <c r="B1166" s="738"/>
      <c r="C1166" s="745" t="s">
        <v>587</v>
      </c>
      <c r="D1166" s="751"/>
      <c r="E1166" s="741"/>
      <c r="F1166" s="741"/>
    </row>
    <row r="1167" spans="1:6">
      <c r="A1167" s="746"/>
      <c r="B1167" s="738"/>
      <c r="C1167" s="745" t="s">
        <v>177</v>
      </c>
      <c r="D1167" s="751"/>
      <c r="E1167" s="741"/>
      <c r="F1167" s="741"/>
    </row>
    <row r="1168" spans="1:6">
      <c r="A1168" s="746"/>
      <c r="B1168" s="738"/>
      <c r="C1168" s="745" t="s">
        <v>165</v>
      </c>
      <c r="D1168" s="751"/>
      <c r="E1168" s="741"/>
      <c r="F1168" s="741"/>
    </row>
    <row r="1169" spans="1:6">
      <c r="A1169" s="746"/>
      <c r="B1169" s="738"/>
      <c r="C1169" s="745" t="s">
        <v>587</v>
      </c>
      <c r="D1169" s="751"/>
      <c r="E1169" s="741"/>
      <c r="F1169" s="741"/>
    </row>
    <row r="1170" spans="1:6" ht="52.5">
      <c r="A1170" s="746"/>
      <c r="B1170" s="738"/>
      <c r="C1170" s="769" t="s">
        <v>1670</v>
      </c>
      <c r="D1170" s="751"/>
      <c r="E1170" s="741"/>
      <c r="F1170" s="741"/>
    </row>
    <row r="1171" spans="1:6">
      <c r="A1171" s="746"/>
      <c r="B1171" s="738"/>
      <c r="C1171" s="745" t="s">
        <v>171</v>
      </c>
      <c r="D1171" s="751"/>
      <c r="E1171" s="741"/>
      <c r="F1171" s="741"/>
    </row>
    <row r="1172" spans="1:6">
      <c r="A1172" s="746"/>
      <c r="B1172" s="738"/>
      <c r="C1172" s="745" t="s">
        <v>165</v>
      </c>
      <c r="D1172" s="751"/>
      <c r="E1172" s="741"/>
      <c r="F1172" s="741"/>
    </row>
    <row r="1173" spans="1:6">
      <c r="A1173" s="746"/>
      <c r="B1173" s="738"/>
      <c r="C1173" s="745" t="s">
        <v>587</v>
      </c>
      <c r="D1173" s="751"/>
      <c r="E1173" s="741"/>
      <c r="F1173" s="741"/>
    </row>
    <row r="1174" spans="1:6">
      <c r="A1174" s="746"/>
      <c r="B1174" s="738"/>
      <c r="C1174" s="745" t="s">
        <v>177</v>
      </c>
      <c r="D1174" s="751"/>
      <c r="E1174" s="741"/>
      <c r="F1174" s="741"/>
    </row>
    <row r="1175" spans="1:6">
      <c r="A1175" s="746"/>
      <c r="B1175" s="738"/>
      <c r="C1175" s="745" t="s">
        <v>165</v>
      </c>
      <c r="D1175" s="751"/>
      <c r="E1175" s="741"/>
      <c r="F1175" s="741"/>
    </row>
    <row r="1176" spans="1:6">
      <c r="A1176" s="746"/>
      <c r="B1176" s="738"/>
      <c r="C1176" s="745" t="s">
        <v>587</v>
      </c>
      <c r="D1176" s="751"/>
      <c r="E1176" s="741"/>
      <c r="F1176" s="741"/>
    </row>
    <row r="1177" spans="1:6" ht="39.5">
      <c r="A1177" s="746"/>
      <c r="B1177" s="738"/>
      <c r="C1177" s="769" t="s">
        <v>1671</v>
      </c>
      <c r="D1177" s="751"/>
      <c r="E1177" s="741"/>
      <c r="F1177" s="741"/>
    </row>
    <row r="1178" spans="1:6">
      <c r="A1178" s="746"/>
      <c r="B1178" s="738"/>
      <c r="C1178" s="745" t="s">
        <v>171</v>
      </c>
      <c r="D1178" s="751"/>
      <c r="E1178" s="741"/>
      <c r="F1178" s="741"/>
    </row>
    <row r="1179" spans="1:6">
      <c r="A1179" s="746"/>
      <c r="B1179" s="738"/>
      <c r="C1179" s="745" t="s">
        <v>165</v>
      </c>
      <c r="D1179" s="751"/>
      <c r="E1179" s="741"/>
      <c r="F1179" s="741"/>
    </row>
    <row r="1180" spans="1:6">
      <c r="A1180" s="746"/>
      <c r="B1180" s="738"/>
      <c r="C1180" s="745" t="s">
        <v>587</v>
      </c>
      <c r="D1180" s="751"/>
      <c r="E1180" s="741"/>
      <c r="F1180" s="741"/>
    </row>
    <row r="1181" spans="1:6">
      <c r="A1181" s="746"/>
      <c r="B1181" s="738"/>
      <c r="C1181" s="745" t="s">
        <v>177</v>
      </c>
      <c r="D1181" s="751"/>
      <c r="E1181" s="741"/>
      <c r="F1181" s="741"/>
    </row>
    <row r="1182" spans="1:6">
      <c r="A1182" s="746"/>
      <c r="B1182" s="738"/>
      <c r="C1182" s="745" t="s">
        <v>165</v>
      </c>
      <c r="D1182" s="751"/>
      <c r="E1182" s="741"/>
      <c r="F1182" s="741"/>
    </row>
    <row r="1183" spans="1:6">
      <c r="A1183" s="746"/>
      <c r="B1183" s="738"/>
      <c r="C1183" s="745" t="s">
        <v>587</v>
      </c>
      <c r="D1183" s="751"/>
      <c r="E1183" s="741"/>
      <c r="F1183" s="741"/>
    </row>
    <row r="1184" spans="1:6">
      <c r="A1184" s="746"/>
      <c r="B1184" s="738"/>
      <c r="C1184" s="745"/>
      <c r="D1184" s="751"/>
      <c r="E1184" s="741"/>
      <c r="F1184" s="741"/>
    </row>
    <row r="1185" spans="1:6">
      <c r="A1185" s="746" t="s">
        <v>549</v>
      </c>
      <c r="B1185" s="738" t="s">
        <v>187</v>
      </c>
      <c r="C1185" s="752" t="s">
        <v>188</v>
      </c>
      <c r="D1185" s="751"/>
      <c r="E1185" s="741"/>
      <c r="F1185" s="741">
        <v>99</v>
      </c>
    </row>
    <row r="1186" spans="1:6">
      <c r="A1186" s="746" t="s">
        <v>549</v>
      </c>
      <c r="B1186" s="738" t="s">
        <v>190</v>
      </c>
      <c r="C1186" s="752" t="s">
        <v>165</v>
      </c>
      <c r="D1186" s="751"/>
      <c r="E1186" s="741"/>
      <c r="F1186" s="741">
        <v>99</v>
      </c>
    </row>
    <row r="1187" spans="1:6">
      <c r="A1187" s="746" t="s">
        <v>549</v>
      </c>
      <c r="B1187" s="738" t="s">
        <v>191</v>
      </c>
      <c r="C1187" s="752" t="s">
        <v>167</v>
      </c>
      <c r="D1187" s="751"/>
      <c r="E1187" s="741"/>
      <c r="F1187" s="741">
        <v>99</v>
      </c>
    </row>
    <row r="1188" spans="1:6">
      <c r="A1188" s="746" t="s">
        <v>549</v>
      </c>
      <c r="B1188" s="738" t="s">
        <v>192</v>
      </c>
      <c r="C1188" s="752" t="s">
        <v>332</v>
      </c>
      <c r="D1188" s="751"/>
      <c r="E1188" s="741"/>
      <c r="F1188" s="741">
        <v>99</v>
      </c>
    </row>
    <row r="1189" spans="1:6">
      <c r="A1189" s="746" t="s">
        <v>549</v>
      </c>
      <c r="B1189" s="738" t="s">
        <v>195</v>
      </c>
      <c r="C1189" s="757" t="s">
        <v>165</v>
      </c>
      <c r="D1189" s="744"/>
      <c r="E1189" s="741"/>
      <c r="F1189" s="741">
        <v>99</v>
      </c>
    </row>
    <row r="1190" spans="1:6">
      <c r="A1190" s="746" t="s">
        <v>549</v>
      </c>
      <c r="B1190" s="738" t="s">
        <v>196</v>
      </c>
      <c r="C1190" s="745" t="s">
        <v>167</v>
      </c>
      <c r="D1190" s="744"/>
      <c r="E1190" s="741"/>
      <c r="F1190" s="741">
        <v>99</v>
      </c>
    </row>
    <row r="1191" spans="1:6">
      <c r="A1191" s="719" t="s">
        <v>599</v>
      </c>
      <c r="B1191" s="717" t="s">
        <v>62</v>
      </c>
      <c r="C1191" s="770" t="s">
        <v>600</v>
      </c>
      <c r="D1191" s="771"/>
      <c r="E1191" s="719">
        <v>176080</v>
      </c>
      <c r="F1191" s="719">
        <v>1</v>
      </c>
    </row>
    <row r="1192" spans="1:6">
      <c r="A1192" s="719" t="s">
        <v>599</v>
      </c>
      <c r="B1192" s="717" t="s">
        <v>64</v>
      </c>
      <c r="C1192" s="772" t="s">
        <v>601</v>
      </c>
      <c r="D1192" s="773"/>
      <c r="E1192" s="719">
        <v>176080</v>
      </c>
      <c r="F1192" s="719">
        <v>1</v>
      </c>
    </row>
    <row r="1193" spans="1:6">
      <c r="A1193" s="719" t="s">
        <v>599</v>
      </c>
      <c r="B1193" s="717" t="s">
        <v>74</v>
      </c>
      <c r="C1193" s="774" t="s">
        <v>602</v>
      </c>
      <c r="D1193" s="773"/>
      <c r="E1193" s="719">
        <v>176080</v>
      </c>
      <c r="F1193" s="719">
        <v>1</v>
      </c>
    </row>
    <row r="1194" spans="1:6">
      <c r="A1194" s="719" t="s">
        <v>599</v>
      </c>
      <c r="B1194" s="717" t="s">
        <v>76</v>
      </c>
      <c r="C1194" s="774" t="s">
        <v>603</v>
      </c>
      <c r="D1194" s="773"/>
      <c r="E1194" s="719">
        <v>176080</v>
      </c>
      <c r="F1194" s="719">
        <v>1</v>
      </c>
    </row>
    <row r="1195" spans="1:6">
      <c r="A1195" s="719" t="s">
        <v>599</v>
      </c>
      <c r="B1195" s="717" t="s">
        <v>78</v>
      </c>
      <c r="C1195" s="774" t="s">
        <v>374</v>
      </c>
      <c r="D1195" s="773"/>
      <c r="E1195" s="719">
        <v>176080</v>
      </c>
      <c r="F1195" s="719">
        <v>1</v>
      </c>
    </row>
    <row r="1196" spans="1:6">
      <c r="A1196" s="719" t="s">
        <v>599</v>
      </c>
      <c r="B1196" s="717" t="s">
        <v>78</v>
      </c>
      <c r="C1196" s="772" t="s">
        <v>604</v>
      </c>
      <c r="D1196" s="773"/>
      <c r="E1196" s="719">
        <v>176080</v>
      </c>
      <c r="F1196" s="719">
        <v>1</v>
      </c>
    </row>
    <row r="1197" spans="1:6">
      <c r="A1197" s="719" t="s">
        <v>599</v>
      </c>
      <c r="B1197" s="717" t="s">
        <v>78</v>
      </c>
      <c r="C1197" s="772" t="s">
        <v>605</v>
      </c>
      <c r="D1197" s="773"/>
      <c r="E1197" s="719">
        <v>176080</v>
      </c>
      <c r="F1197" s="719">
        <v>1</v>
      </c>
    </row>
    <row r="1198" spans="1:6">
      <c r="A1198" s="719" t="s">
        <v>599</v>
      </c>
      <c r="B1198" s="717" t="s">
        <v>78</v>
      </c>
      <c r="C1198" s="772" t="s">
        <v>606</v>
      </c>
      <c r="D1198" s="773"/>
      <c r="E1198" s="719">
        <v>176080</v>
      </c>
      <c r="F1198" s="719">
        <v>1</v>
      </c>
    </row>
    <row r="1199" spans="1:6">
      <c r="A1199" s="719" t="s">
        <v>599</v>
      </c>
      <c r="B1199" s="717" t="s">
        <v>78</v>
      </c>
      <c r="C1199" s="772" t="s">
        <v>607</v>
      </c>
      <c r="D1199" s="773"/>
      <c r="E1199" s="719">
        <v>176080</v>
      </c>
      <c r="F1199" s="719">
        <v>1</v>
      </c>
    </row>
    <row r="1200" spans="1:6">
      <c r="A1200" s="719" t="s">
        <v>599</v>
      </c>
      <c r="B1200" s="717" t="s">
        <v>78</v>
      </c>
      <c r="C1200" s="772" t="s">
        <v>608</v>
      </c>
      <c r="D1200" s="773"/>
      <c r="E1200" s="719">
        <v>176080</v>
      </c>
      <c r="F1200" s="719">
        <v>1</v>
      </c>
    </row>
    <row r="1201" spans="1:6">
      <c r="A1201" s="719" t="s">
        <v>599</v>
      </c>
      <c r="B1201" s="717" t="s">
        <v>62</v>
      </c>
      <c r="C1201" s="770" t="s">
        <v>615</v>
      </c>
      <c r="D1201" s="728"/>
      <c r="E1201" s="719">
        <v>176017</v>
      </c>
      <c r="F1201" s="719">
        <v>1</v>
      </c>
    </row>
    <row r="1202" spans="1:6">
      <c r="A1202" s="719" t="s">
        <v>599</v>
      </c>
      <c r="B1202" s="717" t="s">
        <v>69</v>
      </c>
      <c r="C1202" s="774" t="s">
        <v>616</v>
      </c>
      <c r="D1202" s="771"/>
      <c r="E1202" s="719">
        <v>176017</v>
      </c>
      <c r="F1202" s="719">
        <v>1</v>
      </c>
    </row>
    <row r="1203" spans="1:6">
      <c r="A1203" s="719" t="s">
        <v>599</v>
      </c>
      <c r="B1203" s="717" t="s">
        <v>69</v>
      </c>
      <c r="C1203" s="772" t="s">
        <v>617</v>
      </c>
      <c r="D1203" s="773"/>
      <c r="E1203" s="719">
        <v>176017</v>
      </c>
      <c r="F1203" s="719">
        <v>1</v>
      </c>
    </row>
    <row r="1204" spans="1:6">
      <c r="A1204" s="719" t="s">
        <v>599</v>
      </c>
      <c r="B1204" s="717" t="s">
        <v>78</v>
      </c>
      <c r="C1204" s="774" t="s">
        <v>374</v>
      </c>
      <c r="D1204" s="773"/>
      <c r="E1204" s="719">
        <v>176017</v>
      </c>
      <c r="F1204" s="719">
        <v>1</v>
      </c>
    </row>
    <row r="1205" spans="1:6">
      <c r="A1205" s="719" t="s">
        <v>599</v>
      </c>
      <c r="B1205" s="717" t="s">
        <v>78</v>
      </c>
      <c r="C1205" s="772" t="s">
        <v>618</v>
      </c>
      <c r="D1205" s="773"/>
      <c r="E1205" s="719">
        <v>176017</v>
      </c>
      <c r="F1205" s="719">
        <v>1</v>
      </c>
    </row>
    <row r="1206" spans="1:6">
      <c r="A1206" s="719" t="s">
        <v>599</v>
      </c>
      <c r="B1206" s="717" t="s">
        <v>78</v>
      </c>
      <c r="C1206" s="772" t="s">
        <v>619</v>
      </c>
      <c r="D1206" s="773"/>
      <c r="E1206" s="719">
        <v>176017</v>
      </c>
      <c r="F1206" s="719">
        <v>1</v>
      </c>
    </row>
    <row r="1207" spans="1:6">
      <c r="A1207" s="719" t="s">
        <v>599</v>
      </c>
      <c r="B1207" s="717" t="s">
        <v>78</v>
      </c>
      <c r="C1207" s="772" t="s">
        <v>620</v>
      </c>
      <c r="D1207" s="773"/>
      <c r="E1207" s="719">
        <v>176017</v>
      </c>
      <c r="F1207" s="719">
        <v>1</v>
      </c>
    </row>
    <row r="1208" spans="1:6">
      <c r="A1208" s="719" t="s">
        <v>599</v>
      </c>
      <c r="B1208" s="717" t="s">
        <v>78</v>
      </c>
      <c r="C1208" s="772" t="s">
        <v>621</v>
      </c>
      <c r="D1208" s="773"/>
      <c r="E1208" s="719">
        <v>176017</v>
      </c>
      <c r="F1208" s="719">
        <v>1</v>
      </c>
    </row>
    <row r="1209" spans="1:6">
      <c r="A1209" s="719" t="s">
        <v>599</v>
      </c>
      <c r="B1209" s="717" t="s">
        <v>78</v>
      </c>
      <c r="C1209" s="772" t="s">
        <v>622</v>
      </c>
      <c r="D1209" s="773"/>
      <c r="E1209" s="719">
        <v>176017</v>
      </c>
      <c r="F1209" s="719">
        <v>1</v>
      </c>
    </row>
    <row r="1210" spans="1:6">
      <c r="A1210" s="719" t="s">
        <v>599</v>
      </c>
      <c r="B1210" s="717" t="s">
        <v>78</v>
      </c>
      <c r="C1210" s="772" t="s">
        <v>1067</v>
      </c>
      <c r="D1210" s="773"/>
      <c r="E1210" s="719">
        <v>176017</v>
      </c>
      <c r="F1210" s="719">
        <v>1</v>
      </c>
    </row>
    <row r="1211" spans="1:6">
      <c r="A1211" s="719" t="s">
        <v>599</v>
      </c>
      <c r="B1211" s="717" t="s">
        <v>62</v>
      </c>
      <c r="C1211" s="770" t="s">
        <v>609</v>
      </c>
      <c r="D1211" s="775"/>
      <c r="E1211" s="719">
        <v>176372</v>
      </c>
      <c r="F1211" s="719">
        <v>1</v>
      </c>
    </row>
    <row r="1212" spans="1:6">
      <c r="A1212" s="719" t="s">
        <v>599</v>
      </c>
      <c r="B1212" s="717" t="s">
        <v>78</v>
      </c>
      <c r="C1212" s="774" t="s">
        <v>374</v>
      </c>
      <c r="D1212" s="773"/>
      <c r="E1212" s="719">
        <v>176372</v>
      </c>
      <c r="F1212" s="719">
        <v>1</v>
      </c>
    </row>
    <row r="1213" spans="1:6">
      <c r="A1213" s="719" t="s">
        <v>599</v>
      </c>
      <c r="B1213" s="717" t="s">
        <v>78</v>
      </c>
      <c r="C1213" s="772" t="s">
        <v>610</v>
      </c>
      <c r="D1213" s="773"/>
      <c r="E1213" s="719">
        <v>176372</v>
      </c>
      <c r="F1213" s="719">
        <v>1</v>
      </c>
    </row>
    <row r="1214" spans="1:6">
      <c r="A1214" s="719" t="s">
        <v>599</v>
      </c>
      <c r="B1214" s="717" t="s">
        <v>78</v>
      </c>
      <c r="C1214" s="772" t="s">
        <v>611</v>
      </c>
      <c r="D1214" s="773"/>
      <c r="E1214" s="719">
        <v>176372</v>
      </c>
      <c r="F1214" s="719">
        <v>1</v>
      </c>
    </row>
    <row r="1215" spans="1:6">
      <c r="A1215" s="719" t="s">
        <v>599</v>
      </c>
      <c r="B1215" s="717" t="s">
        <v>78</v>
      </c>
      <c r="C1215" s="772" t="s">
        <v>612</v>
      </c>
      <c r="D1215" s="773"/>
      <c r="E1215" s="719">
        <v>176372</v>
      </c>
      <c r="F1215" s="719">
        <v>1</v>
      </c>
    </row>
    <row r="1216" spans="1:6">
      <c r="A1216" s="719" t="s">
        <v>599</v>
      </c>
      <c r="B1216" s="717" t="s">
        <v>62</v>
      </c>
      <c r="C1216" s="770" t="s">
        <v>613</v>
      </c>
      <c r="D1216" s="771"/>
      <c r="E1216" s="719">
        <v>175856</v>
      </c>
      <c r="F1216" s="719">
        <v>2</v>
      </c>
    </row>
    <row r="1217" spans="1:6">
      <c r="A1217" s="719" t="s">
        <v>599</v>
      </c>
      <c r="B1217" s="717" t="s">
        <v>78</v>
      </c>
      <c r="C1217" s="774" t="s">
        <v>614</v>
      </c>
      <c r="D1217" s="773"/>
      <c r="E1217" s="719">
        <v>175856</v>
      </c>
      <c r="F1217" s="719">
        <v>2</v>
      </c>
    </row>
    <row r="1218" spans="1:6">
      <c r="A1218" s="719" t="s">
        <v>599</v>
      </c>
      <c r="B1218" s="717" t="s">
        <v>62</v>
      </c>
      <c r="C1218" s="717" t="s">
        <v>623</v>
      </c>
      <c r="D1218" s="773"/>
      <c r="E1218" s="719">
        <v>175342</v>
      </c>
      <c r="F1218" s="719">
        <v>4</v>
      </c>
    </row>
    <row r="1219" spans="1:6">
      <c r="A1219" s="719" t="s">
        <v>599</v>
      </c>
      <c r="B1219" s="717" t="s">
        <v>74</v>
      </c>
      <c r="C1219" s="772" t="s">
        <v>624</v>
      </c>
      <c r="D1219" s="773"/>
      <c r="E1219" s="719">
        <v>175342</v>
      </c>
      <c r="F1219" s="719">
        <v>4</v>
      </c>
    </row>
    <row r="1220" spans="1:6">
      <c r="A1220" s="719" t="s">
        <v>599</v>
      </c>
      <c r="B1220" s="717" t="s">
        <v>62</v>
      </c>
      <c r="C1220" s="770" t="s">
        <v>625</v>
      </c>
      <c r="D1220" s="775"/>
      <c r="E1220" s="719">
        <v>175616</v>
      </c>
      <c r="F1220" s="719">
        <v>4</v>
      </c>
    </row>
    <row r="1221" spans="1:6">
      <c r="A1221" s="719" t="s">
        <v>599</v>
      </c>
      <c r="B1221" s="717" t="s">
        <v>62</v>
      </c>
      <c r="C1221" s="770" t="s">
        <v>627</v>
      </c>
      <c r="D1221" s="718"/>
      <c r="E1221" s="719">
        <v>176035</v>
      </c>
      <c r="F1221" s="719">
        <v>4</v>
      </c>
    </row>
    <row r="1222" spans="1:6">
      <c r="A1222" s="719" t="s">
        <v>599</v>
      </c>
      <c r="B1222" s="717" t="s">
        <v>62</v>
      </c>
      <c r="C1222" s="717" t="s">
        <v>626</v>
      </c>
      <c r="D1222" s="775"/>
      <c r="E1222" s="719">
        <v>176044</v>
      </c>
      <c r="F1222" s="719">
        <v>4</v>
      </c>
    </row>
    <row r="1223" spans="1:6">
      <c r="A1223" s="719" t="s">
        <v>599</v>
      </c>
      <c r="B1223" s="717" t="s">
        <v>118</v>
      </c>
      <c r="C1223" s="771" t="s">
        <v>406</v>
      </c>
      <c r="D1223" s="771"/>
      <c r="E1223" s="719"/>
      <c r="F1223" s="719">
        <v>99</v>
      </c>
    </row>
    <row r="1224" spans="1:6">
      <c r="A1224" s="719" t="s">
        <v>599</v>
      </c>
      <c r="B1224" s="717" t="s">
        <v>336</v>
      </c>
      <c r="C1224" s="774" t="s">
        <v>70</v>
      </c>
      <c r="D1224" s="773"/>
      <c r="E1224" s="719"/>
      <c r="F1224" s="719">
        <v>99</v>
      </c>
    </row>
    <row r="1225" spans="1:6">
      <c r="A1225" s="719" t="s">
        <v>599</v>
      </c>
      <c r="B1225" s="717" t="s">
        <v>336</v>
      </c>
      <c r="C1225" s="772" t="s">
        <v>628</v>
      </c>
      <c r="D1225" s="773"/>
      <c r="E1225" s="719"/>
      <c r="F1225" s="719">
        <v>99</v>
      </c>
    </row>
    <row r="1226" spans="1:6">
      <c r="A1226" s="719" t="s">
        <v>599</v>
      </c>
      <c r="B1226" s="717" t="s">
        <v>132</v>
      </c>
      <c r="C1226" s="771" t="s">
        <v>476</v>
      </c>
      <c r="D1226" s="771"/>
      <c r="E1226" s="719"/>
      <c r="F1226" s="719">
        <v>99</v>
      </c>
    </row>
    <row r="1227" spans="1:6">
      <c r="A1227" s="719" t="s">
        <v>599</v>
      </c>
      <c r="B1227" s="717" t="s">
        <v>138</v>
      </c>
      <c r="C1227" s="771" t="s">
        <v>139</v>
      </c>
      <c r="D1227" s="771"/>
      <c r="E1227" s="719"/>
      <c r="F1227" s="719">
        <v>99</v>
      </c>
    </row>
    <row r="1228" spans="1:6">
      <c r="A1228" s="719" t="s">
        <v>599</v>
      </c>
      <c r="B1228" s="717" t="s">
        <v>140</v>
      </c>
      <c r="C1228" s="774" t="s">
        <v>141</v>
      </c>
      <c r="D1228" s="773"/>
      <c r="E1228" s="719"/>
      <c r="F1228" s="719">
        <v>99</v>
      </c>
    </row>
    <row r="1229" spans="1:6">
      <c r="A1229" s="719" t="s">
        <v>599</v>
      </c>
      <c r="B1229" s="717" t="s">
        <v>140</v>
      </c>
      <c r="C1229" s="772" t="s">
        <v>629</v>
      </c>
      <c r="D1229" s="773" t="s">
        <v>1672</v>
      </c>
      <c r="E1229" s="719"/>
      <c r="F1229" s="719">
        <v>99</v>
      </c>
    </row>
    <row r="1230" spans="1:6">
      <c r="A1230" s="719" t="s">
        <v>599</v>
      </c>
      <c r="B1230" s="717" t="s">
        <v>145</v>
      </c>
      <c r="C1230" s="774" t="s">
        <v>146</v>
      </c>
      <c r="D1230" s="773"/>
      <c r="E1230" s="719"/>
      <c r="F1230" s="719">
        <v>99</v>
      </c>
    </row>
    <row r="1231" spans="1:6">
      <c r="A1231" s="719" t="s">
        <v>599</v>
      </c>
      <c r="B1231" s="717" t="s">
        <v>145</v>
      </c>
      <c r="C1231" s="772" t="s">
        <v>304</v>
      </c>
      <c r="D1231" s="773"/>
      <c r="E1231" s="719"/>
      <c r="F1231" s="719">
        <v>99</v>
      </c>
    </row>
    <row r="1232" spans="1:6">
      <c r="A1232" s="719" t="s">
        <v>599</v>
      </c>
      <c r="B1232" s="717" t="s">
        <v>149</v>
      </c>
      <c r="C1232" s="774" t="s">
        <v>630</v>
      </c>
      <c r="D1232" s="773"/>
      <c r="E1232" s="719"/>
      <c r="F1232" s="719">
        <v>99</v>
      </c>
    </row>
    <row r="1233" spans="1:6">
      <c r="A1233" s="719" t="s">
        <v>599</v>
      </c>
      <c r="B1233" s="717" t="s">
        <v>151</v>
      </c>
      <c r="C1233" s="771" t="s">
        <v>152</v>
      </c>
      <c r="D1233" s="771"/>
      <c r="E1233" s="719"/>
      <c r="F1233" s="719">
        <v>99</v>
      </c>
    </row>
    <row r="1234" spans="1:6">
      <c r="A1234" s="719" t="s">
        <v>599</v>
      </c>
      <c r="B1234" s="717" t="s">
        <v>248</v>
      </c>
      <c r="C1234" s="771" t="s">
        <v>249</v>
      </c>
      <c r="D1234" s="771"/>
      <c r="E1234" s="719"/>
      <c r="F1234" s="719">
        <v>99</v>
      </c>
    </row>
    <row r="1235" spans="1:6">
      <c r="A1235" s="719" t="s">
        <v>599</v>
      </c>
      <c r="B1235" s="717" t="s">
        <v>250</v>
      </c>
      <c r="C1235" s="774" t="s">
        <v>251</v>
      </c>
      <c r="D1235" s="773"/>
      <c r="E1235" s="719"/>
      <c r="F1235" s="719">
        <v>99</v>
      </c>
    </row>
    <row r="1236" spans="1:6">
      <c r="A1236" s="719" t="s">
        <v>599</v>
      </c>
      <c r="B1236" s="717" t="s">
        <v>250</v>
      </c>
      <c r="C1236" s="772" t="s">
        <v>255</v>
      </c>
      <c r="D1236" s="773"/>
      <c r="E1236" s="719"/>
      <c r="F1236" s="719">
        <v>99</v>
      </c>
    </row>
    <row r="1237" spans="1:6">
      <c r="A1237" s="719" t="s">
        <v>599</v>
      </c>
      <c r="B1237" s="717" t="s">
        <v>258</v>
      </c>
      <c r="C1237" s="774" t="s">
        <v>259</v>
      </c>
      <c r="D1237" s="773"/>
      <c r="E1237" s="719"/>
      <c r="F1237" s="719">
        <v>99</v>
      </c>
    </row>
    <row r="1238" spans="1:6">
      <c r="A1238" s="719" t="s">
        <v>599</v>
      </c>
      <c r="B1238" s="717" t="s">
        <v>258</v>
      </c>
      <c r="C1238" s="772" t="s">
        <v>485</v>
      </c>
      <c r="D1238" s="773"/>
      <c r="E1238" s="719"/>
      <c r="F1238" s="719">
        <v>99</v>
      </c>
    </row>
    <row r="1239" spans="1:6">
      <c r="A1239" s="719" t="s">
        <v>599</v>
      </c>
      <c r="B1239" s="717" t="s">
        <v>159</v>
      </c>
      <c r="C1239" s="771" t="s">
        <v>160</v>
      </c>
      <c r="D1239" s="771"/>
      <c r="E1239" s="719"/>
      <c r="F1239" s="719">
        <v>99</v>
      </c>
    </row>
    <row r="1240" spans="1:6">
      <c r="A1240" s="719" t="s">
        <v>599</v>
      </c>
      <c r="B1240" s="717" t="s">
        <v>161</v>
      </c>
      <c r="C1240" s="776" t="s">
        <v>162</v>
      </c>
      <c r="D1240" s="775"/>
      <c r="E1240" s="777"/>
      <c r="F1240" s="719">
        <v>99</v>
      </c>
    </row>
    <row r="1241" spans="1:6">
      <c r="A1241" s="719" t="s">
        <v>599</v>
      </c>
      <c r="B1241" s="717" t="s">
        <v>161</v>
      </c>
      <c r="C1241" s="773" t="s">
        <v>632</v>
      </c>
      <c r="D1241" s="773"/>
      <c r="E1241" s="777"/>
      <c r="F1241" s="719">
        <v>99</v>
      </c>
    </row>
    <row r="1242" spans="1:6">
      <c r="A1242" s="719" t="s">
        <v>599</v>
      </c>
      <c r="B1242" s="778" t="s">
        <v>170</v>
      </c>
      <c r="C1242" s="772" t="s">
        <v>171</v>
      </c>
      <c r="D1242" s="773"/>
      <c r="E1242" s="719"/>
      <c r="F1242" s="719">
        <v>99</v>
      </c>
    </row>
    <row r="1243" spans="1:6">
      <c r="A1243" s="719" t="s">
        <v>599</v>
      </c>
      <c r="B1243" s="778" t="s">
        <v>172</v>
      </c>
      <c r="C1243" s="772" t="s">
        <v>165</v>
      </c>
      <c r="D1243" s="773"/>
      <c r="E1243" s="777"/>
      <c r="F1243" s="719">
        <v>99</v>
      </c>
    </row>
    <row r="1244" spans="1:6">
      <c r="A1244" s="719" t="s">
        <v>599</v>
      </c>
      <c r="B1244" s="778" t="s">
        <v>176</v>
      </c>
      <c r="C1244" s="772" t="s">
        <v>177</v>
      </c>
      <c r="D1244" s="773"/>
      <c r="E1244" s="777"/>
      <c r="F1244" s="719">
        <v>99</v>
      </c>
    </row>
    <row r="1245" spans="1:6">
      <c r="A1245" s="719" t="s">
        <v>599</v>
      </c>
      <c r="B1245" s="778" t="s">
        <v>180</v>
      </c>
      <c r="C1245" s="772" t="s">
        <v>165</v>
      </c>
      <c r="D1245" s="773"/>
      <c r="E1245" s="777"/>
      <c r="F1245" s="719">
        <v>99</v>
      </c>
    </row>
    <row r="1246" spans="1:6">
      <c r="A1246" s="719" t="s">
        <v>599</v>
      </c>
      <c r="B1246" s="778" t="s">
        <v>161</v>
      </c>
      <c r="C1246" s="773" t="s">
        <v>634</v>
      </c>
      <c r="D1246" s="773"/>
      <c r="E1246" s="777"/>
      <c r="F1246" s="719">
        <v>99</v>
      </c>
    </row>
    <row r="1247" spans="1:6">
      <c r="A1247" s="719" t="s">
        <v>599</v>
      </c>
      <c r="B1247" s="778" t="s">
        <v>170</v>
      </c>
      <c r="C1247" s="772" t="s">
        <v>171</v>
      </c>
      <c r="D1247" s="773"/>
      <c r="E1247" s="777"/>
      <c r="F1247" s="719">
        <v>99</v>
      </c>
    </row>
    <row r="1248" spans="1:6">
      <c r="A1248" s="719" t="s">
        <v>599</v>
      </c>
      <c r="B1248" s="778" t="s">
        <v>173</v>
      </c>
      <c r="C1248" s="772" t="s">
        <v>167</v>
      </c>
      <c r="D1248" s="773"/>
      <c r="E1248" s="777"/>
      <c r="F1248" s="719">
        <v>99</v>
      </c>
    </row>
    <row r="1249" spans="1:6">
      <c r="A1249" s="719" t="s">
        <v>599</v>
      </c>
      <c r="B1249" s="778" t="s">
        <v>176</v>
      </c>
      <c r="C1249" s="772" t="s">
        <v>177</v>
      </c>
      <c r="D1249" s="773"/>
      <c r="E1249" s="777"/>
      <c r="F1249" s="719">
        <v>99</v>
      </c>
    </row>
    <row r="1250" spans="1:6">
      <c r="A1250" s="719" t="s">
        <v>599</v>
      </c>
      <c r="B1250" s="778" t="s">
        <v>178</v>
      </c>
      <c r="C1250" s="772" t="s">
        <v>167</v>
      </c>
      <c r="D1250" s="773"/>
      <c r="E1250" s="777"/>
      <c r="F1250" s="719">
        <v>99</v>
      </c>
    </row>
    <row r="1251" spans="1:6">
      <c r="A1251" s="719" t="s">
        <v>599</v>
      </c>
      <c r="B1251" s="778" t="s">
        <v>173</v>
      </c>
      <c r="C1251" s="773" t="s">
        <v>635</v>
      </c>
      <c r="D1251" s="773"/>
      <c r="E1251" s="777"/>
      <c r="F1251" s="719">
        <v>99</v>
      </c>
    </row>
    <row r="1252" spans="1:6">
      <c r="A1252" s="719" t="s">
        <v>599</v>
      </c>
      <c r="B1252" s="778" t="s">
        <v>170</v>
      </c>
      <c r="C1252" s="772" t="s">
        <v>171</v>
      </c>
      <c r="D1252" s="773"/>
      <c r="E1252" s="719"/>
      <c r="F1252" s="719">
        <v>99</v>
      </c>
    </row>
    <row r="1253" spans="1:6">
      <c r="A1253" s="719" t="s">
        <v>599</v>
      </c>
      <c r="B1253" s="778" t="s">
        <v>191</v>
      </c>
      <c r="C1253" s="772" t="s">
        <v>167</v>
      </c>
      <c r="D1253" s="773"/>
      <c r="E1253" s="777"/>
      <c r="F1253" s="719">
        <v>99</v>
      </c>
    </row>
    <row r="1254" spans="1:6">
      <c r="A1254" s="719" t="s">
        <v>599</v>
      </c>
      <c r="B1254" s="778" t="s">
        <v>176</v>
      </c>
      <c r="C1254" s="772" t="s">
        <v>177</v>
      </c>
      <c r="D1254" s="773"/>
      <c r="E1254" s="777"/>
      <c r="F1254" s="719">
        <v>99</v>
      </c>
    </row>
    <row r="1255" spans="1:6">
      <c r="A1255" s="719" t="s">
        <v>599</v>
      </c>
      <c r="B1255" s="778" t="s">
        <v>178</v>
      </c>
      <c r="C1255" s="772" t="s">
        <v>167</v>
      </c>
      <c r="D1255" s="773"/>
      <c r="E1255" s="777"/>
      <c r="F1255" s="719">
        <v>99</v>
      </c>
    </row>
    <row r="1256" spans="1:6">
      <c r="A1256" s="719" t="s">
        <v>599</v>
      </c>
      <c r="B1256" s="778" t="s">
        <v>170</v>
      </c>
      <c r="C1256" s="773" t="s">
        <v>1451</v>
      </c>
      <c r="D1256" s="773"/>
      <c r="E1256" s="777"/>
      <c r="F1256" s="719">
        <v>99</v>
      </c>
    </row>
    <row r="1257" spans="1:6">
      <c r="A1257" s="719" t="s">
        <v>599</v>
      </c>
      <c r="B1257" s="778" t="s">
        <v>161</v>
      </c>
      <c r="C1257" s="773" t="s">
        <v>1068</v>
      </c>
      <c r="D1257" s="775"/>
      <c r="E1257" s="777"/>
      <c r="F1257" s="719">
        <v>99</v>
      </c>
    </row>
    <row r="1258" spans="1:6">
      <c r="A1258" s="719" t="s">
        <v>599</v>
      </c>
      <c r="B1258" s="778" t="s">
        <v>170</v>
      </c>
      <c r="C1258" s="772" t="s">
        <v>171</v>
      </c>
      <c r="D1258" s="773"/>
      <c r="E1258" s="719"/>
      <c r="F1258" s="719">
        <v>99</v>
      </c>
    </row>
    <row r="1259" spans="1:6">
      <c r="A1259" s="719" t="s">
        <v>599</v>
      </c>
      <c r="B1259" s="778" t="s">
        <v>173</v>
      </c>
      <c r="C1259" s="772" t="s">
        <v>167</v>
      </c>
      <c r="D1259" s="773"/>
      <c r="E1259" s="777"/>
      <c r="F1259" s="719">
        <v>99</v>
      </c>
    </row>
    <row r="1260" spans="1:6">
      <c r="A1260" s="719" t="s">
        <v>599</v>
      </c>
      <c r="B1260" s="778" t="s">
        <v>176</v>
      </c>
      <c r="C1260" s="772" t="s">
        <v>177</v>
      </c>
      <c r="D1260" s="773"/>
      <c r="E1260" s="777"/>
      <c r="F1260" s="719">
        <v>99</v>
      </c>
    </row>
    <row r="1261" spans="1:6">
      <c r="A1261" s="719" t="s">
        <v>599</v>
      </c>
      <c r="B1261" s="778" t="s">
        <v>178</v>
      </c>
      <c r="C1261" s="772" t="s">
        <v>167</v>
      </c>
      <c r="D1261" s="773"/>
      <c r="E1261" s="777"/>
      <c r="F1261" s="719">
        <v>99</v>
      </c>
    </row>
    <row r="1262" spans="1:6">
      <c r="A1262" s="719" t="s">
        <v>599</v>
      </c>
      <c r="B1262" s="778" t="s">
        <v>187</v>
      </c>
      <c r="C1262" s="779" t="s">
        <v>188</v>
      </c>
      <c r="D1262" s="780"/>
      <c r="E1262" s="777"/>
      <c r="F1262" s="719">
        <v>99</v>
      </c>
    </row>
    <row r="1263" spans="1:6">
      <c r="A1263" s="719" t="s">
        <v>599</v>
      </c>
      <c r="B1263" s="778" t="s">
        <v>187</v>
      </c>
      <c r="C1263" s="773" t="s">
        <v>633</v>
      </c>
      <c r="D1263" s="780" t="s">
        <v>1452</v>
      </c>
      <c r="E1263" s="777"/>
      <c r="F1263" s="719">
        <v>99</v>
      </c>
    </row>
    <row r="1264" spans="1:6">
      <c r="A1264" s="719" t="s">
        <v>599</v>
      </c>
      <c r="B1264" s="778" t="s">
        <v>190</v>
      </c>
      <c r="C1264" s="772" t="s">
        <v>165</v>
      </c>
      <c r="D1264" s="780"/>
      <c r="E1264" s="777"/>
      <c r="F1264" s="719">
        <v>99</v>
      </c>
    </row>
    <row r="1265" spans="1:6">
      <c r="A1265" s="719" t="s">
        <v>599</v>
      </c>
      <c r="B1265" s="778" t="s">
        <v>191</v>
      </c>
      <c r="C1265" s="772" t="s">
        <v>167</v>
      </c>
      <c r="D1265" s="780"/>
      <c r="E1265" s="777"/>
      <c r="F1265" s="719">
        <v>99</v>
      </c>
    </row>
    <row r="1266" spans="1:6">
      <c r="A1266" s="719" t="s">
        <v>599</v>
      </c>
      <c r="B1266" s="778" t="s">
        <v>187</v>
      </c>
      <c r="C1266" s="773" t="s">
        <v>1068</v>
      </c>
      <c r="D1266" s="780"/>
      <c r="E1266" s="777"/>
      <c r="F1266" s="719">
        <v>99</v>
      </c>
    </row>
    <row r="1267" spans="1:6">
      <c r="A1267" s="719" t="s">
        <v>599</v>
      </c>
      <c r="B1267" s="778" t="s">
        <v>190</v>
      </c>
      <c r="C1267" s="772" t="s">
        <v>165</v>
      </c>
      <c r="D1267" s="773"/>
      <c r="E1267" s="777"/>
      <c r="F1267" s="719">
        <v>99</v>
      </c>
    </row>
    <row r="1268" spans="1:6">
      <c r="A1268" s="719" t="s">
        <v>599</v>
      </c>
      <c r="B1268" s="778" t="s">
        <v>191</v>
      </c>
      <c r="C1268" s="772" t="s">
        <v>1453</v>
      </c>
      <c r="D1268" s="773"/>
      <c r="E1268" s="777"/>
      <c r="F1268" s="719">
        <v>99</v>
      </c>
    </row>
    <row r="1269" spans="1:6">
      <c r="A1269" s="719" t="s">
        <v>599</v>
      </c>
      <c r="B1269" s="778" t="s">
        <v>192</v>
      </c>
      <c r="C1269" s="779" t="s">
        <v>193</v>
      </c>
      <c r="D1269" s="775"/>
      <c r="E1269" s="777"/>
      <c r="F1269" s="719">
        <v>99</v>
      </c>
    </row>
    <row r="1270" spans="1:6">
      <c r="A1270" s="719" t="s">
        <v>599</v>
      </c>
      <c r="B1270" s="778" t="s">
        <v>192</v>
      </c>
      <c r="C1270" s="773" t="s">
        <v>1068</v>
      </c>
      <c r="D1270" s="775"/>
      <c r="E1270" s="777"/>
      <c r="F1270" s="719">
        <v>99</v>
      </c>
    </row>
    <row r="1271" spans="1:6">
      <c r="A1271" s="719" t="s">
        <v>599</v>
      </c>
      <c r="B1271" s="778" t="s">
        <v>196</v>
      </c>
      <c r="C1271" s="772" t="s">
        <v>1454</v>
      </c>
      <c r="D1271" s="775"/>
      <c r="E1271" s="777"/>
      <c r="F1271" s="719">
        <v>99</v>
      </c>
    </row>
    <row r="1272" spans="1:6">
      <c r="A1272" s="724" t="s">
        <v>599</v>
      </c>
      <c r="B1272" s="725"/>
      <c r="C1272" s="725"/>
      <c r="D1272" s="721"/>
      <c r="E1272" s="726"/>
      <c r="F1272" s="726"/>
    </row>
    <row r="1273" spans="1:6">
      <c r="A1273" s="1020" t="s">
        <v>636</v>
      </c>
      <c r="B1273" s="1021" t="s">
        <v>62</v>
      </c>
      <c r="C1273" s="1022" t="s">
        <v>637</v>
      </c>
      <c r="D1273" s="1023"/>
      <c r="E1273" s="1024">
        <v>199193</v>
      </c>
      <c r="F1273" s="1025">
        <v>1</v>
      </c>
    </row>
    <row r="1274" spans="1:6">
      <c r="A1274" s="1020" t="s">
        <v>636</v>
      </c>
      <c r="B1274" s="1021" t="s">
        <v>64</v>
      </c>
      <c r="C1274" s="1026" t="s">
        <v>601</v>
      </c>
      <c r="D1274" s="1027"/>
      <c r="E1274" s="1024">
        <v>199193</v>
      </c>
      <c r="F1274" s="1025">
        <v>1</v>
      </c>
    </row>
    <row r="1275" spans="1:6">
      <c r="A1275" s="1020" t="s">
        <v>636</v>
      </c>
      <c r="B1275" s="1021" t="s">
        <v>74</v>
      </c>
      <c r="C1275" s="1028" t="s">
        <v>75</v>
      </c>
      <c r="D1275" s="1027"/>
      <c r="E1275" s="1024">
        <v>199193</v>
      </c>
      <c r="F1275" s="1025">
        <v>1</v>
      </c>
    </row>
    <row r="1276" spans="1:6">
      <c r="A1276" s="1020" t="s">
        <v>636</v>
      </c>
      <c r="B1276" s="1021" t="s">
        <v>76</v>
      </c>
      <c r="C1276" s="1028" t="s">
        <v>77</v>
      </c>
      <c r="D1276" s="1027"/>
      <c r="E1276" s="1024">
        <v>199193</v>
      </c>
      <c r="F1276" s="1025">
        <v>1</v>
      </c>
    </row>
    <row r="1277" spans="1:6">
      <c r="A1277" s="1020" t="s">
        <v>636</v>
      </c>
      <c r="B1277" s="1021" t="s">
        <v>76</v>
      </c>
      <c r="C1277" s="1026" t="s">
        <v>638</v>
      </c>
      <c r="D1277" s="1027"/>
      <c r="E1277" s="1024">
        <v>199193</v>
      </c>
      <c r="F1277" s="1025">
        <v>1</v>
      </c>
    </row>
    <row r="1278" spans="1:6">
      <c r="A1278" s="1020" t="s">
        <v>636</v>
      </c>
      <c r="B1278" s="1021" t="s">
        <v>62</v>
      </c>
      <c r="C1278" s="1022" t="s">
        <v>639</v>
      </c>
      <c r="D1278" s="1023"/>
      <c r="E1278" s="1024">
        <v>199120</v>
      </c>
      <c r="F1278" s="1025">
        <v>1</v>
      </c>
    </row>
    <row r="1279" spans="1:6">
      <c r="A1279" s="1020" t="s">
        <v>636</v>
      </c>
      <c r="B1279" s="1021" t="s">
        <v>64</v>
      </c>
      <c r="C1279" s="1028" t="s">
        <v>495</v>
      </c>
      <c r="D1279" s="1027"/>
      <c r="E1279" s="1024">
        <v>199120</v>
      </c>
      <c r="F1279" s="1025">
        <v>1</v>
      </c>
    </row>
    <row r="1280" spans="1:6">
      <c r="A1280" s="1020" t="s">
        <v>636</v>
      </c>
      <c r="B1280" s="1021" t="s">
        <v>64</v>
      </c>
      <c r="C1280" s="1026" t="s">
        <v>334</v>
      </c>
      <c r="D1280" s="1027"/>
      <c r="E1280" s="1024">
        <v>199120</v>
      </c>
      <c r="F1280" s="1025">
        <v>1</v>
      </c>
    </row>
    <row r="1281" spans="1:6">
      <c r="A1281" s="1020" t="s">
        <v>636</v>
      </c>
      <c r="B1281" s="1021" t="s">
        <v>62</v>
      </c>
      <c r="C1281" s="1022" t="s">
        <v>640</v>
      </c>
      <c r="D1281" s="1029"/>
      <c r="E1281" s="1024">
        <v>199139</v>
      </c>
      <c r="F1281" s="1025">
        <v>1</v>
      </c>
    </row>
    <row r="1282" spans="1:6">
      <c r="A1282" s="1020" t="s">
        <v>636</v>
      </c>
      <c r="B1282" s="1021" t="s">
        <v>62</v>
      </c>
      <c r="C1282" s="1030" t="s">
        <v>641</v>
      </c>
      <c r="D1282" s="1031"/>
      <c r="E1282" s="1024">
        <v>199148</v>
      </c>
      <c r="F1282" s="1025">
        <v>1</v>
      </c>
    </row>
    <row r="1283" spans="1:6">
      <c r="A1283" s="1020" t="s">
        <v>636</v>
      </c>
      <c r="B1283" s="1021" t="s">
        <v>62</v>
      </c>
      <c r="C1283" s="1030" t="s">
        <v>642</v>
      </c>
      <c r="D1283" s="1029"/>
      <c r="E1283" s="1024">
        <v>198464</v>
      </c>
      <c r="F1283" s="1025">
        <v>2</v>
      </c>
    </row>
    <row r="1284" spans="1:6">
      <c r="A1284" s="1020" t="s">
        <v>636</v>
      </c>
      <c r="B1284" s="1021" t="s">
        <v>64</v>
      </c>
      <c r="C1284" s="1026" t="s">
        <v>334</v>
      </c>
      <c r="D1284" s="1027"/>
      <c r="E1284" s="1024">
        <v>198464</v>
      </c>
      <c r="F1284" s="1025">
        <v>2</v>
      </c>
    </row>
    <row r="1285" spans="1:6">
      <c r="A1285" s="1020" t="s">
        <v>636</v>
      </c>
      <c r="B1285" s="1021" t="s">
        <v>62</v>
      </c>
      <c r="C1285" s="1022" t="s">
        <v>643</v>
      </c>
      <c r="D1285" s="1023"/>
      <c r="E1285" s="1024">
        <v>197869</v>
      </c>
      <c r="F1285" s="1025">
        <v>3</v>
      </c>
    </row>
    <row r="1286" spans="1:6">
      <c r="A1286" s="1020" t="s">
        <v>636</v>
      </c>
      <c r="B1286" s="1021" t="s">
        <v>62</v>
      </c>
      <c r="C1286" s="1022" t="s">
        <v>644</v>
      </c>
      <c r="D1286" s="1139" t="s">
        <v>1801</v>
      </c>
      <c r="E1286" s="1024">
        <v>199102</v>
      </c>
      <c r="F1286" s="1025">
        <v>3</v>
      </c>
    </row>
    <row r="1287" spans="1:6">
      <c r="A1287" s="1020" t="s">
        <v>636</v>
      </c>
      <c r="B1287" s="1021" t="s">
        <v>62</v>
      </c>
      <c r="C1287" s="1022" t="s">
        <v>645</v>
      </c>
      <c r="D1287" s="1023"/>
      <c r="E1287" s="1024">
        <v>199157</v>
      </c>
      <c r="F1287" s="1025">
        <v>3</v>
      </c>
    </row>
    <row r="1288" spans="1:6">
      <c r="A1288" s="1020" t="s">
        <v>636</v>
      </c>
      <c r="B1288" s="1021" t="s">
        <v>62</v>
      </c>
      <c r="C1288" s="1022" t="s">
        <v>646</v>
      </c>
      <c r="D1288" s="1023"/>
      <c r="E1288" s="1024">
        <v>199218</v>
      </c>
      <c r="F1288" s="1025">
        <v>3</v>
      </c>
    </row>
    <row r="1289" spans="1:6">
      <c r="A1289" s="1020" t="s">
        <v>636</v>
      </c>
      <c r="B1289" s="1021" t="s">
        <v>62</v>
      </c>
      <c r="C1289" s="1022" t="s">
        <v>647</v>
      </c>
      <c r="D1289" s="1023"/>
      <c r="E1289" s="1024">
        <v>200004</v>
      </c>
      <c r="F1289" s="1025">
        <v>3</v>
      </c>
    </row>
    <row r="1290" spans="1:6">
      <c r="A1290" s="1020" t="s">
        <v>636</v>
      </c>
      <c r="B1290" s="1021" t="s">
        <v>62</v>
      </c>
      <c r="C1290" s="1030" t="s">
        <v>648</v>
      </c>
      <c r="D1290" s="1031"/>
      <c r="E1290" s="1024">
        <v>198543</v>
      </c>
      <c r="F1290" s="1025">
        <v>4</v>
      </c>
    </row>
    <row r="1291" spans="1:6">
      <c r="A1291" s="1020" t="s">
        <v>636</v>
      </c>
      <c r="B1291" s="1021" t="s">
        <v>62</v>
      </c>
      <c r="C1291" s="1022" t="s">
        <v>649</v>
      </c>
      <c r="D1291" s="1023"/>
      <c r="E1291" s="1024">
        <v>199281</v>
      </c>
      <c r="F1291" s="1025">
        <v>5</v>
      </c>
    </row>
    <row r="1292" spans="1:6">
      <c r="A1292" s="1020" t="s">
        <v>636</v>
      </c>
      <c r="B1292" s="1021" t="s">
        <v>62</v>
      </c>
      <c r="C1292" s="1022" t="s">
        <v>650</v>
      </c>
      <c r="D1292" s="1023"/>
      <c r="E1292" s="1024">
        <v>199999</v>
      </c>
      <c r="F1292" s="1025">
        <v>5</v>
      </c>
    </row>
    <row r="1293" spans="1:6">
      <c r="A1293" s="1020" t="s">
        <v>636</v>
      </c>
      <c r="B1293" s="1021" t="s">
        <v>62</v>
      </c>
      <c r="C1293" s="1022" t="s">
        <v>651</v>
      </c>
      <c r="D1293" s="1031"/>
      <c r="E1293" s="1024">
        <v>198507</v>
      </c>
      <c r="F1293" s="1025">
        <v>6</v>
      </c>
    </row>
    <row r="1294" spans="1:6">
      <c r="A1294" s="1020" t="s">
        <v>636</v>
      </c>
      <c r="B1294" s="1021" t="s">
        <v>62</v>
      </c>
      <c r="C1294" s="1022" t="s">
        <v>652</v>
      </c>
      <c r="D1294" s="1023"/>
      <c r="E1294" s="1024">
        <v>199111</v>
      </c>
      <c r="F1294" s="1025">
        <v>6</v>
      </c>
    </row>
    <row r="1295" spans="1:6">
      <c r="A1295" s="1020" t="s">
        <v>636</v>
      </c>
      <c r="B1295" s="1021" t="s">
        <v>116</v>
      </c>
      <c r="C1295" s="1022" t="s">
        <v>1069</v>
      </c>
      <c r="D1295" s="1023"/>
      <c r="E1295" s="1024">
        <v>199184</v>
      </c>
      <c r="F1295" s="1025">
        <v>15</v>
      </c>
    </row>
    <row r="1296" spans="1:6">
      <c r="A1296" s="1033" t="s">
        <v>636</v>
      </c>
      <c r="B1296" s="1034" t="s">
        <v>118</v>
      </c>
      <c r="C1296" s="1023" t="s">
        <v>653</v>
      </c>
      <c r="D1296" s="1023"/>
      <c r="E1296" s="1035"/>
      <c r="F1296" s="1036">
        <v>99</v>
      </c>
    </row>
    <row r="1297" spans="1:6">
      <c r="A1297" s="1020" t="s">
        <v>636</v>
      </c>
      <c r="B1297" s="1021" t="s">
        <v>336</v>
      </c>
      <c r="C1297" s="1028" t="s">
        <v>70</v>
      </c>
      <c r="D1297" s="1027"/>
      <c r="E1297" s="1037"/>
      <c r="F1297" s="1036">
        <v>99</v>
      </c>
    </row>
    <row r="1298" spans="1:6">
      <c r="A1298" s="1020" t="s">
        <v>636</v>
      </c>
      <c r="B1298" s="1021" t="s">
        <v>336</v>
      </c>
      <c r="C1298" s="1026" t="s">
        <v>654</v>
      </c>
      <c r="D1298" s="1027"/>
      <c r="E1298" s="1037"/>
      <c r="F1298" s="1036">
        <v>99</v>
      </c>
    </row>
    <row r="1299" spans="1:6">
      <c r="A1299" s="1020" t="s">
        <v>636</v>
      </c>
      <c r="B1299" s="1021" t="s">
        <v>336</v>
      </c>
      <c r="C1299" s="1026" t="s">
        <v>655</v>
      </c>
      <c r="D1299" s="1027"/>
      <c r="E1299" s="1037"/>
      <c r="F1299" s="1036">
        <v>99</v>
      </c>
    </row>
    <row r="1300" spans="1:6">
      <c r="A1300" s="1020" t="s">
        <v>636</v>
      </c>
      <c r="B1300" s="1021" t="s">
        <v>336</v>
      </c>
      <c r="C1300" s="1026" t="s">
        <v>656</v>
      </c>
      <c r="D1300" s="1027"/>
      <c r="E1300" s="1037"/>
      <c r="F1300" s="1036">
        <v>99</v>
      </c>
    </row>
    <row r="1301" spans="1:6">
      <c r="A1301" s="1020" t="s">
        <v>636</v>
      </c>
      <c r="B1301" s="1021" t="s">
        <v>336</v>
      </c>
      <c r="C1301" s="1026" t="s">
        <v>657</v>
      </c>
      <c r="D1301" s="1027"/>
      <c r="E1301" s="1038"/>
      <c r="F1301" s="1036">
        <v>99</v>
      </c>
    </row>
    <row r="1302" spans="1:6">
      <c r="A1302" s="1020" t="s">
        <v>636</v>
      </c>
      <c r="B1302" s="1021" t="s">
        <v>336</v>
      </c>
      <c r="C1302" s="1026" t="s">
        <v>658</v>
      </c>
      <c r="D1302" s="1027"/>
      <c r="E1302" s="1038"/>
      <c r="F1302" s="1036">
        <v>99</v>
      </c>
    </row>
    <row r="1303" spans="1:6">
      <c r="A1303" s="1020" t="s">
        <v>636</v>
      </c>
      <c r="B1303" s="1021" t="s">
        <v>120</v>
      </c>
      <c r="C1303" s="1028" t="s">
        <v>79</v>
      </c>
      <c r="D1303" s="1027"/>
      <c r="E1303" s="1037"/>
      <c r="F1303" s="1036">
        <v>99</v>
      </c>
    </row>
    <row r="1304" spans="1:6">
      <c r="A1304" s="1020" t="s">
        <v>636</v>
      </c>
      <c r="B1304" s="1021" t="s">
        <v>120</v>
      </c>
      <c r="C1304" s="1026" t="s">
        <v>659</v>
      </c>
      <c r="D1304" s="1027"/>
      <c r="E1304" s="1037"/>
      <c r="F1304" s="1036">
        <v>99</v>
      </c>
    </row>
    <row r="1305" spans="1:6">
      <c r="A1305" s="1020" t="s">
        <v>636</v>
      </c>
      <c r="B1305" s="1021" t="s">
        <v>132</v>
      </c>
      <c r="C1305" s="1023" t="s">
        <v>660</v>
      </c>
      <c r="D1305" s="1023"/>
      <c r="E1305" s="1038"/>
      <c r="F1305" s="1036">
        <v>99</v>
      </c>
    </row>
    <row r="1306" spans="1:6">
      <c r="A1306" s="1020" t="s">
        <v>636</v>
      </c>
      <c r="B1306" s="1021" t="s">
        <v>132</v>
      </c>
      <c r="C1306" s="1026" t="s">
        <v>661</v>
      </c>
      <c r="D1306" s="1027"/>
      <c r="E1306" s="1038"/>
      <c r="F1306" s="1036">
        <v>99</v>
      </c>
    </row>
    <row r="1307" spans="1:6">
      <c r="A1307" s="1020" t="s">
        <v>636</v>
      </c>
      <c r="B1307" s="1021" t="s">
        <v>138</v>
      </c>
      <c r="C1307" s="1023" t="s">
        <v>139</v>
      </c>
      <c r="D1307" s="1023"/>
      <c r="E1307" s="1037"/>
      <c r="F1307" s="1036">
        <v>99</v>
      </c>
    </row>
    <row r="1308" spans="1:6">
      <c r="A1308" s="1020" t="s">
        <v>636</v>
      </c>
      <c r="B1308" s="1021" t="s">
        <v>140</v>
      </c>
      <c r="C1308" s="1028" t="s">
        <v>141</v>
      </c>
      <c r="D1308" s="1027"/>
      <c r="E1308" s="1037"/>
      <c r="F1308" s="1036">
        <v>99</v>
      </c>
    </row>
    <row r="1309" spans="1:6">
      <c r="A1309" s="1020" t="s">
        <v>636</v>
      </c>
      <c r="B1309" s="1021" t="s">
        <v>140</v>
      </c>
      <c r="C1309" s="1026" t="s">
        <v>662</v>
      </c>
      <c r="D1309" s="1027"/>
      <c r="E1309" s="1037"/>
      <c r="F1309" s="1036">
        <v>99</v>
      </c>
    </row>
    <row r="1310" spans="1:6">
      <c r="A1310" s="1020" t="s">
        <v>636</v>
      </c>
      <c r="B1310" s="1021" t="s">
        <v>145</v>
      </c>
      <c r="C1310" s="1028" t="s">
        <v>146</v>
      </c>
      <c r="D1310" s="1027"/>
      <c r="E1310" s="1037"/>
      <c r="F1310" s="1036">
        <v>99</v>
      </c>
    </row>
    <row r="1311" spans="1:6">
      <c r="A1311" s="1020" t="s">
        <v>636</v>
      </c>
      <c r="B1311" s="1021" t="s">
        <v>145</v>
      </c>
      <c r="C1311" s="1026" t="s">
        <v>246</v>
      </c>
      <c r="D1311" s="1027"/>
      <c r="E1311" s="1038"/>
      <c r="F1311" s="1036">
        <v>99</v>
      </c>
    </row>
    <row r="1312" spans="1:6">
      <c r="A1312" s="1020" t="s">
        <v>636</v>
      </c>
      <c r="B1312" s="1021" t="s">
        <v>149</v>
      </c>
      <c r="C1312" s="1028" t="s">
        <v>247</v>
      </c>
      <c r="D1312" s="1027"/>
      <c r="E1312" s="1037"/>
      <c r="F1312" s="1036">
        <v>99</v>
      </c>
    </row>
    <row r="1313" spans="1:6">
      <c r="A1313" s="1020" t="s">
        <v>636</v>
      </c>
      <c r="B1313" s="1021" t="s">
        <v>151</v>
      </c>
      <c r="C1313" s="1023" t="s">
        <v>152</v>
      </c>
      <c r="D1313" s="1023"/>
      <c r="E1313" s="1037"/>
      <c r="F1313" s="1036">
        <v>99</v>
      </c>
    </row>
    <row r="1314" spans="1:6">
      <c r="A1314" s="1020" t="s">
        <v>636</v>
      </c>
      <c r="B1314" s="1021" t="s">
        <v>151</v>
      </c>
      <c r="C1314" s="1026" t="s">
        <v>663</v>
      </c>
      <c r="D1314" s="1027"/>
      <c r="E1314" s="1037"/>
      <c r="F1314" s="1036">
        <v>99</v>
      </c>
    </row>
    <row r="1315" spans="1:6">
      <c r="A1315" s="1020" t="s">
        <v>636</v>
      </c>
      <c r="B1315" s="1021" t="s">
        <v>248</v>
      </c>
      <c r="C1315" s="1023" t="s">
        <v>249</v>
      </c>
      <c r="D1315" s="1023"/>
      <c r="E1315" s="1037"/>
      <c r="F1315" s="1036">
        <v>99</v>
      </c>
    </row>
    <row r="1316" spans="1:6">
      <c r="A1316" s="1020" t="s">
        <v>636</v>
      </c>
      <c r="B1316" s="1021" t="s">
        <v>250</v>
      </c>
      <c r="C1316" s="1028" t="s">
        <v>251</v>
      </c>
      <c r="D1316" s="1027"/>
      <c r="E1316" s="1038"/>
      <c r="F1316" s="1036">
        <v>99</v>
      </c>
    </row>
    <row r="1317" spans="1:6">
      <c r="A1317" s="1020" t="s">
        <v>636</v>
      </c>
      <c r="B1317" s="1021" t="s">
        <v>250</v>
      </c>
      <c r="C1317" s="1026" t="s">
        <v>664</v>
      </c>
      <c r="D1317" s="1027"/>
      <c r="E1317" s="1038"/>
      <c r="F1317" s="1036">
        <v>99</v>
      </c>
    </row>
    <row r="1318" spans="1:6">
      <c r="A1318" s="1020" t="s">
        <v>636</v>
      </c>
      <c r="B1318" s="1021" t="s">
        <v>250</v>
      </c>
      <c r="C1318" s="1026" t="s">
        <v>255</v>
      </c>
      <c r="D1318" s="1027"/>
      <c r="E1318" s="1038"/>
      <c r="F1318" s="1036">
        <v>99</v>
      </c>
    </row>
    <row r="1319" spans="1:6">
      <c r="A1319" s="1020" t="s">
        <v>636</v>
      </c>
      <c r="B1319" s="1021" t="s">
        <v>258</v>
      </c>
      <c r="C1319" s="1028" t="s">
        <v>259</v>
      </c>
      <c r="D1319" s="1027"/>
      <c r="E1319" s="1038"/>
      <c r="F1319" s="1036">
        <v>99</v>
      </c>
    </row>
    <row r="1320" spans="1:6">
      <c r="A1320" s="1020" t="s">
        <v>636</v>
      </c>
      <c r="B1320" s="1021" t="s">
        <v>258</v>
      </c>
      <c r="C1320" s="1026" t="s">
        <v>631</v>
      </c>
      <c r="D1320" s="1027"/>
      <c r="E1320" s="1038"/>
      <c r="F1320" s="1036">
        <v>99</v>
      </c>
    </row>
    <row r="1321" spans="1:6">
      <c r="A1321" s="1020" t="s">
        <v>636</v>
      </c>
      <c r="B1321" s="1021" t="s">
        <v>258</v>
      </c>
      <c r="C1321" s="1026" t="s">
        <v>485</v>
      </c>
      <c r="D1321" s="1027"/>
      <c r="E1321" s="1038"/>
      <c r="F1321" s="1036">
        <v>99</v>
      </c>
    </row>
    <row r="1322" spans="1:6">
      <c r="A1322" s="1020" t="s">
        <v>636</v>
      </c>
      <c r="B1322" s="1021" t="s">
        <v>157</v>
      </c>
      <c r="C1322" s="1028" t="s">
        <v>158</v>
      </c>
      <c r="D1322" s="1027"/>
      <c r="E1322" s="1038"/>
      <c r="F1322" s="1036">
        <v>99</v>
      </c>
    </row>
    <row r="1323" spans="1:6">
      <c r="A1323" s="1020" t="s">
        <v>636</v>
      </c>
      <c r="B1323" s="1021" t="s">
        <v>159</v>
      </c>
      <c r="C1323" s="1023" t="s">
        <v>160</v>
      </c>
      <c r="D1323" s="1023"/>
      <c r="E1323" s="1038"/>
      <c r="F1323" s="1036">
        <v>99</v>
      </c>
    </row>
    <row r="1324" spans="1:6">
      <c r="A1324" s="1020" t="s">
        <v>636</v>
      </c>
      <c r="B1324" s="1021" t="s">
        <v>161</v>
      </c>
      <c r="C1324" s="1039" t="s">
        <v>162</v>
      </c>
      <c r="D1324" s="1034"/>
      <c r="E1324" s="1038"/>
      <c r="F1324" s="1036">
        <v>99</v>
      </c>
    </row>
    <row r="1325" spans="1:6">
      <c r="A1325" s="1020" t="s">
        <v>636</v>
      </c>
      <c r="B1325" s="1021" t="s">
        <v>161</v>
      </c>
      <c r="C1325" s="1040" t="s">
        <v>665</v>
      </c>
      <c r="D1325" s="1027"/>
      <c r="E1325" s="1038"/>
      <c r="F1325" s="1036">
        <v>99</v>
      </c>
    </row>
    <row r="1326" spans="1:6">
      <c r="A1326" s="1020" t="s">
        <v>636</v>
      </c>
      <c r="B1326" s="1021" t="s">
        <v>164</v>
      </c>
      <c r="C1326" s="1026" t="s">
        <v>165</v>
      </c>
      <c r="D1326" s="1027"/>
      <c r="E1326" s="1038"/>
      <c r="F1326" s="1036">
        <v>99</v>
      </c>
    </row>
    <row r="1327" spans="1:6">
      <c r="A1327" s="1020" t="s">
        <v>636</v>
      </c>
      <c r="B1327" s="1021" t="s">
        <v>166</v>
      </c>
      <c r="C1327" s="1026" t="s">
        <v>167</v>
      </c>
      <c r="D1327" s="1027"/>
      <c r="E1327" s="1038"/>
      <c r="F1327" s="1036">
        <v>99</v>
      </c>
    </row>
    <row r="1328" spans="1:6">
      <c r="A1328" s="1020" t="s">
        <v>636</v>
      </c>
      <c r="B1328" s="1021" t="s">
        <v>170</v>
      </c>
      <c r="C1328" s="1026" t="s">
        <v>171</v>
      </c>
      <c r="D1328" s="1027"/>
      <c r="E1328" s="1038"/>
      <c r="F1328" s="1036">
        <v>99</v>
      </c>
    </row>
    <row r="1329" spans="1:6">
      <c r="A1329" s="1020" t="s">
        <v>636</v>
      </c>
      <c r="B1329" s="1021" t="s">
        <v>172</v>
      </c>
      <c r="C1329" s="1026" t="s">
        <v>165</v>
      </c>
      <c r="D1329" s="1027"/>
      <c r="E1329" s="1038"/>
      <c r="F1329" s="1036">
        <v>99</v>
      </c>
    </row>
    <row r="1330" spans="1:6">
      <c r="A1330" s="1020" t="s">
        <v>636</v>
      </c>
      <c r="B1330" s="1021" t="s">
        <v>166</v>
      </c>
      <c r="C1330" s="1026" t="s">
        <v>167</v>
      </c>
      <c r="D1330" s="1027"/>
      <c r="E1330" s="1038"/>
      <c r="F1330" s="1036">
        <v>99</v>
      </c>
    </row>
    <row r="1331" spans="1:6">
      <c r="A1331" s="1020" t="s">
        <v>636</v>
      </c>
      <c r="B1331" s="1021" t="s">
        <v>176</v>
      </c>
      <c r="C1331" s="1026" t="s">
        <v>177</v>
      </c>
      <c r="D1331" s="1027"/>
      <c r="E1331" s="1038"/>
      <c r="F1331" s="1036">
        <v>99</v>
      </c>
    </row>
    <row r="1332" spans="1:6">
      <c r="A1332" s="1020" t="s">
        <v>636</v>
      </c>
      <c r="B1332" s="1021" t="s">
        <v>180</v>
      </c>
      <c r="C1332" s="1026" t="s">
        <v>165</v>
      </c>
      <c r="D1332" s="1027"/>
      <c r="E1332" s="1038"/>
      <c r="F1332" s="1036">
        <v>99</v>
      </c>
    </row>
    <row r="1333" spans="1:6">
      <c r="A1333" s="1020" t="s">
        <v>636</v>
      </c>
      <c r="B1333" s="1021" t="s">
        <v>166</v>
      </c>
      <c r="C1333" s="1026" t="s">
        <v>167</v>
      </c>
      <c r="D1333" s="1027"/>
      <c r="E1333" s="1038"/>
      <c r="F1333" s="1036">
        <v>99</v>
      </c>
    </row>
    <row r="1334" spans="1:6">
      <c r="A1334" s="1020" t="s">
        <v>636</v>
      </c>
      <c r="B1334" s="1021" t="s">
        <v>161</v>
      </c>
      <c r="C1334" s="1027" t="s">
        <v>666</v>
      </c>
      <c r="D1334" s="1027"/>
      <c r="E1334" s="1038"/>
      <c r="F1334" s="1036">
        <v>99</v>
      </c>
    </row>
    <row r="1335" spans="1:6">
      <c r="A1335" s="1020" t="s">
        <v>636</v>
      </c>
      <c r="B1335" s="1021" t="s">
        <v>164</v>
      </c>
      <c r="C1335" s="1026" t="s">
        <v>165</v>
      </c>
      <c r="D1335" s="1027"/>
      <c r="E1335" s="1038"/>
      <c r="F1335" s="1036">
        <v>99</v>
      </c>
    </row>
    <row r="1336" spans="1:6">
      <c r="A1336" s="1020" t="s">
        <v>636</v>
      </c>
      <c r="B1336" s="1021" t="s">
        <v>166</v>
      </c>
      <c r="C1336" s="1026" t="s">
        <v>167</v>
      </c>
      <c r="D1336" s="1027"/>
      <c r="E1336" s="1038"/>
      <c r="F1336" s="1036">
        <v>99</v>
      </c>
    </row>
    <row r="1337" spans="1:6">
      <c r="A1337" s="1020" t="s">
        <v>636</v>
      </c>
      <c r="B1337" s="1021" t="s">
        <v>170</v>
      </c>
      <c r="C1337" s="1026" t="s">
        <v>171</v>
      </c>
      <c r="D1337" s="1027"/>
      <c r="E1337" s="1038"/>
      <c r="F1337" s="1036">
        <v>99</v>
      </c>
    </row>
    <row r="1338" spans="1:6">
      <c r="A1338" s="1020" t="s">
        <v>636</v>
      </c>
      <c r="B1338" s="1021" t="s">
        <v>172</v>
      </c>
      <c r="C1338" s="1026" t="s">
        <v>165</v>
      </c>
      <c r="D1338" s="1027"/>
      <c r="E1338" s="1038"/>
      <c r="F1338" s="1036">
        <v>99</v>
      </c>
    </row>
    <row r="1339" spans="1:6">
      <c r="A1339" s="1020" t="s">
        <v>636</v>
      </c>
      <c r="B1339" s="1021" t="s">
        <v>166</v>
      </c>
      <c r="C1339" s="1026" t="s">
        <v>167</v>
      </c>
      <c r="D1339" s="1027"/>
      <c r="E1339" s="1038"/>
      <c r="F1339" s="1036">
        <v>99</v>
      </c>
    </row>
    <row r="1340" spans="1:6">
      <c r="A1340" s="1020" t="s">
        <v>636</v>
      </c>
      <c r="B1340" s="1021" t="s">
        <v>176</v>
      </c>
      <c r="C1340" s="1026" t="s">
        <v>177</v>
      </c>
      <c r="D1340" s="1027"/>
      <c r="E1340" s="1038"/>
      <c r="F1340" s="1036">
        <v>99</v>
      </c>
    </row>
    <row r="1341" spans="1:6">
      <c r="A1341" s="1020" t="s">
        <v>636</v>
      </c>
      <c r="B1341" s="1021" t="s">
        <v>180</v>
      </c>
      <c r="C1341" s="1026" t="s">
        <v>165</v>
      </c>
      <c r="D1341" s="1027"/>
      <c r="E1341" s="1038"/>
      <c r="F1341" s="1036">
        <v>99</v>
      </c>
    </row>
    <row r="1342" spans="1:6">
      <c r="A1342" s="1020" t="s">
        <v>636</v>
      </c>
      <c r="B1342" s="1021" t="s">
        <v>166</v>
      </c>
      <c r="C1342" s="1026" t="s">
        <v>167</v>
      </c>
      <c r="D1342" s="1027"/>
      <c r="E1342" s="1038"/>
      <c r="F1342" s="1036">
        <v>99</v>
      </c>
    </row>
    <row r="1343" spans="1:6">
      <c r="A1343" s="1020" t="s">
        <v>636</v>
      </c>
      <c r="B1343" s="1021" t="s">
        <v>161</v>
      </c>
      <c r="C1343" s="1040" t="s">
        <v>667</v>
      </c>
      <c r="D1343" s="1027"/>
      <c r="E1343" s="1038"/>
      <c r="F1343" s="1036">
        <v>99</v>
      </c>
    </row>
    <row r="1344" spans="1:6">
      <c r="A1344" s="1020" t="s">
        <v>636</v>
      </c>
      <c r="B1344" s="1021" t="s">
        <v>164</v>
      </c>
      <c r="C1344" s="1026" t="s">
        <v>165</v>
      </c>
      <c r="D1344" s="1027"/>
      <c r="E1344" s="1038"/>
      <c r="F1344" s="1036">
        <v>99</v>
      </c>
    </row>
    <row r="1345" spans="1:6">
      <c r="A1345" s="1020" t="s">
        <v>636</v>
      </c>
      <c r="B1345" s="1021" t="s">
        <v>166</v>
      </c>
      <c r="C1345" s="1026" t="s">
        <v>167</v>
      </c>
      <c r="D1345" s="1027"/>
      <c r="E1345" s="1038"/>
      <c r="F1345" s="1036">
        <v>99</v>
      </c>
    </row>
    <row r="1346" spans="1:6">
      <c r="A1346" s="1020" t="s">
        <v>636</v>
      </c>
      <c r="B1346" s="1021" t="s">
        <v>170</v>
      </c>
      <c r="C1346" s="1026" t="s">
        <v>171</v>
      </c>
      <c r="D1346" s="1027"/>
      <c r="E1346" s="1038"/>
      <c r="F1346" s="1036">
        <v>99</v>
      </c>
    </row>
    <row r="1347" spans="1:6">
      <c r="A1347" s="1020" t="s">
        <v>636</v>
      </c>
      <c r="B1347" s="1021" t="s">
        <v>172</v>
      </c>
      <c r="C1347" s="1026" t="s">
        <v>165</v>
      </c>
      <c r="D1347" s="1027"/>
      <c r="E1347" s="1038"/>
      <c r="F1347" s="1036">
        <v>99</v>
      </c>
    </row>
    <row r="1348" spans="1:6">
      <c r="A1348" s="1020" t="s">
        <v>636</v>
      </c>
      <c r="B1348" s="1021" t="s">
        <v>166</v>
      </c>
      <c r="C1348" s="1026" t="s">
        <v>167</v>
      </c>
      <c r="D1348" s="1027"/>
      <c r="E1348" s="1038"/>
      <c r="F1348" s="1036">
        <v>99</v>
      </c>
    </row>
    <row r="1349" spans="1:6">
      <c r="A1349" s="1020" t="s">
        <v>636</v>
      </c>
      <c r="B1349" s="1021" t="s">
        <v>176</v>
      </c>
      <c r="C1349" s="1026" t="s">
        <v>177</v>
      </c>
      <c r="D1349" s="1027"/>
      <c r="E1349" s="1038"/>
      <c r="F1349" s="1036">
        <v>99</v>
      </c>
    </row>
    <row r="1350" spans="1:6">
      <c r="A1350" s="1020" t="s">
        <v>636</v>
      </c>
      <c r="B1350" s="1021" t="s">
        <v>180</v>
      </c>
      <c r="C1350" s="1026" t="s">
        <v>165</v>
      </c>
      <c r="D1350" s="1027"/>
      <c r="E1350" s="1038"/>
      <c r="F1350" s="1036">
        <v>99</v>
      </c>
    </row>
    <row r="1351" spans="1:6">
      <c r="A1351" s="1020" t="s">
        <v>636</v>
      </c>
      <c r="B1351" s="1021" t="s">
        <v>166</v>
      </c>
      <c r="C1351" s="1026" t="s">
        <v>167</v>
      </c>
      <c r="D1351" s="1027"/>
      <c r="E1351" s="1038"/>
      <c r="F1351" s="1036">
        <v>99</v>
      </c>
    </row>
    <row r="1352" spans="1:6">
      <c r="A1352" s="1020" t="s">
        <v>636</v>
      </c>
      <c r="B1352" s="1021" t="s">
        <v>161</v>
      </c>
      <c r="C1352" s="1040" t="s">
        <v>668</v>
      </c>
      <c r="D1352" s="1027"/>
      <c r="E1352" s="1038"/>
      <c r="F1352" s="1036">
        <v>99</v>
      </c>
    </row>
    <row r="1353" spans="1:6">
      <c r="A1353" s="1020" t="s">
        <v>636</v>
      </c>
      <c r="B1353" s="1021" t="s">
        <v>164</v>
      </c>
      <c r="C1353" s="1026" t="s">
        <v>165</v>
      </c>
      <c r="D1353" s="1027"/>
      <c r="E1353" s="1038"/>
      <c r="F1353" s="1036">
        <v>99</v>
      </c>
    </row>
    <row r="1354" spans="1:6">
      <c r="A1354" s="1020" t="s">
        <v>636</v>
      </c>
      <c r="B1354" s="1021" t="s">
        <v>166</v>
      </c>
      <c r="C1354" s="1026" t="s">
        <v>167</v>
      </c>
      <c r="D1354" s="1027"/>
      <c r="E1354" s="1038"/>
      <c r="F1354" s="1036">
        <v>99</v>
      </c>
    </row>
    <row r="1355" spans="1:6">
      <c r="A1355" s="1020" t="s">
        <v>636</v>
      </c>
      <c r="B1355" s="1021" t="s">
        <v>170</v>
      </c>
      <c r="C1355" s="1026" t="s">
        <v>171</v>
      </c>
      <c r="D1355" s="1027"/>
      <c r="E1355" s="1038"/>
      <c r="F1355" s="1036">
        <v>99</v>
      </c>
    </row>
    <row r="1356" spans="1:6">
      <c r="A1356" s="1020" t="s">
        <v>636</v>
      </c>
      <c r="B1356" s="1021" t="s">
        <v>172</v>
      </c>
      <c r="C1356" s="1026" t="s">
        <v>165</v>
      </c>
      <c r="D1356" s="1027"/>
      <c r="E1356" s="1038"/>
      <c r="F1356" s="1036">
        <v>99</v>
      </c>
    </row>
    <row r="1357" spans="1:6">
      <c r="A1357" s="1020" t="s">
        <v>636</v>
      </c>
      <c r="B1357" s="1021" t="s">
        <v>166</v>
      </c>
      <c r="C1357" s="1026" t="s">
        <v>167</v>
      </c>
      <c r="D1357" s="1027"/>
      <c r="E1357" s="1038"/>
      <c r="F1357" s="1036">
        <v>99</v>
      </c>
    </row>
    <row r="1358" spans="1:6">
      <c r="A1358" s="1020" t="s">
        <v>636</v>
      </c>
      <c r="B1358" s="1021" t="s">
        <v>176</v>
      </c>
      <c r="C1358" s="1026" t="s">
        <v>177</v>
      </c>
      <c r="D1358" s="1027"/>
      <c r="E1358" s="1038"/>
      <c r="F1358" s="1036">
        <v>99</v>
      </c>
    </row>
    <row r="1359" spans="1:6">
      <c r="A1359" s="1020" t="s">
        <v>636</v>
      </c>
      <c r="B1359" s="1021" t="s">
        <v>180</v>
      </c>
      <c r="C1359" s="1026" t="s">
        <v>165</v>
      </c>
      <c r="D1359" s="1027"/>
      <c r="E1359" s="1038"/>
      <c r="F1359" s="1036">
        <v>99</v>
      </c>
    </row>
    <row r="1360" spans="1:6">
      <c r="A1360" s="1041" t="s">
        <v>636</v>
      </c>
      <c r="B1360" s="1042" t="s">
        <v>166</v>
      </c>
      <c r="C1360" s="1043" t="s">
        <v>167</v>
      </c>
      <c r="D1360" s="1027"/>
      <c r="E1360" s="1038"/>
      <c r="F1360" s="1036">
        <v>99</v>
      </c>
    </row>
    <row r="1361" spans="1:6">
      <c r="A1361" s="1041" t="s">
        <v>636</v>
      </c>
      <c r="B1361" s="1042" t="s">
        <v>161</v>
      </c>
      <c r="C1361" s="1044" t="s">
        <v>669</v>
      </c>
      <c r="D1361" s="1045"/>
      <c r="E1361" s="1046"/>
      <c r="F1361" s="1036">
        <v>99</v>
      </c>
    </row>
    <row r="1362" spans="1:6">
      <c r="A1362" s="1041" t="s">
        <v>636</v>
      </c>
      <c r="B1362" s="1042" t="s">
        <v>164</v>
      </c>
      <c r="C1362" s="1043" t="s">
        <v>165</v>
      </c>
      <c r="D1362" s="1045"/>
      <c r="E1362" s="1046"/>
      <c r="F1362" s="1036">
        <v>99</v>
      </c>
    </row>
    <row r="1363" spans="1:6">
      <c r="A1363" s="1041" t="s">
        <v>636</v>
      </c>
      <c r="B1363" s="1042" t="s">
        <v>166</v>
      </c>
      <c r="C1363" s="1043" t="s">
        <v>167</v>
      </c>
      <c r="D1363" s="1045"/>
      <c r="E1363" s="1046"/>
      <c r="F1363" s="1036">
        <v>99</v>
      </c>
    </row>
    <row r="1364" spans="1:6">
      <c r="A1364" s="1041" t="s">
        <v>636</v>
      </c>
      <c r="B1364" s="1042" t="s">
        <v>170</v>
      </c>
      <c r="C1364" s="1043" t="s">
        <v>171</v>
      </c>
      <c r="D1364" s="1045"/>
      <c r="E1364" s="1046"/>
      <c r="F1364" s="1036">
        <v>99</v>
      </c>
    </row>
    <row r="1365" spans="1:6">
      <c r="A1365" s="1041" t="s">
        <v>636</v>
      </c>
      <c r="B1365" s="1042" t="s">
        <v>172</v>
      </c>
      <c r="C1365" s="1043" t="s">
        <v>165</v>
      </c>
      <c r="D1365" s="1045"/>
      <c r="E1365" s="1046"/>
      <c r="F1365" s="1036">
        <v>99</v>
      </c>
    </row>
    <row r="1366" spans="1:6">
      <c r="A1366" s="1041" t="s">
        <v>636</v>
      </c>
      <c r="B1366" s="1042" t="s">
        <v>166</v>
      </c>
      <c r="C1366" s="1043" t="s">
        <v>167</v>
      </c>
      <c r="D1366" s="1045"/>
      <c r="E1366" s="1046"/>
      <c r="F1366" s="1036">
        <v>99</v>
      </c>
    </row>
    <row r="1367" spans="1:6">
      <c r="A1367" s="1041" t="s">
        <v>636</v>
      </c>
      <c r="B1367" s="1042" t="s">
        <v>176</v>
      </c>
      <c r="C1367" s="1043" t="s">
        <v>177</v>
      </c>
      <c r="D1367" s="1045"/>
      <c r="E1367" s="1046"/>
      <c r="F1367" s="1036">
        <v>99</v>
      </c>
    </row>
    <row r="1368" spans="1:6">
      <c r="A1368" s="1041" t="s">
        <v>636</v>
      </c>
      <c r="B1368" s="1042" t="s">
        <v>180</v>
      </c>
      <c r="C1368" s="1043" t="s">
        <v>165</v>
      </c>
      <c r="D1368" s="1045"/>
      <c r="E1368" s="1046"/>
      <c r="F1368" s="1036">
        <v>99</v>
      </c>
    </row>
    <row r="1369" spans="1:6">
      <c r="A1369" s="1041" t="s">
        <v>636</v>
      </c>
      <c r="B1369" s="1042" t="s">
        <v>166</v>
      </c>
      <c r="C1369" s="1043" t="s">
        <v>167</v>
      </c>
      <c r="D1369" s="1045"/>
      <c r="E1369" s="1046"/>
      <c r="F1369" s="1036">
        <v>99</v>
      </c>
    </row>
    <row r="1370" spans="1:6">
      <c r="A1370" s="1041" t="s">
        <v>636</v>
      </c>
      <c r="B1370" s="1042" t="s">
        <v>161</v>
      </c>
      <c r="C1370" s="1044" t="s">
        <v>670</v>
      </c>
      <c r="D1370" s="1045"/>
      <c r="E1370" s="1046"/>
      <c r="F1370" s="1036">
        <v>99</v>
      </c>
    </row>
    <row r="1371" spans="1:6">
      <c r="A1371" s="1041" t="s">
        <v>636</v>
      </c>
      <c r="B1371" s="1042" t="s">
        <v>164</v>
      </c>
      <c r="C1371" s="1043" t="s">
        <v>165</v>
      </c>
      <c r="D1371" s="1045"/>
      <c r="E1371" s="1046"/>
      <c r="F1371" s="1036">
        <v>99</v>
      </c>
    </row>
    <row r="1372" spans="1:6">
      <c r="A1372" s="1041" t="s">
        <v>636</v>
      </c>
      <c r="B1372" s="1042" t="s">
        <v>166</v>
      </c>
      <c r="C1372" s="1043" t="s">
        <v>167</v>
      </c>
      <c r="D1372" s="1045"/>
      <c r="E1372" s="1046"/>
      <c r="F1372" s="1036">
        <v>99</v>
      </c>
    </row>
    <row r="1373" spans="1:6">
      <c r="A1373" s="1041" t="s">
        <v>636</v>
      </c>
      <c r="B1373" s="1042" t="s">
        <v>170</v>
      </c>
      <c r="C1373" s="1043" t="s">
        <v>171</v>
      </c>
      <c r="D1373" s="1045"/>
      <c r="E1373" s="1046"/>
      <c r="F1373" s="1036">
        <v>99</v>
      </c>
    </row>
    <row r="1374" spans="1:6">
      <c r="A1374" s="1041" t="s">
        <v>636</v>
      </c>
      <c r="B1374" s="1042" t="s">
        <v>172</v>
      </c>
      <c r="C1374" s="1043" t="s">
        <v>165</v>
      </c>
      <c r="D1374" s="1045"/>
      <c r="E1374" s="1046"/>
      <c r="F1374" s="1036">
        <v>99</v>
      </c>
    </row>
    <row r="1375" spans="1:6">
      <c r="A1375" s="1041" t="s">
        <v>636</v>
      </c>
      <c r="B1375" s="1042" t="s">
        <v>166</v>
      </c>
      <c r="C1375" s="1043" t="s">
        <v>167</v>
      </c>
      <c r="D1375" s="1045"/>
      <c r="E1375" s="1046"/>
      <c r="F1375" s="1036">
        <v>99</v>
      </c>
    </row>
    <row r="1376" spans="1:6">
      <c r="A1376" s="1041" t="s">
        <v>636</v>
      </c>
      <c r="B1376" s="1042" t="s">
        <v>176</v>
      </c>
      <c r="C1376" s="1043" t="s">
        <v>177</v>
      </c>
      <c r="D1376" s="1045"/>
      <c r="E1376" s="1046"/>
      <c r="F1376" s="1036">
        <v>99</v>
      </c>
    </row>
    <row r="1377" spans="1:6">
      <c r="A1377" s="1041" t="s">
        <v>636</v>
      </c>
      <c r="B1377" s="1042" t="s">
        <v>180</v>
      </c>
      <c r="C1377" s="1043" t="s">
        <v>165</v>
      </c>
      <c r="D1377" s="1045"/>
      <c r="E1377" s="1046"/>
      <c r="F1377" s="1036">
        <v>99</v>
      </c>
    </row>
    <row r="1378" spans="1:6">
      <c r="A1378" s="1041" t="s">
        <v>636</v>
      </c>
      <c r="B1378" s="1042" t="s">
        <v>166</v>
      </c>
      <c r="C1378" s="1043" t="s">
        <v>167</v>
      </c>
      <c r="D1378" s="1045"/>
      <c r="E1378" s="1046"/>
      <c r="F1378" s="1036">
        <v>99</v>
      </c>
    </row>
    <row r="1379" spans="1:6">
      <c r="A1379" s="1041" t="s">
        <v>636</v>
      </c>
      <c r="B1379" s="1042" t="s">
        <v>161</v>
      </c>
      <c r="C1379" s="1044" t="s">
        <v>671</v>
      </c>
      <c r="D1379" s="1045"/>
      <c r="E1379" s="1046"/>
      <c r="F1379" s="1036">
        <v>99</v>
      </c>
    </row>
    <row r="1380" spans="1:6">
      <c r="A1380" s="1041" t="s">
        <v>636</v>
      </c>
      <c r="B1380" s="1042" t="s">
        <v>164</v>
      </c>
      <c r="C1380" s="1043" t="s">
        <v>165</v>
      </c>
      <c r="D1380" s="1045"/>
      <c r="E1380" s="1046"/>
      <c r="F1380" s="1036">
        <v>99</v>
      </c>
    </row>
    <row r="1381" spans="1:6">
      <c r="A1381" s="1041" t="s">
        <v>636</v>
      </c>
      <c r="B1381" s="1042" t="s">
        <v>166</v>
      </c>
      <c r="C1381" s="1043" t="s">
        <v>167</v>
      </c>
      <c r="D1381" s="1045"/>
      <c r="E1381" s="1046"/>
      <c r="F1381" s="1036">
        <v>99</v>
      </c>
    </row>
    <row r="1382" spans="1:6">
      <c r="A1382" s="1041" t="s">
        <v>636</v>
      </c>
      <c r="B1382" s="1042" t="s">
        <v>170</v>
      </c>
      <c r="C1382" s="1043" t="s">
        <v>171</v>
      </c>
      <c r="D1382" s="1045"/>
      <c r="E1382" s="1046"/>
      <c r="F1382" s="1036">
        <v>99</v>
      </c>
    </row>
    <row r="1383" spans="1:6">
      <c r="A1383" s="1041" t="s">
        <v>636</v>
      </c>
      <c r="B1383" s="1042" t="s">
        <v>172</v>
      </c>
      <c r="C1383" s="1043" t="s">
        <v>165</v>
      </c>
      <c r="D1383" s="1045"/>
      <c r="E1383" s="1046"/>
      <c r="F1383" s="1036">
        <v>99</v>
      </c>
    </row>
    <row r="1384" spans="1:6">
      <c r="A1384" s="1041" t="s">
        <v>636</v>
      </c>
      <c r="B1384" s="1042" t="s">
        <v>166</v>
      </c>
      <c r="C1384" s="1043" t="s">
        <v>167</v>
      </c>
      <c r="D1384" s="1045"/>
      <c r="E1384" s="1046"/>
      <c r="F1384" s="1036">
        <v>99</v>
      </c>
    </row>
    <row r="1385" spans="1:6">
      <c r="A1385" s="1041" t="s">
        <v>636</v>
      </c>
      <c r="B1385" s="1042" t="s">
        <v>176</v>
      </c>
      <c r="C1385" s="1043" t="s">
        <v>177</v>
      </c>
      <c r="D1385" s="1045"/>
      <c r="E1385" s="1046"/>
      <c r="F1385" s="1036">
        <v>99</v>
      </c>
    </row>
    <row r="1386" spans="1:6">
      <c r="A1386" s="1041" t="s">
        <v>636</v>
      </c>
      <c r="B1386" s="1042" t="s">
        <v>180</v>
      </c>
      <c r="C1386" s="1043" t="s">
        <v>165</v>
      </c>
      <c r="D1386" s="1045"/>
      <c r="E1386" s="1046"/>
      <c r="F1386" s="1036">
        <v>99</v>
      </c>
    </row>
    <row r="1387" spans="1:6">
      <c r="A1387" s="1041" t="s">
        <v>636</v>
      </c>
      <c r="B1387" s="1042" t="s">
        <v>166</v>
      </c>
      <c r="C1387" s="1043" t="s">
        <v>167</v>
      </c>
      <c r="D1387" s="1045"/>
      <c r="E1387" s="1046"/>
      <c r="F1387" s="1036">
        <v>99</v>
      </c>
    </row>
    <row r="1388" spans="1:6">
      <c r="A1388" s="1020" t="s">
        <v>636</v>
      </c>
      <c r="B1388" s="1021" t="s">
        <v>161</v>
      </c>
      <c r="C1388" s="1040" t="s">
        <v>672</v>
      </c>
      <c r="D1388" s="1027"/>
      <c r="E1388" s="1038"/>
      <c r="F1388" s="1036">
        <v>99</v>
      </c>
    </row>
    <row r="1389" spans="1:6">
      <c r="A1389" s="1020" t="s">
        <v>636</v>
      </c>
      <c r="B1389" s="1021" t="s">
        <v>164</v>
      </c>
      <c r="C1389" s="1026" t="s">
        <v>165</v>
      </c>
      <c r="D1389" s="1027"/>
      <c r="E1389" s="1038"/>
      <c r="F1389" s="1036">
        <v>99</v>
      </c>
    </row>
    <row r="1390" spans="1:6">
      <c r="A1390" s="1020" t="s">
        <v>636</v>
      </c>
      <c r="B1390" s="1021" t="s">
        <v>166</v>
      </c>
      <c r="C1390" s="1026" t="s">
        <v>167</v>
      </c>
      <c r="D1390" s="1027"/>
      <c r="E1390" s="1038"/>
      <c r="F1390" s="1036">
        <v>99</v>
      </c>
    </row>
    <row r="1391" spans="1:6">
      <c r="A1391" s="1020" t="s">
        <v>636</v>
      </c>
      <c r="B1391" s="1021" t="s">
        <v>170</v>
      </c>
      <c r="C1391" s="1026" t="s">
        <v>171</v>
      </c>
      <c r="D1391" s="1027"/>
      <c r="E1391" s="1038"/>
      <c r="F1391" s="1036">
        <v>99</v>
      </c>
    </row>
    <row r="1392" spans="1:6">
      <c r="A1392" s="1020" t="s">
        <v>636</v>
      </c>
      <c r="B1392" s="1021" t="s">
        <v>172</v>
      </c>
      <c r="C1392" s="1026" t="s">
        <v>165</v>
      </c>
      <c r="D1392" s="1027"/>
      <c r="E1392" s="1038"/>
      <c r="F1392" s="1036">
        <v>99</v>
      </c>
    </row>
    <row r="1393" spans="1:6">
      <c r="A1393" s="1020" t="s">
        <v>636</v>
      </c>
      <c r="B1393" s="1021" t="s">
        <v>166</v>
      </c>
      <c r="C1393" s="1026" t="s">
        <v>167</v>
      </c>
      <c r="D1393" s="1027"/>
      <c r="E1393" s="1038"/>
      <c r="F1393" s="1036">
        <v>99</v>
      </c>
    </row>
    <row r="1394" spans="1:6">
      <c r="A1394" s="1020" t="s">
        <v>636</v>
      </c>
      <c r="B1394" s="1021" t="s">
        <v>176</v>
      </c>
      <c r="C1394" s="1026" t="s">
        <v>177</v>
      </c>
      <c r="D1394" s="1027"/>
      <c r="E1394" s="1038"/>
      <c r="F1394" s="1036">
        <v>99</v>
      </c>
    </row>
    <row r="1395" spans="1:6">
      <c r="A1395" s="1020" t="s">
        <v>636</v>
      </c>
      <c r="B1395" s="1021" t="s">
        <v>180</v>
      </c>
      <c r="C1395" s="1026" t="s">
        <v>165</v>
      </c>
      <c r="D1395" s="1027"/>
      <c r="E1395" s="1038"/>
      <c r="F1395" s="1036">
        <v>99</v>
      </c>
    </row>
    <row r="1396" spans="1:6">
      <c r="A1396" s="1020" t="s">
        <v>636</v>
      </c>
      <c r="B1396" s="1021" t="s">
        <v>166</v>
      </c>
      <c r="C1396" s="1026" t="s">
        <v>167</v>
      </c>
      <c r="D1396" s="1027"/>
      <c r="E1396" s="1038"/>
      <c r="F1396" s="1036">
        <v>99</v>
      </c>
    </row>
    <row r="1397" spans="1:6">
      <c r="A1397" s="1020" t="s">
        <v>636</v>
      </c>
      <c r="B1397" s="1021" t="s">
        <v>161</v>
      </c>
      <c r="C1397" s="1040" t="s">
        <v>673</v>
      </c>
      <c r="D1397" s="1027"/>
      <c r="E1397" s="1038"/>
      <c r="F1397" s="1036">
        <v>99</v>
      </c>
    </row>
    <row r="1398" spans="1:6">
      <c r="A1398" s="1020" t="s">
        <v>636</v>
      </c>
      <c r="B1398" s="1021" t="s">
        <v>164</v>
      </c>
      <c r="C1398" s="1026" t="s">
        <v>165</v>
      </c>
      <c r="D1398" s="1027"/>
      <c r="E1398" s="1038"/>
      <c r="F1398" s="1036">
        <v>99</v>
      </c>
    </row>
    <row r="1399" spans="1:6">
      <c r="A1399" s="1020" t="s">
        <v>636</v>
      </c>
      <c r="B1399" s="1021" t="s">
        <v>166</v>
      </c>
      <c r="C1399" s="1026" t="s">
        <v>167</v>
      </c>
      <c r="D1399" s="1027"/>
      <c r="E1399" s="1038"/>
      <c r="F1399" s="1036">
        <v>99</v>
      </c>
    </row>
    <row r="1400" spans="1:6">
      <c r="A1400" s="1020" t="s">
        <v>636</v>
      </c>
      <c r="B1400" s="1021" t="s">
        <v>170</v>
      </c>
      <c r="C1400" s="1026" t="s">
        <v>171</v>
      </c>
      <c r="D1400" s="1027"/>
      <c r="E1400" s="1038"/>
      <c r="F1400" s="1036">
        <v>99</v>
      </c>
    </row>
    <row r="1401" spans="1:6">
      <c r="A1401" s="1020" t="s">
        <v>636</v>
      </c>
      <c r="B1401" s="1021" t="s">
        <v>172</v>
      </c>
      <c r="C1401" s="1026" t="s">
        <v>165</v>
      </c>
      <c r="D1401" s="1027"/>
      <c r="E1401" s="1038"/>
      <c r="F1401" s="1036">
        <v>99</v>
      </c>
    </row>
    <row r="1402" spans="1:6">
      <c r="A1402" s="1020" t="s">
        <v>636</v>
      </c>
      <c r="B1402" s="1021" t="s">
        <v>166</v>
      </c>
      <c r="C1402" s="1026" t="s">
        <v>167</v>
      </c>
      <c r="D1402" s="1027"/>
      <c r="E1402" s="1038"/>
      <c r="F1402" s="1036">
        <v>99</v>
      </c>
    </row>
    <row r="1403" spans="1:6">
      <c r="A1403" s="1020" t="s">
        <v>636</v>
      </c>
      <c r="B1403" s="1021" t="s">
        <v>176</v>
      </c>
      <c r="C1403" s="1026" t="s">
        <v>177</v>
      </c>
      <c r="D1403" s="1027"/>
      <c r="E1403" s="1038"/>
      <c r="F1403" s="1036">
        <v>99</v>
      </c>
    </row>
    <row r="1404" spans="1:6">
      <c r="A1404" s="1020" t="s">
        <v>636</v>
      </c>
      <c r="B1404" s="1021" t="s">
        <v>180</v>
      </c>
      <c r="C1404" s="1026" t="s">
        <v>165</v>
      </c>
      <c r="D1404" s="1027"/>
      <c r="E1404" s="1038"/>
      <c r="F1404" s="1036">
        <v>99</v>
      </c>
    </row>
    <row r="1405" spans="1:6">
      <c r="A1405" s="1020" t="s">
        <v>636</v>
      </c>
      <c r="B1405" s="1021" t="s">
        <v>166</v>
      </c>
      <c r="C1405" s="1026" t="s">
        <v>167</v>
      </c>
      <c r="D1405" s="1027"/>
      <c r="E1405" s="1038"/>
      <c r="F1405" s="1036">
        <v>99</v>
      </c>
    </row>
    <row r="1406" spans="1:6">
      <c r="A1406" s="1020" t="s">
        <v>636</v>
      </c>
      <c r="B1406" s="1021" t="s">
        <v>161</v>
      </c>
      <c r="C1406" s="1040" t="s">
        <v>674</v>
      </c>
      <c r="D1406" s="1027"/>
      <c r="E1406" s="1038"/>
      <c r="F1406" s="1036">
        <v>99</v>
      </c>
    </row>
    <row r="1407" spans="1:6">
      <c r="A1407" s="1020" t="s">
        <v>636</v>
      </c>
      <c r="B1407" s="1021" t="s">
        <v>164</v>
      </c>
      <c r="C1407" s="1026" t="s">
        <v>165</v>
      </c>
      <c r="D1407" s="1027"/>
      <c r="E1407" s="1038"/>
      <c r="F1407" s="1036">
        <v>99</v>
      </c>
    </row>
    <row r="1408" spans="1:6">
      <c r="A1408" s="1020" t="s">
        <v>636</v>
      </c>
      <c r="B1408" s="1021" t="s">
        <v>166</v>
      </c>
      <c r="C1408" s="1026" t="s">
        <v>167</v>
      </c>
      <c r="D1408" s="1027"/>
      <c r="E1408" s="1038"/>
      <c r="F1408" s="1036">
        <v>99</v>
      </c>
    </row>
    <row r="1409" spans="1:6">
      <c r="A1409" s="1020" t="s">
        <v>636</v>
      </c>
      <c r="B1409" s="1021" t="s">
        <v>170</v>
      </c>
      <c r="C1409" s="1026" t="s">
        <v>171</v>
      </c>
      <c r="D1409" s="1027"/>
      <c r="E1409" s="1038"/>
      <c r="F1409" s="1036">
        <v>99</v>
      </c>
    </row>
    <row r="1410" spans="1:6">
      <c r="A1410" s="1020" t="s">
        <v>636</v>
      </c>
      <c r="B1410" s="1021" t="s">
        <v>172</v>
      </c>
      <c r="C1410" s="1026" t="s">
        <v>165</v>
      </c>
      <c r="D1410" s="1027"/>
      <c r="E1410" s="1038"/>
      <c r="F1410" s="1036">
        <v>99</v>
      </c>
    </row>
    <row r="1411" spans="1:6">
      <c r="A1411" s="1020" t="s">
        <v>636</v>
      </c>
      <c r="B1411" s="1021" t="s">
        <v>166</v>
      </c>
      <c r="C1411" s="1026" t="s">
        <v>167</v>
      </c>
      <c r="D1411" s="1027"/>
      <c r="E1411" s="1038"/>
      <c r="F1411" s="1036">
        <v>99</v>
      </c>
    </row>
    <row r="1412" spans="1:6">
      <c r="A1412" s="1020" t="s">
        <v>636</v>
      </c>
      <c r="B1412" s="1021" t="s">
        <v>176</v>
      </c>
      <c r="C1412" s="1026" t="s">
        <v>177</v>
      </c>
      <c r="D1412" s="1027"/>
      <c r="E1412" s="1038"/>
      <c r="F1412" s="1036">
        <v>99</v>
      </c>
    </row>
    <row r="1413" spans="1:6">
      <c r="A1413" s="1020" t="s">
        <v>636</v>
      </c>
      <c r="B1413" s="1021" t="s">
        <v>180</v>
      </c>
      <c r="C1413" s="1026" t="s">
        <v>165</v>
      </c>
      <c r="D1413" s="1027"/>
      <c r="E1413" s="1038"/>
      <c r="F1413" s="1036">
        <v>99</v>
      </c>
    </row>
    <row r="1414" spans="1:6">
      <c r="A1414" s="1020" t="s">
        <v>636</v>
      </c>
      <c r="B1414" s="1021" t="s">
        <v>166</v>
      </c>
      <c r="C1414" s="1026" t="s">
        <v>167</v>
      </c>
      <c r="D1414" s="1027"/>
      <c r="E1414" s="1038"/>
      <c r="F1414" s="1036">
        <v>99</v>
      </c>
    </row>
    <row r="1415" spans="1:6">
      <c r="A1415" s="1020" t="s">
        <v>636</v>
      </c>
      <c r="B1415" s="1047" t="s">
        <v>187</v>
      </c>
      <c r="C1415" s="1039" t="s">
        <v>188</v>
      </c>
      <c r="D1415" s="1034"/>
      <c r="E1415" s="1038"/>
      <c r="F1415" s="1036">
        <v>99</v>
      </c>
    </row>
    <row r="1416" spans="1:6">
      <c r="A1416" s="1020" t="s">
        <v>636</v>
      </c>
      <c r="B1416" s="1021" t="s">
        <v>187</v>
      </c>
      <c r="C1416" s="1040" t="s">
        <v>675</v>
      </c>
      <c r="D1416" s="1027"/>
      <c r="E1416" s="1038"/>
      <c r="F1416" s="1036">
        <v>99</v>
      </c>
    </row>
    <row r="1417" spans="1:6">
      <c r="A1417" s="1020" t="s">
        <v>636</v>
      </c>
      <c r="B1417" s="1047" t="s">
        <v>190</v>
      </c>
      <c r="C1417" s="1026" t="s">
        <v>165</v>
      </c>
      <c r="D1417" s="1027"/>
      <c r="E1417" s="1038"/>
      <c r="F1417" s="1036">
        <v>99</v>
      </c>
    </row>
    <row r="1418" spans="1:6">
      <c r="A1418" s="1020" t="s">
        <v>636</v>
      </c>
      <c r="B1418" s="1047" t="s">
        <v>191</v>
      </c>
      <c r="C1418" s="1026" t="s">
        <v>167</v>
      </c>
      <c r="D1418" s="1027"/>
      <c r="E1418" s="1038"/>
      <c r="F1418" s="1036">
        <v>99</v>
      </c>
    </row>
    <row r="1419" spans="1:6">
      <c r="A1419" s="1020" t="s">
        <v>636</v>
      </c>
      <c r="B1419" s="1021" t="s">
        <v>187</v>
      </c>
      <c r="C1419" s="1040" t="s">
        <v>676</v>
      </c>
      <c r="D1419" s="1027"/>
      <c r="E1419" s="1038"/>
      <c r="F1419" s="1036">
        <v>99</v>
      </c>
    </row>
    <row r="1420" spans="1:6">
      <c r="A1420" s="1020" t="s">
        <v>636</v>
      </c>
      <c r="B1420" s="1047" t="s">
        <v>190</v>
      </c>
      <c r="C1420" s="1026" t="s">
        <v>165</v>
      </c>
      <c r="D1420" s="1027"/>
      <c r="E1420" s="1038"/>
      <c r="F1420" s="1036">
        <v>99</v>
      </c>
    </row>
    <row r="1421" spans="1:6">
      <c r="A1421" s="1020" t="s">
        <v>636</v>
      </c>
      <c r="B1421" s="1047" t="s">
        <v>191</v>
      </c>
      <c r="C1421" s="1026" t="s">
        <v>167</v>
      </c>
      <c r="D1421" s="1027"/>
      <c r="E1421" s="1038"/>
      <c r="F1421" s="1036">
        <v>99</v>
      </c>
    </row>
    <row r="1422" spans="1:6">
      <c r="A1422" s="1020" t="s">
        <v>636</v>
      </c>
      <c r="B1422" s="1021" t="s">
        <v>187</v>
      </c>
      <c r="C1422" s="1040" t="s">
        <v>677</v>
      </c>
      <c r="D1422" s="1027"/>
      <c r="E1422" s="1038"/>
      <c r="F1422" s="1036">
        <v>99</v>
      </c>
    </row>
    <row r="1423" spans="1:6">
      <c r="A1423" s="1048" t="s">
        <v>636</v>
      </c>
      <c r="B1423" s="1047" t="s">
        <v>190</v>
      </c>
      <c r="C1423" s="1026" t="s">
        <v>165</v>
      </c>
      <c r="D1423" s="1027"/>
      <c r="E1423" s="1038"/>
      <c r="F1423" s="1036">
        <v>99</v>
      </c>
    </row>
    <row r="1424" spans="1:6">
      <c r="A1424" s="1048" t="s">
        <v>636</v>
      </c>
      <c r="B1424" s="1047" t="s">
        <v>191</v>
      </c>
      <c r="C1424" s="1026" t="s">
        <v>167</v>
      </c>
      <c r="D1424" s="1027"/>
      <c r="E1424" s="1038"/>
      <c r="F1424" s="1036">
        <v>99</v>
      </c>
    </row>
    <row r="1425" spans="1:6">
      <c r="A1425" s="1020" t="s">
        <v>636</v>
      </c>
      <c r="B1425" s="1021" t="s">
        <v>187</v>
      </c>
      <c r="C1425" s="1040" t="s">
        <v>678</v>
      </c>
      <c r="D1425" s="1027"/>
      <c r="E1425" s="1038"/>
      <c r="F1425" s="1036">
        <v>99</v>
      </c>
    </row>
    <row r="1426" spans="1:6">
      <c r="A1426" s="1020" t="s">
        <v>636</v>
      </c>
      <c r="B1426" s="1047" t="s">
        <v>190</v>
      </c>
      <c r="C1426" s="1026" t="s">
        <v>165</v>
      </c>
      <c r="D1426" s="1027"/>
      <c r="E1426" s="1038"/>
      <c r="F1426" s="1036">
        <v>99</v>
      </c>
    </row>
    <row r="1427" spans="1:6">
      <c r="A1427" s="1020" t="s">
        <v>636</v>
      </c>
      <c r="B1427" s="1047" t="s">
        <v>191</v>
      </c>
      <c r="C1427" s="1026" t="s">
        <v>167</v>
      </c>
      <c r="D1427" s="1027"/>
      <c r="E1427" s="1038"/>
      <c r="F1427" s="1036">
        <v>99</v>
      </c>
    </row>
    <row r="1428" spans="1:6">
      <c r="A1428" s="1020" t="s">
        <v>636</v>
      </c>
      <c r="B1428" s="1021" t="s">
        <v>187</v>
      </c>
      <c r="C1428" s="1040" t="s">
        <v>679</v>
      </c>
      <c r="D1428" s="1027"/>
      <c r="E1428" s="1038"/>
      <c r="F1428" s="1036">
        <v>99</v>
      </c>
    </row>
    <row r="1429" spans="1:6">
      <c r="A1429" s="1020" t="s">
        <v>636</v>
      </c>
      <c r="B1429" s="1021" t="s">
        <v>190</v>
      </c>
      <c r="C1429" s="1026" t="s">
        <v>165</v>
      </c>
      <c r="D1429" s="1027"/>
      <c r="E1429" s="1038"/>
      <c r="F1429" s="1036">
        <v>99</v>
      </c>
    </row>
    <row r="1430" spans="1:6">
      <c r="A1430" s="1020" t="s">
        <v>636</v>
      </c>
      <c r="B1430" s="1021" t="s">
        <v>191</v>
      </c>
      <c r="C1430" s="1026" t="s">
        <v>167</v>
      </c>
      <c r="D1430" s="1027"/>
      <c r="E1430" s="1038"/>
      <c r="F1430" s="1036">
        <v>99</v>
      </c>
    </row>
    <row r="1431" spans="1:6">
      <c r="A1431" s="1020" t="s">
        <v>636</v>
      </c>
      <c r="B1431" s="1021" t="s">
        <v>192</v>
      </c>
      <c r="C1431" s="1039" t="s">
        <v>332</v>
      </c>
      <c r="D1431" s="1034"/>
      <c r="E1431" s="1038"/>
      <c r="F1431" s="1036">
        <v>99</v>
      </c>
    </row>
    <row r="1432" spans="1:6">
      <c r="A1432" s="1020" t="s">
        <v>636</v>
      </c>
      <c r="B1432" s="1021" t="s">
        <v>192</v>
      </c>
      <c r="C1432" s="1040" t="s">
        <v>680</v>
      </c>
      <c r="D1432" s="1027"/>
      <c r="E1432" s="1038"/>
      <c r="F1432" s="1036">
        <v>99</v>
      </c>
    </row>
    <row r="1433" spans="1:6">
      <c r="A1433" s="1020" t="s">
        <v>636</v>
      </c>
      <c r="B1433" s="1047" t="s">
        <v>195</v>
      </c>
      <c r="C1433" s="1026" t="s">
        <v>165</v>
      </c>
      <c r="D1433" s="1027"/>
      <c r="E1433" s="1038"/>
      <c r="F1433" s="1036">
        <v>99</v>
      </c>
    </row>
    <row r="1434" spans="1:6">
      <c r="A1434" s="1020" t="s">
        <v>636</v>
      </c>
      <c r="B1434" s="1047" t="s">
        <v>196</v>
      </c>
      <c r="C1434" s="1026" t="s">
        <v>167</v>
      </c>
      <c r="D1434" s="1027"/>
      <c r="E1434" s="1038"/>
      <c r="F1434" s="1036">
        <v>99</v>
      </c>
    </row>
    <row r="1435" spans="1:6">
      <c r="A1435" s="1020" t="s">
        <v>636</v>
      </c>
      <c r="B1435" s="1021" t="s">
        <v>192</v>
      </c>
      <c r="C1435" s="1040" t="s">
        <v>681</v>
      </c>
      <c r="D1435" s="1027"/>
      <c r="E1435" s="1038"/>
      <c r="F1435" s="1036">
        <v>99</v>
      </c>
    </row>
    <row r="1436" spans="1:6">
      <c r="A1436" s="1020" t="s">
        <v>636</v>
      </c>
      <c r="B1436" s="1047" t="s">
        <v>195</v>
      </c>
      <c r="C1436" s="1026" t="s">
        <v>165</v>
      </c>
      <c r="D1436" s="1027"/>
      <c r="E1436" s="1038"/>
      <c r="F1436" s="1036">
        <v>99</v>
      </c>
    </row>
    <row r="1437" spans="1:6">
      <c r="A1437" s="1020" t="s">
        <v>636</v>
      </c>
      <c r="B1437" s="1047" t="s">
        <v>196</v>
      </c>
      <c r="C1437" s="1026" t="s">
        <v>167</v>
      </c>
      <c r="D1437" s="1027"/>
      <c r="E1437" s="1038"/>
      <c r="F1437" s="1036">
        <v>99</v>
      </c>
    </row>
    <row r="1438" spans="1:6">
      <c r="A1438" s="1020" t="s">
        <v>636</v>
      </c>
      <c r="B1438" s="1021" t="s">
        <v>192</v>
      </c>
      <c r="C1438" s="1040" t="s">
        <v>682</v>
      </c>
      <c r="D1438" s="1027"/>
      <c r="E1438" s="1038"/>
      <c r="F1438" s="1036">
        <v>99</v>
      </c>
    </row>
    <row r="1439" spans="1:6">
      <c r="A1439" s="1020" t="s">
        <v>636</v>
      </c>
      <c r="B1439" s="1047" t="s">
        <v>195</v>
      </c>
      <c r="C1439" s="1026" t="s">
        <v>165</v>
      </c>
      <c r="D1439" s="1027"/>
      <c r="E1439" s="1038"/>
      <c r="F1439" s="1036">
        <v>99</v>
      </c>
    </row>
    <row r="1440" spans="1:6">
      <c r="A1440" s="1020" t="s">
        <v>636</v>
      </c>
      <c r="B1440" s="1047" t="s">
        <v>196</v>
      </c>
      <c r="C1440" s="1026" t="s">
        <v>167</v>
      </c>
      <c r="D1440" s="1027"/>
      <c r="E1440" s="1038"/>
      <c r="F1440" s="1036">
        <v>99</v>
      </c>
    </row>
    <row r="1441" spans="1:6">
      <c r="A1441" s="759" t="s">
        <v>636</v>
      </c>
      <c r="B1441" s="729" t="s">
        <v>62</v>
      </c>
      <c r="C1441" s="729" t="s">
        <v>683</v>
      </c>
      <c r="D1441" s="722"/>
      <c r="E1441" s="759">
        <v>197887</v>
      </c>
      <c r="F1441" s="759">
        <v>8</v>
      </c>
    </row>
    <row r="1442" spans="1:6">
      <c r="A1442" s="759" t="s">
        <v>636</v>
      </c>
      <c r="B1442" s="729" t="s">
        <v>62</v>
      </c>
      <c r="C1442" s="762" t="s">
        <v>684</v>
      </c>
      <c r="D1442" s="763"/>
      <c r="E1442" s="759">
        <v>197887</v>
      </c>
      <c r="F1442" s="759">
        <v>8</v>
      </c>
    </row>
    <row r="1443" spans="1:6">
      <c r="A1443" s="759" t="s">
        <v>636</v>
      </c>
      <c r="B1443" s="729" t="s">
        <v>69</v>
      </c>
      <c r="C1443" s="762" t="s">
        <v>70</v>
      </c>
      <c r="D1443" s="763"/>
      <c r="E1443" s="759">
        <v>197887</v>
      </c>
      <c r="F1443" s="759">
        <v>8</v>
      </c>
    </row>
    <row r="1444" spans="1:6">
      <c r="A1444" s="759" t="s">
        <v>636</v>
      </c>
      <c r="B1444" s="729" t="s">
        <v>685</v>
      </c>
      <c r="C1444" s="762" t="s">
        <v>72</v>
      </c>
      <c r="D1444" s="763"/>
      <c r="E1444" s="759">
        <v>197887</v>
      </c>
      <c r="F1444" s="759">
        <v>8</v>
      </c>
    </row>
    <row r="1445" spans="1:6">
      <c r="A1445" s="759" t="s">
        <v>636</v>
      </c>
      <c r="B1445" s="729" t="s">
        <v>62</v>
      </c>
      <c r="C1445" s="729" t="s">
        <v>686</v>
      </c>
      <c r="D1445" s="722"/>
      <c r="E1445" s="759">
        <v>198154</v>
      </c>
      <c r="F1445" s="759">
        <v>8</v>
      </c>
    </row>
    <row r="1446" spans="1:6">
      <c r="A1446" s="759" t="s">
        <v>636</v>
      </c>
      <c r="B1446" s="729" t="s">
        <v>62</v>
      </c>
      <c r="C1446" s="762" t="s">
        <v>684</v>
      </c>
      <c r="D1446" s="763"/>
      <c r="E1446" s="759">
        <v>198154</v>
      </c>
      <c r="F1446" s="759">
        <v>8</v>
      </c>
    </row>
    <row r="1447" spans="1:6">
      <c r="A1447" s="759" t="s">
        <v>636</v>
      </c>
      <c r="B1447" s="729" t="s">
        <v>69</v>
      </c>
      <c r="C1447" s="762" t="s">
        <v>70</v>
      </c>
      <c r="D1447" s="763"/>
      <c r="E1447" s="759">
        <v>198154</v>
      </c>
      <c r="F1447" s="759">
        <v>8</v>
      </c>
    </row>
    <row r="1448" spans="1:6">
      <c r="A1448" s="759" t="s">
        <v>636</v>
      </c>
      <c r="B1448" s="729" t="s">
        <v>685</v>
      </c>
      <c r="C1448" s="762" t="s">
        <v>72</v>
      </c>
      <c r="D1448" s="763"/>
      <c r="E1448" s="759">
        <v>198154</v>
      </c>
      <c r="F1448" s="759">
        <v>8</v>
      </c>
    </row>
    <row r="1449" spans="1:6">
      <c r="A1449" s="759" t="s">
        <v>636</v>
      </c>
      <c r="B1449" s="729" t="s">
        <v>62</v>
      </c>
      <c r="C1449" s="729" t="s">
        <v>687</v>
      </c>
      <c r="D1449" s="722"/>
      <c r="E1449" s="759">
        <v>198260</v>
      </c>
      <c r="F1449" s="759">
        <v>8</v>
      </c>
    </row>
    <row r="1450" spans="1:6">
      <c r="A1450" s="759" t="s">
        <v>636</v>
      </c>
      <c r="B1450" s="729" t="s">
        <v>62</v>
      </c>
      <c r="C1450" s="762" t="s">
        <v>684</v>
      </c>
      <c r="D1450" s="763"/>
      <c r="E1450" s="759">
        <v>198260</v>
      </c>
      <c r="F1450" s="759">
        <v>8</v>
      </c>
    </row>
    <row r="1451" spans="1:6">
      <c r="A1451" s="759" t="s">
        <v>636</v>
      </c>
      <c r="B1451" s="729" t="s">
        <v>69</v>
      </c>
      <c r="C1451" s="762" t="s">
        <v>70</v>
      </c>
      <c r="D1451" s="763"/>
      <c r="E1451" s="759">
        <v>198260</v>
      </c>
      <c r="F1451" s="759">
        <v>8</v>
      </c>
    </row>
    <row r="1452" spans="1:6">
      <c r="A1452" s="759" t="s">
        <v>636</v>
      </c>
      <c r="B1452" s="729" t="s">
        <v>685</v>
      </c>
      <c r="C1452" s="762" t="s">
        <v>72</v>
      </c>
      <c r="D1452" s="763"/>
      <c r="E1452" s="759">
        <v>198260</v>
      </c>
      <c r="F1452" s="759">
        <v>8</v>
      </c>
    </row>
    <row r="1453" spans="1:6">
      <c r="A1453" s="759" t="s">
        <v>636</v>
      </c>
      <c r="B1453" s="729" t="s">
        <v>62</v>
      </c>
      <c r="C1453" s="729" t="s">
        <v>688</v>
      </c>
      <c r="D1453" s="722"/>
      <c r="E1453" s="759">
        <v>198534</v>
      </c>
      <c r="F1453" s="759">
        <v>8</v>
      </c>
    </row>
    <row r="1454" spans="1:6">
      <c r="A1454" s="759" t="s">
        <v>636</v>
      </c>
      <c r="B1454" s="729" t="s">
        <v>62</v>
      </c>
      <c r="C1454" s="762" t="s">
        <v>684</v>
      </c>
      <c r="D1454" s="763"/>
      <c r="E1454" s="759">
        <v>198534</v>
      </c>
      <c r="F1454" s="759">
        <v>8</v>
      </c>
    </row>
    <row r="1455" spans="1:6">
      <c r="A1455" s="759" t="s">
        <v>636</v>
      </c>
      <c r="B1455" s="729" t="s">
        <v>69</v>
      </c>
      <c r="C1455" s="762" t="s">
        <v>70</v>
      </c>
      <c r="D1455" s="763"/>
      <c r="E1455" s="759">
        <v>198534</v>
      </c>
      <c r="F1455" s="759">
        <v>8</v>
      </c>
    </row>
    <row r="1456" spans="1:6">
      <c r="A1456" s="759" t="s">
        <v>636</v>
      </c>
      <c r="B1456" s="729" t="s">
        <v>685</v>
      </c>
      <c r="C1456" s="762" t="s">
        <v>72</v>
      </c>
      <c r="D1456" s="763"/>
      <c r="E1456" s="759">
        <v>198534</v>
      </c>
      <c r="F1456" s="759">
        <v>8</v>
      </c>
    </row>
    <row r="1457" spans="1:6">
      <c r="A1457" s="759" t="s">
        <v>636</v>
      </c>
      <c r="B1457" s="729" t="s">
        <v>62</v>
      </c>
      <c r="C1457" s="729" t="s">
        <v>689</v>
      </c>
      <c r="D1457" s="722"/>
      <c r="E1457" s="759">
        <v>198552</v>
      </c>
      <c r="F1457" s="759">
        <v>8</v>
      </c>
    </row>
    <row r="1458" spans="1:6">
      <c r="A1458" s="759" t="s">
        <v>636</v>
      </c>
      <c r="B1458" s="729" t="s">
        <v>62</v>
      </c>
      <c r="C1458" s="762" t="s">
        <v>684</v>
      </c>
      <c r="D1458" s="763"/>
      <c r="E1458" s="759">
        <v>198552</v>
      </c>
      <c r="F1458" s="759">
        <v>8</v>
      </c>
    </row>
    <row r="1459" spans="1:6">
      <c r="A1459" s="759" t="s">
        <v>636</v>
      </c>
      <c r="B1459" s="729" t="s">
        <v>69</v>
      </c>
      <c r="C1459" s="762" t="s">
        <v>70</v>
      </c>
      <c r="D1459" s="763"/>
      <c r="E1459" s="759">
        <v>198552</v>
      </c>
      <c r="F1459" s="759">
        <v>8</v>
      </c>
    </row>
    <row r="1460" spans="1:6">
      <c r="A1460" s="759" t="s">
        <v>636</v>
      </c>
      <c r="B1460" s="729" t="s">
        <v>685</v>
      </c>
      <c r="C1460" s="762" t="s">
        <v>72</v>
      </c>
      <c r="D1460" s="763"/>
      <c r="E1460" s="759">
        <v>198552</v>
      </c>
      <c r="F1460" s="759">
        <v>8</v>
      </c>
    </row>
    <row r="1461" spans="1:6">
      <c r="A1461" s="759" t="s">
        <v>636</v>
      </c>
      <c r="B1461" s="729" t="s">
        <v>62</v>
      </c>
      <c r="C1461" s="729" t="s">
        <v>690</v>
      </c>
      <c r="D1461" s="722"/>
      <c r="E1461" s="759">
        <v>198622</v>
      </c>
      <c r="F1461" s="759">
        <v>8</v>
      </c>
    </row>
    <row r="1462" spans="1:6">
      <c r="A1462" s="759" t="s">
        <v>636</v>
      </c>
      <c r="B1462" s="729" t="s">
        <v>62</v>
      </c>
      <c r="C1462" s="762" t="s">
        <v>684</v>
      </c>
      <c r="D1462" s="763"/>
      <c r="E1462" s="759">
        <v>198622</v>
      </c>
      <c r="F1462" s="759">
        <v>8</v>
      </c>
    </row>
    <row r="1463" spans="1:6">
      <c r="A1463" s="759" t="s">
        <v>636</v>
      </c>
      <c r="B1463" s="729" t="s">
        <v>69</v>
      </c>
      <c r="C1463" s="762" t="s">
        <v>70</v>
      </c>
      <c r="D1463" s="763"/>
      <c r="E1463" s="759">
        <v>198622</v>
      </c>
      <c r="F1463" s="759">
        <v>8</v>
      </c>
    </row>
    <row r="1464" spans="1:6">
      <c r="A1464" s="759" t="s">
        <v>636</v>
      </c>
      <c r="B1464" s="729" t="s">
        <v>685</v>
      </c>
      <c r="C1464" s="762" t="s">
        <v>72</v>
      </c>
      <c r="D1464" s="763"/>
      <c r="E1464" s="759">
        <v>198622</v>
      </c>
      <c r="F1464" s="759">
        <v>8</v>
      </c>
    </row>
    <row r="1465" spans="1:6">
      <c r="A1465" s="759" t="s">
        <v>636</v>
      </c>
      <c r="B1465" s="729" t="s">
        <v>62</v>
      </c>
      <c r="C1465" s="729" t="s">
        <v>691</v>
      </c>
      <c r="D1465" s="722"/>
      <c r="E1465" s="759">
        <v>199333</v>
      </c>
      <c r="F1465" s="759">
        <v>8</v>
      </c>
    </row>
    <row r="1466" spans="1:6">
      <c r="A1466" s="759" t="s">
        <v>636</v>
      </c>
      <c r="B1466" s="729" t="s">
        <v>62</v>
      </c>
      <c r="C1466" s="762" t="s">
        <v>684</v>
      </c>
      <c r="D1466" s="763"/>
      <c r="E1466" s="759">
        <v>199333</v>
      </c>
      <c r="F1466" s="759">
        <v>8</v>
      </c>
    </row>
    <row r="1467" spans="1:6">
      <c r="A1467" s="759" t="s">
        <v>636</v>
      </c>
      <c r="B1467" s="729" t="s">
        <v>69</v>
      </c>
      <c r="C1467" s="762" t="s">
        <v>70</v>
      </c>
      <c r="D1467" s="763"/>
      <c r="E1467" s="759">
        <v>199333</v>
      </c>
      <c r="F1467" s="759">
        <v>8</v>
      </c>
    </row>
    <row r="1468" spans="1:6">
      <c r="A1468" s="759" t="s">
        <v>636</v>
      </c>
      <c r="B1468" s="729" t="s">
        <v>685</v>
      </c>
      <c r="C1468" s="762" t="s">
        <v>72</v>
      </c>
      <c r="D1468" s="763"/>
      <c r="E1468" s="759">
        <v>199333</v>
      </c>
      <c r="F1468" s="759">
        <v>8</v>
      </c>
    </row>
    <row r="1469" spans="1:6">
      <c r="A1469" s="759" t="s">
        <v>636</v>
      </c>
      <c r="B1469" s="729" t="s">
        <v>62</v>
      </c>
      <c r="C1469" s="729" t="s">
        <v>692</v>
      </c>
      <c r="D1469" s="722"/>
      <c r="E1469" s="759">
        <v>199494</v>
      </c>
      <c r="F1469" s="759">
        <v>8</v>
      </c>
    </row>
    <row r="1470" spans="1:6">
      <c r="A1470" s="759" t="s">
        <v>636</v>
      </c>
      <c r="B1470" s="729" t="s">
        <v>62</v>
      </c>
      <c r="C1470" s="762" t="s">
        <v>684</v>
      </c>
      <c r="D1470" s="763"/>
      <c r="E1470" s="759">
        <v>199494</v>
      </c>
      <c r="F1470" s="759">
        <v>8</v>
      </c>
    </row>
    <row r="1471" spans="1:6">
      <c r="A1471" s="759" t="s">
        <v>636</v>
      </c>
      <c r="B1471" s="729" t="s">
        <v>69</v>
      </c>
      <c r="C1471" s="762" t="s">
        <v>70</v>
      </c>
      <c r="D1471" s="763"/>
      <c r="E1471" s="759">
        <v>199494</v>
      </c>
      <c r="F1471" s="759">
        <v>8</v>
      </c>
    </row>
    <row r="1472" spans="1:6">
      <c r="A1472" s="759" t="s">
        <v>636</v>
      </c>
      <c r="B1472" s="729" t="s">
        <v>685</v>
      </c>
      <c r="C1472" s="762" t="s">
        <v>72</v>
      </c>
      <c r="D1472" s="763"/>
      <c r="E1472" s="759">
        <v>199494</v>
      </c>
      <c r="F1472" s="759">
        <v>8</v>
      </c>
    </row>
    <row r="1473" spans="1:6">
      <c r="A1473" s="759" t="s">
        <v>636</v>
      </c>
      <c r="B1473" s="729" t="s">
        <v>62</v>
      </c>
      <c r="C1473" s="729" t="s">
        <v>693</v>
      </c>
      <c r="D1473" s="722"/>
      <c r="E1473" s="759">
        <v>199856</v>
      </c>
      <c r="F1473" s="759">
        <v>8</v>
      </c>
    </row>
    <row r="1474" spans="1:6">
      <c r="A1474" s="759" t="s">
        <v>636</v>
      </c>
      <c r="B1474" s="729" t="s">
        <v>62</v>
      </c>
      <c r="C1474" s="762" t="s">
        <v>684</v>
      </c>
      <c r="D1474" s="763"/>
      <c r="E1474" s="759">
        <v>199856</v>
      </c>
      <c r="F1474" s="759">
        <v>8</v>
      </c>
    </row>
    <row r="1475" spans="1:6">
      <c r="A1475" s="759" t="s">
        <v>636</v>
      </c>
      <c r="B1475" s="729" t="s">
        <v>69</v>
      </c>
      <c r="C1475" s="762" t="s">
        <v>70</v>
      </c>
      <c r="D1475" s="763"/>
      <c r="E1475" s="759">
        <v>199856</v>
      </c>
      <c r="F1475" s="759">
        <v>8</v>
      </c>
    </row>
    <row r="1476" spans="1:6">
      <c r="A1476" s="759" t="s">
        <v>636</v>
      </c>
      <c r="B1476" s="729" t="s">
        <v>685</v>
      </c>
      <c r="C1476" s="762" t="s">
        <v>72</v>
      </c>
      <c r="D1476" s="763"/>
      <c r="E1476" s="759">
        <v>199856</v>
      </c>
      <c r="F1476" s="759">
        <v>8</v>
      </c>
    </row>
    <row r="1477" spans="1:6">
      <c r="A1477" s="759" t="s">
        <v>636</v>
      </c>
      <c r="B1477" s="729" t="s">
        <v>62</v>
      </c>
      <c r="C1477" s="729" t="s">
        <v>694</v>
      </c>
      <c r="D1477" s="722"/>
      <c r="E1477" s="759">
        <v>199786</v>
      </c>
      <c r="F1477" s="759">
        <v>9</v>
      </c>
    </row>
    <row r="1478" spans="1:6">
      <c r="A1478" s="759" t="s">
        <v>636</v>
      </c>
      <c r="B1478" s="729" t="s">
        <v>62</v>
      </c>
      <c r="C1478" s="762" t="s">
        <v>684</v>
      </c>
      <c r="D1478" s="763"/>
      <c r="E1478" s="759">
        <v>199786</v>
      </c>
      <c r="F1478" s="759">
        <v>9</v>
      </c>
    </row>
    <row r="1479" spans="1:6">
      <c r="A1479" s="759" t="s">
        <v>636</v>
      </c>
      <c r="B1479" s="729" t="s">
        <v>69</v>
      </c>
      <c r="C1479" s="762" t="s">
        <v>70</v>
      </c>
      <c r="D1479" s="763"/>
      <c r="E1479" s="759">
        <v>199786</v>
      </c>
      <c r="F1479" s="759">
        <v>9</v>
      </c>
    </row>
    <row r="1480" spans="1:6">
      <c r="A1480" s="759" t="s">
        <v>636</v>
      </c>
      <c r="B1480" s="729" t="s">
        <v>685</v>
      </c>
      <c r="C1480" s="762" t="s">
        <v>72</v>
      </c>
      <c r="D1480" s="763"/>
      <c r="E1480" s="759">
        <v>199786</v>
      </c>
      <c r="F1480" s="759">
        <v>9</v>
      </c>
    </row>
    <row r="1481" spans="1:6">
      <c r="A1481" s="759" t="s">
        <v>636</v>
      </c>
      <c r="B1481" s="729" t="s">
        <v>62</v>
      </c>
      <c r="C1481" s="729" t="s">
        <v>695</v>
      </c>
      <c r="D1481" s="722"/>
      <c r="E1481" s="759">
        <v>198118</v>
      </c>
      <c r="F1481" s="759">
        <v>9</v>
      </c>
    </row>
    <row r="1482" spans="1:6">
      <c r="A1482" s="759" t="s">
        <v>636</v>
      </c>
      <c r="B1482" s="729" t="s">
        <v>62</v>
      </c>
      <c r="C1482" s="762" t="s">
        <v>684</v>
      </c>
      <c r="D1482" s="763"/>
      <c r="E1482" s="759">
        <v>198118</v>
      </c>
      <c r="F1482" s="759">
        <v>9</v>
      </c>
    </row>
    <row r="1483" spans="1:6">
      <c r="A1483" s="759" t="s">
        <v>636</v>
      </c>
      <c r="B1483" s="729" t="s">
        <v>69</v>
      </c>
      <c r="C1483" s="762" t="s">
        <v>70</v>
      </c>
      <c r="D1483" s="763"/>
      <c r="E1483" s="759">
        <v>198118</v>
      </c>
      <c r="F1483" s="759">
        <v>9</v>
      </c>
    </row>
    <row r="1484" spans="1:6">
      <c r="A1484" s="759" t="s">
        <v>636</v>
      </c>
      <c r="B1484" s="729" t="s">
        <v>685</v>
      </c>
      <c r="C1484" s="762" t="s">
        <v>72</v>
      </c>
      <c r="D1484" s="763"/>
      <c r="E1484" s="759">
        <v>198118</v>
      </c>
      <c r="F1484" s="759">
        <v>9</v>
      </c>
    </row>
    <row r="1485" spans="1:6">
      <c r="A1485" s="759" t="s">
        <v>636</v>
      </c>
      <c r="B1485" s="729" t="s">
        <v>62</v>
      </c>
      <c r="C1485" s="729" t="s">
        <v>696</v>
      </c>
      <c r="D1485" s="722"/>
      <c r="E1485" s="759">
        <v>198233</v>
      </c>
      <c r="F1485" s="759">
        <v>9</v>
      </c>
    </row>
    <row r="1486" spans="1:6">
      <c r="A1486" s="759" t="s">
        <v>636</v>
      </c>
      <c r="B1486" s="729" t="s">
        <v>62</v>
      </c>
      <c r="C1486" s="762" t="s">
        <v>684</v>
      </c>
      <c r="D1486" s="763"/>
      <c r="E1486" s="759">
        <v>198233</v>
      </c>
      <c r="F1486" s="759">
        <v>9</v>
      </c>
    </row>
    <row r="1487" spans="1:6">
      <c r="A1487" s="759" t="s">
        <v>636</v>
      </c>
      <c r="B1487" s="729" t="s">
        <v>69</v>
      </c>
      <c r="C1487" s="762" t="s">
        <v>70</v>
      </c>
      <c r="D1487" s="763"/>
      <c r="E1487" s="759">
        <v>198233</v>
      </c>
      <c r="F1487" s="759">
        <v>9</v>
      </c>
    </row>
    <row r="1488" spans="1:6">
      <c r="A1488" s="759" t="s">
        <v>636</v>
      </c>
      <c r="B1488" s="729" t="s">
        <v>685</v>
      </c>
      <c r="C1488" s="762" t="s">
        <v>72</v>
      </c>
      <c r="D1488" s="763"/>
      <c r="E1488" s="759">
        <v>198233</v>
      </c>
      <c r="F1488" s="759">
        <v>9</v>
      </c>
    </row>
    <row r="1489" spans="1:6">
      <c r="A1489" s="759" t="s">
        <v>636</v>
      </c>
      <c r="B1489" s="729" t="s">
        <v>62</v>
      </c>
      <c r="C1489" s="729" t="s">
        <v>697</v>
      </c>
      <c r="D1489" s="722"/>
      <c r="E1489" s="759">
        <v>198251</v>
      </c>
      <c r="F1489" s="759">
        <v>9</v>
      </c>
    </row>
    <row r="1490" spans="1:6">
      <c r="A1490" s="759" t="s">
        <v>636</v>
      </c>
      <c r="B1490" s="729" t="s">
        <v>62</v>
      </c>
      <c r="C1490" s="762" t="s">
        <v>684</v>
      </c>
      <c r="D1490" s="763"/>
      <c r="E1490" s="759">
        <v>198251</v>
      </c>
      <c r="F1490" s="759">
        <v>9</v>
      </c>
    </row>
    <row r="1491" spans="1:6">
      <c r="A1491" s="759" t="s">
        <v>636</v>
      </c>
      <c r="B1491" s="729" t="s">
        <v>69</v>
      </c>
      <c r="C1491" s="762" t="s">
        <v>70</v>
      </c>
      <c r="D1491" s="763"/>
      <c r="E1491" s="759">
        <v>198251</v>
      </c>
      <c r="F1491" s="759">
        <v>9</v>
      </c>
    </row>
    <row r="1492" spans="1:6">
      <c r="A1492" s="759" t="s">
        <v>636</v>
      </c>
      <c r="B1492" s="729" t="s">
        <v>685</v>
      </c>
      <c r="C1492" s="762" t="s">
        <v>72</v>
      </c>
      <c r="D1492" s="763"/>
      <c r="E1492" s="759">
        <v>198251</v>
      </c>
      <c r="F1492" s="759">
        <v>9</v>
      </c>
    </row>
    <row r="1493" spans="1:6">
      <c r="A1493" s="759" t="s">
        <v>636</v>
      </c>
      <c r="B1493" s="729" t="s">
        <v>62</v>
      </c>
      <c r="C1493" s="729" t="s">
        <v>698</v>
      </c>
      <c r="D1493" s="722"/>
      <c r="E1493" s="759">
        <v>198321</v>
      </c>
      <c r="F1493" s="759">
        <v>9</v>
      </c>
    </row>
    <row r="1494" spans="1:6">
      <c r="A1494" s="759" t="s">
        <v>636</v>
      </c>
      <c r="B1494" s="729" t="s">
        <v>62</v>
      </c>
      <c r="C1494" s="762" t="s">
        <v>684</v>
      </c>
      <c r="D1494" s="763"/>
      <c r="E1494" s="759">
        <v>198321</v>
      </c>
      <c r="F1494" s="759">
        <v>9</v>
      </c>
    </row>
    <row r="1495" spans="1:6">
      <c r="A1495" s="759" t="s">
        <v>636</v>
      </c>
      <c r="B1495" s="729" t="s">
        <v>69</v>
      </c>
      <c r="C1495" s="762" t="s">
        <v>70</v>
      </c>
      <c r="D1495" s="763"/>
      <c r="E1495" s="759">
        <v>198321</v>
      </c>
      <c r="F1495" s="759">
        <v>9</v>
      </c>
    </row>
    <row r="1496" spans="1:6">
      <c r="A1496" s="759" t="s">
        <v>636</v>
      </c>
      <c r="B1496" s="729" t="s">
        <v>685</v>
      </c>
      <c r="C1496" s="762" t="s">
        <v>72</v>
      </c>
      <c r="D1496" s="763"/>
      <c r="E1496" s="759">
        <v>198321</v>
      </c>
      <c r="F1496" s="759">
        <v>9</v>
      </c>
    </row>
    <row r="1497" spans="1:6">
      <c r="A1497" s="759" t="s">
        <v>636</v>
      </c>
      <c r="B1497" s="729" t="s">
        <v>62</v>
      </c>
      <c r="C1497" s="760" t="s">
        <v>699</v>
      </c>
      <c r="D1497" s="761"/>
      <c r="E1497" s="759">
        <v>198330</v>
      </c>
      <c r="F1497" s="759">
        <v>9</v>
      </c>
    </row>
    <row r="1498" spans="1:6">
      <c r="A1498" s="759" t="s">
        <v>636</v>
      </c>
      <c r="B1498" s="729" t="s">
        <v>62</v>
      </c>
      <c r="C1498" s="762" t="s">
        <v>684</v>
      </c>
      <c r="D1498" s="763"/>
      <c r="E1498" s="759">
        <v>198330</v>
      </c>
      <c r="F1498" s="759">
        <v>9</v>
      </c>
    </row>
    <row r="1499" spans="1:6">
      <c r="A1499" s="759" t="s">
        <v>636</v>
      </c>
      <c r="B1499" s="729" t="s">
        <v>69</v>
      </c>
      <c r="C1499" s="762" t="s">
        <v>70</v>
      </c>
      <c r="D1499" s="763"/>
      <c r="E1499" s="759">
        <v>198330</v>
      </c>
      <c r="F1499" s="759">
        <v>9</v>
      </c>
    </row>
    <row r="1500" spans="1:6">
      <c r="A1500" s="759" t="s">
        <v>636</v>
      </c>
      <c r="B1500" s="729" t="s">
        <v>685</v>
      </c>
      <c r="C1500" s="762" t="s">
        <v>72</v>
      </c>
      <c r="D1500" s="763"/>
      <c r="E1500" s="759">
        <v>198330</v>
      </c>
      <c r="F1500" s="759">
        <v>9</v>
      </c>
    </row>
    <row r="1501" spans="1:6">
      <c r="A1501" s="759" t="s">
        <v>636</v>
      </c>
      <c r="B1501" s="729" t="s">
        <v>62</v>
      </c>
      <c r="C1501" s="729" t="s">
        <v>700</v>
      </c>
      <c r="D1501" s="722"/>
      <c r="E1501" s="759">
        <v>198367</v>
      </c>
      <c r="F1501" s="759">
        <v>9</v>
      </c>
    </row>
    <row r="1502" spans="1:6">
      <c r="A1502" s="759" t="s">
        <v>636</v>
      </c>
      <c r="B1502" s="729" t="s">
        <v>62</v>
      </c>
      <c r="C1502" s="762" t="s">
        <v>684</v>
      </c>
      <c r="D1502" s="763"/>
      <c r="E1502" s="759">
        <v>198367</v>
      </c>
      <c r="F1502" s="759">
        <v>9</v>
      </c>
    </row>
    <row r="1503" spans="1:6">
      <c r="A1503" s="759" t="s">
        <v>636</v>
      </c>
      <c r="B1503" s="729" t="s">
        <v>69</v>
      </c>
      <c r="C1503" s="762" t="s">
        <v>70</v>
      </c>
      <c r="D1503" s="763"/>
      <c r="E1503" s="759">
        <v>198367</v>
      </c>
      <c r="F1503" s="759">
        <v>9</v>
      </c>
    </row>
    <row r="1504" spans="1:6">
      <c r="A1504" s="759" t="s">
        <v>636</v>
      </c>
      <c r="B1504" s="729" t="s">
        <v>685</v>
      </c>
      <c r="C1504" s="762" t="s">
        <v>72</v>
      </c>
      <c r="D1504" s="763"/>
      <c r="E1504" s="759">
        <v>198367</v>
      </c>
      <c r="F1504" s="759">
        <v>9</v>
      </c>
    </row>
    <row r="1505" spans="1:6">
      <c r="A1505" s="759" t="s">
        <v>636</v>
      </c>
      <c r="B1505" s="729" t="s">
        <v>62</v>
      </c>
      <c r="C1505" s="729" t="s">
        <v>1673</v>
      </c>
      <c r="D1505" s="722"/>
      <c r="E1505" s="759">
        <v>198376</v>
      </c>
      <c r="F1505" s="759">
        <v>9</v>
      </c>
    </row>
    <row r="1506" spans="1:6">
      <c r="A1506" s="759" t="s">
        <v>636</v>
      </c>
      <c r="B1506" s="729" t="s">
        <v>62</v>
      </c>
      <c r="C1506" s="762" t="s">
        <v>684</v>
      </c>
      <c r="D1506" s="763"/>
      <c r="E1506" s="759">
        <v>198376</v>
      </c>
      <c r="F1506" s="759">
        <v>9</v>
      </c>
    </row>
    <row r="1507" spans="1:6">
      <c r="A1507" s="759" t="s">
        <v>636</v>
      </c>
      <c r="B1507" s="729" t="s">
        <v>69</v>
      </c>
      <c r="C1507" s="762" t="s">
        <v>70</v>
      </c>
      <c r="D1507" s="763"/>
      <c r="E1507" s="759">
        <v>198376</v>
      </c>
      <c r="F1507" s="759">
        <v>9</v>
      </c>
    </row>
    <row r="1508" spans="1:6">
      <c r="A1508" s="759" t="s">
        <v>636</v>
      </c>
      <c r="B1508" s="729" t="s">
        <v>685</v>
      </c>
      <c r="C1508" s="762" t="s">
        <v>72</v>
      </c>
      <c r="D1508" s="763"/>
      <c r="E1508" s="759">
        <v>198376</v>
      </c>
      <c r="F1508" s="759">
        <v>9</v>
      </c>
    </row>
    <row r="1509" spans="1:6">
      <c r="A1509" s="759" t="s">
        <v>636</v>
      </c>
      <c r="B1509" s="729" t="s">
        <v>62</v>
      </c>
      <c r="C1509" s="729" t="s">
        <v>701</v>
      </c>
      <c r="D1509" s="722"/>
      <c r="E1509" s="759">
        <v>198455</v>
      </c>
      <c r="F1509" s="759">
        <v>9</v>
      </c>
    </row>
    <row r="1510" spans="1:6">
      <c r="A1510" s="759" t="s">
        <v>636</v>
      </c>
      <c r="B1510" s="729" t="s">
        <v>62</v>
      </c>
      <c r="C1510" s="762" t="s">
        <v>684</v>
      </c>
      <c r="D1510" s="763"/>
      <c r="E1510" s="759">
        <v>198455</v>
      </c>
      <c r="F1510" s="759">
        <v>9</v>
      </c>
    </row>
    <row r="1511" spans="1:6">
      <c r="A1511" s="759" t="s">
        <v>636</v>
      </c>
      <c r="B1511" s="729" t="s">
        <v>69</v>
      </c>
      <c r="C1511" s="762" t="s">
        <v>70</v>
      </c>
      <c r="D1511" s="763"/>
      <c r="E1511" s="759">
        <v>198455</v>
      </c>
      <c r="F1511" s="759">
        <v>9</v>
      </c>
    </row>
    <row r="1512" spans="1:6">
      <c r="A1512" s="759" t="s">
        <v>636</v>
      </c>
      <c r="B1512" s="729" t="s">
        <v>685</v>
      </c>
      <c r="C1512" s="762" t="s">
        <v>72</v>
      </c>
      <c r="D1512" s="763"/>
      <c r="E1512" s="759">
        <v>198455</v>
      </c>
      <c r="F1512" s="759">
        <v>9</v>
      </c>
    </row>
    <row r="1513" spans="1:6">
      <c r="A1513" s="759" t="s">
        <v>636</v>
      </c>
      <c r="B1513" s="729" t="s">
        <v>62</v>
      </c>
      <c r="C1513" s="729" t="s">
        <v>703</v>
      </c>
      <c r="D1513" s="723"/>
      <c r="E1513" s="759">
        <v>198570</v>
      </c>
      <c r="F1513" s="759">
        <v>9</v>
      </c>
    </row>
    <row r="1514" spans="1:6">
      <c r="A1514" s="759" t="s">
        <v>636</v>
      </c>
      <c r="B1514" s="729" t="s">
        <v>62</v>
      </c>
      <c r="C1514" s="762" t="s">
        <v>684</v>
      </c>
      <c r="D1514" s="763"/>
      <c r="E1514" s="759">
        <v>198570</v>
      </c>
      <c r="F1514" s="759">
        <v>9</v>
      </c>
    </row>
    <row r="1515" spans="1:6">
      <c r="A1515" s="759" t="s">
        <v>636</v>
      </c>
      <c r="B1515" s="729" t="s">
        <v>69</v>
      </c>
      <c r="C1515" s="762" t="s">
        <v>70</v>
      </c>
      <c r="D1515" s="763"/>
      <c r="E1515" s="759">
        <v>198570</v>
      </c>
      <c r="F1515" s="759">
        <v>9</v>
      </c>
    </row>
    <row r="1516" spans="1:6">
      <c r="A1516" s="759" t="s">
        <v>636</v>
      </c>
      <c r="B1516" s="729" t="s">
        <v>685</v>
      </c>
      <c r="C1516" s="762" t="s">
        <v>72</v>
      </c>
      <c r="D1516" s="763"/>
      <c r="E1516" s="759">
        <v>198570</v>
      </c>
      <c r="F1516" s="759">
        <v>9</v>
      </c>
    </row>
    <row r="1517" spans="1:6">
      <c r="A1517" s="759" t="s">
        <v>636</v>
      </c>
      <c r="B1517" s="729" t="s">
        <v>62</v>
      </c>
      <c r="C1517" s="729" t="s">
        <v>704</v>
      </c>
      <c r="D1517" s="722"/>
      <c r="E1517" s="759">
        <v>198774</v>
      </c>
      <c r="F1517" s="759">
        <v>9</v>
      </c>
    </row>
    <row r="1518" spans="1:6">
      <c r="A1518" s="759" t="s">
        <v>636</v>
      </c>
      <c r="B1518" s="729" t="s">
        <v>62</v>
      </c>
      <c r="C1518" s="762" t="s">
        <v>684</v>
      </c>
      <c r="D1518" s="763"/>
      <c r="E1518" s="759">
        <v>198774</v>
      </c>
      <c r="F1518" s="759">
        <v>9</v>
      </c>
    </row>
    <row r="1519" spans="1:6">
      <c r="A1519" s="759" t="s">
        <v>636</v>
      </c>
      <c r="B1519" s="729" t="s">
        <v>69</v>
      </c>
      <c r="C1519" s="762" t="s">
        <v>70</v>
      </c>
      <c r="D1519" s="763"/>
      <c r="E1519" s="759">
        <v>198774</v>
      </c>
      <c r="F1519" s="759">
        <v>9</v>
      </c>
    </row>
    <row r="1520" spans="1:6">
      <c r="A1520" s="759" t="s">
        <v>636</v>
      </c>
      <c r="B1520" s="729" t="s">
        <v>685</v>
      </c>
      <c r="C1520" s="762" t="s">
        <v>72</v>
      </c>
      <c r="D1520" s="763"/>
      <c r="E1520" s="759">
        <v>198774</v>
      </c>
      <c r="F1520" s="759">
        <v>9</v>
      </c>
    </row>
    <row r="1521" spans="1:6">
      <c r="A1521" s="759" t="s">
        <v>636</v>
      </c>
      <c r="B1521" s="729" t="s">
        <v>62</v>
      </c>
      <c r="C1521" s="729" t="s">
        <v>705</v>
      </c>
      <c r="D1521" s="722"/>
      <c r="E1521" s="759">
        <v>198817</v>
      </c>
      <c r="F1521" s="759">
        <v>9</v>
      </c>
    </row>
    <row r="1522" spans="1:6">
      <c r="A1522" s="759" t="s">
        <v>636</v>
      </c>
      <c r="B1522" s="729" t="s">
        <v>62</v>
      </c>
      <c r="C1522" s="762" t="s">
        <v>684</v>
      </c>
      <c r="D1522" s="763"/>
      <c r="E1522" s="759">
        <v>198817</v>
      </c>
      <c r="F1522" s="759">
        <v>9</v>
      </c>
    </row>
    <row r="1523" spans="1:6">
      <c r="A1523" s="759" t="s">
        <v>636</v>
      </c>
      <c r="B1523" s="729" t="s">
        <v>69</v>
      </c>
      <c r="C1523" s="762" t="s">
        <v>70</v>
      </c>
      <c r="D1523" s="763"/>
      <c r="E1523" s="759">
        <v>198817</v>
      </c>
      <c r="F1523" s="759">
        <v>9</v>
      </c>
    </row>
    <row r="1524" spans="1:6">
      <c r="A1524" s="759" t="s">
        <v>636</v>
      </c>
      <c r="B1524" s="729" t="s">
        <v>685</v>
      </c>
      <c r="C1524" s="762" t="s">
        <v>72</v>
      </c>
      <c r="D1524" s="763"/>
      <c r="E1524" s="759">
        <v>198817</v>
      </c>
      <c r="F1524" s="759">
        <v>9</v>
      </c>
    </row>
    <row r="1525" spans="1:6">
      <c r="A1525" s="759" t="s">
        <v>636</v>
      </c>
      <c r="B1525" s="729" t="s">
        <v>62</v>
      </c>
      <c r="C1525" s="729" t="s">
        <v>706</v>
      </c>
      <c r="D1525" s="722"/>
      <c r="E1525" s="759">
        <v>198987</v>
      </c>
      <c r="F1525" s="759">
        <v>9</v>
      </c>
    </row>
    <row r="1526" spans="1:6">
      <c r="A1526" s="759" t="s">
        <v>636</v>
      </c>
      <c r="B1526" s="729" t="s">
        <v>62</v>
      </c>
      <c r="C1526" s="762" t="s">
        <v>684</v>
      </c>
      <c r="D1526" s="763"/>
      <c r="E1526" s="759">
        <v>198987</v>
      </c>
      <c r="F1526" s="759">
        <v>9</v>
      </c>
    </row>
    <row r="1527" spans="1:6">
      <c r="A1527" s="759" t="s">
        <v>636</v>
      </c>
      <c r="B1527" s="729" t="s">
        <v>69</v>
      </c>
      <c r="C1527" s="762" t="s">
        <v>70</v>
      </c>
      <c r="D1527" s="763"/>
      <c r="E1527" s="759">
        <v>198987</v>
      </c>
      <c r="F1527" s="759">
        <v>9</v>
      </c>
    </row>
    <row r="1528" spans="1:6">
      <c r="A1528" s="759" t="s">
        <v>636</v>
      </c>
      <c r="B1528" s="729" t="s">
        <v>685</v>
      </c>
      <c r="C1528" s="762" t="s">
        <v>72</v>
      </c>
      <c r="D1528" s="763"/>
      <c r="E1528" s="759">
        <v>198987</v>
      </c>
      <c r="F1528" s="759">
        <v>9</v>
      </c>
    </row>
    <row r="1529" spans="1:6">
      <c r="A1529" s="759" t="s">
        <v>636</v>
      </c>
      <c r="B1529" s="729" t="s">
        <v>62</v>
      </c>
      <c r="C1529" s="729" t="s">
        <v>707</v>
      </c>
      <c r="D1529" s="722"/>
      <c r="E1529" s="759">
        <v>199087</v>
      </c>
      <c r="F1529" s="759">
        <v>9</v>
      </c>
    </row>
    <row r="1530" spans="1:6">
      <c r="A1530" s="759" t="s">
        <v>636</v>
      </c>
      <c r="B1530" s="729" t="s">
        <v>62</v>
      </c>
      <c r="C1530" s="762" t="s">
        <v>684</v>
      </c>
      <c r="D1530" s="763"/>
      <c r="E1530" s="759">
        <v>199087</v>
      </c>
      <c r="F1530" s="759">
        <v>9</v>
      </c>
    </row>
    <row r="1531" spans="1:6">
      <c r="A1531" s="759" t="s">
        <v>636</v>
      </c>
      <c r="B1531" s="729" t="s">
        <v>69</v>
      </c>
      <c r="C1531" s="762" t="s">
        <v>70</v>
      </c>
      <c r="D1531" s="763"/>
      <c r="E1531" s="759">
        <v>199087</v>
      </c>
      <c r="F1531" s="759">
        <v>9</v>
      </c>
    </row>
    <row r="1532" spans="1:6">
      <c r="A1532" s="759" t="s">
        <v>636</v>
      </c>
      <c r="B1532" s="729" t="s">
        <v>685</v>
      </c>
      <c r="C1532" s="762" t="s">
        <v>72</v>
      </c>
      <c r="D1532" s="763"/>
      <c r="E1532" s="759">
        <v>199087</v>
      </c>
      <c r="F1532" s="759">
        <v>9</v>
      </c>
    </row>
    <row r="1533" spans="1:6">
      <c r="A1533" s="759" t="s">
        <v>636</v>
      </c>
      <c r="B1533" s="729" t="s">
        <v>62</v>
      </c>
      <c r="C1533" s="729" t="s">
        <v>708</v>
      </c>
      <c r="D1533" s="722"/>
      <c r="E1533" s="759">
        <v>199421</v>
      </c>
      <c r="F1533" s="759">
        <v>9</v>
      </c>
    </row>
    <row r="1534" spans="1:6">
      <c r="A1534" s="759" t="s">
        <v>636</v>
      </c>
      <c r="B1534" s="729" t="s">
        <v>62</v>
      </c>
      <c r="C1534" s="762" t="s">
        <v>684</v>
      </c>
      <c r="D1534" s="763"/>
      <c r="E1534" s="759">
        <v>199421</v>
      </c>
      <c r="F1534" s="759">
        <v>9</v>
      </c>
    </row>
    <row r="1535" spans="1:6">
      <c r="A1535" s="759" t="s">
        <v>636</v>
      </c>
      <c r="B1535" s="729" t="s">
        <v>69</v>
      </c>
      <c r="C1535" s="762" t="s">
        <v>70</v>
      </c>
      <c r="D1535" s="763"/>
      <c r="E1535" s="759">
        <v>199421</v>
      </c>
      <c r="F1535" s="759">
        <v>9</v>
      </c>
    </row>
    <row r="1536" spans="1:6">
      <c r="A1536" s="759" t="s">
        <v>636</v>
      </c>
      <c r="B1536" s="729" t="s">
        <v>685</v>
      </c>
      <c r="C1536" s="762" t="s">
        <v>72</v>
      </c>
      <c r="D1536" s="763"/>
      <c r="E1536" s="759">
        <v>199421</v>
      </c>
      <c r="F1536" s="759">
        <v>9</v>
      </c>
    </row>
    <row r="1537" spans="1:6">
      <c r="A1537" s="759" t="s">
        <v>636</v>
      </c>
      <c r="B1537" s="729" t="s">
        <v>62</v>
      </c>
      <c r="C1537" s="729" t="s">
        <v>709</v>
      </c>
      <c r="D1537" s="723"/>
      <c r="E1537" s="759">
        <v>199449</v>
      </c>
      <c r="F1537" s="759">
        <v>9</v>
      </c>
    </row>
    <row r="1538" spans="1:6">
      <c r="A1538" s="759" t="s">
        <v>636</v>
      </c>
      <c r="B1538" s="729" t="s">
        <v>62</v>
      </c>
      <c r="C1538" s="762" t="s">
        <v>684</v>
      </c>
      <c r="D1538" s="763"/>
      <c r="E1538" s="759">
        <v>199449</v>
      </c>
      <c r="F1538" s="759">
        <v>9</v>
      </c>
    </row>
    <row r="1539" spans="1:6">
      <c r="A1539" s="759" t="s">
        <v>636</v>
      </c>
      <c r="B1539" s="729" t="s">
        <v>69</v>
      </c>
      <c r="C1539" s="762" t="s">
        <v>70</v>
      </c>
      <c r="D1539" s="763"/>
      <c r="E1539" s="759">
        <v>199449</v>
      </c>
      <c r="F1539" s="759">
        <v>9</v>
      </c>
    </row>
    <row r="1540" spans="1:6">
      <c r="A1540" s="759" t="s">
        <v>636</v>
      </c>
      <c r="B1540" s="729" t="s">
        <v>685</v>
      </c>
      <c r="C1540" s="762" t="s">
        <v>72</v>
      </c>
      <c r="D1540" s="763"/>
      <c r="E1540" s="759">
        <v>199449</v>
      </c>
      <c r="F1540" s="759">
        <v>9</v>
      </c>
    </row>
    <row r="1541" spans="1:6">
      <c r="A1541" s="759" t="s">
        <v>636</v>
      </c>
      <c r="B1541" s="729" t="s">
        <v>62</v>
      </c>
      <c r="C1541" s="729" t="s">
        <v>711</v>
      </c>
      <c r="D1541" s="722"/>
      <c r="E1541" s="759">
        <v>199634</v>
      </c>
      <c r="F1541" s="759">
        <v>9</v>
      </c>
    </row>
    <row r="1542" spans="1:6">
      <c r="A1542" s="759" t="s">
        <v>636</v>
      </c>
      <c r="B1542" s="729" t="s">
        <v>62</v>
      </c>
      <c r="C1542" s="762" t="s">
        <v>684</v>
      </c>
      <c r="D1542" s="763"/>
      <c r="E1542" s="759">
        <v>199634</v>
      </c>
      <c r="F1542" s="759">
        <v>9</v>
      </c>
    </row>
    <row r="1543" spans="1:6">
      <c r="A1543" s="759" t="s">
        <v>636</v>
      </c>
      <c r="B1543" s="729" t="s">
        <v>69</v>
      </c>
      <c r="C1543" s="762" t="s">
        <v>70</v>
      </c>
      <c r="D1543" s="763"/>
      <c r="E1543" s="759">
        <v>199634</v>
      </c>
      <c r="F1543" s="759">
        <v>9</v>
      </c>
    </row>
    <row r="1544" spans="1:6">
      <c r="A1544" s="759" t="s">
        <v>636</v>
      </c>
      <c r="B1544" s="729" t="s">
        <v>685</v>
      </c>
      <c r="C1544" s="762" t="s">
        <v>72</v>
      </c>
      <c r="D1544" s="763"/>
      <c r="E1544" s="759">
        <v>199634</v>
      </c>
      <c r="F1544" s="759">
        <v>9</v>
      </c>
    </row>
    <row r="1545" spans="1:6">
      <c r="A1545" s="759" t="s">
        <v>636</v>
      </c>
      <c r="B1545" s="729" t="s">
        <v>62</v>
      </c>
      <c r="C1545" s="729" t="s">
        <v>736</v>
      </c>
      <c r="D1545" s="723"/>
      <c r="E1545" s="759">
        <v>197850</v>
      </c>
      <c r="F1545" s="759">
        <v>9</v>
      </c>
    </row>
    <row r="1546" spans="1:6">
      <c r="A1546" s="759" t="s">
        <v>636</v>
      </c>
      <c r="B1546" s="729" t="s">
        <v>62</v>
      </c>
      <c r="C1546" s="762" t="s">
        <v>684</v>
      </c>
      <c r="D1546" s="763"/>
      <c r="E1546" s="759">
        <v>197850</v>
      </c>
      <c r="F1546" s="759">
        <v>9</v>
      </c>
    </row>
    <row r="1547" spans="1:6">
      <c r="A1547" s="759" t="s">
        <v>636</v>
      </c>
      <c r="B1547" s="729" t="s">
        <v>69</v>
      </c>
      <c r="C1547" s="762" t="s">
        <v>70</v>
      </c>
      <c r="D1547" s="763"/>
      <c r="E1547" s="759">
        <v>197850</v>
      </c>
      <c r="F1547" s="759">
        <v>9</v>
      </c>
    </row>
    <row r="1548" spans="1:6">
      <c r="A1548" s="759" t="s">
        <v>636</v>
      </c>
      <c r="B1548" s="729" t="s">
        <v>685</v>
      </c>
      <c r="C1548" s="762" t="s">
        <v>72</v>
      </c>
      <c r="D1548" s="763"/>
      <c r="E1548" s="759">
        <v>197850</v>
      </c>
      <c r="F1548" s="759">
        <v>9</v>
      </c>
    </row>
    <row r="1549" spans="1:6">
      <c r="A1549" s="759" t="s">
        <v>636</v>
      </c>
      <c r="B1549" s="729" t="s">
        <v>62</v>
      </c>
      <c r="C1549" s="729" t="s">
        <v>712</v>
      </c>
      <c r="D1549" s="722"/>
      <c r="E1549" s="759">
        <v>199740</v>
      </c>
      <c r="F1549" s="759">
        <v>9</v>
      </c>
    </row>
    <row r="1550" spans="1:6">
      <c r="A1550" s="759" t="s">
        <v>636</v>
      </c>
      <c r="B1550" s="729" t="s">
        <v>62</v>
      </c>
      <c r="C1550" s="762" t="s">
        <v>684</v>
      </c>
      <c r="D1550" s="763"/>
      <c r="E1550" s="759">
        <v>199740</v>
      </c>
      <c r="F1550" s="759">
        <v>9</v>
      </c>
    </row>
    <row r="1551" spans="1:6">
      <c r="A1551" s="759" t="s">
        <v>636</v>
      </c>
      <c r="B1551" s="729" t="s">
        <v>69</v>
      </c>
      <c r="C1551" s="762" t="s">
        <v>70</v>
      </c>
      <c r="D1551" s="763"/>
      <c r="E1551" s="759">
        <v>199740</v>
      </c>
      <c r="F1551" s="759">
        <v>9</v>
      </c>
    </row>
    <row r="1552" spans="1:6">
      <c r="A1552" s="759" t="s">
        <v>636</v>
      </c>
      <c r="B1552" s="729" t="s">
        <v>685</v>
      </c>
      <c r="C1552" s="762" t="s">
        <v>72</v>
      </c>
      <c r="D1552" s="763"/>
      <c r="E1552" s="759">
        <v>199740</v>
      </c>
      <c r="F1552" s="759">
        <v>9</v>
      </c>
    </row>
    <row r="1553" spans="1:6">
      <c r="A1553" s="759" t="s">
        <v>636</v>
      </c>
      <c r="B1553" s="729" t="s">
        <v>62</v>
      </c>
      <c r="C1553" s="729" t="s">
        <v>713</v>
      </c>
      <c r="D1553" s="722"/>
      <c r="E1553" s="759">
        <v>199768</v>
      </c>
      <c r="F1553" s="759">
        <v>9</v>
      </c>
    </row>
    <row r="1554" spans="1:6">
      <c r="A1554" s="759" t="s">
        <v>636</v>
      </c>
      <c r="B1554" s="729" t="s">
        <v>62</v>
      </c>
      <c r="C1554" s="762" t="s">
        <v>684</v>
      </c>
      <c r="D1554" s="763"/>
      <c r="E1554" s="759">
        <v>199768</v>
      </c>
      <c r="F1554" s="759">
        <v>9</v>
      </c>
    </row>
    <row r="1555" spans="1:6">
      <c r="A1555" s="759" t="s">
        <v>636</v>
      </c>
      <c r="B1555" s="729" t="s">
        <v>69</v>
      </c>
      <c r="C1555" s="762" t="s">
        <v>70</v>
      </c>
      <c r="D1555" s="763"/>
      <c r="E1555" s="759">
        <v>199768</v>
      </c>
      <c r="F1555" s="759">
        <v>9</v>
      </c>
    </row>
    <row r="1556" spans="1:6">
      <c r="A1556" s="759" t="s">
        <v>636</v>
      </c>
      <c r="B1556" s="729" t="s">
        <v>685</v>
      </c>
      <c r="C1556" s="762" t="s">
        <v>72</v>
      </c>
      <c r="D1556" s="763"/>
      <c r="E1556" s="759">
        <v>199768</v>
      </c>
      <c r="F1556" s="759">
        <v>9</v>
      </c>
    </row>
    <row r="1557" spans="1:6">
      <c r="A1557" s="759" t="s">
        <v>636</v>
      </c>
      <c r="B1557" s="729" t="s">
        <v>62</v>
      </c>
      <c r="C1557" s="729" t="s">
        <v>714</v>
      </c>
      <c r="D1557" s="722"/>
      <c r="E1557" s="759">
        <v>199838</v>
      </c>
      <c r="F1557" s="759">
        <v>9</v>
      </c>
    </row>
    <row r="1558" spans="1:6">
      <c r="A1558" s="759" t="s">
        <v>636</v>
      </c>
      <c r="B1558" s="729" t="s">
        <v>62</v>
      </c>
      <c r="C1558" s="762" t="s">
        <v>684</v>
      </c>
      <c r="D1558" s="763"/>
      <c r="E1558" s="759">
        <v>199838</v>
      </c>
      <c r="F1558" s="759">
        <v>9</v>
      </c>
    </row>
    <row r="1559" spans="1:6">
      <c r="A1559" s="759" t="s">
        <v>636</v>
      </c>
      <c r="B1559" s="729" t="s">
        <v>69</v>
      </c>
      <c r="C1559" s="762" t="s">
        <v>70</v>
      </c>
      <c r="D1559" s="763"/>
      <c r="E1559" s="759">
        <v>199838</v>
      </c>
      <c r="F1559" s="759">
        <v>9</v>
      </c>
    </row>
    <row r="1560" spans="1:6">
      <c r="A1560" s="759" t="s">
        <v>636</v>
      </c>
      <c r="B1560" s="729" t="s">
        <v>685</v>
      </c>
      <c r="C1560" s="762" t="s">
        <v>72</v>
      </c>
      <c r="D1560" s="763"/>
      <c r="E1560" s="759">
        <v>199838</v>
      </c>
      <c r="F1560" s="759">
        <v>9</v>
      </c>
    </row>
    <row r="1561" spans="1:6">
      <c r="A1561" s="759" t="s">
        <v>636</v>
      </c>
      <c r="B1561" s="729" t="s">
        <v>62</v>
      </c>
      <c r="C1561" s="729" t="s">
        <v>715</v>
      </c>
      <c r="D1561" s="722"/>
      <c r="E1561" s="759">
        <v>199892</v>
      </c>
      <c r="F1561" s="759">
        <v>9</v>
      </c>
    </row>
    <row r="1562" spans="1:6">
      <c r="A1562" s="759" t="s">
        <v>636</v>
      </c>
      <c r="B1562" s="729" t="s">
        <v>62</v>
      </c>
      <c r="C1562" s="762" t="s">
        <v>684</v>
      </c>
      <c r="D1562" s="763"/>
      <c r="E1562" s="759">
        <v>199892</v>
      </c>
      <c r="F1562" s="759">
        <v>9</v>
      </c>
    </row>
    <row r="1563" spans="1:6">
      <c r="A1563" s="759" t="s">
        <v>636</v>
      </c>
      <c r="B1563" s="729" t="s">
        <v>69</v>
      </c>
      <c r="C1563" s="762" t="s">
        <v>70</v>
      </c>
      <c r="D1563" s="763"/>
      <c r="E1563" s="759">
        <v>199892</v>
      </c>
      <c r="F1563" s="759">
        <v>9</v>
      </c>
    </row>
    <row r="1564" spans="1:6">
      <c r="A1564" s="759" t="s">
        <v>636</v>
      </c>
      <c r="B1564" s="729" t="s">
        <v>685</v>
      </c>
      <c r="C1564" s="762" t="s">
        <v>72</v>
      </c>
      <c r="D1564" s="763"/>
      <c r="E1564" s="759">
        <v>199892</v>
      </c>
      <c r="F1564" s="759">
        <v>9</v>
      </c>
    </row>
    <row r="1565" spans="1:6">
      <c r="A1565" s="759" t="s">
        <v>636</v>
      </c>
      <c r="B1565" s="729" t="s">
        <v>62</v>
      </c>
      <c r="C1565" s="729" t="s">
        <v>717</v>
      </c>
      <c r="D1565" s="722"/>
      <c r="E1565" s="759">
        <v>199926</v>
      </c>
      <c r="F1565" s="759">
        <v>9</v>
      </c>
    </row>
    <row r="1566" spans="1:6">
      <c r="A1566" s="759" t="s">
        <v>636</v>
      </c>
      <c r="B1566" s="729" t="s">
        <v>62</v>
      </c>
      <c r="C1566" s="762" t="s">
        <v>684</v>
      </c>
      <c r="D1566" s="763"/>
      <c r="E1566" s="759">
        <v>199926</v>
      </c>
      <c r="F1566" s="759">
        <v>9</v>
      </c>
    </row>
    <row r="1567" spans="1:6">
      <c r="A1567" s="759" t="s">
        <v>636</v>
      </c>
      <c r="B1567" s="729" t="s">
        <v>69</v>
      </c>
      <c r="C1567" s="762" t="s">
        <v>70</v>
      </c>
      <c r="D1567" s="763"/>
      <c r="E1567" s="759">
        <v>199926</v>
      </c>
      <c r="F1567" s="759">
        <v>9</v>
      </c>
    </row>
    <row r="1568" spans="1:6">
      <c r="A1568" s="759" t="s">
        <v>636</v>
      </c>
      <c r="B1568" s="729" t="s">
        <v>685</v>
      </c>
      <c r="C1568" s="762" t="s">
        <v>72</v>
      </c>
      <c r="D1568" s="763"/>
      <c r="E1568" s="759">
        <v>199926</v>
      </c>
      <c r="F1568" s="759">
        <v>9</v>
      </c>
    </row>
    <row r="1569" spans="1:6">
      <c r="A1569" s="759" t="s">
        <v>636</v>
      </c>
      <c r="B1569" s="729" t="s">
        <v>62</v>
      </c>
      <c r="C1569" s="729" t="s">
        <v>718</v>
      </c>
      <c r="D1569" s="722"/>
      <c r="E1569" s="759">
        <v>197966</v>
      </c>
      <c r="F1569" s="759">
        <v>10</v>
      </c>
    </row>
    <row r="1570" spans="1:6">
      <c r="A1570" s="759" t="s">
        <v>636</v>
      </c>
      <c r="B1570" s="729" t="s">
        <v>62</v>
      </c>
      <c r="C1570" s="762" t="s">
        <v>684</v>
      </c>
      <c r="D1570" s="763"/>
      <c r="E1570" s="759">
        <v>197966</v>
      </c>
      <c r="F1570" s="759">
        <v>10</v>
      </c>
    </row>
    <row r="1571" spans="1:6">
      <c r="A1571" s="759" t="s">
        <v>636</v>
      </c>
      <c r="B1571" s="729" t="s">
        <v>69</v>
      </c>
      <c r="C1571" s="762" t="s">
        <v>70</v>
      </c>
      <c r="D1571" s="763"/>
      <c r="E1571" s="759">
        <v>197966</v>
      </c>
      <c r="F1571" s="759">
        <v>10</v>
      </c>
    </row>
    <row r="1572" spans="1:6">
      <c r="A1572" s="759" t="s">
        <v>636</v>
      </c>
      <c r="B1572" s="729" t="s">
        <v>685</v>
      </c>
      <c r="C1572" s="762" t="s">
        <v>72</v>
      </c>
      <c r="D1572" s="763"/>
      <c r="E1572" s="759">
        <v>197966</v>
      </c>
      <c r="F1572" s="759">
        <v>10</v>
      </c>
    </row>
    <row r="1573" spans="1:6">
      <c r="A1573" s="759" t="s">
        <v>636</v>
      </c>
      <c r="B1573" s="729" t="s">
        <v>62</v>
      </c>
      <c r="C1573" s="729" t="s">
        <v>719</v>
      </c>
      <c r="D1573" s="722"/>
      <c r="E1573" s="759">
        <v>198011</v>
      </c>
      <c r="F1573" s="759">
        <v>10</v>
      </c>
    </row>
    <row r="1574" spans="1:6">
      <c r="A1574" s="759" t="s">
        <v>636</v>
      </c>
      <c r="B1574" s="729" t="s">
        <v>62</v>
      </c>
      <c r="C1574" s="762" t="s">
        <v>684</v>
      </c>
      <c r="D1574" s="763"/>
      <c r="E1574" s="759">
        <v>198011</v>
      </c>
      <c r="F1574" s="759">
        <v>10</v>
      </c>
    </row>
    <row r="1575" spans="1:6">
      <c r="A1575" s="759" t="s">
        <v>636</v>
      </c>
      <c r="B1575" s="729" t="s">
        <v>69</v>
      </c>
      <c r="C1575" s="762" t="s">
        <v>70</v>
      </c>
      <c r="D1575" s="763"/>
      <c r="E1575" s="759">
        <v>198011</v>
      </c>
      <c r="F1575" s="759">
        <v>10</v>
      </c>
    </row>
    <row r="1576" spans="1:6">
      <c r="A1576" s="759" t="s">
        <v>636</v>
      </c>
      <c r="B1576" s="729" t="s">
        <v>685</v>
      </c>
      <c r="C1576" s="762" t="s">
        <v>72</v>
      </c>
      <c r="D1576" s="763"/>
      <c r="E1576" s="759">
        <v>198011</v>
      </c>
      <c r="F1576" s="759">
        <v>10</v>
      </c>
    </row>
    <row r="1577" spans="1:6">
      <c r="A1577" s="759" t="s">
        <v>636</v>
      </c>
      <c r="B1577" s="729" t="s">
        <v>62</v>
      </c>
      <c r="C1577" s="729" t="s">
        <v>720</v>
      </c>
      <c r="D1577" s="722"/>
      <c r="E1577" s="759">
        <v>198039</v>
      </c>
      <c r="F1577" s="759">
        <v>10</v>
      </c>
    </row>
    <row r="1578" spans="1:6">
      <c r="A1578" s="759" t="s">
        <v>636</v>
      </c>
      <c r="B1578" s="729" t="s">
        <v>62</v>
      </c>
      <c r="C1578" s="762" t="s">
        <v>684</v>
      </c>
      <c r="D1578" s="763"/>
      <c r="E1578" s="759">
        <v>198039</v>
      </c>
      <c r="F1578" s="759">
        <v>10</v>
      </c>
    </row>
    <row r="1579" spans="1:6">
      <c r="A1579" s="759" t="s">
        <v>636</v>
      </c>
      <c r="B1579" s="729" t="s">
        <v>69</v>
      </c>
      <c r="C1579" s="762" t="s">
        <v>70</v>
      </c>
      <c r="D1579" s="763"/>
      <c r="E1579" s="759">
        <v>198039</v>
      </c>
      <c r="F1579" s="759">
        <v>10</v>
      </c>
    </row>
    <row r="1580" spans="1:6">
      <c r="A1580" s="759" t="s">
        <v>636</v>
      </c>
      <c r="B1580" s="729" t="s">
        <v>685</v>
      </c>
      <c r="C1580" s="762" t="s">
        <v>72</v>
      </c>
      <c r="D1580" s="763"/>
      <c r="E1580" s="759">
        <v>198039</v>
      </c>
      <c r="F1580" s="759">
        <v>10</v>
      </c>
    </row>
    <row r="1581" spans="1:6">
      <c r="A1581" s="759" t="s">
        <v>636</v>
      </c>
      <c r="B1581" s="729" t="s">
        <v>62</v>
      </c>
      <c r="C1581" s="729" t="s">
        <v>721</v>
      </c>
      <c r="D1581" s="722"/>
      <c r="E1581" s="759">
        <v>198084</v>
      </c>
      <c r="F1581" s="759">
        <v>10</v>
      </c>
    </row>
    <row r="1582" spans="1:6">
      <c r="A1582" s="759" t="s">
        <v>636</v>
      </c>
      <c r="B1582" s="729" t="s">
        <v>62</v>
      </c>
      <c r="C1582" s="762" t="s">
        <v>684</v>
      </c>
      <c r="D1582" s="763"/>
      <c r="E1582" s="759">
        <v>198084</v>
      </c>
      <c r="F1582" s="759">
        <v>10</v>
      </c>
    </row>
    <row r="1583" spans="1:6">
      <c r="A1583" s="759" t="s">
        <v>636</v>
      </c>
      <c r="B1583" s="729" t="s">
        <v>69</v>
      </c>
      <c r="C1583" s="762" t="s">
        <v>70</v>
      </c>
      <c r="D1583" s="763"/>
      <c r="E1583" s="759">
        <v>198084</v>
      </c>
      <c r="F1583" s="759">
        <v>10</v>
      </c>
    </row>
    <row r="1584" spans="1:6">
      <c r="A1584" s="759" t="s">
        <v>636</v>
      </c>
      <c r="B1584" s="729" t="s">
        <v>685</v>
      </c>
      <c r="C1584" s="762" t="s">
        <v>72</v>
      </c>
      <c r="D1584" s="763"/>
      <c r="E1584" s="759">
        <v>198084</v>
      </c>
      <c r="F1584" s="759">
        <v>10</v>
      </c>
    </row>
    <row r="1585" spans="1:6">
      <c r="A1585" s="759" t="s">
        <v>636</v>
      </c>
      <c r="B1585" s="729" t="s">
        <v>62</v>
      </c>
      <c r="C1585" s="729" t="s">
        <v>722</v>
      </c>
      <c r="D1585" s="722"/>
      <c r="E1585" s="759">
        <v>198206</v>
      </c>
      <c r="F1585" s="759">
        <v>10</v>
      </c>
    </row>
    <row r="1586" spans="1:6">
      <c r="A1586" s="759" t="s">
        <v>636</v>
      </c>
      <c r="B1586" s="729" t="s">
        <v>62</v>
      </c>
      <c r="C1586" s="762" t="s">
        <v>684</v>
      </c>
      <c r="D1586" s="763"/>
      <c r="E1586" s="759">
        <v>198206</v>
      </c>
      <c r="F1586" s="759">
        <v>10</v>
      </c>
    </row>
    <row r="1587" spans="1:6">
      <c r="A1587" s="759" t="s">
        <v>636</v>
      </c>
      <c r="B1587" s="729" t="s">
        <v>69</v>
      </c>
      <c r="C1587" s="762" t="s">
        <v>70</v>
      </c>
      <c r="D1587" s="763"/>
      <c r="E1587" s="759">
        <v>198206</v>
      </c>
      <c r="F1587" s="759">
        <v>10</v>
      </c>
    </row>
    <row r="1588" spans="1:6">
      <c r="A1588" s="759" t="s">
        <v>636</v>
      </c>
      <c r="B1588" s="729" t="s">
        <v>685</v>
      </c>
      <c r="C1588" s="762" t="s">
        <v>72</v>
      </c>
      <c r="D1588" s="763"/>
      <c r="E1588" s="759">
        <v>198206</v>
      </c>
      <c r="F1588" s="759">
        <v>10</v>
      </c>
    </row>
    <row r="1589" spans="1:6">
      <c r="A1589" s="759" t="s">
        <v>636</v>
      </c>
      <c r="B1589" s="729" t="s">
        <v>62</v>
      </c>
      <c r="C1589" s="729" t="s">
        <v>1674</v>
      </c>
      <c r="D1589" s="722" t="s">
        <v>1455</v>
      </c>
      <c r="E1589" s="759">
        <v>197814</v>
      </c>
      <c r="F1589" s="759">
        <v>10</v>
      </c>
    </row>
    <row r="1590" spans="1:6">
      <c r="A1590" s="759" t="s">
        <v>636</v>
      </c>
      <c r="B1590" s="729" t="s">
        <v>62</v>
      </c>
      <c r="C1590" s="762" t="s">
        <v>684</v>
      </c>
      <c r="D1590" s="763"/>
      <c r="E1590" s="759">
        <v>197814</v>
      </c>
      <c r="F1590" s="759">
        <v>10</v>
      </c>
    </row>
    <row r="1591" spans="1:6">
      <c r="A1591" s="759" t="s">
        <v>636</v>
      </c>
      <c r="B1591" s="729" t="s">
        <v>69</v>
      </c>
      <c r="C1591" s="762" t="s">
        <v>70</v>
      </c>
      <c r="D1591" s="763"/>
      <c r="E1591" s="759">
        <v>197814</v>
      </c>
      <c r="F1591" s="759">
        <v>10</v>
      </c>
    </row>
    <row r="1592" spans="1:6">
      <c r="A1592" s="759" t="s">
        <v>636</v>
      </c>
      <c r="B1592" s="729" t="s">
        <v>685</v>
      </c>
      <c r="C1592" s="762" t="s">
        <v>72</v>
      </c>
      <c r="D1592" s="763"/>
      <c r="E1592" s="759">
        <v>197814</v>
      </c>
      <c r="F1592" s="759">
        <v>10</v>
      </c>
    </row>
    <row r="1593" spans="1:6">
      <c r="A1593" s="759" t="s">
        <v>636</v>
      </c>
      <c r="B1593" s="729" t="s">
        <v>62</v>
      </c>
      <c r="C1593" s="729" t="s">
        <v>702</v>
      </c>
      <c r="D1593" s="723"/>
      <c r="E1593" s="759">
        <v>198491</v>
      </c>
      <c r="F1593" s="759">
        <v>10</v>
      </c>
    </row>
    <row r="1594" spans="1:6">
      <c r="A1594" s="759" t="s">
        <v>636</v>
      </c>
      <c r="B1594" s="729" t="s">
        <v>62</v>
      </c>
      <c r="C1594" s="762" t="s">
        <v>684</v>
      </c>
      <c r="D1594" s="763"/>
      <c r="E1594" s="759">
        <v>198491</v>
      </c>
      <c r="F1594" s="759">
        <v>10</v>
      </c>
    </row>
    <row r="1595" spans="1:6">
      <c r="A1595" s="759" t="s">
        <v>636</v>
      </c>
      <c r="B1595" s="729" t="s">
        <v>69</v>
      </c>
      <c r="C1595" s="762" t="s">
        <v>70</v>
      </c>
      <c r="D1595" s="763"/>
      <c r="E1595" s="759">
        <v>198491</v>
      </c>
      <c r="F1595" s="759">
        <v>10</v>
      </c>
    </row>
    <row r="1596" spans="1:6">
      <c r="A1596" s="759" t="s">
        <v>636</v>
      </c>
      <c r="B1596" s="729" t="s">
        <v>685</v>
      </c>
      <c r="C1596" s="762" t="s">
        <v>72</v>
      </c>
      <c r="D1596" s="763"/>
      <c r="E1596" s="759">
        <v>198491</v>
      </c>
      <c r="F1596" s="759">
        <v>10</v>
      </c>
    </row>
    <row r="1597" spans="1:6">
      <c r="A1597" s="759" t="s">
        <v>636</v>
      </c>
      <c r="B1597" s="729" t="s">
        <v>62</v>
      </c>
      <c r="C1597" s="729" t="s">
        <v>723</v>
      </c>
      <c r="D1597" s="722"/>
      <c r="E1597" s="759">
        <v>198640</v>
      </c>
      <c r="F1597" s="759">
        <v>10</v>
      </c>
    </row>
    <row r="1598" spans="1:6">
      <c r="A1598" s="759" t="s">
        <v>636</v>
      </c>
      <c r="B1598" s="729" t="s">
        <v>62</v>
      </c>
      <c r="C1598" s="762" t="s">
        <v>684</v>
      </c>
      <c r="D1598" s="763"/>
      <c r="E1598" s="759">
        <v>198640</v>
      </c>
      <c r="F1598" s="759">
        <v>10</v>
      </c>
    </row>
    <row r="1599" spans="1:6">
      <c r="A1599" s="759" t="s">
        <v>636</v>
      </c>
      <c r="B1599" s="729" t="s">
        <v>69</v>
      </c>
      <c r="C1599" s="762" t="s">
        <v>70</v>
      </c>
      <c r="D1599" s="763"/>
      <c r="E1599" s="759">
        <v>198640</v>
      </c>
      <c r="F1599" s="759">
        <v>10</v>
      </c>
    </row>
    <row r="1600" spans="1:6">
      <c r="A1600" s="759" t="s">
        <v>636</v>
      </c>
      <c r="B1600" s="729" t="s">
        <v>685</v>
      </c>
      <c r="C1600" s="762" t="s">
        <v>72</v>
      </c>
      <c r="D1600" s="763"/>
      <c r="E1600" s="759">
        <v>198640</v>
      </c>
      <c r="F1600" s="759">
        <v>10</v>
      </c>
    </row>
    <row r="1601" spans="1:6">
      <c r="A1601" s="759" t="s">
        <v>636</v>
      </c>
      <c r="B1601" s="729" t="s">
        <v>62</v>
      </c>
      <c r="C1601" s="729" t="s">
        <v>724</v>
      </c>
      <c r="D1601" s="723"/>
      <c r="E1601" s="759">
        <v>198668</v>
      </c>
      <c r="F1601" s="759">
        <v>10</v>
      </c>
    </row>
    <row r="1602" spans="1:6">
      <c r="A1602" s="759" t="s">
        <v>636</v>
      </c>
      <c r="B1602" s="729" t="s">
        <v>62</v>
      </c>
      <c r="C1602" s="762" t="s">
        <v>684</v>
      </c>
      <c r="D1602" s="763"/>
      <c r="E1602" s="759">
        <v>198668</v>
      </c>
      <c r="F1602" s="759">
        <v>10</v>
      </c>
    </row>
    <row r="1603" spans="1:6">
      <c r="A1603" s="759" t="s">
        <v>636</v>
      </c>
      <c r="B1603" s="729" t="s">
        <v>69</v>
      </c>
      <c r="C1603" s="762" t="s">
        <v>70</v>
      </c>
      <c r="D1603" s="763"/>
      <c r="E1603" s="759">
        <v>198668</v>
      </c>
      <c r="F1603" s="759">
        <v>10</v>
      </c>
    </row>
    <row r="1604" spans="1:6">
      <c r="A1604" s="759" t="s">
        <v>636</v>
      </c>
      <c r="B1604" s="729" t="s">
        <v>685</v>
      </c>
      <c r="C1604" s="762" t="s">
        <v>72</v>
      </c>
      <c r="D1604" s="763"/>
      <c r="E1604" s="759">
        <v>198668</v>
      </c>
      <c r="F1604" s="759">
        <v>10</v>
      </c>
    </row>
    <row r="1605" spans="1:6">
      <c r="A1605" s="759" t="s">
        <v>636</v>
      </c>
      <c r="B1605" s="729" t="s">
        <v>62</v>
      </c>
      <c r="C1605" s="729" t="s">
        <v>725</v>
      </c>
      <c r="D1605" s="723"/>
      <c r="E1605" s="759">
        <v>198710</v>
      </c>
      <c r="F1605" s="759">
        <v>10</v>
      </c>
    </row>
    <row r="1606" spans="1:6">
      <c r="A1606" s="759" t="s">
        <v>636</v>
      </c>
      <c r="B1606" s="729" t="s">
        <v>62</v>
      </c>
      <c r="C1606" s="762" t="s">
        <v>684</v>
      </c>
      <c r="D1606" s="763"/>
      <c r="E1606" s="759">
        <v>198710</v>
      </c>
      <c r="F1606" s="759">
        <v>10</v>
      </c>
    </row>
    <row r="1607" spans="1:6">
      <c r="A1607" s="759" t="s">
        <v>636</v>
      </c>
      <c r="B1607" s="729" t="s">
        <v>69</v>
      </c>
      <c r="C1607" s="762" t="s">
        <v>70</v>
      </c>
      <c r="D1607" s="763"/>
      <c r="E1607" s="759">
        <v>198710</v>
      </c>
      <c r="F1607" s="759">
        <v>10</v>
      </c>
    </row>
    <row r="1608" spans="1:6">
      <c r="A1608" s="759" t="s">
        <v>636</v>
      </c>
      <c r="B1608" s="729" t="s">
        <v>685</v>
      </c>
      <c r="C1608" s="762" t="s">
        <v>72</v>
      </c>
      <c r="D1608" s="763"/>
      <c r="E1608" s="759">
        <v>198710</v>
      </c>
      <c r="F1608" s="759">
        <v>10</v>
      </c>
    </row>
    <row r="1609" spans="1:6">
      <c r="A1609" s="759" t="s">
        <v>636</v>
      </c>
      <c r="B1609" s="729" t="s">
        <v>62</v>
      </c>
      <c r="C1609" s="729" t="s">
        <v>726</v>
      </c>
      <c r="D1609" s="722"/>
      <c r="E1609" s="759">
        <v>198729</v>
      </c>
      <c r="F1609" s="759">
        <v>10</v>
      </c>
    </row>
    <row r="1610" spans="1:6">
      <c r="A1610" s="759" t="s">
        <v>636</v>
      </c>
      <c r="B1610" s="729" t="s">
        <v>62</v>
      </c>
      <c r="C1610" s="762" t="s">
        <v>684</v>
      </c>
      <c r="D1610" s="763"/>
      <c r="E1610" s="759">
        <v>198729</v>
      </c>
      <c r="F1610" s="759">
        <v>10</v>
      </c>
    </row>
    <row r="1611" spans="1:6">
      <c r="A1611" s="759" t="s">
        <v>636</v>
      </c>
      <c r="B1611" s="729" t="s">
        <v>69</v>
      </c>
      <c r="C1611" s="762" t="s">
        <v>70</v>
      </c>
      <c r="D1611" s="763"/>
      <c r="E1611" s="759">
        <v>198729</v>
      </c>
      <c r="F1611" s="759">
        <v>10</v>
      </c>
    </row>
    <row r="1612" spans="1:6">
      <c r="A1612" s="759" t="s">
        <v>636</v>
      </c>
      <c r="B1612" s="729" t="s">
        <v>685</v>
      </c>
      <c r="C1612" s="762" t="s">
        <v>72</v>
      </c>
      <c r="D1612" s="763"/>
      <c r="E1612" s="759">
        <v>198729</v>
      </c>
      <c r="F1612" s="759">
        <v>10</v>
      </c>
    </row>
    <row r="1613" spans="1:6">
      <c r="A1613" s="759" t="s">
        <v>636</v>
      </c>
      <c r="B1613" s="729" t="s">
        <v>62</v>
      </c>
      <c r="C1613" s="729" t="s">
        <v>727</v>
      </c>
      <c r="D1613" s="722"/>
      <c r="E1613" s="759">
        <v>198905</v>
      </c>
      <c r="F1613" s="759">
        <v>10</v>
      </c>
    </row>
    <row r="1614" spans="1:6">
      <c r="A1614" s="759" t="s">
        <v>636</v>
      </c>
      <c r="B1614" s="729" t="s">
        <v>62</v>
      </c>
      <c r="C1614" s="762" t="s">
        <v>684</v>
      </c>
      <c r="D1614" s="763"/>
      <c r="E1614" s="759">
        <v>198905</v>
      </c>
      <c r="F1614" s="759">
        <v>10</v>
      </c>
    </row>
    <row r="1615" spans="1:6">
      <c r="A1615" s="759" t="s">
        <v>636</v>
      </c>
      <c r="B1615" s="729" t="s">
        <v>69</v>
      </c>
      <c r="C1615" s="762" t="s">
        <v>70</v>
      </c>
      <c r="D1615" s="763"/>
      <c r="E1615" s="759">
        <v>198905</v>
      </c>
      <c r="F1615" s="759">
        <v>10</v>
      </c>
    </row>
    <row r="1616" spans="1:6">
      <c r="A1616" s="759" t="s">
        <v>636</v>
      </c>
      <c r="B1616" s="729" t="s">
        <v>685</v>
      </c>
      <c r="C1616" s="762" t="s">
        <v>72</v>
      </c>
      <c r="D1616" s="763"/>
      <c r="E1616" s="759">
        <v>198905</v>
      </c>
      <c r="F1616" s="759">
        <v>10</v>
      </c>
    </row>
    <row r="1617" spans="1:6">
      <c r="A1617" s="759" t="s">
        <v>636</v>
      </c>
      <c r="B1617" s="729" t="s">
        <v>62</v>
      </c>
      <c r="C1617" s="729" t="s">
        <v>728</v>
      </c>
      <c r="D1617" s="722"/>
      <c r="E1617" s="759">
        <v>198914</v>
      </c>
      <c r="F1617" s="759">
        <v>10</v>
      </c>
    </row>
    <row r="1618" spans="1:6">
      <c r="A1618" s="759" t="s">
        <v>636</v>
      </c>
      <c r="B1618" s="729" t="s">
        <v>62</v>
      </c>
      <c r="C1618" s="762" t="s">
        <v>684</v>
      </c>
      <c r="D1618" s="763"/>
      <c r="E1618" s="759">
        <v>198914</v>
      </c>
      <c r="F1618" s="759">
        <v>10</v>
      </c>
    </row>
    <row r="1619" spans="1:6">
      <c r="A1619" s="759" t="s">
        <v>636</v>
      </c>
      <c r="B1619" s="729" t="s">
        <v>69</v>
      </c>
      <c r="C1619" s="762" t="s">
        <v>70</v>
      </c>
      <c r="D1619" s="763"/>
      <c r="E1619" s="759">
        <v>198914</v>
      </c>
      <c r="F1619" s="759">
        <v>10</v>
      </c>
    </row>
    <row r="1620" spans="1:6">
      <c r="A1620" s="759" t="s">
        <v>636</v>
      </c>
      <c r="B1620" s="729" t="s">
        <v>685</v>
      </c>
      <c r="C1620" s="762" t="s">
        <v>72</v>
      </c>
      <c r="D1620" s="763"/>
      <c r="E1620" s="759">
        <v>198914</v>
      </c>
      <c r="F1620" s="759">
        <v>10</v>
      </c>
    </row>
    <row r="1621" spans="1:6">
      <c r="A1621" s="759" t="s">
        <v>636</v>
      </c>
      <c r="B1621" s="729" t="s">
        <v>62</v>
      </c>
      <c r="C1621" s="729" t="s">
        <v>729</v>
      </c>
      <c r="D1621" s="722"/>
      <c r="E1621" s="759">
        <v>198923</v>
      </c>
      <c r="F1621" s="759">
        <v>10</v>
      </c>
    </row>
    <row r="1622" spans="1:6">
      <c r="A1622" s="759" t="s">
        <v>636</v>
      </c>
      <c r="B1622" s="729" t="s">
        <v>62</v>
      </c>
      <c r="C1622" s="762" t="s">
        <v>684</v>
      </c>
      <c r="D1622" s="763"/>
      <c r="E1622" s="759">
        <v>198923</v>
      </c>
      <c r="F1622" s="759">
        <v>10</v>
      </c>
    </row>
    <row r="1623" spans="1:6">
      <c r="A1623" s="759" t="s">
        <v>636</v>
      </c>
      <c r="B1623" s="729" t="s">
        <v>69</v>
      </c>
      <c r="C1623" s="762" t="s">
        <v>70</v>
      </c>
      <c r="D1623" s="763"/>
      <c r="E1623" s="759">
        <v>198923</v>
      </c>
      <c r="F1623" s="759">
        <v>10</v>
      </c>
    </row>
    <row r="1624" spans="1:6">
      <c r="A1624" s="759" t="s">
        <v>636</v>
      </c>
      <c r="B1624" s="729" t="s">
        <v>685</v>
      </c>
      <c r="C1624" s="762" t="s">
        <v>72</v>
      </c>
      <c r="D1624" s="763"/>
      <c r="E1624" s="759">
        <v>198923</v>
      </c>
      <c r="F1624" s="759">
        <v>10</v>
      </c>
    </row>
    <row r="1625" spans="1:6">
      <c r="A1625" s="759" t="s">
        <v>636</v>
      </c>
      <c r="B1625" s="729" t="s">
        <v>62</v>
      </c>
      <c r="C1625" s="729" t="s">
        <v>730</v>
      </c>
      <c r="D1625" s="722"/>
      <c r="E1625" s="759">
        <v>199023</v>
      </c>
      <c r="F1625" s="759">
        <v>10</v>
      </c>
    </row>
    <row r="1626" spans="1:6">
      <c r="A1626" s="759" t="s">
        <v>636</v>
      </c>
      <c r="B1626" s="729" t="s">
        <v>62</v>
      </c>
      <c r="C1626" s="762" t="s">
        <v>684</v>
      </c>
      <c r="D1626" s="763"/>
      <c r="E1626" s="759">
        <v>199023</v>
      </c>
      <c r="F1626" s="759">
        <v>10</v>
      </c>
    </row>
    <row r="1627" spans="1:6">
      <c r="A1627" s="759" t="s">
        <v>636</v>
      </c>
      <c r="B1627" s="729" t="s">
        <v>69</v>
      </c>
      <c r="C1627" s="762" t="s">
        <v>70</v>
      </c>
      <c r="D1627" s="763"/>
      <c r="E1627" s="759">
        <v>199023</v>
      </c>
      <c r="F1627" s="759">
        <v>10</v>
      </c>
    </row>
    <row r="1628" spans="1:6">
      <c r="A1628" s="759" t="s">
        <v>636</v>
      </c>
      <c r="B1628" s="729" t="s">
        <v>685</v>
      </c>
      <c r="C1628" s="762" t="s">
        <v>72</v>
      </c>
      <c r="D1628" s="763"/>
      <c r="E1628" s="759">
        <v>199023</v>
      </c>
      <c r="F1628" s="759">
        <v>10</v>
      </c>
    </row>
    <row r="1629" spans="1:6">
      <c r="A1629" s="759" t="s">
        <v>636</v>
      </c>
      <c r="B1629" s="729" t="s">
        <v>62</v>
      </c>
      <c r="C1629" s="729" t="s">
        <v>731</v>
      </c>
      <c r="D1629" s="722"/>
      <c r="E1629" s="759">
        <v>199263</v>
      </c>
      <c r="F1629" s="759">
        <v>10</v>
      </c>
    </row>
    <row r="1630" spans="1:6">
      <c r="A1630" s="759" t="s">
        <v>636</v>
      </c>
      <c r="B1630" s="729" t="s">
        <v>62</v>
      </c>
      <c r="C1630" s="762" t="s">
        <v>684</v>
      </c>
      <c r="D1630" s="763"/>
      <c r="E1630" s="759">
        <v>199263</v>
      </c>
      <c r="F1630" s="759">
        <v>10</v>
      </c>
    </row>
    <row r="1631" spans="1:6">
      <c r="A1631" s="759" t="s">
        <v>636</v>
      </c>
      <c r="B1631" s="729" t="s">
        <v>69</v>
      </c>
      <c r="C1631" s="762" t="s">
        <v>70</v>
      </c>
      <c r="D1631" s="763"/>
      <c r="E1631" s="759">
        <v>199263</v>
      </c>
      <c r="F1631" s="759">
        <v>10</v>
      </c>
    </row>
    <row r="1632" spans="1:6">
      <c r="A1632" s="759" t="s">
        <v>636</v>
      </c>
      <c r="B1632" s="729" t="s">
        <v>685</v>
      </c>
      <c r="C1632" s="762" t="s">
        <v>72</v>
      </c>
      <c r="D1632" s="763"/>
      <c r="E1632" s="759">
        <v>199263</v>
      </c>
      <c r="F1632" s="759">
        <v>10</v>
      </c>
    </row>
    <row r="1633" spans="1:6">
      <c r="A1633" s="759" t="s">
        <v>636</v>
      </c>
      <c r="B1633" s="729" t="s">
        <v>62</v>
      </c>
      <c r="C1633" s="729" t="s">
        <v>732</v>
      </c>
      <c r="D1633" s="722"/>
      <c r="E1633" s="759">
        <v>199324</v>
      </c>
      <c r="F1633" s="759">
        <v>10</v>
      </c>
    </row>
    <row r="1634" spans="1:6">
      <c r="A1634" s="759" t="s">
        <v>636</v>
      </c>
      <c r="B1634" s="729" t="s">
        <v>62</v>
      </c>
      <c r="C1634" s="762" t="s">
        <v>684</v>
      </c>
      <c r="D1634" s="763"/>
      <c r="E1634" s="759">
        <v>199324</v>
      </c>
      <c r="F1634" s="759">
        <v>10</v>
      </c>
    </row>
    <row r="1635" spans="1:6">
      <c r="A1635" s="759" t="s">
        <v>636</v>
      </c>
      <c r="B1635" s="729" t="s">
        <v>69</v>
      </c>
      <c r="C1635" s="762" t="s">
        <v>70</v>
      </c>
      <c r="D1635" s="763"/>
      <c r="E1635" s="759">
        <v>199324</v>
      </c>
      <c r="F1635" s="759">
        <v>10</v>
      </c>
    </row>
    <row r="1636" spans="1:6">
      <c r="A1636" s="759" t="s">
        <v>636</v>
      </c>
      <c r="B1636" s="729" t="s">
        <v>685</v>
      </c>
      <c r="C1636" s="762" t="s">
        <v>72</v>
      </c>
      <c r="D1636" s="763"/>
      <c r="E1636" s="759">
        <v>199324</v>
      </c>
      <c r="F1636" s="759">
        <v>10</v>
      </c>
    </row>
    <row r="1637" spans="1:6">
      <c r="A1637" s="759" t="s">
        <v>636</v>
      </c>
      <c r="B1637" s="729" t="s">
        <v>62</v>
      </c>
      <c r="C1637" s="729" t="s">
        <v>733</v>
      </c>
      <c r="D1637" s="722"/>
      <c r="E1637" s="759">
        <v>199467</v>
      </c>
      <c r="F1637" s="759">
        <v>10</v>
      </c>
    </row>
    <row r="1638" spans="1:6">
      <c r="A1638" s="759" t="s">
        <v>636</v>
      </c>
      <c r="B1638" s="729" t="s">
        <v>62</v>
      </c>
      <c r="C1638" s="762" t="s">
        <v>684</v>
      </c>
      <c r="D1638" s="763"/>
      <c r="E1638" s="759">
        <v>199467</v>
      </c>
      <c r="F1638" s="759">
        <v>10</v>
      </c>
    </row>
    <row r="1639" spans="1:6">
      <c r="A1639" s="759" t="s">
        <v>636</v>
      </c>
      <c r="B1639" s="729" t="s">
        <v>69</v>
      </c>
      <c r="C1639" s="762" t="s">
        <v>70</v>
      </c>
      <c r="D1639" s="763"/>
      <c r="E1639" s="759">
        <v>199467</v>
      </c>
      <c r="F1639" s="759">
        <v>10</v>
      </c>
    </row>
    <row r="1640" spans="1:6">
      <c r="A1640" s="759" t="s">
        <v>636</v>
      </c>
      <c r="B1640" s="729" t="s">
        <v>685</v>
      </c>
      <c r="C1640" s="762" t="s">
        <v>72</v>
      </c>
      <c r="D1640" s="763"/>
      <c r="E1640" s="759">
        <v>199467</v>
      </c>
      <c r="F1640" s="759">
        <v>10</v>
      </c>
    </row>
    <row r="1641" spans="1:6">
      <c r="A1641" s="759" t="s">
        <v>636</v>
      </c>
      <c r="B1641" s="729" t="s">
        <v>62</v>
      </c>
      <c r="C1641" s="729" t="s">
        <v>710</v>
      </c>
      <c r="D1641" s="1140" t="s">
        <v>1797</v>
      </c>
      <c r="E1641" s="759">
        <v>199476</v>
      </c>
      <c r="F1641" s="759">
        <v>10</v>
      </c>
    </row>
    <row r="1642" spans="1:6">
      <c r="A1642" s="759" t="s">
        <v>636</v>
      </c>
      <c r="B1642" s="729" t="s">
        <v>62</v>
      </c>
      <c r="C1642" s="762" t="s">
        <v>684</v>
      </c>
      <c r="D1642" s="763"/>
      <c r="E1642" s="759">
        <v>199476</v>
      </c>
      <c r="F1642" s="759">
        <v>10</v>
      </c>
    </row>
    <row r="1643" spans="1:6">
      <c r="A1643" s="759" t="s">
        <v>636</v>
      </c>
      <c r="B1643" s="729" t="s">
        <v>69</v>
      </c>
      <c r="C1643" s="762" t="s">
        <v>70</v>
      </c>
      <c r="D1643" s="763"/>
      <c r="E1643" s="759">
        <v>199476</v>
      </c>
      <c r="F1643" s="759">
        <v>10</v>
      </c>
    </row>
    <row r="1644" spans="1:6">
      <c r="A1644" s="759" t="s">
        <v>636</v>
      </c>
      <c r="B1644" s="729" t="s">
        <v>685</v>
      </c>
      <c r="C1644" s="762" t="s">
        <v>72</v>
      </c>
      <c r="D1644" s="763"/>
      <c r="E1644" s="759">
        <v>199476</v>
      </c>
      <c r="F1644" s="759">
        <v>10</v>
      </c>
    </row>
    <row r="1645" spans="1:6">
      <c r="A1645" s="759" t="s">
        <v>636</v>
      </c>
      <c r="B1645" s="729" t="s">
        <v>62</v>
      </c>
      <c r="C1645" s="729" t="s">
        <v>734</v>
      </c>
      <c r="D1645" s="722"/>
      <c r="E1645" s="759">
        <v>199485</v>
      </c>
      <c r="F1645" s="759">
        <v>10</v>
      </c>
    </row>
    <row r="1646" spans="1:6">
      <c r="A1646" s="759" t="s">
        <v>636</v>
      </c>
      <c r="B1646" s="729" t="s">
        <v>62</v>
      </c>
      <c r="C1646" s="762" t="s">
        <v>684</v>
      </c>
      <c r="D1646" s="763"/>
      <c r="E1646" s="759">
        <v>199485</v>
      </c>
      <c r="F1646" s="759">
        <v>10</v>
      </c>
    </row>
    <row r="1647" spans="1:6">
      <c r="A1647" s="759" t="s">
        <v>636</v>
      </c>
      <c r="B1647" s="729" t="s">
        <v>69</v>
      </c>
      <c r="C1647" s="762" t="s">
        <v>70</v>
      </c>
      <c r="D1647" s="763"/>
      <c r="E1647" s="759">
        <v>199485</v>
      </c>
      <c r="F1647" s="759">
        <v>10</v>
      </c>
    </row>
    <row r="1648" spans="1:6">
      <c r="A1648" s="759" t="s">
        <v>636</v>
      </c>
      <c r="B1648" s="729" t="s">
        <v>685</v>
      </c>
      <c r="C1648" s="762" t="s">
        <v>72</v>
      </c>
      <c r="D1648" s="763"/>
      <c r="E1648" s="759">
        <v>199485</v>
      </c>
      <c r="F1648" s="759">
        <v>10</v>
      </c>
    </row>
    <row r="1649" spans="1:6">
      <c r="A1649" s="759" t="s">
        <v>636</v>
      </c>
      <c r="B1649" s="729" t="s">
        <v>62</v>
      </c>
      <c r="C1649" s="729" t="s">
        <v>735</v>
      </c>
      <c r="D1649" s="722"/>
      <c r="E1649" s="759">
        <v>199625</v>
      </c>
      <c r="F1649" s="759">
        <v>10</v>
      </c>
    </row>
    <row r="1650" spans="1:6">
      <c r="A1650" s="759" t="s">
        <v>636</v>
      </c>
      <c r="B1650" s="729" t="s">
        <v>62</v>
      </c>
      <c r="C1650" s="762" t="s">
        <v>684</v>
      </c>
      <c r="D1650" s="763"/>
      <c r="E1650" s="759">
        <v>199625</v>
      </c>
      <c r="F1650" s="759">
        <v>10</v>
      </c>
    </row>
    <row r="1651" spans="1:6">
      <c r="A1651" s="759" t="s">
        <v>636</v>
      </c>
      <c r="B1651" s="729" t="s">
        <v>69</v>
      </c>
      <c r="C1651" s="762" t="s">
        <v>70</v>
      </c>
      <c r="D1651" s="763"/>
      <c r="E1651" s="759">
        <v>199625</v>
      </c>
      <c r="F1651" s="759">
        <v>10</v>
      </c>
    </row>
    <row r="1652" spans="1:6">
      <c r="A1652" s="759" t="s">
        <v>636</v>
      </c>
      <c r="B1652" s="729" t="s">
        <v>685</v>
      </c>
      <c r="C1652" s="762" t="s">
        <v>72</v>
      </c>
      <c r="D1652" s="763"/>
      <c r="E1652" s="759">
        <v>199625</v>
      </c>
      <c r="F1652" s="759">
        <v>10</v>
      </c>
    </row>
    <row r="1653" spans="1:6">
      <c r="A1653" s="759" t="s">
        <v>636</v>
      </c>
      <c r="B1653" s="729" t="s">
        <v>62</v>
      </c>
      <c r="C1653" s="729" t="s">
        <v>737</v>
      </c>
      <c r="D1653" s="722"/>
      <c r="E1653" s="759">
        <v>199722</v>
      </c>
      <c r="F1653" s="759">
        <v>10</v>
      </c>
    </row>
    <row r="1654" spans="1:6">
      <c r="A1654" s="759" t="s">
        <v>636</v>
      </c>
      <c r="B1654" s="729" t="s">
        <v>62</v>
      </c>
      <c r="C1654" s="762" t="s">
        <v>684</v>
      </c>
      <c r="D1654" s="763"/>
      <c r="E1654" s="759">
        <v>199722</v>
      </c>
      <c r="F1654" s="759">
        <v>10</v>
      </c>
    </row>
    <row r="1655" spans="1:6">
      <c r="A1655" s="759" t="s">
        <v>636</v>
      </c>
      <c r="B1655" s="729" t="s">
        <v>69</v>
      </c>
      <c r="C1655" s="762" t="s">
        <v>70</v>
      </c>
      <c r="D1655" s="763"/>
      <c r="E1655" s="759">
        <v>199722</v>
      </c>
      <c r="F1655" s="759">
        <v>10</v>
      </c>
    </row>
    <row r="1656" spans="1:6">
      <c r="A1656" s="759" t="s">
        <v>636</v>
      </c>
      <c r="B1656" s="729" t="s">
        <v>685</v>
      </c>
      <c r="C1656" s="762" t="s">
        <v>72</v>
      </c>
      <c r="D1656" s="763"/>
      <c r="E1656" s="759">
        <v>199722</v>
      </c>
      <c r="F1656" s="759">
        <v>10</v>
      </c>
    </row>
    <row r="1657" spans="1:6">
      <c r="A1657" s="759" t="s">
        <v>636</v>
      </c>
      <c r="B1657" s="729" t="s">
        <v>62</v>
      </c>
      <c r="C1657" s="729" t="s">
        <v>738</v>
      </c>
      <c r="D1657" s="722"/>
      <c r="E1657" s="759">
        <v>199731</v>
      </c>
      <c r="F1657" s="759">
        <v>10</v>
      </c>
    </row>
    <row r="1658" spans="1:6">
      <c r="A1658" s="759" t="s">
        <v>636</v>
      </c>
      <c r="B1658" s="729" t="s">
        <v>62</v>
      </c>
      <c r="C1658" s="762" t="s">
        <v>684</v>
      </c>
      <c r="D1658" s="763"/>
      <c r="E1658" s="759">
        <v>199731</v>
      </c>
      <c r="F1658" s="759">
        <v>10</v>
      </c>
    </row>
    <row r="1659" spans="1:6">
      <c r="A1659" s="759" t="s">
        <v>636</v>
      </c>
      <c r="B1659" s="729" t="s">
        <v>69</v>
      </c>
      <c r="C1659" s="762" t="s">
        <v>70</v>
      </c>
      <c r="D1659" s="763"/>
      <c r="E1659" s="759">
        <v>199731</v>
      </c>
      <c r="F1659" s="759">
        <v>10</v>
      </c>
    </row>
    <row r="1660" spans="1:6">
      <c r="A1660" s="759" t="s">
        <v>636</v>
      </c>
      <c r="B1660" s="729" t="s">
        <v>685</v>
      </c>
      <c r="C1660" s="762" t="s">
        <v>72</v>
      </c>
      <c r="D1660" s="763"/>
      <c r="E1660" s="759">
        <v>199731</v>
      </c>
      <c r="F1660" s="759">
        <v>10</v>
      </c>
    </row>
    <row r="1661" spans="1:6">
      <c r="A1661" s="759" t="s">
        <v>636</v>
      </c>
      <c r="B1661" s="729" t="s">
        <v>62</v>
      </c>
      <c r="C1661" s="729" t="s">
        <v>739</v>
      </c>
      <c r="D1661" s="722"/>
      <c r="E1661" s="759">
        <v>199795</v>
      </c>
      <c r="F1661" s="759">
        <v>10</v>
      </c>
    </row>
    <row r="1662" spans="1:6">
      <c r="A1662" s="759" t="s">
        <v>636</v>
      </c>
      <c r="B1662" s="729" t="s">
        <v>62</v>
      </c>
      <c r="C1662" s="762" t="s">
        <v>684</v>
      </c>
      <c r="D1662" s="763"/>
      <c r="E1662" s="759">
        <v>199795</v>
      </c>
      <c r="F1662" s="759">
        <v>10</v>
      </c>
    </row>
    <row r="1663" spans="1:6">
      <c r="A1663" s="759" t="s">
        <v>636</v>
      </c>
      <c r="B1663" s="729" t="s">
        <v>69</v>
      </c>
      <c r="C1663" s="762" t="s">
        <v>70</v>
      </c>
      <c r="D1663" s="763"/>
      <c r="E1663" s="759">
        <v>199795</v>
      </c>
      <c r="F1663" s="759">
        <v>10</v>
      </c>
    </row>
    <row r="1664" spans="1:6">
      <c r="A1664" s="759" t="s">
        <v>636</v>
      </c>
      <c r="B1664" s="729" t="s">
        <v>685</v>
      </c>
      <c r="C1664" s="762" t="s">
        <v>72</v>
      </c>
      <c r="D1664" s="763"/>
      <c r="E1664" s="759">
        <v>199795</v>
      </c>
      <c r="F1664" s="759">
        <v>10</v>
      </c>
    </row>
    <row r="1665" spans="1:6">
      <c r="A1665" s="759" t="s">
        <v>636</v>
      </c>
      <c r="B1665" s="729" t="s">
        <v>62</v>
      </c>
      <c r="C1665" s="729" t="s">
        <v>716</v>
      </c>
      <c r="D1665" s="723"/>
      <c r="E1665" s="759">
        <v>199908</v>
      </c>
      <c r="F1665" s="759">
        <v>10</v>
      </c>
    </row>
    <row r="1666" spans="1:6">
      <c r="A1666" s="759" t="s">
        <v>636</v>
      </c>
      <c r="B1666" s="729" t="s">
        <v>62</v>
      </c>
      <c r="C1666" s="762" t="s">
        <v>684</v>
      </c>
      <c r="D1666" s="763"/>
      <c r="E1666" s="759">
        <v>199908</v>
      </c>
      <c r="F1666" s="759">
        <v>10</v>
      </c>
    </row>
    <row r="1667" spans="1:6">
      <c r="A1667" s="759" t="s">
        <v>636</v>
      </c>
      <c r="B1667" s="729" t="s">
        <v>69</v>
      </c>
      <c r="C1667" s="762" t="s">
        <v>70</v>
      </c>
      <c r="D1667" s="763"/>
      <c r="E1667" s="759">
        <v>199908</v>
      </c>
      <c r="F1667" s="759">
        <v>10</v>
      </c>
    </row>
    <row r="1668" spans="1:6">
      <c r="A1668" s="759" t="s">
        <v>636</v>
      </c>
      <c r="B1668" s="729" t="s">
        <v>685</v>
      </c>
      <c r="C1668" s="762" t="s">
        <v>72</v>
      </c>
      <c r="D1668" s="763"/>
      <c r="E1668" s="759">
        <v>199908</v>
      </c>
      <c r="F1668" s="759">
        <v>10</v>
      </c>
    </row>
    <row r="1669" spans="1:6">
      <c r="A1669" s="759" t="s">
        <v>636</v>
      </c>
      <c r="B1669" s="729" t="s">
        <v>62</v>
      </c>
      <c r="C1669" s="729" t="s">
        <v>740</v>
      </c>
      <c r="D1669" s="722"/>
      <c r="E1669" s="759">
        <v>199953</v>
      </c>
      <c r="F1669" s="759">
        <v>10</v>
      </c>
    </row>
    <row r="1670" spans="1:6">
      <c r="A1670" s="759" t="s">
        <v>636</v>
      </c>
      <c r="B1670" s="729" t="s">
        <v>62</v>
      </c>
      <c r="C1670" s="762" t="s">
        <v>684</v>
      </c>
      <c r="D1670" s="763"/>
      <c r="E1670" s="759">
        <v>199953</v>
      </c>
      <c r="F1670" s="759">
        <v>10</v>
      </c>
    </row>
    <row r="1671" spans="1:6">
      <c r="A1671" s="759" t="s">
        <v>636</v>
      </c>
      <c r="B1671" s="729" t="s">
        <v>69</v>
      </c>
      <c r="C1671" s="762" t="s">
        <v>70</v>
      </c>
      <c r="D1671" s="763"/>
      <c r="E1671" s="759">
        <v>199953</v>
      </c>
      <c r="F1671" s="759">
        <v>10</v>
      </c>
    </row>
    <row r="1672" spans="1:6">
      <c r="A1672" s="759" t="s">
        <v>636</v>
      </c>
      <c r="B1672" s="729" t="s">
        <v>685</v>
      </c>
      <c r="C1672" s="762" t="s">
        <v>72</v>
      </c>
      <c r="D1672" s="763"/>
      <c r="E1672" s="759">
        <v>199953</v>
      </c>
      <c r="F1672" s="759">
        <v>10</v>
      </c>
    </row>
    <row r="1673" spans="1:6">
      <c r="A1673" s="759" t="s">
        <v>636</v>
      </c>
      <c r="B1673" s="729" t="s">
        <v>123</v>
      </c>
      <c r="C1673" s="722" t="s">
        <v>741</v>
      </c>
      <c r="D1673" s="722"/>
      <c r="E1673" s="767"/>
      <c r="F1673" s="766">
        <v>99</v>
      </c>
    </row>
    <row r="1674" spans="1:6">
      <c r="A1674" s="759" t="s">
        <v>636</v>
      </c>
      <c r="B1674" s="729" t="s">
        <v>123</v>
      </c>
      <c r="C1674" s="764" t="s">
        <v>742</v>
      </c>
      <c r="D1674" s="763"/>
      <c r="E1674" s="767"/>
      <c r="F1674" s="766">
        <v>99</v>
      </c>
    </row>
    <row r="1675" spans="1:6">
      <c r="A1675" s="759" t="s">
        <v>636</v>
      </c>
      <c r="B1675" s="729" t="s">
        <v>123</v>
      </c>
      <c r="C1675" s="764" t="s">
        <v>743</v>
      </c>
      <c r="D1675" s="763"/>
      <c r="E1675" s="767"/>
      <c r="F1675" s="766">
        <v>99</v>
      </c>
    </row>
    <row r="1676" spans="1:6">
      <c r="A1676" s="759" t="s">
        <v>636</v>
      </c>
      <c r="B1676" s="729" t="s">
        <v>138</v>
      </c>
      <c r="C1676" s="722" t="s">
        <v>139</v>
      </c>
      <c r="D1676" s="722"/>
      <c r="E1676" s="759"/>
      <c r="F1676" s="766">
        <v>99</v>
      </c>
    </row>
    <row r="1677" spans="1:6">
      <c r="A1677" s="759" t="s">
        <v>636</v>
      </c>
      <c r="B1677" s="729" t="s">
        <v>142</v>
      </c>
      <c r="C1677" s="762" t="s">
        <v>143</v>
      </c>
      <c r="D1677" s="763"/>
      <c r="E1677" s="759"/>
      <c r="F1677" s="766">
        <v>99</v>
      </c>
    </row>
    <row r="1678" spans="1:6">
      <c r="A1678" s="759" t="s">
        <v>636</v>
      </c>
      <c r="B1678" s="729" t="s">
        <v>142</v>
      </c>
      <c r="C1678" s="764" t="s">
        <v>744</v>
      </c>
      <c r="D1678" s="763"/>
      <c r="E1678" s="759"/>
      <c r="F1678" s="766">
        <v>99</v>
      </c>
    </row>
    <row r="1679" spans="1:6">
      <c r="A1679" s="868" t="s">
        <v>745</v>
      </c>
      <c r="B1679" s="857" t="s">
        <v>62</v>
      </c>
      <c r="C1679" s="864" t="s">
        <v>1675</v>
      </c>
      <c r="D1679" s="1049"/>
      <c r="E1679" s="850">
        <v>365374</v>
      </c>
      <c r="F1679" s="851">
        <v>12</v>
      </c>
    </row>
    <row r="1680" spans="1:6">
      <c r="A1680" s="868" t="s">
        <v>745</v>
      </c>
      <c r="B1680" s="857" t="s">
        <v>62</v>
      </c>
      <c r="C1680" s="857" t="s">
        <v>1676</v>
      </c>
      <c r="D1680" s="856"/>
      <c r="E1680" s="850">
        <v>245999</v>
      </c>
      <c r="F1680" s="851">
        <v>12</v>
      </c>
    </row>
    <row r="1681" spans="1:6">
      <c r="A1681" s="868" t="s">
        <v>745</v>
      </c>
      <c r="B1681" s="857" t="s">
        <v>62</v>
      </c>
      <c r="C1681" s="1050" t="s">
        <v>1677</v>
      </c>
      <c r="D1681" s="1051" t="s">
        <v>1678</v>
      </c>
      <c r="E1681" s="850">
        <v>261375</v>
      </c>
      <c r="F1681" s="851">
        <v>12</v>
      </c>
    </row>
    <row r="1682" spans="1:6">
      <c r="A1682" s="868" t="s">
        <v>745</v>
      </c>
      <c r="B1682" s="857" t="s">
        <v>62</v>
      </c>
      <c r="C1682" s="857" t="s">
        <v>1679</v>
      </c>
      <c r="D1682" s="856"/>
      <c r="E1682" s="850">
        <v>365213</v>
      </c>
      <c r="F1682" s="851">
        <v>13</v>
      </c>
    </row>
    <row r="1683" spans="1:6">
      <c r="A1683" s="868" t="s">
        <v>745</v>
      </c>
      <c r="B1683" s="857" t="s">
        <v>62</v>
      </c>
      <c r="C1683" s="857" t="s">
        <v>1680</v>
      </c>
      <c r="D1683" s="856"/>
      <c r="E1683" s="850">
        <v>364946</v>
      </c>
      <c r="F1683" s="851">
        <v>13</v>
      </c>
    </row>
    <row r="1684" spans="1:6">
      <c r="A1684" s="868" t="s">
        <v>745</v>
      </c>
      <c r="B1684" s="857" t="s">
        <v>62</v>
      </c>
      <c r="C1684" s="857" t="s">
        <v>1681</v>
      </c>
      <c r="D1684" s="856"/>
      <c r="E1684" s="850">
        <v>246017</v>
      </c>
      <c r="F1684" s="851">
        <v>13</v>
      </c>
    </row>
    <row r="1685" spans="1:6">
      <c r="A1685" s="868" t="s">
        <v>745</v>
      </c>
      <c r="B1685" s="857" t="s">
        <v>62</v>
      </c>
      <c r="C1685" s="857" t="s">
        <v>1682</v>
      </c>
      <c r="D1685" s="856"/>
      <c r="E1685" s="850">
        <v>375656</v>
      </c>
      <c r="F1685" s="851">
        <v>13</v>
      </c>
    </row>
    <row r="1686" spans="1:6">
      <c r="A1686" s="868" t="s">
        <v>745</v>
      </c>
      <c r="B1686" s="857" t="s">
        <v>62</v>
      </c>
      <c r="C1686" s="857" t="s">
        <v>1683</v>
      </c>
      <c r="D1686" s="856"/>
      <c r="E1686" s="850">
        <v>418348</v>
      </c>
      <c r="F1686" s="851">
        <v>13</v>
      </c>
    </row>
    <row r="1687" spans="1:6">
      <c r="A1687" s="868" t="s">
        <v>745</v>
      </c>
      <c r="B1687" s="857" t="s">
        <v>62</v>
      </c>
      <c r="C1687" s="857" t="s">
        <v>1684</v>
      </c>
      <c r="D1687" s="856" t="s">
        <v>1802</v>
      </c>
      <c r="E1687" s="850">
        <v>375683</v>
      </c>
      <c r="F1687" s="851">
        <v>13</v>
      </c>
    </row>
    <row r="1688" spans="1:6">
      <c r="A1688" s="868" t="s">
        <v>745</v>
      </c>
      <c r="B1688" s="857" t="s">
        <v>62</v>
      </c>
      <c r="C1688" s="857" t="s">
        <v>1685</v>
      </c>
      <c r="D1688" s="863"/>
      <c r="E1688" s="851">
        <v>364548</v>
      </c>
      <c r="F1688" s="851">
        <v>13</v>
      </c>
    </row>
    <row r="1689" spans="1:6">
      <c r="A1689" s="868" t="s">
        <v>745</v>
      </c>
      <c r="B1689" s="857" t="s">
        <v>62</v>
      </c>
      <c r="C1689" s="857" t="s">
        <v>1686</v>
      </c>
      <c r="D1689" s="856"/>
      <c r="E1689" s="850">
        <v>428019</v>
      </c>
      <c r="F1689" s="851">
        <v>13</v>
      </c>
    </row>
    <row r="1690" spans="1:6">
      <c r="A1690" s="868" t="s">
        <v>745</v>
      </c>
      <c r="B1690" s="857" t="s">
        <v>62</v>
      </c>
      <c r="C1690" s="857" t="s">
        <v>1687</v>
      </c>
      <c r="D1690" s="856"/>
      <c r="E1690" s="850">
        <v>208053</v>
      </c>
      <c r="F1690" s="851">
        <v>13</v>
      </c>
    </row>
    <row r="1691" spans="1:6">
      <c r="A1691" s="868" t="s">
        <v>745</v>
      </c>
      <c r="B1691" s="857" t="s">
        <v>62</v>
      </c>
      <c r="C1691" s="1052" t="s">
        <v>1688</v>
      </c>
      <c r="D1691" s="1053"/>
      <c r="E1691" s="850">
        <v>418296</v>
      </c>
      <c r="F1691" s="851">
        <v>13</v>
      </c>
    </row>
    <row r="1692" spans="1:6">
      <c r="A1692" s="868" t="s">
        <v>745</v>
      </c>
      <c r="B1692" s="857" t="s">
        <v>62</v>
      </c>
      <c r="C1692" s="1052" t="s">
        <v>1689</v>
      </c>
      <c r="D1692" s="1053"/>
      <c r="E1692" s="850">
        <v>421540</v>
      </c>
      <c r="F1692" s="851">
        <v>13</v>
      </c>
    </row>
    <row r="1693" spans="1:6">
      <c r="A1693" s="868" t="s">
        <v>745</v>
      </c>
      <c r="B1693" s="857" t="s">
        <v>62</v>
      </c>
      <c r="C1693" s="1052" t="s">
        <v>1690</v>
      </c>
      <c r="D1693" s="1053"/>
      <c r="E1693" s="850">
        <v>421559</v>
      </c>
      <c r="F1693" s="851">
        <v>13</v>
      </c>
    </row>
    <row r="1694" spans="1:6">
      <c r="A1694" s="868" t="s">
        <v>745</v>
      </c>
      <c r="B1694" s="857" t="s">
        <v>62</v>
      </c>
      <c r="C1694" s="1052" t="s">
        <v>1691</v>
      </c>
      <c r="D1694" s="1053"/>
      <c r="E1694" s="850">
        <v>208026</v>
      </c>
      <c r="F1694" s="851">
        <v>13</v>
      </c>
    </row>
    <row r="1695" spans="1:6">
      <c r="A1695" s="868" t="s">
        <v>745</v>
      </c>
      <c r="B1695" s="857" t="s">
        <v>62</v>
      </c>
      <c r="C1695" s="1054" t="s">
        <v>1692</v>
      </c>
      <c r="D1695" s="1055"/>
      <c r="E1695" s="850">
        <v>375692</v>
      </c>
      <c r="F1695" s="851">
        <v>13</v>
      </c>
    </row>
    <row r="1696" spans="1:6">
      <c r="A1696" s="868" t="s">
        <v>745</v>
      </c>
      <c r="B1696" s="857" t="s">
        <v>62</v>
      </c>
      <c r="C1696" s="1054" t="s">
        <v>1693</v>
      </c>
      <c r="D1696" s="1055"/>
      <c r="E1696" s="850">
        <v>375708</v>
      </c>
      <c r="F1696" s="851">
        <v>13</v>
      </c>
    </row>
    <row r="1697" spans="1:6">
      <c r="A1697" s="868" t="s">
        <v>745</v>
      </c>
      <c r="B1697" s="857" t="s">
        <v>62</v>
      </c>
      <c r="C1697" s="1054" t="s">
        <v>1694</v>
      </c>
      <c r="D1697" s="1055"/>
      <c r="E1697" s="850">
        <v>375717</v>
      </c>
      <c r="F1697" s="851">
        <v>13</v>
      </c>
    </row>
    <row r="1698" spans="1:6">
      <c r="A1698" s="868" t="s">
        <v>745</v>
      </c>
      <c r="B1698" s="857" t="s">
        <v>62</v>
      </c>
      <c r="C1698" s="1054" t="s">
        <v>1695</v>
      </c>
      <c r="D1698" s="1055"/>
      <c r="E1698" s="850">
        <v>375735</v>
      </c>
      <c r="F1698" s="851">
        <v>13</v>
      </c>
    </row>
    <row r="1699" spans="1:6">
      <c r="A1699" s="868" t="s">
        <v>745</v>
      </c>
      <c r="B1699" s="857" t="s">
        <v>62</v>
      </c>
      <c r="C1699" s="1054" t="s">
        <v>1696</v>
      </c>
      <c r="D1699" s="1055"/>
      <c r="E1699" s="850">
        <v>375726</v>
      </c>
      <c r="F1699" s="851">
        <v>13</v>
      </c>
    </row>
    <row r="1700" spans="1:6">
      <c r="A1700" s="868" t="s">
        <v>745</v>
      </c>
      <c r="B1700" s="857" t="s">
        <v>62</v>
      </c>
      <c r="C1700" s="1054" t="s">
        <v>1697</v>
      </c>
      <c r="D1700" s="1055"/>
      <c r="E1700" s="850">
        <v>375744</v>
      </c>
      <c r="F1700" s="851">
        <v>13</v>
      </c>
    </row>
    <row r="1701" spans="1:6">
      <c r="A1701" s="868" t="s">
        <v>745</v>
      </c>
      <c r="B1701" s="857" t="s">
        <v>62</v>
      </c>
      <c r="C1701" s="1054" t="s">
        <v>1698</v>
      </c>
      <c r="D1701" s="1055"/>
      <c r="E1701" s="850">
        <v>375753</v>
      </c>
      <c r="F1701" s="851">
        <v>13</v>
      </c>
    </row>
    <row r="1702" spans="1:6">
      <c r="A1702" s="868" t="s">
        <v>745</v>
      </c>
      <c r="B1702" s="857" t="s">
        <v>62</v>
      </c>
      <c r="C1702" s="1054" t="s">
        <v>1699</v>
      </c>
      <c r="D1702" s="1055"/>
      <c r="E1702" s="850">
        <v>405748</v>
      </c>
      <c r="F1702" s="851">
        <v>13</v>
      </c>
    </row>
    <row r="1703" spans="1:6">
      <c r="A1703" s="868" t="s">
        <v>745</v>
      </c>
      <c r="B1703" s="857" t="s">
        <v>62</v>
      </c>
      <c r="C1703" s="1054" t="s">
        <v>1700</v>
      </c>
      <c r="D1703" s="1055"/>
      <c r="E1703" s="850">
        <v>375762</v>
      </c>
      <c r="F1703" s="851">
        <v>13</v>
      </c>
    </row>
    <row r="1704" spans="1:6">
      <c r="A1704" s="868" t="s">
        <v>745</v>
      </c>
      <c r="B1704" s="857" t="s">
        <v>62</v>
      </c>
      <c r="C1704" s="857" t="s">
        <v>1701</v>
      </c>
      <c r="D1704" s="856"/>
      <c r="E1704" s="850">
        <v>365480</v>
      </c>
      <c r="F1704" s="851">
        <v>13</v>
      </c>
    </row>
    <row r="1705" spans="1:6">
      <c r="A1705" s="868" t="s">
        <v>745</v>
      </c>
      <c r="B1705" s="857" t="s">
        <v>62</v>
      </c>
      <c r="C1705" s="857" t="s">
        <v>1702</v>
      </c>
      <c r="D1705" s="863"/>
      <c r="E1705" s="850">
        <v>363165</v>
      </c>
      <c r="F1705" s="851">
        <v>13</v>
      </c>
    </row>
    <row r="1706" spans="1:6">
      <c r="A1706" s="868" t="s">
        <v>745</v>
      </c>
      <c r="B1706" s="857" t="s">
        <v>62</v>
      </c>
      <c r="C1706" s="857" t="s">
        <v>1703</v>
      </c>
      <c r="D1706" s="856" t="s">
        <v>1802</v>
      </c>
      <c r="E1706" s="850">
        <v>418320</v>
      </c>
      <c r="F1706" s="851">
        <v>13</v>
      </c>
    </row>
    <row r="1707" spans="1:6">
      <c r="A1707" s="868" t="s">
        <v>745</v>
      </c>
      <c r="B1707" s="857" t="s">
        <v>62</v>
      </c>
      <c r="C1707" s="857" t="s">
        <v>1704</v>
      </c>
      <c r="D1707" s="856"/>
      <c r="E1707" s="850">
        <v>431017</v>
      </c>
      <c r="F1707" s="851">
        <v>13</v>
      </c>
    </row>
    <row r="1708" spans="1:6">
      <c r="A1708" s="868" t="s">
        <v>745</v>
      </c>
      <c r="B1708" s="857" t="s">
        <v>62</v>
      </c>
      <c r="C1708" s="864" t="s">
        <v>1705</v>
      </c>
      <c r="D1708" s="856" t="s">
        <v>1803</v>
      </c>
      <c r="E1708" s="850">
        <v>248606</v>
      </c>
      <c r="F1708" s="851">
        <v>13</v>
      </c>
    </row>
    <row r="1709" spans="1:6">
      <c r="A1709" s="868" t="s">
        <v>745</v>
      </c>
      <c r="B1709" s="857" t="s">
        <v>62</v>
      </c>
      <c r="C1709" s="1056" t="s">
        <v>1706</v>
      </c>
      <c r="D1709" s="1057"/>
      <c r="E1709" s="850">
        <v>420459</v>
      </c>
      <c r="F1709" s="851">
        <v>13</v>
      </c>
    </row>
    <row r="1710" spans="1:6">
      <c r="A1710" s="868" t="s">
        <v>745</v>
      </c>
      <c r="B1710" s="857" t="s">
        <v>62</v>
      </c>
      <c r="C1710" s="1056" t="s">
        <v>1707</v>
      </c>
      <c r="D1710" s="1057"/>
      <c r="E1710" s="850">
        <v>456560</v>
      </c>
      <c r="F1710" s="851">
        <v>13</v>
      </c>
    </row>
    <row r="1711" spans="1:6">
      <c r="A1711" s="868" t="s">
        <v>745</v>
      </c>
      <c r="B1711" s="857" t="s">
        <v>62</v>
      </c>
      <c r="C1711" s="1056" t="s">
        <v>1708</v>
      </c>
      <c r="D1711" s="1057"/>
      <c r="E1711" s="850">
        <v>432074</v>
      </c>
      <c r="F1711" s="851">
        <v>13</v>
      </c>
    </row>
    <row r="1712" spans="1:6">
      <c r="A1712" s="868" t="s">
        <v>745</v>
      </c>
      <c r="B1712" s="857" t="s">
        <v>62</v>
      </c>
      <c r="C1712" s="1056" t="s">
        <v>1709</v>
      </c>
      <c r="D1712" s="1057"/>
      <c r="E1712" s="850">
        <v>418339</v>
      </c>
      <c r="F1712" s="851">
        <v>13</v>
      </c>
    </row>
    <row r="1713" spans="1:6">
      <c r="A1713" s="868" t="s">
        <v>745</v>
      </c>
      <c r="B1713" s="857" t="s">
        <v>62</v>
      </c>
      <c r="C1713" s="1058" t="s">
        <v>1710</v>
      </c>
      <c r="D1713" s="1059"/>
      <c r="E1713" s="850">
        <v>366623</v>
      </c>
      <c r="F1713" s="851">
        <v>13</v>
      </c>
    </row>
    <row r="1714" spans="1:6">
      <c r="A1714" s="868" t="s">
        <v>745</v>
      </c>
      <c r="B1714" s="857" t="s">
        <v>62</v>
      </c>
      <c r="C1714" s="1058" t="s">
        <v>1711</v>
      </c>
      <c r="D1714" s="1059"/>
      <c r="E1714" s="850">
        <v>407601</v>
      </c>
      <c r="F1714" s="851">
        <v>13</v>
      </c>
    </row>
    <row r="1715" spans="1:6">
      <c r="A1715" s="868" t="s">
        <v>745</v>
      </c>
      <c r="B1715" s="857" t="s">
        <v>62</v>
      </c>
      <c r="C1715" s="857" t="s">
        <v>1712</v>
      </c>
      <c r="D1715" s="856"/>
      <c r="E1715" s="850">
        <v>364627</v>
      </c>
      <c r="F1715" s="851">
        <v>13</v>
      </c>
    </row>
    <row r="1716" spans="1:6">
      <c r="A1716" s="868" t="s">
        <v>745</v>
      </c>
      <c r="B1716" s="857" t="s">
        <v>62</v>
      </c>
      <c r="C1716" s="857" t="s">
        <v>1713</v>
      </c>
      <c r="D1716" s="856"/>
      <c r="E1716" s="850">
        <v>206905</v>
      </c>
      <c r="F1716" s="851">
        <v>13</v>
      </c>
    </row>
    <row r="1717" spans="1:6">
      <c r="A1717" s="868" t="s">
        <v>745</v>
      </c>
      <c r="B1717" s="857" t="s">
        <v>62</v>
      </c>
      <c r="C1717" s="857" t="s">
        <v>1714</v>
      </c>
      <c r="D1717" s="856"/>
      <c r="E1717" s="850">
        <v>250993</v>
      </c>
      <c r="F1717" s="851">
        <v>13</v>
      </c>
    </row>
    <row r="1718" spans="1:6">
      <c r="A1718" s="868" t="s">
        <v>745</v>
      </c>
      <c r="B1718" s="857" t="s">
        <v>62</v>
      </c>
      <c r="C1718" s="857" t="s">
        <v>1715</v>
      </c>
      <c r="D1718" s="856"/>
      <c r="E1718" s="850">
        <v>365198</v>
      </c>
      <c r="F1718" s="851">
        <v>13</v>
      </c>
    </row>
    <row r="1719" spans="1:6">
      <c r="A1719" s="868" t="s">
        <v>745</v>
      </c>
      <c r="B1719" s="857" t="s">
        <v>62</v>
      </c>
      <c r="C1719" s="857" t="s">
        <v>1716</v>
      </c>
      <c r="D1719" s="856"/>
      <c r="E1719" s="850">
        <v>368364</v>
      </c>
      <c r="F1719" s="851">
        <v>13</v>
      </c>
    </row>
    <row r="1720" spans="1:6">
      <c r="A1720" s="868" t="s">
        <v>745</v>
      </c>
      <c r="B1720" s="857" t="s">
        <v>62</v>
      </c>
      <c r="C1720" s="857" t="s">
        <v>1717</v>
      </c>
      <c r="D1720" s="856"/>
      <c r="E1720" s="850">
        <v>418287</v>
      </c>
      <c r="F1720" s="851">
        <v>13</v>
      </c>
    </row>
    <row r="1721" spans="1:6">
      <c r="A1721" s="868" t="s">
        <v>745</v>
      </c>
      <c r="B1721" s="857" t="s">
        <v>62</v>
      </c>
      <c r="C1721" s="1050" t="s">
        <v>1718</v>
      </c>
      <c r="D1721" s="1051"/>
      <c r="E1721" s="850">
        <v>207607</v>
      </c>
      <c r="F1721" s="851">
        <v>13</v>
      </c>
    </row>
    <row r="1722" spans="1:6">
      <c r="A1722" s="868" t="s">
        <v>745</v>
      </c>
      <c r="B1722" s="857" t="s">
        <v>62</v>
      </c>
      <c r="C1722" s="1050" t="s">
        <v>1719</v>
      </c>
      <c r="D1722" s="1051"/>
      <c r="E1722" s="851">
        <v>261393</v>
      </c>
      <c r="F1722" s="851">
        <v>13</v>
      </c>
    </row>
    <row r="1723" spans="1:6">
      <c r="A1723" s="868" t="s">
        <v>745</v>
      </c>
      <c r="B1723" s="857" t="s">
        <v>62</v>
      </c>
      <c r="C1723" s="1050" t="s">
        <v>1720</v>
      </c>
      <c r="D1723" s="1051"/>
      <c r="E1723" s="1060">
        <v>482264</v>
      </c>
      <c r="F1723" s="851">
        <v>13</v>
      </c>
    </row>
    <row r="1724" spans="1:6">
      <c r="A1724" s="868" t="s">
        <v>745</v>
      </c>
      <c r="B1724" s="857" t="s">
        <v>62</v>
      </c>
      <c r="C1724" s="1050" t="s">
        <v>1721</v>
      </c>
      <c r="D1724" s="1051"/>
      <c r="E1724" s="850">
        <v>261384</v>
      </c>
      <c r="F1724" s="851">
        <v>13</v>
      </c>
    </row>
    <row r="1725" spans="1:6">
      <c r="A1725" s="868" t="s">
        <v>745</v>
      </c>
      <c r="B1725" s="857" t="s">
        <v>62</v>
      </c>
      <c r="C1725" s="1050" t="s">
        <v>1722</v>
      </c>
      <c r="D1725" s="1051"/>
      <c r="E1725" s="1060">
        <v>482273</v>
      </c>
      <c r="F1725" s="851">
        <v>13</v>
      </c>
    </row>
    <row r="1726" spans="1:6">
      <c r="A1726" s="868" t="s">
        <v>745</v>
      </c>
      <c r="B1726" s="857" t="s">
        <v>62</v>
      </c>
      <c r="C1726" s="857" t="s">
        <v>1723</v>
      </c>
      <c r="D1726" s="856"/>
      <c r="E1726" s="850">
        <v>418357</v>
      </c>
      <c r="F1726" s="851">
        <v>13</v>
      </c>
    </row>
    <row r="1727" spans="1:6">
      <c r="A1727" s="868" t="s">
        <v>745</v>
      </c>
      <c r="B1727" s="857" t="s">
        <v>62</v>
      </c>
      <c r="C1727" s="857" t="s">
        <v>1724</v>
      </c>
      <c r="D1727" s="856"/>
      <c r="E1727" s="850">
        <v>418302</v>
      </c>
      <c r="F1727" s="851">
        <v>13</v>
      </c>
    </row>
    <row r="1728" spans="1:6">
      <c r="A1728" s="868" t="s">
        <v>745</v>
      </c>
      <c r="B1728" s="857" t="s">
        <v>62</v>
      </c>
      <c r="C1728" s="1061" t="s">
        <v>1725</v>
      </c>
      <c r="D1728" s="1061"/>
      <c r="E1728" s="868"/>
      <c r="F1728" s="851">
        <v>13</v>
      </c>
    </row>
    <row r="1729" spans="1:6">
      <c r="A1729" s="868" t="s">
        <v>745</v>
      </c>
      <c r="B1729" s="857" t="s">
        <v>62</v>
      </c>
      <c r="C1729" s="1062" t="s">
        <v>1726</v>
      </c>
      <c r="D1729" s="1062"/>
      <c r="E1729" s="868"/>
      <c r="F1729" s="851">
        <v>13</v>
      </c>
    </row>
    <row r="1730" spans="1:6">
      <c r="A1730" s="868" t="s">
        <v>745</v>
      </c>
      <c r="B1730" s="857" t="s">
        <v>62</v>
      </c>
      <c r="C1730" s="1063" t="s">
        <v>1727</v>
      </c>
      <c r="D1730" s="1063"/>
      <c r="E1730" s="868"/>
      <c r="F1730" s="851">
        <v>13</v>
      </c>
    </row>
    <row r="1731" spans="1:6">
      <c r="A1731" s="868" t="s">
        <v>745</v>
      </c>
      <c r="B1731" s="857" t="s">
        <v>62</v>
      </c>
      <c r="C1731" s="1064" t="s">
        <v>1728</v>
      </c>
      <c r="D1731" s="1064"/>
      <c r="E1731" s="868"/>
      <c r="F1731" s="851">
        <v>13</v>
      </c>
    </row>
    <row r="1732" spans="1:6">
      <c r="A1732" s="868" t="s">
        <v>745</v>
      </c>
      <c r="B1732" s="857" t="s">
        <v>62</v>
      </c>
      <c r="C1732" s="1065" t="s">
        <v>1729</v>
      </c>
      <c r="D1732" s="1065"/>
      <c r="E1732" s="868"/>
      <c r="F1732" s="851">
        <v>13</v>
      </c>
    </row>
    <row r="1733" spans="1:6">
      <c r="A1733" s="868" t="s">
        <v>745</v>
      </c>
      <c r="B1733" s="857" t="s">
        <v>138</v>
      </c>
      <c r="C1733" s="856" t="s">
        <v>139</v>
      </c>
      <c r="D1733" s="856"/>
      <c r="E1733" s="868"/>
      <c r="F1733" s="869">
        <v>99</v>
      </c>
    </row>
    <row r="1734" spans="1:6">
      <c r="A1734" s="868" t="s">
        <v>745</v>
      </c>
      <c r="B1734" s="857" t="s">
        <v>142</v>
      </c>
      <c r="C1734" s="1066" t="s">
        <v>143</v>
      </c>
      <c r="D1734" s="1067"/>
      <c r="E1734" s="868"/>
      <c r="F1734" s="869">
        <v>99</v>
      </c>
    </row>
    <row r="1735" spans="1:6">
      <c r="A1735" s="868" t="s">
        <v>745</v>
      </c>
      <c r="B1735" s="857" t="s">
        <v>142</v>
      </c>
      <c r="C1735" s="1068" t="s">
        <v>1730</v>
      </c>
      <c r="D1735" s="1067"/>
      <c r="E1735" s="868"/>
      <c r="F1735" s="869">
        <v>99</v>
      </c>
    </row>
    <row r="1736" spans="1:6" ht="16" thickBot="1">
      <c r="A1736" s="691" t="s">
        <v>745</v>
      </c>
      <c r="B1736" s="689"/>
      <c r="C1736" s="692"/>
      <c r="D1736" s="690"/>
      <c r="E1736" s="693"/>
      <c r="F1736" s="46"/>
    </row>
    <row r="1737" spans="1:6">
      <c r="A1737" s="1069" t="s">
        <v>746</v>
      </c>
      <c r="B1737" s="1070" t="s">
        <v>62</v>
      </c>
      <c r="C1737" s="1071" t="s">
        <v>1517</v>
      </c>
      <c r="D1737" s="1072"/>
      <c r="E1737" s="1073">
        <v>217882</v>
      </c>
      <c r="F1737" s="1074">
        <v>1</v>
      </c>
    </row>
    <row r="1738" spans="1:6">
      <c r="A1738" s="1075" t="s">
        <v>746</v>
      </c>
      <c r="B1738" s="1017" t="s">
        <v>62</v>
      </c>
      <c r="C1738" s="1011" t="s">
        <v>1518</v>
      </c>
      <c r="D1738" s="1010"/>
      <c r="E1738" s="987">
        <v>217882</v>
      </c>
      <c r="F1738" s="988">
        <v>1</v>
      </c>
    </row>
    <row r="1739" spans="1:6">
      <c r="A1739" s="1075" t="s">
        <v>746</v>
      </c>
      <c r="B1739" s="1017" t="s">
        <v>62</v>
      </c>
      <c r="C1739" s="1076" t="s">
        <v>1538</v>
      </c>
      <c r="D1739" s="1010"/>
      <c r="E1739" s="987">
        <v>217882</v>
      </c>
      <c r="F1739" s="988">
        <v>1</v>
      </c>
    </row>
    <row r="1740" spans="1:6">
      <c r="A1740" s="1075" t="s">
        <v>746</v>
      </c>
      <c r="B1740" s="1017" t="s">
        <v>69</v>
      </c>
      <c r="C1740" s="1077" t="s">
        <v>70</v>
      </c>
      <c r="D1740" s="1010"/>
      <c r="E1740" s="987">
        <v>217882</v>
      </c>
      <c r="F1740" s="988">
        <v>1</v>
      </c>
    </row>
    <row r="1741" spans="1:6">
      <c r="A1741" s="1075" t="s">
        <v>746</v>
      </c>
      <c r="B1741" s="1017" t="s">
        <v>74</v>
      </c>
      <c r="C1741" s="1078" t="s">
        <v>372</v>
      </c>
      <c r="D1741" s="1079"/>
      <c r="E1741" s="987">
        <v>217882</v>
      </c>
      <c r="F1741" s="988">
        <v>1</v>
      </c>
    </row>
    <row r="1742" spans="1:6">
      <c r="A1742" s="1075" t="s">
        <v>746</v>
      </c>
      <c r="B1742" s="1017" t="s">
        <v>74</v>
      </c>
      <c r="C1742" s="1076" t="s">
        <v>1520</v>
      </c>
      <c r="D1742" s="1010"/>
      <c r="E1742" s="987">
        <v>217882</v>
      </c>
      <c r="F1742" s="988">
        <v>1</v>
      </c>
    </row>
    <row r="1743" spans="1:6">
      <c r="A1743" s="1075" t="s">
        <v>746</v>
      </c>
      <c r="B1743" s="1017" t="s">
        <v>78</v>
      </c>
      <c r="C1743" s="1078" t="s">
        <v>1521</v>
      </c>
      <c r="D1743" s="1079"/>
      <c r="E1743" s="987">
        <v>217882</v>
      </c>
      <c r="F1743" s="988">
        <v>1</v>
      </c>
    </row>
    <row r="1744" spans="1:6">
      <c r="A1744" s="1075" t="s">
        <v>746</v>
      </c>
      <c r="B1744" s="1017" t="s">
        <v>78</v>
      </c>
      <c r="C1744" s="1076" t="s">
        <v>1522</v>
      </c>
      <c r="D1744" s="1010"/>
      <c r="E1744" s="987">
        <v>217882</v>
      </c>
      <c r="F1744" s="988">
        <v>1</v>
      </c>
    </row>
    <row r="1745" spans="1:6">
      <c r="A1745" s="1075" t="s">
        <v>746</v>
      </c>
      <c r="B1745" s="1017" t="s">
        <v>99</v>
      </c>
      <c r="C1745" s="1077" t="s">
        <v>1070</v>
      </c>
      <c r="D1745" s="1010"/>
      <c r="E1745" s="987">
        <v>217882</v>
      </c>
      <c r="F1745" s="988">
        <v>1</v>
      </c>
    </row>
    <row r="1746" spans="1:6">
      <c r="A1746" s="1075" t="s">
        <v>746</v>
      </c>
      <c r="B1746" s="1017" t="s">
        <v>99</v>
      </c>
      <c r="C1746" s="1076" t="s">
        <v>1523</v>
      </c>
      <c r="D1746" s="1010"/>
      <c r="E1746" s="987">
        <v>217882</v>
      </c>
      <c r="F1746" s="988">
        <v>1</v>
      </c>
    </row>
    <row r="1747" spans="1:6">
      <c r="A1747" s="1075" t="s">
        <v>746</v>
      </c>
      <c r="B1747" s="1017" t="s">
        <v>99</v>
      </c>
      <c r="C1747" s="1076" t="s">
        <v>1524</v>
      </c>
      <c r="D1747" s="1010"/>
      <c r="E1747" s="987">
        <v>217882</v>
      </c>
      <c r="F1747" s="988">
        <v>1</v>
      </c>
    </row>
    <row r="1748" spans="1:6">
      <c r="A1748" s="1075" t="s">
        <v>746</v>
      </c>
      <c r="B1748" s="1017" t="s">
        <v>62</v>
      </c>
      <c r="C1748" s="1080" t="s">
        <v>1525</v>
      </c>
      <c r="D1748" s="1016"/>
      <c r="E1748" s="987">
        <v>218663</v>
      </c>
      <c r="F1748" s="988">
        <v>1</v>
      </c>
    </row>
    <row r="1749" spans="1:6">
      <c r="A1749" s="1075" t="s">
        <v>746</v>
      </c>
      <c r="B1749" s="1017" t="s">
        <v>62</v>
      </c>
      <c r="C1749" s="1076" t="s">
        <v>1518</v>
      </c>
      <c r="D1749" s="1010"/>
      <c r="E1749" s="987">
        <v>218663</v>
      </c>
      <c r="F1749" s="988">
        <v>1</v>
      </c>
    </row>
    <row r="1750" spans="1:6">
      <c r="A1750" s="1075" t="s">
        <v>746</v>
      </c>
      <c r="B1750" s="1017" t="s">
        <v>62</v>
      </c>
      <c r="C1750" s="1076" t="s">
        <v>1519</v>
      </c>
      <c r="D1750" s="1010"/>
      <c r="E1750" s="987">
        <v>218663</v>
      </c>
      <c r="F1750" s="988">
        <v>1</v>
      </c>
    </row>
    <row r="1751" spans="1:6">
      <c r="A1751" s="1075" t="s">
        <v>746</v>
      </c>
      <c r="B1751" s="1017" t="s">
        <v>69</v>
      </c>
      <c r="C1751" s="1078" t="s">
        <v>70</v>
      </c>
      <c r="D1751" s="1079"/>
      <c r="E1751" s="987">
        <v>218663</v>
      </c>
      <c r="F1751" s="988">
        <v>1</v>
      </c>
    </row>
    <row r="1752" spans="1:6">
      <c r="A1752" s="1075" t="s">
        <v>746</v>
      </c>
      <c r="B1752" s="1017" t="s">
        <v>69</v>
      </c>
      <c r="C1752" s="1076" t="s">
        <v>1526</v>
      </c>
      <c r="D1752" s="1010"/>
      <c r="E1752" s="987">
        <v>218663</v>
      </c>
      <c r="F1752" s="988">
        <v>1</v>
      </c>
    </row>
    <row r="1753" spans="1:6">
      <c r="A1753" s="1075" t="s">
        <v>746</v>
      </c>
      <c r="B1753" s="1017" t="s">
        <v>69</v>
      </c>
      <c r="C1753" s="1076" t="s">
        <v>1527</v>
      </c>
      <c r="D1753" s="1010"/>
      <c r="E1753" s="987">
        <v>218663</v>
      </c>
      <c r="F1753" s="988">
        <v>1</v>
      </c>
    </row>
    <row r="1754" spans="1:6">
      <c r="A1754" s="1075" t="s">
        <v>746</v>
      </c>
      <c r="B1754" s="1017" t="s">
        <v>69</v>
      </c>
      <c r="C1754" s="1076" t="s">
        <v>1528</v>
      </c>
      <c r="D1754" s="1010"/>
      <c r="E1754" s="987">
        <v>218663</v>
      </c>
      <c r="F1754" s="988">
        <v>1</v>
      </c>
    </row>
    <row r="1755" spans="1:6">
      <c r="A1755" s="1075" t="s">
        <v>746</v>
      </c>
      <c r="B1755" s="1017" t="s">
        <v>78</v>
      </c>
      <c r="C1755" s="1078" t="s">
        <v>79</v>
      </c>
      <c r="D1755" s="1010"/>
      <c r="E1755" s="987">
        <v>218663</v>
      </c>
      <c r="F1755" s="988">
        <v>1</v>
      </c>
    </row>
    <row r="1756" spans="1:6">
      <c r="A1756" s="1075" t="s">
        <v>746</v>
      </c>
      <c r="B1756" s="1017" t="s">
        <v>78</v>
      </c>
      <c r="C1756" s="1076" t="s">
        <v>1529</v>
      </c>
      <c r="D1756" s="1010"/>
      <c r="E1756" s="987">
        <v>218663</v>
      </c>
      <c r="F1756" s="988">
        <v>1</v>
      </c>
    </row>
    <row r="1757" spans="1:6">
      <c r="A1757" s="1075" t="s">
        <v>746</v>
      </c>
      <c r="B1757" s="1017" t="s">
        <v>99</v>
      </c>
      <c r="C1757" s="1077" t="s">
        <v>1070</v>
      </c>
      <c r="D1757" s="1010"/>
      <c r="E1757" s="987">
        <v>218663</v>
      </c>
      <c r="F1757" s="988">
        <v>1</v>
      </c>
    </row>
    <row r="1758" spans="1:6">
      <c r="A1758" s="1075" t="s">
        <v>746</v>
      </c>
      <c r="B1758" s="1017" t="s">
        <v>99</v>
      </c>
      <c r="C1758" s="1076" t="s">
        <v>1523</v>
      </c>
      <c r="D1758" s="1010"/>
      <c r="E1758" s="987">
        <v>218663</v>
      </c>
      <c r="F1758" s="988">
        <v>1</v>
      </c>
    </row>
    <row r="1759" spans="1:6">
      <c r="A1759" s="1075" t="s">
        <v>746</v>
      </c>
      <c r="B1759" s="1017" t="s">
        <v>99</v>
      </c>
      <c r="C1759" s="1081" t="s">
        <v>1530</v>
      </c>
      <c r="D1759" s="1010"/>
      <c r="E1759" s="987">
        <v>218663</v>
      </c>
      <c r="F1759" s="988">
        <v>1</v>
      </c>
    </row>
    <row r="1760" spans="1:6">
      <c r="A1760" s="1075" t="s">
        <v>746</v>
      </c>
      <c r="B1760" s="1017" t="s">
        <v>99</v>
      </c>
      <c r="C1760" s="1076" t="s">
        <v>1531</v>
      </c>
      <c r="D1760" s="1010"/>
      <c r="E1760" s="987">
        <v>218663</v>
      </c>
      <c r="F1760" s="988">
        <v>1</v>
      </c>
    </row>
    <row r="1761" spans="1:6">
      <c r="A1761" s="1075" t="s">
        <v>746</v>
      </c>
      <c r="B1761" s="1017" t="s">
        <v>99</v>
      </c>
      <c r="C1761" s="1081" t="s">
        <v>1532</v>
      </c>
      <c r="D1761" s="1010"/>
      <c r="E1761" s="987">
        <v>218663</v>
      </c>
      <c r="F1761" s="988">
        <v>1</v>
      </c>
    </row>
    <row r="1762" spans="1:6">
      <c r="A1762" s="1075" t="s">
        <v>746</v>
      </c>
      <c r="B1762" s="1017" t="s">
        <v>64</v>
      </c>
      <c r="C1762" s="1077" t="s">
        <v>495</v>
      </c>
      <c r="D1762" s="1010"/>
      <c r="E1762" s="987">
        <v>218663</v>
      </c>
      <c r="F1762" s="988">
        <v>1</v>
      </c>
    </row>
    <row r="1763" spans="1:6">
      <c r="A1763" s="1075" t="s">
        <v>746</v>
      </c>
      <c r="B1763" s="1017" t="s">
        <v>64</v>
      </c>
      <c r="C1763" s="1076" t="s">
        <v>1533</v>
      </c>
      <c r="D1763" s="1010"/>
      <c r="E1763" s="987">
        <v>218663</v>
      </c>
      <c r="F1763" s="988">
        <v>1</v>
      </c>
    </row>
    <row r="1764" spans="1:6">
      <c r="A1764" s="1075" t="s">
        <v>746</v>
      </c>
      <c r="B1764" s="1017" t="s">
        <v>64</v>
      </c>
      <c r="C1764" s="1076" t="s">
        <v>1534</v>
      </c>
      <c r="D1764" s="1010"/>
      <c r="E1764" s="987">
        <v>218663</v>
      </c>
      <c r="F1764" s="988">
        <v>1</v>
      </c>
    </row>
    <row r="1765" spans="1:6">
      <c r="A1765" s="1075" t="s">
        <v>746</v>
      </c>
      <c r="B1765" s="1017" t="s">
        <v>64</v>
      </c>
      <c r="C1765" s="1076" t="s">
        <v>1535</v>
      </c>
      <c r="D1765" s="1010"/>
      <c r="E1765" s="987">
        <v>218663</v>
      </c>
      <c r="F1765" s="988">
        <v>1</v>
      </c>
    </row>
    <row r="1766" spans="1:6">
      <c r="A1766" s="1075" t="s">
        <v>746</v>
      </c>
      <c r="B1766" s="1017" t="s">
        <v>64</v>
      </c>
      <c r="C1766" s="1076" t="s">
        <v>1536</v>
      </c>
      <c r="D1766" s="1010"/>
      <c r="E1766" s="987">
        <v>218663</v>
      </c>
      <c r="F1766" s="988">
        <v>1</v>
      </c>
    </row>
    <row r="1767" spans="1:6">
      <c r="A1767" s="1075" t="s">
        <v>746</v>
      </c>
      <c r="B1767" s="1017" t="s">
        <v>62</v>
      </c>
      <c r="C1767" s="1082" t="s">
        <v>1537</v>
      </c>
      <c r="D1767" s="1010"/>
      <c r="E1767" s="987">
        <v>217819</v>
      </c>
      <c r="F1767" s="988">
        <v>3</v>
      </c>
    </row>
    <row r="1768" spans="1:6">
      <c r="A1768" s="1075" t="s">
        <v>746</v>
      </c>
      <c r="B1768" s="1017" t="s">
        <v>62</v>
      </c>
      <c r="C1768" s="1076" t="s">
        <v>1518</v>
      </c>
      <c r="D1768" s="1010"/>
      <c r="E1768" s="987">
        <v>217819</v>
      </c>
      <c r="F1768" s="988">
        <v>3</v>
      </c>
    </row>
    <row r="1769" spans="1:6">
      <c r="A1769" s="1075" t="s">
        <v>746</v>
      </c>
      <c r="B1769" s="1017" t="s">
        <v>62</v>
      </c>
      <c r="C1769" s="1076" t="s">
        <v>1538</v>
      </c>
      <c r="D1769" s="1010"/>
      <c r="E1769" s="987">
        <v>217819</v>
      </c>
      <c r="F1769" s="988">
        <v>3</v>
      </c>
    </row>
    <row r="1770" spans="1:6">
      <c r="A1770" s="1075" t="s">
        <v>746</v>
      </c>
      <c r="B1770" s="1017" t="s">
        <v>69</v>
      </c>
      <c r="C1770" s="1078" t="s">
        <v>70</v>
      </c>
      <c r="D1770" s="1010"/>
      <c r="E1770" s="987">
        <v>217819</v>
      </c>
      <c r="F1770" s="988">
        <v>3</v>
      </c>
    </row>
    <row r="1771" spans="1:6">
      <c r="A1771" s="1075" t="s">
        <v>746</v>
      </c>
      <c r="B1771" s="1017" t="s">
        <v>78</v>
      </c>
      <c r="C1771" s="1078" t="s">
        <v>79</v>
      </c>
      <c r="D1771" s="1079"/>
      <c r="E1771" s="987">
        <v>217819</v>
      </c>
      <c r="F1771" s="988">
        <v>3</v>
      </c>
    </row>
    <row r="1772" spans="1:6">
      <c r="A1772" s="1075" t="s">
        <v>746</v>
      </c>
      <c r="B1772" s="1017" t="s">
        <v>99</v>
      </c>
      <c r="C1772" s="1077" t="s">
        <v>1070</v>
      </c>
      <c r="D1772" s="1010"/>
      <c r="E1772" s="987">
        <v>217819</v>
      </c>
      <c r="F1772" s="988">
        <v>3</v>
      </c>
    </row>
    <row r="1773" spans="1:6">
      <c r="A1773" s="1075" t="s">
        <v>746</v>
      </c>
      <c r="B1773" s="1017" t="s">
        <v>99</v>
      </c>
      <c r="C1773" s="1076" t="s">
        <v>1523</v>
      </c>
      <c r="D1773" s="1010"/>
      <c r="E1773" s="987">
        <v>217819</v>
      </c>
      <c r="F1773" s="988">
        <v>3</v>
      </c>
    </row>
    <row r="1774" spans="1:6">
      <c r="A1774" s="1075" t="s">
        <v>746</v>
      </c>
      <c r="B1774" s="1017" t="s">
        <v>99</v>
      </c>
      <c r="C1774" s="1076" t="s">
        <v>1539</v>
      </c>
      <c r="D1774" s="1010"/>
      <c r="E1774" s="987">
        <v>217819</v>
      </c>
      <c r="F1774" s="988">
        <v>3</v>
      </c>
    </row>
    <row r="1775" spans="1:6">
      <c r="A1775" s="1075" t="s">
        <v>746</v>
      </c>
      <c r="B1775" s="1017" t="s">
        <v>99</v>
      </c>
      <c r="C1775" s="1076" t="s">
        <v>1540</v>
      </c>
      <c r="D1775" s="1010"/>
      <c r="E1775" s="987">
        <v>217819</v>
      </c>
      <c r="F1775" s="988">
        <v>3</v>
      </c>
    </row>
    <row r="1776" spans="1:6">
      <c r="A1776" s="1075" t="s">
        <v>746</v>
      </c>
      <c r="B1776" s="1017" t="s">
        <v>62</v>
      </c>
      <c r="C1776" s="1082" t="s">
        <v>1541</v>
      </c>
      <c r="D1776" s="994"/>
      <c r="E1776" s="987">
        <v>217864</v>
      </c>
      <c r="F1776" s="988">
        <v>3</v>
      </c>
    </row>
    <row r="1777" spans="1:6">
      <c r="A1777" s="1075" t="s">
        <v>746</v>
      </c>
      <c r="B1777" s="1017" t="s">
        <v>62</v>
      </c>
      <c r="C1777" s="1076" t="s">
        <v>1518</v>
      </c>
      <c r="D1777" s="1010"/>
      <c r="E1777" s="987">
        <v>217864</v>
      </c>
      <c r="F1777" s="988">
        <v>3</v>
      </c>
    </row>
    <row r="1778" spans="1:6">
      <c r="A1778" s="1075" t="s">
        <v>746</v>
      </c>
      <c r="B1778" s="1017" t="s">
        <v>62</v>
      </c>
      <c r="C1778" s="1076" t="s">
        <v>1538</v>
      </c>
      <c r="D1778" s="1010"/>
      <c r="E1778" s="987">
        <v>217864</v>
      </c>
      <c r="F1778" s="988">
        <v>3</v>
      </c>
    </row>
    <row r="1779" spans="1:6">
      <c r="A1779" s="1075" t="s">
        <v>746</v>
      </c>
      <c r="B1779" s="1017" t="s">
        <v>99</v>
      </c>
      <c r="C1779" s="1077" t="s">
        <v>1070</v>
      </c>
      <c r="D1779" s="1010"/>
      <c r="E1779" s="987">
        <v>217864</v>
      </c>
      <c r="F1779" s="988">
        <v>3</v>
      </c>
    </row>
    <row r="1780" spans="1:6">
      <c r="A1780" s="1075" t="s">
        <v>746</v>
      </c>
      <c r="B1780" s="1017" t="s">
        <v>99</v>
      </c>
      <c r="C1780" s="1076" t="s">
        <v>1523</v>
      </c>
      <c r="D1780" s="1010"/>
      <c r="E1780" s="987">
        <v>217864</v>
      </c>
      <c r="F1780" s="988">
        <v>3</v>
      </c>
    </row>
    <row r="1781" spans="1:6">
      <c r="A1781" s="1075" t="s">
        <v>746</v>
      </c>
      <c r="B1781" s="1017" t="s">
        <v>99</v>
      </c>
      <c r="C1781" s="1076" t="s">
        <v>1539</v>
      </c>
      <c r="D1781" s="1010"/>
      <c r="E1781" s="987">
        <v>217864</v>
      </c>
      <c r="F1781" s="988">
        <v>3</v>
      </c>
    </row>
    <row r="1782" spans="1:6">
      <c r="A1782" s="1075" t="s">
        <v>746</v>
      </c>
      <c r="B1782" s="1017" t="s">
        <v>62</v>
      </c>
      <c r="C1782" s="1082" t="s">
        <v>1542</v>
      </c>
      <c r="D1782" s="1010"/>
      <c r="E1782" s="987">
        <v>218964</v>
      </c>
      <c r="F1782" s="988">
        <v>3</v>
      </c>
    </row>
    <row r="1783" spans="1:6">
      <c r="A1783" s="1075" t="s">
        <v>746</v>
      </c>
      <c r="B1783" s="1017" t="s">
        <v>62</v>
      </c>
      <c r="C1783" s="1076" t="s">
        <v>1518</v>
      </c>
      <c r="D1783" s="1010"/>
      <c r="E1783" s="987">
        <v>218964</v>
      </c>
      <c r="F1783" s="988">
        <v>3</v>
      </c>
    </row>
    <row r="1784" spans="1:6">
      <c r="A1784" s="1075" t="s">
        <v>746</v>
      </c>
      <c r="B1784" s="1017" t="s">
        <v>62</v>
      </c>
      <c r="C1784" s="1076" t="s">
        <v>1538</v>
      </c>
      <c r="D1784" s="1010"/>
      <c r="E1784" s="987">
        <v>218964</v>
      </c>
      <c r="F1784" s="988">
        <v>3</v>
      </c>
    </row>
    <row r="1785" spans="1:6">
      <c r="A1785" s="1075" t="s">
        <v>746</v>
      </c>
      <c r="B1785" s="1017" t="s">
        <v>78</v>
      </c>
      <c r="C1785" s="1077" t="s">
        <v>79</v>
      </c>
      <c r="D1785" s="1010"/>
      <c r="E1785" s="987">
        <v>218964</v>
      </c>
      <c r="F1785" s="988">
        <v>3</v>
      </c>
    </row>
    <row r="1786" spans="1:6">
      <c r="A1786" s="1075" t="s">
        <v>746</v>
      </c>
      <c r="B1786" s="1017" t="s">
        <v>78</v>
      </c>
      <c r="C1786" s="1076" t="s">
        <v>1543</v>
      </c>
      <c r="D1786" s="1010"/>
      <c r="E1786" s="987">
        <v>218964</v>
      </c>
      <c r="F1786" s="988">
        <v>3</v>
      </c>
    </row>
    <row r="1787" spans="1:6">
      <c r="A1787" s="1075" t="s">
        <v>746</v>
      </c>
      <c r="B1787" s="1017" t="s">
        <v>99</v>
      </c>
      <c r="C1787" s="1077" t="s">
        <v>1070</v>
      </c>
      <c r="D1787" s="1010"/>
      <c r="E1787" s="987">
        <v>218964</v>
      </c>
      <c r="F1787" s="988">
        <v>3</v>
      </c>
    </row>
    <row r="1788" spans="1:6">
      <c r="A1788" s="1075" t="s">
        <v>746</v>
      </c>
      <c r="B1788" s="1017" t="s">
        <v>99</v>
      </c>
      <c r="C1788" s="1076" t="s">
        <v>1523</v>
      </c>
      <c r="D1788" s="1010"/>
      <c r="E1788" s="987">
        <v>218964</v>
      </c>
      <c r="F1788" s="988">
        <v>3</v>
      </c>
    </row>
    <row r="1789" spans="1:6">
      <c r="A1789" s="1075" t="s">
        <v>746</v>
      </c>
      <c r="B1789" s="1017" t="s">
        <v>99</v>
      </c>
      <c r="C1789" s="1076" t="s">
        <v>1539</v>
      </c>
      <c r="D1789" s="1010"/>
      <c r="E1789" s="987">
        <v>218964</v>
      </c>
      <c r="F1789" s="988">
        <v>3</v>
      </c>
    </row>
    <row r="1790" spans="1:6">
      <c r="A1790" s="1075" t="s">
        <v>746</v>
      </c>
      <c r="B1790" s="1017" t="s">
        <v>62</v>
      </c>
      <c r="C1790" s="1082" t="s">
        <v>1544</v>
      </c>
      <c r="D1790" s="1083"/>
      <c r="E1790" s="987">
        <v>218724</v>
      </c>
      <c r="F1790" s="988">
        <v>4</v>
      </c>
    </row>
    <row r="1791" spans="1:6">
      <c r="A1791" s="1075" t="s">
        <v>746</v>
      </c>
      <c r="B1791" s="1017" t="s">
        <v>62</v>
      </c>
      <c r="C1791" s="1076" t="s">
        <v>1518</v>
      </c>
      <c r="D1791" s="1010"/>
      <c r="E1791" s="987">
        <v>218724</v>
      </c>
      <c r="F1791" s="988">
        <v>4</v>
      </c>
    </row>
    <row r="1792" spans="1:6">
      <c r="A1792" s="1075" t="s">
        <v>746</v>
      </c>
      <c r="B1792" s="1017" t="s">
        <v>62</v>
      </c>
      <c r="C1792" s="1076" t="s">
        <v>1538</v>
      </c>
      <c r="D1792" s="1010"/>
      <c r="E1792" s="987">
        <v>218724</v>
      </c>
      <c r="F1792" s="988">
        <v>4</v>
      </c>
    </row>
    <row r="1793" spans="1:6">
      <c r="A1793" s="1075" t="s">
        <v>746</v>
      </c>
      <c r="B1793" s="1017" t="s">
        <v>99</v>
      </c>
      <c r="C1793" s="1077" t="s">
        <v>1070</v>
      </c>
      <c r="D1793" s="1010"/>
      <c r="E1793" s="987">
        <v>218724</v>
      </c>
      <c r="F1793" s="988">
        <v>4</v>
      </c>
    </row>
    <row r="1794" spans="1:6">
      <c r="A1794" s="1075" t="s">
        <v>746</v>
      </c>
      <c r="B1794" s="1017" t="s">
        <v>99</v>
      </c>
      <c r="C1794" s="1076" t="s">
        <v>1523</v>
      </c>
      <c r="D1794" s="1010"/>
      <c r="E1794" s="987">
        <v>218724</v>
      </c>
      <c r="F1794" s="988">
        <v>4</v>
      </c>
    </row>
    <row r="1795" spans="1:6">
      <c r="A1795" s="1075" t="s">
        <v>746</v>
      </c>
      <c r="B1795" s="1017" t="s">
        <v>99</v>
      </c>
      <c r="C1795" s="1076" t="s">
        <v>1539</v>
      </c>
      <c r="D1795" s="1010"/>
      <c r="E1795" s="987">
        <v>218724</v>
      </c>
      <c r="F1795" s="988">
        <v>4</v>
      </c>
    </row>
    <row r="1796" spans="1:6">
      <c r="A1796" s="1075" t="s">
        <v>746</v>
      </c>
      <c r="B1796" s="1017" t="s">
        <v>62</v>
      </c>
      <c r="C1796" s="1082" t="s">
        <v>1545</v>
      </c>
      <c r="D1796" s="1010"/>
      <c r="E1796" s="987">
        <v>218061</v>
      </c>
      <c r="F1796" s="988">
        <v>5</v>
      </c>
    </row>
    <row r="1797" spans="1:6">
      <c r="A1797" s="1075" t="s">
        <v>746</v>
      </c>
      <c r="B1797" s="1017" t="s">
        <v>62</v>
      </c>
      <c r="C1797" s="1076" t="s">
        <v>1518</v>
      </c>
      <c r="D1797" s="1010"/>
      <c r="E1797" s="987">
        <v>218061</v>
      </c>
      <c r="F1797" s="988">
        <v>5</v>
      </c>
    </row>
    <row r="1798" spans="1:6">
      <c r="A1798" s="1075" t="s">
        <v>746</v>
      </c>
      <c r="B1798" s="1017" t="s">
        <v>62</v>
      </c>
      <c r="C1798" s="1076" t="s">
        <v>1538</v>
      </c>
      <c r="D1798" s="1010"/>
      <c r="E1798" s="987">
        <v>218061</v>
      </c>
      <c r="F1798" s="988">
        <v>5</v>
      </c>
    </row>
    <row r="1799" spans="1:6">
      <c r="A1799" s="1075" t="s">
        <v>746</v>
      </c>
      <c r="B1799" s="1017" t="s">
        <v>69</v>
      </c>
      <c r="C1799" s="1078" t="s">
        <v>70</v>
      </c>
      <c r="D1799" s="1010"/>
      <c r="E1799" s="987">
        <v>218061</v>
      </c>
      <c r="F1799" s="988">
        <v>5</v>
      </c>
    </row>
    <row r="1800" spans="1:6">
      <c r="A1800" s="1075" t="s">
        <v>746</v>
      </c>
      <c r="B1800" s="1017" t="s">
        <v>78</v>
      </c>
      <c r="C1800" s="1078" t="s">
        <v>79</v>
      </c>
      <c r="D1800" s="1010"/>
      <c r="E1800" s="987">
        <v>218061</v>
      </c>
      <c r="F1800" s="988">
        <v>5</v>
      </c>
    </row>
    <row r="1801" spans="1:6">
      <c r="A1801" s="1075" t="s">
        <v>746</v>
      </c>
      <c r="B1801" s="1017" t="s">
        <v>78</v>
      </c>
      <c r="C1801" s="1076" t="s">
        <v>1546</v>
      </c>
      <c r="D1801" s="1010"/>
      <c r="E1801" s="987">
        <v>218061</v>
      </c>
      <c r="F1801" s="988">
        <v>5</v>
      </c>
    </row>
    <row r="1802" spans="1:6">
      <c r="A1802" s="1075" t="s">
        <v>746</v>
      </c>
      <c r="B1802" s="1017" t="s">
        <v>99</v>
      </c>
      <c r="C1802" s="1077" t="s">
        <v>1070</v>
      </c>
      <c r="D1802" s="1010"/>
      <c r="E1802" s="987">
        <v>218061</v>
      </c>
      <c r="F1802" s="988">
        <v>5</v>
      </c>
    </row>
    <row r="1803" spans="1:6">
      <c r="A1803" s="1075" t="s">
        <v>746</v>
      </c>
      <c r="B1803" s="1017" t="s">
        <v>99</v>
      </c>
      <c r="C1803" s="1076" t="s">
        <v>1523</v>
      </c>
      <c r="D1803" s="1010"/>
      <c r="E1803" s="987">
        <v>218061</v>
      </c>
      <c r="F1803" s="988">
        <v>5</v>
      </c>
    </row>
    <row r="1804" spans="1:6">
      <c r="A1804" s="1075" t="s">
        <v>746</v>
      </c>
      <c r="B1804" s="1017" t="s">
        <v>99</v>
      </c>
      <c r="C1804" s="1076" t="s">
        <v>1539</v>
      </c>
      <c r="D1804" s="1010"/>
      <c r="E1804" s="987">
        <v>218061</v>
      </c>
      <c r="F1804" s="988">
        <v>5</v>
      </c>
    </row>
    <row r="1805" spans="1:6">
      <c r="A1805" s="1075" t="s">
        <v>746</v>
      </c>
      <c r="B1805" s="1017" t="s">
        <v>62</v>
      </c>
      <c r="C1805" s="1082" t="s">
        <v>1547</v>
      </c>
      <c r="D1805" s="1010"/>
      <c r="E1805" s="987">
        <v>218733</v>
      </c>
      <c r="F1805" s="988">
        <v>5</v>
      </c>
    </row>
    <row r="1806" spans="1:6">
      <c r="A1806" s="1075" t="s">
        <v>746</v>
      </c>
      <c r="B1806" s="1017" t="s">
        <v>62</v>
      </c>
      <c r="C1806" s="1076" t="s">
        <v>1518</v>
      </c>
      <c r="D1806" s="1010"/>
      <c r="E1806" s="987">
        <v>218733</v>
      </c>
      <c r="F1806" s="988">
        <v>5</v>
      </c>
    </row>
    <row r="1807" spans="1:6">
      <c r="A1807" s="1075" t="s">
        <v>746</v>
      </c>
      <c r="B1807" s="1017" t="s">
        <v>62</v>
      </c>
      <c r="C1807" s="1076" t="s">
        <v>1538</v>
      </c>
      <c r="D1807" s="1010"/>
      <c r="E1807" s="987">
        <v>218733</v>
      </c>
      <c r="F1807" s="988">
        <v>5</v>
      </c>
    </row>
    <row r="1808" spans="1:6">
      <c r="A1808" s="1075" t="s">
        <v>746</v>
      </c>
      <c r="B1808" s="1017" t="s">
        <v>69</v>
      </c>
      <c r="C1808" s="1078" t="s">
        <v>70</v>
      </c>
      <c r="D1808" s="1010"/>
      <c r="E1808" s="987">
        <v>218733</v>
      </c>
      <c r="F1808" s="988">
        <v>5</v>
      </c>
    </row>
    <row r="1809" spans="1:6">
      <c r="A1809" s="1075" t="s">
        <v>746</v>
      </c>
      <c r="B1809" s="1017" t="s">
        <v>74</v>
      </c>
      <c r="C1809" s="1076" t="s">
        <v>1548</v>
      </c>
      <c r="D1809" s="1010"/>
      <c r="E1809" s="987">
        <v>218733</v>
      </c>
      <c r="F1809" s="988">
        <v>5</v>
      </c>
    </row>
    <row r="1810" spans="1:6">
      <c r="A1810" s="1075" t="s">
        <v>746</v>
      </c>
      <c r="B1810" s="1017" t="s">
        <v>78</v>
      </c>
      <c r="C1810" s="1078" t="s">
        <v>79</v>
      </c>
      <c r="D1810" s="1010"/>
      <c r="E1810" s="987">
        <v>218733</v>
      </c>
      <c r="F1810" s="988">
        <v>5</v>
      </c>
    </row>
    <row r="1811" spans="1:6">
      <c r="A1811" s="1075" t="s">
        <v>746</v>
      </c>
      <c r="B1811" s="1017" t="s">
        <v>99</v>
      </c>
      <c r="C1811" s="1077" t="s">
        <v>1070</v>
      </c>
      <c r="D1811" s="1010"/>
      <c r="E1811" s="987">
        <v>218733</v>
      </c>
      <c r="F1811" s="988">
        <v>5</v>
      </c>
    </row>
    <row r="1812" spans="1:6">
      <c r="A1812" s="1075" t="s">
        <v>746</v>
      </c>
      <c r="B1812" s="1017" t="s">
        <v>99</v>
      </c>
      <c r="C1812" s="1076" t="s">
        <v>1523</v>
      </c>
      <c r="D1812" s="1010"/>
      <c r="E1812" s="987">
        <v>218733</v>
      </c>
      <c r="F1812" s="988">
        <v>5</v>
      </c>
    </row>
    <row r="1813" spans="1:6">
      <c r="A1813" s="1075" t="s">
        <v>746</v>
      </c>
      <c r="B1813" s="1017" t="s">
        <v>99</v>
      </c>
      <c r="C1813" s="1076" t="s">
        <v>1549</v>
      </c>
      <c r="D1813" s="1010"/>
      <c r="E1813" s="987">
        <v>218733</v>
      </c>
      <c r="F1813" s="988">
        <v>5</v>
      </c>
    </row>
    <row r="1814" spans="1:6">
      <c r="A1814" s="1075" t="s">
        <v>746</v>
      </c>
      <c r="B1814" s="1017" t="s">
        <v>99</v>
      </c>
      <c r="C1814" s="1084" t="s">
        <v>1550</v>
      </c>
      <c r="D1814" s="1010"/>
      <c r="E1814" s="987">
        <v>218733</v>
      </c>
      <c r="F1814" s="988">
        <v>5</v>
      </c>
    </row>
    <row r="1815" spans="1:6">
      <c r="A1815" s="1075" t="s">
        <v>746</v>
      </c>
      <c r="B1815" s="1017" t="s">
        <v>99</v>
      </c>
      <c r="C1815" s="1076" t="s">
        <v>1551</v>
      </c>
      <c r="D1815" s="1010"/>
      <c r="E1815" s="987">
        <v>218733</v>
      </c>
      <c r="F1815" s="988">
        <v>5</v>
      </c>
    </row>
    <row r="1816" spans="1:6">
      <c r="A1816" s="1075" t="s">
        <v>746</v>
      </c>
      <c r="B1816" s="1017" t="s">
        <v>99</v>
      </c>
      <c r="C1816" s="1076" t="s">
        <v>1552</v>
      </c>
      <c r="D1816" s="1010"/>
      <c r="E1816" s="987">
        <v>218733</v>
      </c>
      <c r="F1816" s="988">
        <v>5</v>
      </c>
    </row>
    <row r="1817" spans="1:6">
      <c r="A1817" s="1075" t="s">
        <v>746</v>
      </c>
      <c r="B1817" s="1017" t="s">
        <v>99</v>
      </c>
      <c r="C1817" s="1084" t="s">
        <v>1553</v>
      </c>
      <c r="D1817" s="1010"/>
      <c r="E1817" s="987">
        <v>218733</v>
      </c>
      <c r="F1817" s="988">
        <v>5</v>
      </c>
    </row>
    <row r="1818" spans="1:6">
      <c r="A1818" s="1075" t="s">
        <v>746</v>
      </c>
      <c r="B1818" s="1017" t="s">
        <v>99</v>
      </c>
      <c r="C1818" s="1076" t="s">
        <v>1539</v>
      </c>
      <c r="D1818" s="1010"/>
      <c r="E1818" s="987">
        <v>218733</v>
      </c>
      <c r="F1818" s="988">
        <v>5</v>
      </c>
    </row>
    <row r="1819" spans="1:6">
      <c r="A1819" s="1075" t="s">
        <v>746</v>
      </c>
      <c r="B1819" s="1017" t="s">
        <v>99</v>
      </c>
      <c r="C1819" s="1076" t="s">
        <v>1554</v>
      </c>
      <c r="D1819" s="1010"/>
      <c r="E1819" s="987">
        <v>218733</v>
      </c>
      <c r="F1819" s="988">
        <v>5</v>
      </c>
    </row>
    <row r="1820" spans="1:6">
      <c r="A1820" s="1075" t="s">
        <v>746</v>
      </c>
      <c r="B1820" s="1017" t="s">
        <v>99</v>
      </c>
      <c r="C1820" s="1076" t="s">
        <v>1555</v>
      </c>
      <c r="D1820" s="1010"/>
      <c r="E1820" s="987">
        <v>218733</v>
      </c>
      <c r="F1820" s="988">
        <v>5</v>
      </c>
    </row>
    <row r="1821" spans="1:6">
      <c r="A1821" s="1075" t="s">
        <v>746</v>
      </c>
      <c r="B1821" s="1017" t="s">
        <v>62</v>
      </c>
      <c r="C1821" s="1003" t="s">
        <v>1556</v>
      </c>
      <c r="D1821" s="1085" t="s">
        <v>1424</v>
      </c>
      <c r="E1821" s="987">
        <v>218229</v>
      </c>
      <c r="F1821" s="988">
        <v>6</v>
      </c>
    </row>
    <row r="1822" spans="1:6">
      <c r="A1822" s="1075" t="s">
        <v>746</v>
      </c>
      <c r="B1822" s="1017" t="s">
        <v>62</v>
      </c>
      <c r="C1822" s="1076" t="s">
        <v>1518</v>
      </c>
      <c r="D1822" s="1010"/>
      <c r="E1822" s="987">
        <v>218229</v>
      </c>
      <c r="F1822" s="988">
        <v>6</v>
      </c>
    </row>
    <row r="1823" spans="1:6">
      <c r="A1823" s="1075" t="s">
        <v>746</v>
      </c>
      <c r="B1823" s="1017" t="s">
        <v>62</v>
      </c>
      <c r="C1823" s="1076" t="s">
        <v>1538</v>
      </c>
      <c r="D1823" s="1010"/>
      <c r="E1823" s="987">
        <v>218229</v>
      </c>
      <c r="F1823" s="988">
        <v>6</v>
      </c>
    </row>
    <row r="1824" spans="1:6">
      <c r="A1824" s="1075" t="s">
        <v>746</v>
      </c>
      <c r="B1824" s="1017" t="s">
        <v>99</v>
      </c>
      <c r="C1824" s="1077" t="s">
        <v>1070</v>
      </c>
      <c r="D1824" s="1010"/>
      <c r="E1824" s="987">
        <v>218229</v>
      </c>
      <c r="F1824" s="988">
        <v>6</v>
      </c>
    </row>
    <row r="1825" spans="1:6">
      <c r="A1825" s="1075" t="s">
        <v>746</v>
      </c>
      <c r="B1825" s="1017" t="s">
        <v>99</v>
      </c>
      <c r="C1825" s="1076" t="s">
        <v>1523</v>
      </c>
      <c r="D1825" s="1010"/>
      <c r="E1825" s="987">
        <v>218229</v>
      </c>
      <c r="F1825" s="988">
        <v>6</v>
      </c>
    </row>
    <row r="1826" spans="1:6">
      <c r="A1826" s="1075" t="s">
        <v>746</v>
      </c>
      <c r="B1826" s="1017" t="s">
        <v>99</v>
      </c>
      <c r="C1826" s="1076" t="s">
        <v>1539</v>
      </c>
      <c r="D1826" s="1010"/>
      <c r="E1826" s="987">
        <v>218229</v>
      </c>
      <c r="F1826" s="988">
        <v>6</v>
      </c>
    </row>
    <row r="1827" spans="1:6">
      <c r="A1827" s="1075" t="s">
        <v>746</v>
      </c>
      <c r="B1827" s="1017" t="s">
        <v>62</v>
      </c>
      <c r="C1827" s="1082" t="s">
        <v>1557</v>
      </c>
      <c r="D1827" s="1085" t="s">
        <v>1794</v>
      </c>
      <c r="E1827" s="987">
        <v>218645</v>
      </c>
      <c r="F1827" s="988">
        <v>6</v>
      </c>
    </row>
    <row r="1828" spans="1:6">
      <c r="A1828" s="1075" t="s">
        <v>746</v>
      </c>
      <c r="B1828" s="1017" t="s">
        <v>62</v>
      </c>
      <c r="C1828" s="1076" t="s">
        <v>1518</v>
      </c>
      <c r="D1828" s="1010"/>
      <c r="E1828" s="987">
        <v>218645</v>
      </c>
      <c r="F1828" s="988">
        <v>6</v>
      </c>
    </row>
    <row r="1829" spans="1:6">
      <c r="A1829" s="1075" t="s">
        <v>746</v>
      </c>
      <c r="B1829" s="1017" t="s">
        <v>62</v>
      </c>
      <c r="C1829" s="1076" t="s">
        <v>1538</v>
      </c>
      <c r="D1829" s="1010"/>
      <c r="E1829" s="987">
        <v>218645</v>
      </c>
      <c r="F1829" s="988">
        <v>6</v>
      </c>
    </row>
    <row r="1830" spans="1:6">
      <c r="A1830" s="1075" t="s">
        <v>746</v>
      </c>
      <c r="B1830" s="1017" t="s">
        <v>99</v>
      </c>
      <c r="C1830" s="1077" t="s">
        <v>1070</v>
      </c>
      <c r="D1830" s="1010"/>
      <c r="E1830" s="987">
        <v>218645</v>
      </c>
      <c r="F1830" s="988">
        <v>6</v>
      </c>
    </row>
    <row r="1831" spans="1:6">
      <c r="A1831" s="1075" t="s">
        <v>746</v>
      </c>
      <c r="B1831" s="1017" t="s">
        <v>99</v>
      </c>
      <c r="C1831" s="1076" t="s">
        <v>1523</v>
      </c>
      <c r="D1831" s="1010"/>
      <c r="E1831" s="987">
        <v>218645</v>
      </c>
      <c r="F1831" s="988">
        <v>6</v>
      </c>
    </row>
    <row r="1832" spans="1:6">
      <c r="A1832" s="1075" t="s">
        <v>746</v>
      </c>
      <c r="B1832" s="1017" t="s">
        <v>99</v>
      </c>
      <c r="C1832" s="1076" t="s">
        <v>1539</v>
      </c>
      <c r="D1832" s="1010"/>
      <c r="E1832" s="987">
        <v>218645</v>
      </c>
      <c r="F1832" s="988">
        <v>6</v>
      </c>
    </row>
    <row r="1833" spans="1:6">
      <c r="A1833" s="1075" t="s">
        <v>746</v>
      </c>
      <c r="B1833" s="1017" t="s">
        <v>62</v>
      </c>
      <c r="C1833" s="1086" t="s">
        <v>1558</v>
      </c>
      <c r="D1833" s="1010"/>
      <c r="E1833" s="987">
        <v>218654</v>
      </c>
      <c r="F1833" s="988">
        <v>6</v>
      </c>
    </row>
    <row r="1834" spans="1:6">
      <c r="A1834" s="1075" t="s">
        <v>746</v>
      </c>
      <c r="B1834" s="1017" t="s">
        <v>62</v>
      </c>
      <c r="C1834" s="1076" t="s">
        <v>1518</v>
      </c>
      <c r="D1834" s="1010"/>
      <c r="E1834" s="987">
        <v>218654</v>
      </c>
      <c r="F1834" s="988">
        <v>6</v>
      </c>
    </row>
    <row r="1835" spans="1:6">
      <c r="A1835" s="1075" t="s">
        <v>746</v>
      </c>
      <c r="B1835" s="1017" t="s">
        <v>62</v>
      </c>
      <c r="C1835" s="1076" t="s">
        <v>1538</v>
      </c>
      <c r="D1835" s="1010"/>
      <c r="E1835" s="987">
        <v>218654</v>
      </c>
      <c r="F1835" s="988">
        <v>6</v>
      </c>
    </row>
    <row r="1836" spans="1:6">
      <c r="A1836" s="1075" t="s">
        <v>746</v>
      </c>
      <c r="B1836" s="1017" t="s">
        <v>69</v>
      </c>
      <c r="C1836" s="1078" t="s">
        <v>70</v>
      </c>
      <c r="D1836" s="1010"/>
      <c r="E1836" s="987">
        <v>218654</v>
      </c>
      <c r="F1836" s="988">
        <v>6</v>
      </c>
    </row>
    <row r="1837" spans="1:6">
      <c r="A1837" s="1075" t="s">
        <v>746</v>
      </c>
      <c r="B1837" s="1017" t="s">
        <v>99</v>
      </c>
      <c r="C1837" s="1077" t="s">
        <v>1070</v>
      </c>
      <c r="D1837" s="1010"/>
      <c r="E1837" s="987">
        <v>218654</v>
      </c>
      <c r="F1837" s="988">
        <v>6</v>
      </c>
    </row>
    <row r="1838" spans="1:6">
      <c r="A1838" s="1075" t="s">
        <v>746</v>
      </c>
      <c r="B1838" s="1017" t="s">
        <v>99</v>
      </c>
      <c r="C1838" s="1076" t="s">
        <v>1523</v>
      </c>
      <c r="D1838" s="1010"/>
      <c r="E1838" s="987">
        <v>218654</v>
      </c>
      <c r="F1838" s="988">
        <v>6</v>
      </c>
    </row>
    <row r="1839" spans="1:6">
      <c r="A1839" s="1075" t="s">
        <v>746</v>
      </c>
      <c r="B1839" s="1017" t="s">
        <v>99</v>
      </c>
      <c r="C1839" s="1076" t="s">
        <v>1539</v>
      </c>
      <c r="D1839" s="1010"/>
      <c r="E1839" s="987">
        <v>218654</v>
      </c>
      <c r="F1839" s="988">
        <v>6</v>
      </c>
    </row>
    <row r="1840" spans="1:6">
      <c r="A1840" s="1075" t="s">
        <v>746</v>
      </c>
      <c r="B1840" s="1017" t="s">
        <v>62</v>
      </c>
      <c r="C1840" s="1082" t="s">
        <v>1559</v>
      </c>
      <c r="D1840" s="1010"/>
      <c r="E1840" s="987">
        <v>218742</v>
      </c>
      <c r="F1840" s="988">
        <v>6</v>
      </c>
    </row>
    <row r="1841" spans="1:6">
      <c r="A1841" s="1075" t="s">
        <v>746</v>
      </c>
      <c r="B1841" s="1017" t="s">
        <v>62</v>
      </c>
      <c r="C1841" s="1076" t="s">
        <v>1518</v>
      </c>
      <c r="D1841" s="1010"/>
      <c r="E1841" s="987">
        <v>218742</v>
      </c>
      <c r="F1841" s="988">
        <v>6</v>
      </c>
    </row>
    <row r="1842" spans="1:6">
      <c r="A1842" s="1075" t="s">
        <v>746</v>
      </c>
      <c r="B1842" s="1017" t="s">
        <v>62</v>
      </c>
      <c r="C1842" s="1076" t="s">
        <v>1538</v>
      </c>
      <c r="D1842" s="1010"/>
      <c r="E1842" s="987">
        <v>218742</v>
      </c>
      <c r="F1842" s="988">
        <v>6</v>
      </c>
    </row>
    <row r="1843" spans="1:6">
      <c r="A1843" s="1075" t="s">
        <v>746</v>
      </c>
      <c r="B1843" s="1017" t="s">
        <v>99</v>
      </c>
      <c r="C1843" s="1077" t="s">
        <v>1070</v>
      </c>
      <c r="D1843" s="1010"/>
      <c r="E1843" s="987">
        <v>218742</v>
      </c>
      <c r="F1843" s="988">
        <v>6</v>
      </c>
    </row>
    <row r="1844" spans="1:6">
      <c r="A1844" s="1075" t="s">
        <v>746</v>
      </c>
      <c r="B1844" s="1017" t="s">
        <v>99</v>
      </c>
      <c r="C1844" s="1076" t="s">
        <v>1523</v>
      </c>
      <c r="D1844" s="1010"/>
      <c r="E1844" s="987">
        <v>218742</v>
      </c>
      <c r="F1844" s="988">
        <v>6</v>
      </c>
    </row>
    <row r="1845" spans="1:6">
      <c r="A1845" s="1075" t="s">
        <v>746</v>
      </c>
      <c r="B1845" s="1017" t="s">
        <v>99</v>
      </c>
      <c r="C1845" s="1076" t="s">
        <v>1539</v>
      </c>
      <c r="D1845" s="1010"/>
      <c r="E1845" s="987">
        <v>218742</v>
      </c>
      <c r="F1845" s="988">
        <v>6</v>
      </c>
    </row>
    <row r="1846" spans="1:6">
      <c r="A1846" s="1075" t="s">
        <v>746</v>
      </c>
      <c r="B1846" s="1017" t="s">
        <v>62</v>
      </c>
      <c r="C1846" s="1082" t="s">
        <v>1560</v>
      </c>
      <c r="D1846" s="1010"/>
      <c r="E1846" s="987">
        <v>218113</v>
      </c>
      <c r="F1846" s="988">
        <v>8</v>
      </c>
    </row>
    <row r="1847" spans="1:6">
      <c r="A1847" s="1075" t="s">
        <v>746</v>
      </c>
      <c r="B1847" s="1017" t="s">
        <v>62</v>
      </c>
      <c r="C1847" s="1076" t="s">
        <v>1561</v>
      </c>
      <c r="D1847" s="1010"/>
      <c r="E1847" s="987">
        <v>218113</v>
      </c>
      <c r="F1847" s="988">
        <v>8</v>
      </c>
    </row>
    <row r="1848" spans="1:6">
      <c r="A1848" s="1075" t="s">
        <v>746</v>
      </c>
      <c r="B1848" s="1017" t="s">
        <v>62</v>
      </c>
      <c r="C1848" s="1076" t="s">
        <v>1562</v>
      </c>
      <c r="D1848" s="1010"/>
      <c r="E1848" s="987">
        <v>218113</v>
      </c>
      <c r="F1848" s="988">
        <v>8</v>
      </c>
    </row>
    <row r="1849" spans="1:6">
      <c r="A1849" s="1075" t="s">
        <v>746</v>
      </c>
      <c r="B1849" s="1017" t="s">
        <v>62</v>
      </c>
      <c r="C1849" s="1076" t="s">
        <v>1538</v>
      </c>
      <c r="D1849" s="1010"/>
      <c r="E1849" s="987">
        <v>218113</v>
      </c>
      <c r="F1849" s="988">
        <v>8</v>
      </c>
    </row>
    <row r="1850" spans="1:6">
      <c r="A1850" s="1075" t="s">
        <v>746</v>
      </c>
      <c r="B1850" s="1017" t="s">
        <v>99</v>
      </c>
      <c r="C1850" s="1077" t="s">
        <v>1070</v>
      </c>
      <c r="D1850" s="1010"/>
      <c r="E1850" s="987">
        <v>218113</v>
      </c>
      <c r="F1850" s="988">
        <v>8</v>
      </c>
    </row>
    <row r="1851" spans="1:6">
      <c r="A1851" s="1075" t="s">
        <v>746</v>
      </c>
      <c r="B1851" s="1017" t="s">
        <v>99</v>
      </c>
      <c r="C1851" s="1076" t="s">
        <v>1563</v>
      </c>
      <c r="D1851" s="1010"/>
      <c r="E1851" s="987">
        <v>218113</v>
      </c>
      <c r="F1851" s="988">
        <v>8</v>
      </c>
    </row>
    <row r="1852" spans="1:6">
      <c r="A1852" s="1075" t="s">
        <v>746</v>
      </c>
      <c r="B1852" s="1017" t="s">
        <v>99</v>
      </c>
      <c r="C1852" s="1076" t="s">
        <v>1564</v>
      </c>
      <c r="D1852" s="1010"/>
      <c r="E1852" s="987">
        <v>218113</v>
      </c>
      <c r="F1852" s="988">
        <v>8</v>
      </c>
    </row>
    <row r="1853" spans="1:6">
      <c r="A1853" s="1075" t="s">
        <v>746</v>
      </c>
      <c r="B1853" s="1017" t="s">
        <v>99</v>
      </c>
      <c r="C1853" s="1076" t="s">
        <v>1565</v>
      </c>
      <c r="D1853" s="1010"/>
      <c r="E1853" s="987">
        <v>218113</v>
      </c>
      <c r="F1853" s="988">
        <v>8</v>
      </c>
    </row>
    <row r="1854" spans="1:6">
      <c r="A1854" s="1075" t="s">
        <v>746</v>
      </c>
      <c r="B1854" s="1017" t="s">
        <v>99</v>
      </c>
      <c r="C1854" s="1076" t="s">
        <v>1566</v>
      </c>
      <c r="D1854" s="1010"/>
      <c r="E1854" s="987">
        <v>218113</v>
      </c>
      <c r="F1854" s="988">
        <v>8</v>
      </c>
    </row>
    <row r="1855" spans="1:6">
      <c r="A1855" s="1075" t="s">
        <v>746</v>
      </c>
      <c r="B1855" s="1017" t="s">
        <v>99</v>
      </c>
      <c r="C1855" s="1076" t="s">
        <v>1567</v>
      </c>
      <c r="D1855" s="1010"/>
      <c r="E1855" s="987">
        <v>218113</v>
      </c>
      <c r="F1855" s="988">
        <v>8</v>
      </c>
    </row>
    <row r="1856" spans="1:6">
      <c r="A1856" s="1075" t="s">
        <v>746</v>
      </c>
      <c r="B1856" s="1017" t="s">
        <v>99</v>
      </c>
      <c r="C1856" s="1076" t="s">
        <v>1539</v>
      </c>
      <c r="D1856" s="1010"/>
      <c r="E1856" s="987">
        <v>218113</v>
      </c>
      <c r="F1856" s="988">
        <v>8</v>
      </c>
    </row>
    <row r="1857" spans="1:6">
      <c r="A1857" s="1075" t="s">
        <v>746</v>
      </c>
      <c r="B1857" s="1017" t="s">
        <v>99</v>
      </c>
      <c r="C1857" s="1076" t="s">
        <v>1568</v>
      </c>
      <c r="D1857" s="1010"/>
      <c r="E1857" s="987">
        <v>218113</v>
      </c>
      <c r="F1857" s="988">
        <v>8</v>
      </c>
    </row>
    <row r="1858" spans="1:6">
      <c r="A1858" s="1075" t="s">
        <v>746</v>
      </c>
      <c r="B1858" s="1017" t="s">
        <v>62</v>
      </c>
      <c r="C1858" s="1003" t="s">
        <v>1569</v>
      </c>
      <c r="D1858" s="1085" t="s">
        <v>1797</v>
      </c>
      <c r="E1858" s="987">
        <v>218140</v>
      </c>
      <c r="F1858" s="988">
        <v>8</v>
      </c>
    </row>
    <row r="1859" spans="1:6">
      <c r="A1859" s="1075" t="s">
        <v>746</v>
      </c>
      <c r="B1859" s="1017" t="s">
        <v>62</v>
      </c>
      <c r="C1859" s="1087" t="s">
        <v>1561</v>
      </c>
      <c r="D1859" s="1010"/>
      <c r="E1859" s="987">
        <v>218140</v>
      </c>
      <c r="F1859" s="988">
        <v>8</v>
      </c>
    </row>
    <row r="1860" spans="1:6">
      <c r="A1860" s="1075" t="s">
        <v>746</v>
      </c>
      <c r="B1860" s="1017" t="s">
        <v>62</v>
      </c>
      <c r="C1860" s="1087" t="s">
        <v>1562</v>
      </c>
      <c r="D1860" s="1010"/>
      <c r="E1860" s="987">
        <v>218140</v>
      </c>
      <c r="F1860" s="988">
        <v>8</v>
      </c>
    </row>
    <row r="1861" spans="1:6">
      <c r="A1861" s="1075" t="s">
        <v>746</v>
      </c>
      <c r="B1861" s="1017" t="s">
        <v>62</v>
      </c>
      <c r="C1861" s="1076" t="s">
        <v>1538</v>
      </c>
      <c r="D1861" s="1010"/>
      <c r="E1861" s="987">
        <v>218140</v>
      </c>
      <c r="F1861" s="988">
        <v>8</v>
      </c>
    </row>
    <row r="1862" spans="1:6">
      <c r="A1862" s="1075" t="s">
        <v>746</v>
      </c>
      <c r="B1862" s="1017" t="s">
        <v>99</v>
      </c>
      <c r="C1862" s="1077" t="s">
        <v>1070</v>
      </c>
      <c r="D1862" s="1010"/>
      <c r="E1862" s="987">
        <v>218140</v>
      </c>
      <c r="F1862" s="988">
        <v>8</v>
      </c>
    </row>
    <row r="1863" spans="1:6">
      <c r="A1863" s="1075" t="s">
        <v>746</v>
      </c>
      <c r="B1863" s="1017" t="s">
        <v>99</v>
      </c>
      <c r="C1863" s="1076" t="s">
        <v>1563</v>
      </c>
      <c r="D1863" s="1010"/>
      <c r="E1863" s="987">
        <v>218140</v>
      </c>
      <c r="F1863" s="988">
        <v>8</v>
      </c>
    </row>
    <row r="1864" spans="1:6">
      <c r="A1864" s="1075" t="s">
        <v>746</v>
      </c>
      <c r="B1864" s="1017" t="s">
        <v>99</v>
      </c>
      <c r="C1864" s="1076" t="s">
        <v>1564</v>
      </c>
      <c r="D1864" s="1010"/>
      <c r="E1864" s="987">
        <v>218140</v>
      </c>
      <c r="F1864" s="988">
        <v>8</v>
      </c>
    </row>
    <row r="1865" spans="1:6">
      <c r="A1865" s="1075" t="s">
        <v>746</v>
      </c>
      <c r="B1865" s="1017" t="s">
        <v>99</v>
      </c>
      <c r="C1865" s="1076" t="s">
        <v>1566</v>
      </c>
      <c r="D1865" s="1010"/>
      <c r="E1865" s="987">
        <v>218140</v>
      </c>
      <c r="F1865" s="988">
        <v>8</v>
      </c>
    </row>
    <row r="1866" spans="1:6">
      <c r="A1866" s="1075" t="s">
        <v>746</v>
      </c>
      <c r="B1866" s="1017" t="s">
        <v>99</v>
      </c>
      <c r="C1866" s="1076" t="s">
        <v>1567</v>
      </c>
      <c r="D1866" s="1010"/>
      <c r="E1866" s="987">
        <v>218140</v>
      </c>
      <c r="F1866" s="988">
        <v>8</v>
      </c>
    </row>
    <row r="1867" spans="1:6">
      <c r="A1867" s="1075" t="s">
        <v>746</v>
      </c>
      <c r="B1867" s="1017" t="s">
        <v>99</v>
      </c>
      <c r="C1867" s="1076" t="s">
        <v>1565</v>
      </c>
      <c r="D1867" s="1010"/>
      <c r="E1867" s="987">
        <v>218140</v>
      </c>
      <c r="F1867" s="988">
        <v>8</v>
      </c>
    </row>
    <row r="1868" spans="1:6">
      <c r="A1868" s="1075" t="s">
        <v>746</v>
      </c>
      <c r="B1868" s="1017" t="s">
        <v>99</v>
      </c>
      <c r="C1868" s="1076" t="s">
        <v>1539</v>
      </c>
      <c r="D1868" s="1010"/>
      <c r="E1868" s="987">
        <v>218140</v>
      </c>
      <c r="F1868" s="988">
        <v>8</v>
      </c>
    </row>
    <row r="1869" spans="1:6">
      <c r="A1869" s="1075" t="s">
        <v>746</v>
      </c>
      <c r="B1869" s="1017" t="s">
        <v>99</v>
      </c>
      <c r="C1869" s="1076" t="s">
        <v>1570</v>
      </c>
      <c r="D1869" s="1016" t="s">
        <v>1571</v>
      </c>
      <c r="E1869" s="987">
        <v>218140</v>
      </c>
      <c r="F1869" s="988">
        <v>8</v>
      </c>
    </row>
    <row r="1870" spans="1:6">
      <c r="A1870" s="1075" t="s">
        <v>746</v>
      </c>
      <c r="B1870" s="1017" t="s">
        <v>62</v>
      </c>
      <c r="C1870" s="1082" t="s">
        <v>1572</v>
      </c>
      <c r="D1870" s="1010"/>
      <c r="E1870" s="987">
        <v>218353</v>
      </c>
      <c r="F1870" s="988">
        <v>8</v>
      </c>
    </row>
    <row r="1871" spans="1:6">
      <c r="A1871" s="1075" t="s">
        <v>746</v>
      </c>
      <c r="B1871" s="1017" t="s">
        <v>62</v>
      </c>
      <c r="C1871" s="1087" t="s">
        <v>1561</v>
      </c>
      <c r="D1871" s="1010"/>
      <c r="E1871" s="987">
        <v>218353</v>
      </c>
      <c r="F1871" s="988">
        <v>8</v>
      </c>
    </row>
    <row r="1872" spans="1:6">
      <c r="A1872" s="1075" t="s">
        <v>746</v>
      </c>
      <c r="B1872" s="1017" t="s">
        <v>62</v>
      </c>
      <c r="C1872" s="1087" t="s">
        <v>1562</v>
      </c>
      <c r="D1872" s="1010"/>
      <c r="E1872" s="987">
        <v>218353</v>
      </c>
      <c r="F1872" s="988">
        <v>8</v>
      </c>
    </row>
    <row r="1873" spans="1:6">
      <c r="A1873" s="1075" t="s">
        <v>746</v>
      </c>
      <c r="B1873" s="1017" t="s">
        <v>62</v>
      </c>
      <c r="C1873" s="1076" t="s">
        <v>1538</v>
      </c>
      <c r="D1873" s="1010"/>
      <c r="E1873" s="987">
        <v>218353</v>
      </c>
      <c r="F1873" s="988">
        <v>8</v>
      </c>
    </row>
    <row r="1874" spans="1:6">
      <c r="A1874" s="1075" t="s">
        <v>746</v>
      </c>
      <c r="B1874" s="1017" t="s">
        <v>99</v>
      </c>
      <c r="C1874" s="1077" t="s">
        <v>1070</v>
      </c>
      <c r="D1874" s="1010"/>
      <c r="E1874" s="987">
        <v>218353</v>
      </c>
      <c r="F1874" s="988">
        <v>8</v>
      </c>
    </row>
    <row r="1875" spans="1:6">
      <c r="A1875" s="1075" t="s">
        <v>746</v>
      </c>
      <c r="B1875" s="1017" t="s">
        <v>99</v>
      </c>
      <c r="C1875" s="1076" t="s">
        <v>1563</v>
      </c>
      <c r="D1875" s="1010"/>
      <c r="E1875" s="987">
        <v>218353</v>
      </c>
      <c r="F1875" s="988">
        <v>8</v>
      </c>
    </row>
    <row r="1876" spans="1:6">
      <c r="A1876" s="1075" t="s">
        <v>746</v>
      </c>
      <c r="B1876" s="1017" t="s">
        <v>99</v>
      </c>
      <c r="C1876" s="1076" t="s">
        <v>1564</v>
      </c>
      <c r="D1876" s="1010"/>
      <c r="E1876" s="987">
        <v>218353</v>
      </c>
      <c r="F1876" s="988">
        <v>8</v>
      </c>
    </row>
    <row r="1877" spans="1:6">
      <c r="A1877" s="1075" t="s">
        <v>746</v>
      </c>
      <c r="B1877" s="1017" t="s">
        <v>99</v>
      </c>
      <c r="C1877" s="1076" t="s">
        <v>1566</v>
      </c>
      <c r="D1877" s="1010"/>
      <c r="E1877" s="987">
        <v>218353</v>
      </c>
      <c r="F1877" s="988">
        <v>8</v>
      </c>
    </row>
    <row r="1878" spans="1:6">
      <c r="A1878" s="1075" t="s">
        <v>746</v>
      </c>
      <c r="B1878" s="1017" t="s">
        <v>99</v>
      </c>
      <c r="C1878" s="1076" t="s">
        <v>1567</v>
      </c>
      <c r="D1878" s="1010"/>
      <c r="E1878" s="987">
        <v>218353</v>
      </c>
      <c r="F1878" s="988">
        <v>8</v>
      </c>
    </row>
    <row r="1879" spans="1:6">
      <c r="A1879" s="1075" t="s">
        <v>746</v>
      </c>
      <c r="B1879" s="1017" t="s">
        <v>99</v>
      </c>
      <c r="C1879" s="1076" t="s">
        <v>1573</v>
      </c>
      <c r="D1879" s="1010"/>
      <c r="E1879" s="987">
        <v>218353</v>
      </c>
      <c r="F1879" s="988">
        <v>8</v>
      </c>
    </row>
    <row r="1880" spans="1:6">
      <c r="A1880" s="1075" t="s">
        <v>746</v>
      </c>
      <c r="B1880" s="1017" t="s">
        <v>99</v>
      </c>
      <c r="C1880" s="1076" t="s">
        <v>1574</v>
      </c>
      <c r="D1880" s="1010"/>
      <c r="E1880" s="987">
        <v>218353</v>
      </c>
      <c r="F1880" s="988">
        <v>8</v>
      </c>
    </row>
    <row r="1881" spans="1:6">
      <c r="A1881" s="1075" t="s">
        <v>746</v>
      </c>
      <c r="B1881" s="1017" t="s">
        <v>99</v>
      </c>
      <c r="C1881" s="1076" t="s">
        <v>1565</v>
      </c>
      <c r="D1881" s="1010"/>
      <c r="E1881" s="987">
        <v>218353</v>
      </c>
      <c r="F1881" s="988">
        <v>8</v>
      </c>
    </row>
    <row r="1882" spans="1:6">
      <c r="A1882" s="1075" t="s">
        <v>746</v>
      </c>
      <c r="B1882" s="1017" t="s">
        <v>99</v>
      </c>
      <c r="C1882" s="1076" t="s">
        <v>1539</v>
      </c>
      <c r="D1882" s="1010"/>
      <c r="E1882" s="987">
        <v>218353</v>
      </c>
      <c r="F1882" s="988">
        <v>8</v>
      </c>
    </row>
    <row r="1883" spans="1:6">
      <c r="A1883" s="1075" t="s">
        <v>746</v>
      </c>
      <c r="B1883" s="1017" t="s">
        <v>99</v>
      </c>
      <c r="C1883" s="1076" t="s">
        <v>1570</v>
      </c>
      <c r="D1883" s="1016" t="s">
        <v>1571</v>
      </c>
      <c r="E1883" s="987">
        <v>218353</v>
      </c>
      <c r="F1883" s="988">
        <v>8</v>
      </c>
    </row>
    <row r="1884" spans="1:6">
      <c r="A1884" s="1075" t="s">
        <v>746</v>
      </c>
      <c r="B1884" s="1017" t="s">
        <v>62</v>
      </c>
      <c r="C1884" s="1082" t="s">
        <v>1575</v>
      </c>
      <c r="D1884" s="1010"/>
      <c r="E1884" s="987">
        <v>218894</v>
      </c>
      <c r="F1884" s="988">
        <v>8</v>
      </c>
    </row>
    <row r="1885" spans="1:6">
      <c r="A1885" s="1075" t="s">
        <v>746</v>
      </c>
      <c r="B1885" s="1017" t="s">
        <v>62</v>
      </c>
      <c r="C1885" s="1087" t="s">
        <v>1561</v>
      </c>
      <c r="D1885" s="1010"/>
      <c r="E1885" s="987">
        <v>218894</v>
      </c>
      <c r="F1885" s="988">
        <v>8</v>
      </c>
    </row>
    <row r="1886" spans="1:6">
      <c r="A1886" s="1075" t="s">
        <v>746</v>
      </c>
      <c r="B1886" s="1017" t="s">
        <v>62</v>
      </c>
      <c r="C1886" s="1087" t="s">
        <v>1562</v>
      </c>
      <c r="D1886" s="1010"/>
      <c r="E1886" s="987">
        <v>218894</v>
      </c>
      <c r="F1886" s="988">
        <v>8</v>
      </c>
    </row>
    <row r="1887" spans="1:6">
      <c r="A1887" s="1075" t="s">
        <v>746</v>
      </c>
      <c r="B1887" s="1017" t="s">
        <v>62</v>
      </c>
      <c r="C1887" s="1076" t="s">
        <v>1538</v>
      </c>
      <c r="D1887" s="1010"/>
      <c r="E1887" s="987">
        <v>218894</v>
      </c>
      <c r="F1887" s="988">
        <v>8</v>
      </c>
    </row>
    <row r="1888" spans="1:6">
      <c r="A1888" s="1075" t="s">
        <v>746</v>
      </c>
      <c r="B1888" s="1017" t="s">
        <v>99</v>
      </c>
      <c r="C1888" s="1077" t="s">
        <v>1070</v>
      </c>
      <c r="D1888" s="1010"/>
      <c r="E1888" s="987">
        <v>218894</v>
      </c>
      <c r="F1888" s="988">
        <v>8</v>
      </c>
    </row>
    <row r="1889" spans="1:6">
      <c r="A1889" s="1075" t="s">
        <v>746</v>
      </c>
      <c r="B1889" s="1017" t="s">
        <v>99</v>
      </c>
      <c r="C1889" s="1076" t="s">
        <v>1563</v>
      </c>
      <c r="D1889" s="1010"/>
      <c r="E1889" s="987">
        <v>218894</v>
      </c>
      <c r="F1889" s="988">
        <v>8</v>
      </c>
    </row>
    <row r="1890" spans="1:6">
      <c r="A1890" s="1075" t="s">
        <v>746</v>
      </c>
      <c r="B1890" s="1017" t="s">
        <v>99</v>
      </c>
      <c r="C1890" s="1076" t="s">
        <v>1564</v>
      </c>
      <c r="D1890" s="1010"/>
      <c r="E1890" s="987">
        <v>218894</v>
      </c>
      <c r="F1890" s="988">
        <v>8</v>
      </c>
    </row>
    <row r="1891" spans="1:6">
      <c r="A1891" s="1075" t="s">
        <v>746</v>
      </c>
      <c r="B1891" s="1017" t="s">
        <v>99</v>
      </c>
      <c r="C1891" s="1076" t="s">
        <v>1566</v>
      </c>
      <c r="D1891" s="1010"/>
      <c r="E1891" s="987">
        <v>218894</v>
      </c>
      <c r="F1891" s="988">
        <v>8</v>
      </c>
    </row>
    <row r="1892" spans="1:6">
      <c r="A1892" s="1075" t="s">
        <v>746</v>
      </c>
      <c r="B1892" s="1017" t="s">
        <v>99</v>
      </c>
      <c r="C1892" s="1076" t="s">
        <v>1567</v>
      </c>
      <c r="D1892" s="1010"/>
      <c r="E1892" s="987">
        <v>218894</v>
      </c>
      <c r="F1892" s="988">
        <v>8</v>
      </c>
    </row>
    <row r="1893" spans="1:6">
      <c r="A1893" s="1075" t="s">
        <v>746</v>
      </c>
      <c r="B1893" s="1017" t="s">
        <v>99</v>
      </c>
      <c r="C1893" s="1076" t="s">
        <v>1576</v>
      </c>
      <c r="D1893" s="1010"/>
      <c r="E1893" s="987">
        <v>218894</v>
      </c>
      <c r="F1893" s="988">
        <v>8</v>
      </c>
    </row>
    <row r="1894" spans="1:6">
      <c r="A1894" s="1075" t="s">
        <v>746</v>
      </c>
      <c r="B1894" s="1017" t="s">
        <v>99</v>
      </c>
      <c r="C1894" s="1076" t="s">
        <v>1565</v>
      </c>
      <c r="D1894" s="1010"/>
      <c r="E1894" s="987">
        <v>218894</v>
      </c>
      <c r="F1894" s="988">
        <v>8</v>
      </c>
    </row>
    <row r="1895" spans="1:6">
      <c r="A1895" s="1075" t="s">
        <v>746</v>
      </c>
      <c r="B1895" s="1017" t="s">
        <v>99</v>
      </c>
      <c r="C1895" s="1076" t="s">
        <v>1539</v>
      </c>
      <c r="D1895" s="1010"/>
      <c r="E1895" s="987">
        <v>218894</v>
      </c>
      <c r="F1895" s="988">
        <v>8</v>
      </c>
    </row>
    <row r="1896" spans="1:6">
      <c r="A1896" s="1075" t="s">
        <v>746</v>
      </c>
      <c r="B1896" s="1017" t="s">
        <v>99</v>
      </c>
      <c r="C1896" s="1076" t="s">
        <v>1570</v>
      </c>
      <c r="D1896" s="1016" t="s">
        <v>1571</v>
      </c>
      <c r="E1896" s="987">
        <v>218894</v>
      </c>
      <c r="F1896" s="988">
        <v>8</v>
      </c>
    </row>
    <row r="1897" spans="1:6">
      <c r="A1897" s="1075" t="s">
        <v>746</v>
      </c>
      <c r="B1897" s="1017" t="s">
        <v>62</v>
      </c>
      <c r="C1897" s="1082" t="s">
        <v>1577</v>
      </c>
      <c r="D1897" s="1010"/>
      <c r="E1897" s="987">
        <v>218858</v>
      </c>
      <c r="F1897" s="988">
        <v>9</v>
      </c>
    </row>
    <row r="1898" spans="1:6">
      <c r="A1898" s="1075" t="s">
        <v>746</v>
      </c>
      <c r="B1898" s="1017" t="s">
        <v>62</v>
      </c>
      <c r="C1898" s="1087" t="s">
        <v>1561</v>
      </c>
      <c r="D1898" s="1010"/>
      <c r="E1898" s="987">
        <v>218858</v>
      </c>
      <c r="F1898" s="988">
        <v>9</v>
      </c>
    </row>
    <row r="1899" spans="1:6">
      <c r="A1899" s="1075" t="s">
        <v>746</v>
      </c>
      <c r="B1899" s="1017" t="s">
        <v>62</v>
      </c>
      <c r="C1899" s="1087" t="s">
        <v>1562</v>
      </c>
      <c r="D1899" s="1010"/>
      <c r="E1899" s="987">
        <v>218858</v>
      </c>
      <c r="F1899" s="988">
        <v>9</v>
      </c>
    </row>
    <row r="1900" spans="1:6">
      <c r="A1900" s="1075" t="s">
        <v>746</v>
      </c>
      <c r="B1900" s="1017" t="s">
        <v>62</v>
      </c>
      <c r="C1900" s="1076" t="s">
        <v>1538</v>
      </c>
      <c r="D1900" s="1010"/>
      <c r="E1900" s="987">
        <v>218858</v>
      </c>
      <c r="F1900" s="988">
        <v>9</v>
      </c>
    </row>
    <row r="1901" spans="1:6">
      <c r="A1901" s="1075" t="s">
        <v>746</v>
      </c>
      <c r="B1901" s="1017" t="s">
        <v>99</v>
      </c>
      <c r="C1901" s="1077" t="s">
        <v>1070</v>
      </c>
      <c r="D1901" s="1010"/>
      <c r="E1901" s="987">
        <v>218858</v>
      </c>
      <c r="F1901" s="988">
        <v>9</v>
      </c>
    </row>
    <row r="1902" spans="1:6">
      <c r="A1902" s="1075" t="s">
        <v>746</v>
      </c>
      <c r="B1902" s="1017" t="s">
        <v>99</v>
      </c>
      <c r="C1902" s="1076" t="s">
        <v>1563</v>
      </c>
      <c r="D1902" s="1010"/>
      <c r="E1902" s="987">
        <v>218858</v>
      </c>
      <c r="F1902" s="988">
        <v>9</v>
      </c>
    </row>
    <row r="1903" spans="1:6">
      <c r="A1903" s="1075" t="s">
        <v>746</v>
      </c>
      <c r="B1903" s="1017" t="s">
        <v>99</v>
      </c>
      <c r="C1903" s="1076" t="s">
        <v>1564</v>
      </c>
      <c r="D1903" s="1010"/>
      <c r="E1903" s="987">
        <v>218858</v>
      </c>
      <c r="F1903" s="988">
        <v>9</v>
      </c>
    </row>
    <row r="1904" spans="1:6">
      <c r="A1904" s="1075" t="s">
        <v>746</v>
      </c>
      <c r="B1904" s="1017" t="s">
        <v>99</v>
      </c>
      <c r="C1904" s="1076" t="s">
        <v>1566</v>
      </c>
      <c r="D1904" s="1010"/>
      <c r="E1904" s="987">
        <v>218858</v>
      </c>
      <c r="F1904" s="988">
        <v>9</v>
      </c>
    </row>
    <row r="1905" spans="1:6">
      <c r="A1905" s="1075" t="s">
        <v>746</v>
      </c>
      <c r="B1905" s="1017" t="s">
        <v>99</v>
      </c>
      <c r="C1905" s="1076" t="s">
        <v>1567</v>
      </c>
      <c r="D1905" s="1010"/>
      <c r="E1905" s="987">
        <v>218858</v>
      </c>
      <c r="F1905" s="988">
        <v>9</v>
      </c>
    </row>
    <row r="1906" spans="1:6">
      <c r="A1906" s="1075" t="s">
        <v>746</v>
      </c>
      <c r="B1906" s="1017" t="s">
        <v>99</v>
      </c>
      <c r="C1906" s="1076" t="s">
        <v>1565</v>
      </c>
      <c r="D1906" s="1010"/>
      <c r="E1906" s="987">
        <v>218858</v>
      </c>
      <c r="F1906" s="988">
        <v>9</v>
      </c>
    </row>
    <row r="1907" spans="1:6">
      <c r="A1907" s="1075" t="s">
        <v>746</v>
      </c>
      <c r="B1907" s="1017" t="s">
        <v>99</v>
      </c>
      <c r="C1907" s="1076" t="s">
        <v>1539</v>
      </c>
      <c r="D1907" s="1010"/>
      <c r="E1907" s="987">
        <v>218858</v>
      </c>
      <c r="F1907" s="988">
        <v>9</v>
      </c>
    </row>
    <row r="1908" spans="1:6">
      <c r="A1908" s="1075" t="s">
        <v>746</v>
      </c>
      <c r="B1908" s="1017" t="s">
        <v>99</v>
      </c>
      <c r="C1908" s="1076" t="s">
        <v>1570</v>
      </c>
      <c r="D1908" s="1016" t="s">
        <v>1571</v>
      </c>
      <c r="E1908" s="987">
        <v>218858</v>
      </c>
      <c r="F1908" s="988">
        <v>9</v>
      </c>
    </row>
    <row r="1909" spans="1:6">
      <c r="A1909" s="1075" t="s">
        <v>746</v>
      </c>
      <c r="B1909" s="1017" t="s">
        <v>62</v>
      </c>
      <c r="C1909" s="1003" t="s">
        <v>1578</v>
      </c>
      <c r="D1909" s="1088"/>
      <c r="E1909" s="987">
        <v>218025</v>
      </c>
      <c r="F1909" s="988">
        <v>9</v>
      </c>
    </row>
    <row r="1910" spans="1:6">
      <c r="A1910" s="1075" t="s">
        <v>746</v>
      </c>
      <c r="B1910" s="1017" t="s">
        <v>62</v>
      </c>
      <c r="C1910" s="1087" t="s">
        <v>1561</v>
      </c>
      <c r="D1910" s="1004"/>
      <c r="E1910" s="987">
        <v>218025</v>
      </c>
      <c r="F1910" s="988">
        <v>9</v>
      </c>
    </row>
    <row r="1911" spans="1:6">
      <c r="A1911" s="1075" t="s">
        <v>746</v>
      </c>
      <c r="B1911" s="1017" t="s">
        <v>62</v>
      </c>
      <c r="C1911" s="1087" t="s">
        <v>1562</v>
      </c>
      <c r="D1911" s="1004"/>
      <c r="E1911" s="987">
        <v>218025</v>
      </c>
      <c r="F1911" s="988">
        <v>9</v>
      </c>
    </row>
    <row r="1912" spans="1:6">
      <c r="A1912" s="1075" t="s">
        <v>746</v>
      </c>
      <c r="B1912" s="1017" t="s">
        <v>62</v>
      </c>
      <c r="C1912" s="1076" t="s">
        <v>1538</v>
      </c>
      <c r="D1912" s="1004"/>
      <c r="E1912" s="987">
        <v>218025</v>
      </c>
      <c r="F1912" s="988">
        <v>9</v>
      </c>
    </row>
    <row r="1913" spans="1:6">
      <c r="A1913" s="1075" t="s">
        <v>746</v>
      </c>
      <c r="B1913" s="1017" t="s">
        <v>99</v>
      </c>
      <c r="C1913" s="1077" t="s">
        <v>1070</v>
      </c>
      <c r="D1913" s="1010"/>
      <c r="E1913" s="987">
        <v>218025</v>
      </c>
      <c r="F1913" s="988">
        <v>9</v>
      </c>
    </row>
    <row r="1914" spans="1:6">
      <c r="A1914" s="1075" t="s">
        <v>746</v>
      </c>
      <c r="B1914" s="1017" t="s">
        <v>99</v>
      </c>
      <c r="C1914" s="1076" t="s">
        <v>1563</v>
      </c>
      <c r="D1914" s="1010"/>
      <c r="E1914" s="987">
        <v>218025</v>
      </c>
      <c r="F1914" s="988">
        <v>9</v>
      </c>
    </row>
    <row r="1915" spans="1:6">
      <c r="A1915" s="1075" t="s">
        <v>746</v>
      </c>
      <c r="B1915" s="1017" t="s">
        <v>99</v>
      </c>
      <c r="C1915" s="1076" t="s">
        <v>1564</v>
      </c>
      <c r="D1915" s="1010"/>
      <c r="E1915" s="987">
        <v>218025</v>
      </c>
      <c r="F1915" s="988">
        <v>9</v>
      </c>
    </row>
    <row r="1916" spans="1:6">
      <c r="A1916" s="1075" t="s">
        <v>746</v>
      </c>
      <c r="B1916" s="1017" t="s">
        <v>99</v>
      </c>
      <c r="C1916" s="1076" t="s">
        <v>1566</v>
      </c>
      <c r="D1916" s="1010"/>
      <c r="E1916" s="987">
        <v>218025</v>
      </c>
      <c r="F1916" s="988">
        <v>9</v>
      </c>
    </row>
    <row r="1917" spans="1:6">
      <c r="A1917" s="1075" t="s">
        <v>746</v>
      </c>
      <c r="B1917" s="1017" t="s">
        <v>99</v>
      </c>
      <c r="C1917" s="1076" t="s">
        <v>1567</v>
      </c>
      <c r="D1917" s="1010"/>
      <c r="E1917" s="987">
        <v>218025</v>
      </c>
      <c r="F1917" s="988">
        <v>9</v>
      </c>
    </row>
    <row r="1918" spans="1:6">
      <c r="A1918" s="1075" t="s">
        <v>746</v>
      </c>
      <c r="B1918" s="1017" t="s">
        <v>99</v>
      </c>
      <c r="C1918" s="1076" t="s">
        <v>1579</v>
      </c>
      <c r="D1918" s="1010"/>
      <c r="E1918" s="987">
        <v>218025</v>
      </c>
      <c r="F1918" s="988">
        <v>9</v>
      </c>
    </row>
    <row r="1919" spans="1:6">
      <c r="A1919" s="1075" t="s">
        <v>746</v>
      </c>
      <c r="B1919" s="1017" t="s">
        <v>99</v>
      </c>
      <c r="C1919" s="1076" t="s">
        <v>1580</v>
      </c>
      <c r="D1919" s="1010"/>
      <c r="E1919" s="987">
        <v>218025</v>
      </c>
      <c r="F1919" s="988">
        <v>9</v>
      </c>
    </row>
    <row r="1920" spans="1:6">
      <c r="A1920" s="1075" t="s">
        <v>746</v>
      </c>
      <c r="B1920" s="1017" t="s">
        <v>99</v>
      </c>
      <c r="C1920" s="1076" t="s">
        <v>1565</v>
      </c>
      <c r="D1920" s="1010"/>
      <c r="E1920" s="987">
        <v>218025</v>
      </c>
      <c r="F1920" s="988">
        <v>9</v>
      </c>
    </row>
    <row r="1921" spans="1:6">
      <c r="A1921" s="1075" t="s">
        <v>746</v>
      </c>
      <c r="B1921" s="1017" t="s">
        <v>99</v>
      </c>
      <c r="C1921" s="1076" t="s">
        <v>1539</v>
      </c>
      <c r="D1921" s="1010"/>
      <c r="E1921" s="987">
        <v>218025</v>
      </c>
      <c r="F1921" s="988">
        <v>9</v>
      </c>
    </row>
    <row r="1922" spans="1:6">
      <c r="A1922" s="1075" t="s">
        <v>746</v>
      </c>
      <c r="B1922" s="1017" t="s">
        <v>99</v>
      </c>
      <c r="C1922" s="1076" t="s">
        <v>1570</v>
      </c>
      <c r="D1922" s="1016" t="s">
        <v>1571</v>
      </c>
      <c r="E1922" s="987">
        <v>218025</v>
      </c>
      <c r="F1922" s="988">
        <v>9</v>
      </c>
    </row>
    <row r="1923" spans="1:6">
      <c r="A1923" s="1075" t="s">
        <v>746</v>
      </c>
      <c r="B1923" s="1017" t="s">
        <v>62</v>
      </c>
      <c r="C1923" s="1003" t="s">
        <v>1581</v>
      </c>
      <c r="D1923" s="1088"/>
      <c r="E1923" s="987">
        <v>218520</v>
      </c>
      <c r="F1923" s="988">
        <v>9</v>
      </c>
    </row>
    <row r="1924" spans="1:6">
      <c r="A1924" s="1075" t="s">
        <v>746</v>
      </c>
      <c r="B1924" s="1017" t="s">
        <v>62</v>
      </c>
      <c r="C1924" s="1087" t="s">
        <v>1561</v>
      </c>
      <c r="D1924" s="1010"/>
      <c r="E1924" s="987">
        <v>218520</v>
      </c>
      <c r="F1924" s="988">
        <v>9</v>
      </c>
    </row>
    <row r="1925" spans="1:6">
      <c r="A1925" s="1075" t="s">
        <v>746</v>
      </c>
      <c r="B1925" s="1017" t="s">
        <v>62</v>
      </c>
      <c r="C1925" s="1087" t="s">
        <v>1562</v>
      </c>
      <c r="D1925" s="1010"/>
      <c r="E1925" s="987">
        <v>218520</v>
      </c>
      <c r="F1925" s="988">
        <v>9</v>
      </c>
    </row>
    <row r="1926" spans="1:6">
      <c r="A1926" s="1075" t="s">
        <v>746</v>
      </c>
      <c r="B1926" s="1017" t="s">
        <v>62</v>
      </c>
      <c r="C1926" s="1076" t="s">
        <v>1538</v>
      </c>
      <c r="D1926" s="1010"/>
      <c r="E1926" s="987">
        <v>218520</v>
      </c>
      <c r="F1926" s="988">
        <v>9</v>
      </c>
    </row>
    <row r="1927" spans="1:6">
      <c r="A1927" s="1075" t="s">
        <v>746</v>
      </c>
      <c r="B1927" s="1017" t="s">
        <v>99</v>
      </c>
      <c r="C1927" s="1077" t="s">
        <v>1070</v>
      </c>
      <c r="D1927" s="1010"/>
      <c r="E1927" s="987">
        <v>218520</v>
      </c>
      <c r="F1927" s="988">
        <v>9</v>
      </c>
    </row>
    <row r="1928" spans="1:6">
      <c r="A1928" s="1075" t="s">
        <v>746</v>
      </c>
      <c r="B1928" s="1017" t="s">
        <v>99</v>
      </c>
      <c r="C1928" s="1076" t="s">
        <v>1563</v>
      </c>
      <c r="D1928" s="1010"/>
      <c r="E1928" s="987">
        <v>218520</v>
      </c>
      <c r="F1928" s="988">
        <v>9</v>
      </c>
    </row>
    <row r="1929" spans="1:6">
      <c r="A1929" s="1075" t="s">
        <v>746</v>
      </c>
      <c r="B1929" s="1017" t="s">
        <v>99</v>
      </c>
      <c r="C1929" s="1076" t="s">
        <v>1564</v>
      </c>
      <c r="D1929" s="1010"/>
      <c r="E1929" s="987">
        <v>218520</v>
      </c>
      <c r="F1929" s="988">
        <v>9</v>
      </c>
    </row>
    <row r="1930" spans="1:6">
      <c r="A1930" s="1075" t="s">
        <v>746</v>
      </c>
      <c r="B1930" s="1017" t="s">
        <v>99</v>
      </c>
      <c r="C1930" s="1076" t="s">
        <v>1566</v>
      </c>
      <c r="D1930" s="1010"/>
      <c r="E1930" s="987">
        <v>218520</v>
      </c>
      <c r="F1930" s="988">
        <v>9</v>
      </c>
    </row>
    <row r="1931" spans="1:6">
      <c r="A1931" s="1075" t="s">
        <v>746</v>
      </c>
      <c r="B1931" s="1017" t="s">
        <v>99</v>
      </c>
      <c r="C1931" s="1076" t="s">
        <v>1567</v>
      </c>
      <c r="D1931" s="1010"/>
      <c r="E1931" s="987">
        <v>218520</v>
      </c>
      <c r="F1931" s="988">
        <v>9</v>
      </c>
    </row>
    <row r="1932" spans="1:6">
      <c r="A1932" s="1075" t="s">
        <v>746</v>
      </c>
      <c r="B1932" s="1017" t="s">
        <v>99</v>
      </c>
      <c r="C1932" s="1076" t="s">
        <v>1565</v>
      </c>
      <c r="D1932" s="1010"/>
      <c r="E1932" s="987">
        <v>218520</v>
      </c>
      <c r="F1932" s="988">
        <v>9</v>
      </c>
    </row>
    <row r="1933" spans="1:6">
      <c r="A1933" s="1075" t="s">
        <v>746</v>
      </c>
      <c r="B1933" s="1017" t="s">
        <v>99</v>
      </c>
      <c r="C1933" s="1076" t="s">
        <v>1539</v>
      </c>
      <c r="D1933" s="1010"/>
      <c r="E1933" s="987">
        <v>218520</v>
      </c>
      <c r="F1933" s="988">
        <v>9</v>
      </c>
    </row>
    <row r="1934" spans="1:6">
      <c r="A1934" s="1075" t="s">
        <v>746</v>
      </c>
      <c r="B1934" s="1017" t="s">
        <v>99</v>
      </c>
      <c r="C1934" s="1076" t="s">
        <v>1570</v>
      </c>
      <c r="D1934" s="1016" t="s">
        <v>1571</v>
      </c>
      <c r="E1934" s="987">
        <v>218520</v>
      </c>
      <c r="F1934" s="988">
        <v>9</v>
      </c>
    </row>
    <row r="1935" spans="1:6">
      <c r="A1935" s="1075" t="s">
        <v>746</v>
      </c>
      <c r="B1935" s="1017" t="s">
        <v>62</v>
      </c>
      <c r="C1935" s="1080" t="s">
        <v>1582</v>
      </c>
      <c r="D1935" s="1010"/>
      <c r="E1935" s="987">
        <v>218830</v>
      </c>
      <c r="F1935" s="988">
        <v>9</v>
      </c>
    </row>
    <row r="1936" spans="1:6">
      <c r="A1936" s="1075" t="s">
        <v>746</v>
      </c>
      <c r="B1936" s="1017" t="s">
        <v>62</v>
      </c>
      <c r="C1936" s="1087" t="s">
        <v>1561</v>
      </c>
      <c r="D1936" s="1010"/>
      <c r="E1936" s="987">
        <v>218830</v>
      </c>
      <c r="F1936" s="988">
        <v>9</v>
      </c>
    </row>
    <row r="1937" spans="1:6">
      <c r="A1937" s="1075" t="s">
        <v>746</v>
      </c>
      <c r="B1937" s="1017" t="s">
        <v>62</v>
      </c>
      <c r="C1937" s="1087" t="s">
        <v>1562</v>
      </c>
      <c r="D1937" s="1010"/>
      <c r="E1937" s="987">
        <v>218830</v>
      </c>
      <c r="F1937" s="988">
        <v>9</v>
      </c>
    </row>
    <row r="1938" spans="1:6">
      <c r="A1938" s="1075" t="s">
        <v>746</v>
      </c>
      <c r="B1938" s="1017" t="s">
        <v>62</v>
      </c>
      <c r="C1938" s="1076" t="s">
        <v>1538</v>
      </c>
      <c r="D1938" s="1010"/>
      <c r="E1938" s="987">
        <v>218830</v>
      </c>
      <c r="F1938" s="988">
        <v>9</v>
      </c>
    </row>
    <row r="1939" spans="1:6">
      <c r="A1939" s="1075" t="s">
        <v>746</v>
      </c>
      <c r="B1939" s="1017" t="s">
        <v>99</v>
      </c>
      <c r="C1939" s="1077" t="s">
        <v>1070</v>
      </c>
      <c r="D1939" s="1010"/>
      <c r="E1939" s="987">
        <v>218830</v>
      </c>
      <c r="F1939" s="988">
        <v>9</v>
      </c>
    </row>
    <row r="1940" spans="1:6">
      <c r="A1940" s="1075" t="s">
        <v>746</v>
      </c>
      <c r="B1940" s="1017" t="s">
        <v>99</v>
      </c>
      <c r="C1940" s="1076" t="s">
        <v>1563</v>
      </c>
      <c r="D1940" s="1010"/>
      <c r="E1940" s="987">
        <v>218830</v>
      </c>
      <c r="F1940" s="988">
        <v>9</v>
      </c>
    </row>
    <row r="1941" spans="1:6">
      <c r="A1941" s="1075" t="s">
        <v>746</v>
      </c>
      <c r="B1941" s="1017" t="s">
        <v>99</v>
      </c>
      <c r="C1941" s="1076" t="s">
        <v>1564</v>
      </c>
      <c r="D1941" s="1010"/>
      <c r="E1941" s="987">
        <v>218830</v>
      </c>
      <c r="F1941" s="988">
        <v>9</v>
      </c>
    </row>
    <row r="1942" spans="1:6">
      <c r="A1942" s="1075" t="s">
        <v>746</v>
      </c>
      <c r="B1942" s="1017" t="s">
        <v>99</v>
      </c>
      <c r="C1942" s="1076" t="s">
        <v>1566</v>
      </c>
      <c r="D1942" s="1010"/>
      <c r="E1942" s="987">
        <v>218830</v>
      </c>
      <c r="F1942" s="988">
        <v>9</v>
      </c>
    </row>
    <row r="1943" spans="1:6">
      <c r="A1943" s="1075" t="s">
        <v>746</v>
      </c>
      <c r="B1943" s="1017" t="s">
        <v>99</v>
      </c>
      <c r="C1943" s="1076" t="s">
        <v>1583</v>
      </c>
      <c r="D1943" s="1010"/>
      <c r="E1943" s="987">
        <v>218830</v>
      </c>
      <c r="F1943" s="988">
        <v>9</v>
      </c>
    </row>
    <row r="1944" spans="1:6">
      <c r="A1944" s="1075" t="s">
        <v>746</v>
      </c>
      <c r="B1944" s="1017" t="s">
        <v>99</v>
      </c>
      <c r="C1944" s="1076" t="s">
        <v>1565</v>
      </c>
      <c r="D1944" s="1010"/>
      <c r="E1944" s="987">
        <v>218830</v>
      </c>
      <c r="F1944" s="988">
        <v>9</v>
      </c>
    </row>
    <row r="1945" spans="1:6">
      <c r="A1945" s="1075" t="s">
        <v>746</v>
      </c>
      <c r="B1945" s="1017" t="s">
        <v>99</v>
      </c>
      <c r="C1945" s="1076" t="s">
        <v>1539</v>
      </c>
      <c r="D1945" s="1010"/>
      <c r="E1945" s="987">
        <v>218830</v>
      </c>
      <c r="F1945" s="988">
        <v>9</v>
      </c>
    </row>
    <row r="1946" spans="1:6">
      <c r="A1946" s="1075" t="s">
        <v>746</v>
      </c>
      <c r="B1946" s="1017" t="s">
        <v>99</v>
      </c>
      <c r="C1946" s="1076" t="s">
        <v>1570</v>
      </c>
      <c r="D1946" s="1016" t="s">
        <v>1571</v>
      </c>
      <c r="E1946" s="987">
        <v>218830</v>
      </c>
      <c r="F1946" s="988">
        <v>9</v>
      </c>
    </row>
    <row r="1947" spans="1:6">
      <c r="A1947" s="1075" t="s">
        <v>746</v>
      </c>
      <c r="B1947" s="1017" t="s">
        <v>62</v>
      </c>
      <c r="C1947" s="1003" t="s">
        <v>1584</v>
      </c>
      <c r="D1947" s="1089"/>
      <c r="E1947" s="987">
        <v>218885</v>
      </c>
      <c r="F1947" s="988">
        <v>9</v>
      </c>
    </row>
    <row r="1948" spans="1:6">
      <c r="A1948" s="1075" t="s">
        <v>746</v>
      </c>
      <c r="B1948" s="1017" t="s">
        <v>62</v>
      </c>
      <c r="C1948" s="1087" t="s">
        <v>1561</v>
      </c>
      <c r="D1948" s="1010"/>
      <c r="E1948" s="987">
        <v>218885</v>
      </c>
      <c r="F1948" s="988">
        <v>9</v>
      </c>
    </row>
    <row r="1949" spans="1:6">
      <c r="A1949" s="1075" t="s">
        <v>746</v>
      </c>
      <c r="B1949" s="1017" t="s">
        <v>62</v>
      </c>
      <c r="C1949" s="1087" t="s">
        <v>1562</v>
      </c>
      <c r="D1949" s="1010"/>
      <c r="E1949" s="987">
        <v>218885</v>
      </c>
      <c r="F1949" s="988">
        <v>9</v>
      </c>
    </row>
    <row r="1950" spans="1:6">
      <c r="A1950" s="1075" t="s">
        <v>746</v>
      </c>
      <c r="B1950" s="1017" t="s">
        <v>62</v>
      </c>
      <c r="C1950" s="1076" t="s">
        <v>1538</v>
      </c>
      <c r="D1950" s="1010"/>
      <c r="E1950" s="987">
        <v>218885</v>
      </c>
      <c r="F1950" s="988">
        <v>9</v>
      </c>
    </row>
    <row r="1951" spans="1:6">
      <c r="A1951" s="1075" t="s">
        <v>746</v>
      </c>
      <c r="B1951" s="1017" t="s">
        <v>99</v>
      </c>
      <c r="C1951" s="1077" t="s">
        <v>1070</v>
      </c>
      <c r="D1951" s="1010"/>
      <c r="E1951" s="987">
        <v>218885</v>
      </c>
      <c r="F1951" s="988">
        <v>9</v>
      </c>
    </row>
    <row r="1952" spans="1:6">
      <c r="A1952" s="1075" t="s">
        <v>746</v>
      </c>
      <c r="B1952" s="1017" t="s">
        <v>99</v>
      </c>
      <c r="C1952" s="1076" t="s">
        <v>1563</v>
      </c>
      <c r="D1952" s="1010"/>
      <c r="E1952" s="987">
        <v>218885</v>
      </c>
      <c r="F1952" s="988">
        <v>9</v>
      </c>
    </row>
    <row r="1953" spans="1:6">
      <c r="A1953" s="1075" t="s">
        <v>746</v>
      </c>
      <c r="B1953" s="1017" t="s">
        <v>99</v>
      </c>
      <c r="C1953" s="1076" t="s">
        <v>1564</v>
      </c>
      <c r="D1953" s="1010"/>
      <c r="E1953" s="987">
        <v>218885</v>
      </c>
      <c r="F1953" s="988">
        <v>9</v>
      </c>
    </row>
    <row r="1954" spans="1:6">
      <c r="A1954" s="1075" t="s">
        <v>746</v>
      </c>
      <c r="B1954" s="1017" t="s">
        <v>99</v>
      </c>
      <c r="C1954" s="1076" t="s">
        <v>1566</v>
      </c>
      <c r="D1954" s="1010"/>
      <c r="E1954" s="987">
        <v>218885</v>
      </c>
      <c r="F1954" s="988">
        <v>9</v>
      </c>
    </row>
    <row r="1955" spans="1:6">
      <c r="A1955" s="1075" t="s">
        <v>746</v>
      </c>
      <c r="B1955" s="1017" t="s">
        <v>99</v>
      </c>
      <c r="C1955" s="1076" t="s">
        <v>1567</v>
      </c>
      <c r="D1955" s="1010"/>
      <c r="E1955" s="987">
        <v>218885</v>
      </c>
      <c r="F1955" s="988">
        <v>9</v>
      </c>
    </row>
    <row r="1956" spans="1:6">
      <c r="A1956" s="1075" t="s">
        <v>746</v>
      </c>
      <c r="B1956" s="1017" t="s">
        <v>99</v>
      </c>
      <c r="C1956" s="1076" t="s">
        <v>1565</v>
      </c>
      <c r="D1956" s="1010"/>
      <c r="E1956" s="987">
        <v>218885</v>
      </c>
      <c r="F1956" s="988">
        <v>9</v>
      </c>
    </row>
    <row r="1957" spans="1:6">
      <c r="A1957" s="1075" t="s">
        <v>746</v>
      </c>
      <c r="B1957" s="1017" t="s">
        <v>99</v>
      </c>
      <c r="C1957" s="1076" t="s">
        <v>1539</v>
      </c>
      <c r="D1957" s="1010"/>
      <c r="E1957" s="987">
        <v>218885</v>
      </c>
      <c r="F1957" s="988">
        <v>9</v>
      </c>
    </row>
    <row r="1958" spans="1:6">
      <c r="A1958" s="1075" t="s">
        <v>746</v>
      </c>
      <c r="B1958" s="1017" t="s">
        <v>99</v>
      </c>
      <c r="C1958" s="1076" t="s">
        <v>1570</v>
      </c>
      <c r="D1958" s="1016" t="s">
        <v>1571</v>
      </c>
      <c r="E1958" s="987">
        <v>218885</v>
      </c>
      <c r="F1958" s="988">
        <v>9</v>
      </c>
    </row>
    <row r="1959" spans="1:6">
      <c r="A1959" s="1075" t="s">
        <v>746</v>
      </c>
      <c r="B1959" s="1017" t="s">
        <v>99</v>
      </c>
      <c r="C1959" s="1076" t="s">
        <v>1585</v>
      </c>
      <c r="D1959" s="1016" t="s">
        <v>1571</v>
      </c>
      <c r="E1959" s="987">
        <v>218885</v>
      </c>
      <c r="F1959" s="988">
        <v>9</v>
      </c>
    </row>
    <row r="1960" spans="1:6">
      <c r="A1960" s="1075" t="s">
        <v>746</v>
      </c>
      <c r="B1960" s="1017" t="s">
        <v>62</v>
      </c>
      <c r="C1960" s="1080" t="s">
        <v>1586</v>
      </c>
      <c r="D1960" s="1010"/>
      <c r="E1960" s="987">
        <v>218991</v>
      </c>
      <c r="F1960" s="988">
        <v>9</v>
      </c>
    </row>
    <row r="1961" spans="1:6">
      <c r="A1961" s="1075" t="s">
        <v>746</v>
      </c>
      <c r="B1961" s="1017" t="s">
        <v>62</v>
      </c>
      <c r="C1961" s="1087" t="s">
        <v>1561</v>
      </c>
      <c r="D1961" s="1010"/>
      <c r="E1961" s="987">
        <v>218991</v>
      </c>
      <c r="F1961" s="988">
        <v>9</v>
      </c>
    </row>
    <row r="1962" spans="1:6">
      <c r="A1962" s="1075" t="s">
        <v>746</v>
      </c>
      <c r="B1962" s="1017" t="s">
        <v>62</v>
      </c>
      <c r="C1962" s="1087" t="s">
        <v>1562</v>
      </c>
      <c r="D1962" s="1010"/>
      <c r="E1962" s="987">
        <v>218991</v>
      </c>
      <c r="F1962" s="988">
        <v>9</v>
      </c>
    </row>
    <row r="1963" spans="1:6">
      <c r="A1963" s="1075" t="s">
        <v>746</v>
      </c>
      <c r="B1963" s="1017" t="s">
        <v>62</v>
      </c>
      <c r="C1963" s="1076" t="s">
        <v>1538</v>
      </c>
      <c r="D1963" s="1010"/>
      <c r="E1963" s="987">
        <v>218991</v>
      </c>
      <c r="F1963" s="988">
        <v>9</v>
      </c>
    </row>
    <row r="1964" spans="1:6">
      <c r="A1964" s="1075" t="s">
        <v>746</v>
      </c>
      <c r="B1964" s="1017" t="s">
        <v>99</v>
      </c>
      <c r="C1964" s="1077" t="s">
        <v>1070</v>
      </c>
      <c r="D1964" s="1010"/>
      <c r="E1964" s="987">
        <v>218991</v>
      </c>
      <c r="F1964" s="988">
        <v>9</v>
      </c>
    </row>
    <row r="1965" spans="1:6">
      <c r="A1965" s="1075" t="s">
        <v>746</v>
      </c>
      <c r="B1965" s="1017" t="s">
        <v>99</v>
      </c>
      <c r="C1965" s="1076" t="s">
        <v>1563</v>
      </c>
      <c r="D1965" s="1010"/>
      <c r="E1965" s="987">
        <v>218991</v>
      </c>
      <c r="F1965" s="988">
        <v>9</v>
      </c>
    </row>
    <row r="1966" spans="1:6">
      <c r="A1966" s="1075" t="s">
        <v>746</v>
      </c>
      <c r="B1966" s="1017" t="s">
        <v>99</v>
      </c>
      <c r="C1966" s="1076" t="s">
        <v>1564</v>
      </c>
      <c r="D1966" s="1010"/>
      <c r="E1966" s="987">
        <v>218991</v>
      </c>
      <c r="F1966" s="988">
        <v>9</v>
      </c>
    </row>
    <row r="1967" spans="1:6">
      <c r="A1967" s="1075" t="s">
        <v>746</v>
      </c>
      <c r="B1967" s="1017" t="s">
        <v>99</v>
      </c>
      <c r="C1967" s="1076" t="s">
        <v>1566</v>
      </c>
      <c r="D1967" s="1010"/>
      <c r="E1967" s="987">
        <v>218991</v>
      </c>
      <c r="F1967" s="988">
        <v>9</v>
      </c>
    </row>
    <row r="1968" spans="1:6">
      <c r="A1968" s="1075" t="s">
        <v>746</v>
      </c>
      <c r="B1968" s="1017" t="s">
        <v>99</v>
      </c>
      <c r="C1968" s="1076" t="s">
        <v>1565</v>
      </c>
      <c r="D1968" s="1010"/>
      <c r="E1968" s="987">
        <v>218991</v>
      </c>
      <c r="F1968" s="988">
        <v>9</v>
      </c>
    </row>
    <row r="1969" spans="1:6">
      <c r="A1969" s="1075" t="s">
        <v>746</v>
      </c>
      <c r="B1969" s="1017" t="s">
        <v>99</v>
      </c>
      <c r="C1969" s="1076" t="s">
        <v>1539</v>
      </c>
      <c r="D1969" s="1010"/>
      <c r="E1969" s="987">
        <v>218991</v>
      </c>
      <c r="F1969" s="988">
        <v>9</v>
      </c>
    </row>
    <row r="1970" spans="1:6">
      <c r="A1970" s="1075" t="s">
        <v>746</v>
      </c>
      <c r="B1970" s="1017" t="s">
        <v>99</v>
      </c>
      <c r="C1970" s="1076" t="s">
        <v>1570</v>
      </c>
      <c r="D1970" s="1016" t="s">
        <v>1571</v>
      </c>
      <c r="E1970" s="987">
        <v>218991</v>
      </c>
      <c r="F1970" s="988">
        <v>9</v>
      </c>
    </row>
    <row r="1971" spans="1:6">
      <c r="A1971" s="1075" t="s">
        <v>746</v>
      </c>
      <c r="B1971" s="1017" t="s">
        <v>62</v>
      </c>
      <c r="C1971" s="1082" t="s">
        <v>1587</v>
      </c>
      <c r="D1971" s="1088"/>
      <c r="E1971" s="987">
        <v>217615</v>
      </c>
      <c r="F1971" s="988">
        <v>10</v>
      </c>
    </row>
    <row r="1972" spans="1:6">
      <c r="A1972" s="1075" t="s">
        <v>746</v>
      </c>
      <c r="B1972" s="1017" t="s">
        <v>62</v>
      </c>
      <c r="C1972" s="1087" t="s">
        <v>1561</v>
      </c>
      <c r="D1972" s="1010"/>
      <c r="E1972" s="987">
        <v>217615</v>
      </c>
      <c r="F1972" s="988">
        <v>10</v>
      </c>
    </row>
    <row r="1973" spans="1:6">
      <c r="A1973" s="1075" t="s">
        <v>746</v>
      </c>
      <c r="B1973" s="1017" t="s">
        <v>62</v>
      </c>
      <c r="C1973" s="1087" t="s">
        <v>1562</v>
      </c>
      <c r="D1973" s="1010"/>
      <c r="E1973" s="987">
        <v>217615</v>
      </c>
      <c r="F1973" s="988">
        <v>10</v>
      </c>
    </row>
    <row r="1974" spans="1:6">
      <c r="A1974" s="1075" t="s">
        <v>746</v>
      </c>
      <c r="B1974" s="1017" t="s">
        <v>62</v>
      </c>
      <c r="C1974" s="1076" t="s">
        <v>1538</v>
      </c>
      <c r="D1974" s="1010"/>
      <c r="E1974" s="987">
        <v>217615</v>
      </c>
      <c r="F1974" s="988">
        <v>10</v>
      </c>
    </row>
    <row r="1975" spans="1:6">
      <c r="A1975" s="1075" t="s">
        <v>746</v>
      </c>
      <c r="B1975" s="1017" t="s">
        <v>99</v>
      </c>
      <c r="C1975" s="1077" t="s">
        <v>1070</v>
      </c>
      <c r="D1975" s="1010"/>
      <c r="E1975" s="987">
        <v>217615</v>
      </c>
      <c r="F1975" s="988">
        <v>10</v>
      </c>
    </row>
    <row r="1976" spans="1:6">
      <c r="A1976" s="1075" t="s">
        <v>746</v>
      </c>
      <c r="B1976" s="1017" t="s">
        <v>99</v>
      </c>
      <c r="C1976" s="1076" t="s">
        <v>1563</v>
      </c>
      <c r="D1976" s="1010"/>
      <c r="E1976" s="987">
        <v>217615</v>
      </c>
      <c r="F1976" s="988">
        <v>10</v>
      </c>
    </row>
    <row r="1977" spans="1:6">
      <c r="A1977" s="1075" t="s">
        <v>746</v>
      </c>
      <c r="B1977" s="1017" t="s">
        <v>99</v>
      </c>
      <c r="C1977" s="1076" t="s">
        <v>1564</v>
      </c>
      <c r="D1977" s="1010"/>
      <c r="E1977" s="987">
        <v>217615</v>
      </c>
      <c r="F1977" s="988">
        <v>10</v>
      </c>
    </row>
    <row r="1978" spans="1:6">
      <c r="A1978" s="1075" t="s">
        <v>746</v>
      </c>
      <c r="B1978" s="1017" t="s">
        <v>99</v>
      </c>
      <c r="C1978" s="1076" t="s">
        <v>1566</v>
      </c>
      <c r="D1978" s="1010"/>
      <c r="E1978" s="987">
        <v>217615</v>
      </c>
      <c r="F1978" s="988">
        <v>10</v>
      </c>
    </row>
    <row r="1979" spans="1:6">
      <c r="A1979" s="1075" t="s">
        <v>746</v>
      </c>
      <c r="B1979" s="1017" t="s">
        <v>99</v>
      </c>
      <c r="C1979" s="1076" t="s">
        <v>1565</v>
      </c>
      <c r="D1979" s="1010"/>
      <c r="E1979" s="987">
        <v>217615</v>
      </c>
      <c r="F1979" s="988">
        <v>10</v>
      </c>
    </row>
    <row r="1980" spans="1:6">
      <c r="A1980" s="1075" t="s">
        <v>746</v>
      </c>
      <c r="B1980" s="1017" t="s">
        <v>99</v>
      </c>
      <c r="C1980" s="1076" t="s">
        <v>1539</v>
      </c>
      <c r="D1980" s="1010"/>
      <c r="E1980" s="987">
        <v>217615</v>
      </c>
      <c r="F1980" s="988">
        <v>10</v>
      </c>
    </row>
    <row r="1981" spans="1:6">
      <c r="A1981" s="1075" t="s">
        <v>746</v>
      </c>
      <c r="B1981" s="1017" t="s">
        <v>62</v>
      </c>
      <c r="C1981" s="1082" t="s">
        <v>1588</v>
      </c>
      <c r="D1981" s="1010"/>
      <c r="E1981" s="987">
        <v>217989</v>
      </c>
      <c r="F1981" s="988">
        <v>10</v>
      </c>
    </row>
    <row r="1982" spans="1:6">
      <c r="A1982" s="1075" t="s">
        <v>746</v>
      </c>
      <c r="B1982" s="1017" t="s">
        <v>62</v>
      </c>
      <c r="C1982" s="1087" t="s">
        <v>1561</v>
      </c>
      <c r="D1982" s="1010"/>
      <c r="E1982" s="987">
        <v>217989</v>
      </c>
      <c r="F1982" s="988">
        <v>10</v>
      </c>
    </row>
    <row r="1983" spans="1:6">
      <c r="A1983" s="1075" t="s">
        <v>746</v>
      </c>
      <c r="B1983" s="1017" t="s">
        <v>62</v>
      </c>
      <c r="C1983" s="1087" t="s">
        <v>1562</v>
      </c>
      <c r="D1983" s="1010"/>
      <c r="E1983" s="987">
        <v>217989</v>
      </c>
      <c r="F1983" s="988">
        <v>10</v>
      </c>
    </row>
    <row r="1984" spans="1:6">
      <c r="A1984" s="1075" t="s">
        <v>746</v>
      </c>
      <c r="B1984" s="1017" t="s">
        <v>62</v>
      </c>
      <c r="C1984" s="1076" t="s">
        <v>1538</v>
      </c>
      <c r="D1984" s="1010"/>
      <c r="E1984" s="987">
        <v>217989</v>
      </c>
      <c r="F1984" s="988">
        <v>10</v>
      </c>
    </row>
    <row r="1985" spans="1:6">
      <c r="A1985" s="1075" t="s">
        <v>746</v>
      </c>
      <c r="B1985" s="1017" t="s">
        <v>99</v>
      </c>
      <c r="C1985" s="1077" t="s">
        <v>1070</v>
      </c>
      <c r="D1985" s="1010"/>
      <c r="E1985" s="987">
        <v>217989</v>
      </c>
      <c r="F1985" s="988">
        <v>10</v>
      </c>
    </row>
    <row r="1986" spans="1:6">
      <c r="A1986" s="1075" t="s">
        <v>746</v>
      </c>
      <c r="B1986" s="1017" t="s">
        <v>99</v>
      </c>
      <c r="C1986" s="1076" t="s">
        <v>1563</v>
      </c>
      <c r="D1986" s="1010"/>
      <c r="E1986" s="987">
        <v>217989</v>
      </c>
      <c r="F1986" s="988">
        <v>10</v>
      </c>
    </row>
    <row r="1987" spans="1:6">
      <c r="A1987" s="1075" t="s">
        <v>746</v>
      </c>
      <c r="B1987" s="1017" t="s">
        <v>99</v>
      </c>
      <c r="C1987" s="1076" t="s">
        <v>1566</v>
      </c>
      <c r="D1987" s="1010"/>
      <c r="E1987" s="987">
        <v>217989</v>
      </c>
      <c r="F1987" s="988">
        <v>10</v>
      </c>
    </row>
    <row r="1988" spans="1:6">
      <c r="A1988" s="1075" t="s">
        <v>746</v>
      </c>
      <c r="B1988" s="1017" t="s">
        <v>99</v>
      </c>
      <c r="C1988" s="1076" t="s">
        <v>1567</v>
      </c>
      <c r="D1988" s="1010"/>
      <c r="E1988" s="987">
        <v>217989</v>
      </c>
      <c r="F1988" s="988">
        <v>10</v>
      </c>
    </row>
    <row r="1989" spans="1:6">
      <c r="A1989" s="1075" t="s">
        <v>746</v>
      </c>
      <c r="B1989" s="1017" t="s">
        <v>99</v>
      </c>
      <c r="C1989" s="1076" t="s">
        <v>1565</v>
      </c>
      <c r="D1989" s="1010"/>
      <c r="E1989" s="987">
        <v>217989</v>
      </c>
      <c r="F1989" s="988">
        <v>10</v>
      </c>
    </row>
    <row r="1990" spans="1:6">
      <c r="A1990" s="1075" t="s">
        <v>746</v>
      </c>
      <c r="B1990" s="1017" t="s">
        <v>99</v>
      </c>
      <c r="C1990" s="1076" t="s">
        <v>1539</v>
      </c>
      <c r="D1990" s="1010"/>
      <c r="E1990" s="987">
        <v>217989</v>
      </c>
      <c r="F1990" s="988">
        <v>10</v>
      </c>
    </row>
    <row r="1991" spans="1:6">
      <c r="A1991" s="1075" t="s">
        <v>746</v>
      </c>
      <c r="B1991" s="1017" t="s">
        <v>62</v>
      </c>
      <c r="C1991" s="1082" t="s">
        <v>1589</v>
      </c>
      <c r="D1991" s="1010"/>
      <c r="E1991" s="987">
        <v>217837</v>
      </c>
      <c r="F1991" s="988">
        <v>10</v>
      </c>
    </row>
    <row r="1992" spans="1:6">
      <c r="A1992" s="1075" t="s">
        <v>746</v>
      </c>
      <c r="B1992" s="1017" t="s">
        <v>62</v>
      </c>
      <c r="C1992" s="1087" t="s">
        <v>1561</v>
      </c>
      <c r="D1992" s="1010"/>
      <c r="E1992" s="987">
        <v>217837</v>
      </c>
      <c r="F1992" s="988">
        <v>10</v>
      </c>
    </row>
    <row r="1993" spans="1:6">
      <c r="A1993" s="1075" t="s">
        <v>746</v>
      </c>
      <c r="B1993" s="1017" t="s">
        <v>62</v>
      </c>
      <c r="C1993" s="1087" t="s">
        <v>1562</v>
      </c>
      <c r="D1993" s="1010"/>
      <c r="E1993" s="987">
        <v>217837</v>
      </c>
      <c r="F1993" s="988">
        <v>10</v>
      </c>
    </row>
    <row r="1994" spans="1:6">
      <c r="A1994" s="1075" t="s">
        <v>746</v>
      </c>
      <c r="B1994" s="1017" t="s">
        <v>62</v>
      </c>
      <c r="C1994" s="1076" t="s">
        <v>1538</v>
      </c>
      <c r="D1994" s="1010"/>
      <c r="E1994" s="987">
        <v>217837</v>
      </c>
      <c r="F1994" s="988">
        <v>10</v>
      </c>
    </row>
    <row r="1995" spans="1:6">
      <c r="A1995" s="1075" t="s">
        <v>746</v>
      </c>
      <c r="B1995" s="1090" t="s">
        <v>99</v>
      </c>
      <c r="C1995" s="1091" t="s">
        <v>1070</v>
      </c>
      <c r="D1995" s="1092"/>
      <c r="E1995" s="987">
        <v>217837</v>
      </c>
      <c r="F1995" s="988">
        <v>10</v>
      </c>
    </row>
    <row r="1996" spans="1:6">
      <c r="A1996" s="1075" t="s">
        <v>746</v>
      </c>
      <c r="B1996" s="1017" t="s">
        <v>99</v>
      </c>
      <c r="C1996" s="1076" t="s">
        <v>1563</v>
      </c>
      <c r="D1996" s="1010"/>
      <c r="E1996" s="987">
        <v>217837</v>
      </c>
      <c r="F1996" s="988">
        <v>10</v>
      </c>
    </row>
    <row r="1997" spans="1:6">
      <c r="A1997" s="1075" t="s">
        <v>746</v>
      </c>
      <c r="B1997" s="1017" t="s">
        <v>99</v>
      </c>
      <c r="C1997" s="1076" t="s">
        <v>1564</v>
      </c>
      <c r="D1997" s="1010"/>
      <c r="E1997" s="987">
        <v>217837</v>
      </c>
      <c r="F1997" s="988">
        <v>10</v>
      </c>
    </row>
    <row r="1998" spans="1:6">
      <c r="A1998" s="1075" t="s">
        <v>746</v>
      </c>
      <c r="B1998" s="1017" t="s">
        <v>99</v>
      </c>
      <c r="C1998" s="1076" t="s">
        <v>1566</v>
      </c>
      <c r="D1998" s="1010"/>
      <c r="E1998" s="987">
        <v>217837</v>
      </c>
      <c r="F1998" s="988">
        <v>10</v>
      </c>
    </row>
    <row r="1999" spans="1:6">
      <c r="A1999" s="1075" t="s">
        <v>746</v>
      </c>
      <c r="B1999" s="1017" t="s">
        <v>99</v>
      </c>
      <c r="C1999" s="1076" t="s">
        <v>1567</v>
      </c>
      <c r="D1999" s="1010"/>
      <c r="E1999" s="987">
        <v>217837</v>
      </c>
      <c r="F1999" s="988">
        <v>10</v>
      </c>
    </row>
    <row r="2000" spans="1:6">
      <c r="A2000" s="1075" t="s">
        <v>746</v>
      </c>
      <c r="B2000" s="1017" t="s">
        <v>99</v>
      </c>
      <c r="C2000" s="1076" t="s">
        <v>1565</v>
      </c>
      <c r="D2000" s="1010"/>
      <c r="E2000" s="987">
        <v>217837</v>
      </c>
      <c r="F2000" s="988">
        <v>10</v>
      </c>
    </row>
    <row r="2001" spans="1:6">
      <c r="A2001" s="1075" t="s">
        <v>746</v>
      </c>
      <c r="B2001" s="1017" t="s">
        <v>99</v>
      </c>
      <c r="C2001" s="1076" t="s">
        <v>1539</v>
      </c>
      <c r="D2001" s="1010"/>
      <c r="E2001" s="987">
        <v>217837</v>
      </c>
      <c r="F2001" s="988">
        <v>10</v>
      </c>
    </row>
    <row r="2002" spans="1:6">
      <c r="A2002" s="1075" t="s">
        <v>746</v>
      </c>
      <c r="B2002" s="1017" t="s">
        <v>62</v>
      </c>
      <c r="C2002" s="1082" t="s">
        <v>1590</v>
      </c>
      <c r="D2002" s="1083"/>
      <c r="E2002" s="987">
        <v>218487</v>
      </c>
      <c r="F2002" s="988">
        <v>10</v>
      </c>
    </row>
    <row r="2003" spans="1:6">
      <c r="A2003" s="1075" t="s">
        <v>746</v>
      </c>
      <c r="B2003" s="1017" t="s">
        <v>62</v>
      </c>
      <c r="C2003" s="1087" t="s">
        <v>1561</v>
      </c>
      <c r="D2003" s="1010"/>
      <c r="E2003" s="987">
        <v>218487</v>
      </c>
      <c r="F2003" s="988">
        <v>10</v>
      </c>
    </row>
    <row r="2004" spans="1:6">
      <c r="A2004" s="1075" t="s">
        <v>746</v>
      </c>
      <c r="B2004" s="1017" t="s">
        <v>62</v>
      </c>
      <c r="C2004" s="1087" t="s">
        <v>1562</v>
      </c>
      <c r="D2004" s="1010"/>
      <c r="E2004" s="987">
        <v>218487</v>
      </c>
      <c r="F2004" s="988">
        <v>10</v>
      </c>
    </row>
    <row r="2005" spans="1:6">
      <c r="A2005" s="1075" t="s">
        <v>746</v>
      </c>
      <c r="B2005" s="1017" t="s">
        <v>62</v>
      </c>
      <c r="C2005" s="1076" t="s">
        <v>1538</v>
      </c>
      <c r="D2005" s="1010"/>
      <c r="E2005" s="987">
        <v>218487</v>
      </c>
      <c r="F2005" s="988">
        <v>10</v>
      </c>
    </row>
    <row r="2006" spans="1:6">
      <c r="A2006" s="1075" t="s">
        <v>746</v>
      </c>
      <c r="B2006" s="1017" t="s">
        <v>99</v>
      </c>
      <c r="C2006" s="1077" t="s">
        <v>1070</v>
      </c>
      <c r="D2006" s="1010"/>
      <c r="E2006" s="987">
        <v>218487</v>
      </c>
      <c r="F2006" s="988">
        <v>10</v>
      </c>
    </row>
    <row r="2007" spans="1:6">
      <c r="A2007" s="1075" t="s">
        <v>746</v>
      </c>
      <c r="B2007" s="1017" t="s">
        <v>99</v>
      </c>
      <c r="C2007" s="1076" t="s">
        <v>1563</v>
      </c>
      <c r="D2007" s="1010"/>
      <c r="E2007" s="987">
        <v>218487</v>
      </c>
      <c r="F2007" s="988">
        <v>10</v>
      </c>
    </row>
    <row r="2008" spans="1:6">
      <c r="A2008" s="1075" t="s">
        <v>746</v>
      </c>
      <c r="B2008" s="1017" t="s">
        <v>99</v>
      </c>
      <c r="C2008" s="1076" t="s">
        <v>1564</v>
      </c>
      <c r="D2008" s="1010"/>
      <c r="E2008" s="987">
        <v>218487</v>
      </c>
      <c r="F2008" s="988">
        <v>10</v>
      </c>
    </row>
    <row r="2009" spans="1:6">
      <c r="A2009" s="1075" t="s">
        <v>746</v>
      </c>
      <c r="B2009" s="1017" t="s">
        <v>99</v>
      </c>
      <c r="C2009" s="1076" t="s">
        <v>1566</v>
      </c>
      <c r="D2009" s="1010"/>
      <c r="E2009" s="987">
        <v>218487</v>
      </c>
      <c r="F2009" s="988">
        <v>10</v>
      </c>
    </row>
    <row r="2010" spans="1:6">
      <c r="A2010" s="1075" t="s">
        <v>746</v>
      </c>
      <c r="B2010" s="1017" t="s">
        <v>99</v>
      </c>
      <c r="C2010" s="1076" t="s">
        <v>1567</v>
      </c>
      <c r="D2010" s="1010"/>
      <c r="E2010" s="987">
        <v>218487</v>
      </c>
      <c r="F2010" s="988">
        <v>10</v>
      </c>
    </row>
    <row r="2011" spans="1:6">
      <c r="A2011" s="1075" t="s">
        <v>746</v>
      </c>
      <c r="B2011" s="1017" t="s">
        <v>99</v>
      </c>
      <c r="C2011" s="1076" t="s">
        <v>1565</v>
      </c>
      <c r="D2011" s="1010"/>
      <c r="E2011" s="987">
        <v>218487</v>
      </c>
      <c r="F2011" s="988">
        <v>10</v>
      </c>
    </row>
    <row r="2012" spans="1:6">
      <c r="A2012" s="1075" t="s">
        <v>746</v>
      </c>
      <c r="B2012" s="1017" t="s">
        <v>99</v>
      </c>
      <c r="C2012" s="1076" t="s">
        <v>1539</v>
      </c>
      <c r="D2012" s="1010"/>
      <c r="E2012" s="987">
        <v>218487</v>
      </c>
      <c r="F2012" s="988">
        <v>10</v>
      </c>
    </row>
    <row r="2013" spans="1:6">
      <c r="A2013" s="1075" t="s">
        <v>746</v>
      </c>
      <c r="B2013" s="1017" t="s">
        <v>99</v>
      </c>
      <c r="C2013" s="1076" t="s">
        <v>1591</v>
      </c>
      <c r="D2013" s="1010"/>
      <c r="E2013" s="987">
        <v>218487</v>
      </c>
      <c r="F2013" s="988">
        <v>10</v>
      </c>
    </row>
    <row r="2014" spans="1:6">
      <c r="A2014" s="1075" t="s">
        <v>746</v>
      </c>
      <c r="B2014" s="1017" t="s">
        <v>99</v>
      </c>
      <c r="C2014" s="1076" t="s">
        <v>1592</v>
      </c>
      <c r="D2014" s="1010"/>
      <c r="E2014" s="987">
        <v>218487</v>
      </c>
      <c r="F2014" s="988">
        <v>10</v>
      </c>
    </row>
    <row r="2015" spans="1:6">
      <c r="A2015" s="1075" t="s">
        <v>746</v>
      </c>
      <c r="B2015" s="1017" t="s">
        <v>62</v>
      </c>
      <c r="C2015" s="1082" t="s">
        <v>1593</v>
      </c>
      <c r="D2015" s="1010"/>
      <c r="E2015" s="987">
        <v>217712</v>
      </c>
      <c r="F2015" s="988">
        <v>10</v>
      </c>
    </row>
    <row r="2016" spans="1:6">
      <c r="A2016" s="1075" t="s">
        <v>746</v>
      </c>
      <c r="B2016" s="1017" t="s">
        <v>62</v>
      </c>
      <c r="C2016" s="1087" t="s">
        <v>1561</v>
      </c>
      <c r="D2016" s="1010"/>
      <c r="E2016" s="987">
        <v>217712</v>
      </c>
      <c r="F2016" s="988">
        <v>10</v>
      </c>
    </row>
    <row r="2017" spans="1:6">
      <c r="A2017" s="1075" t="s">
        <v>746</v>
      </c>
      <c r="B2017" s="1017" t="s">
        <v>62</v>
      </c>
      <c r="C2017" s="1087" t="s">
        <v>1562</v>
      </c>
      <c r="D2017" s="1010"/>
      <c r="E2017" s="987">
        <v>217712</v>
      </c>
      <c r="F2017" s="988">
        <v>10</v>
      </c>
    </row>
    <row r="2018" spans="1:6">
      <c r="A2018" s="1075" t="s">
        <v>746</v>
      </c>
      <c r="B2018" s="1017" t="s">
        <v>62</v>
      </c>
      <c r="C2018" s="1076" t="s">
        <v>1538</v>
      </c>
      <c r="D2018" s="1010"/>
      <c r="E2018" s="987">
        <v>217712</v>
      </c>
      <c r="F2018" s="988">
        <v>10</v>
      </c>
    </row>
    <row r="2019" spans="1:6">
      <c r="A2019" s="1075" t="s">
        <v>746</v>
      </c>
      <c r="B2019" s="1017" t="s">
        <v>99</v>
      </c>
      <c r="C2019" s="1077" t="s">
        <v>1070</v>
      </c>
      <c r="D2019" s="1010"/>
      <c r="E2019" s="987">
        <v>217712</v>
      </c>
      <c r="F2019" s="988">
        <v>10</v>
      </c>
    </row>
    <row r="2020" spans="1:6">
      <c r="A2020" s="1075" t="s">
        <v>746</v>
      </c>
      <c r="B2020" s="1017" t="s">
        <v>99</v>
      </c>
      <c r="C2020" s="1076" t="s">
        <v>1563</v>
      </c>
      <c r="D2020" s="1010"/>
      <c r="E2020" s="987">
        <v>217712</v>
      </c>
      <c r="F2020" s="988">
        <v>10</v>
      </c>
    </row>
    <row r="2021" spans="1:6">
      <c r="A2021" s="1075" t="s">
        <v>746</v>
      </c>
      <c r="B2021" s="1017" t="s">
        <v>99</v>
      </c>
      <c r="C2021" s="1076" t="s">
        <v>1564</v>
      </c>
      <c r="D2021" s="1010"/>
      <c r="E2021" s="987">
        <v>217712</v>
      </c>
      <c r="F2021" s="988">
        <v>10</v>
      </c>
    </row>
    <row r="2022" spans="1:6">
      <c r="A2022" s="1075" t="s">
        <v>746</v>
      </c>
      <c r="B2022" s="1017" t="s">
        <v>99</v>
      </c>
      <c r="C2022" s="1076" t="s">
        <v>1566</v>
      </c>
      <c r="D2022" s="1010"/>
      <c r="E2022" s="987">
        <v>217712</v>
      </c>
      <c r="F2022" s="988">
        <v>10</v>
      </c>
    </row>
    <row r="2023" spans="1:6">
      <c r="A2023" s="1075" t="s">
        <v>746</v>
      </c>
      <c r="B2023" s="1017" t="s">
        <v>99</v>
      </c>
      <c r="C2023" s="1076" t="s">
        <v>1567</v>
      </c>
      <c r="D2023" s="1010"/>
      <c r="E2023" s="987">
        <v>217712</v>
      </c>
      <c r="F2023" s="988">
        <v>10</v>
      </c>
    </row>
    <row r="2024" spans="1:6">
      <c r="A2024" s="1075" t="s">
        <v>746</v>
      </c>
      <c r="B2024" s="1017" t="s">
        <v>99</v>
      </c>
      <c r="C2024" s="1076" t="s">
        <v>1565</v>
      </c>
      <c r="D2024" s="1010"/>
      <c r="E2024" s="987">
        <v>217712</v>
      </c>
      <c r="F2024" s="988">
        <v>10</v>
      </c>
    </row>
    <row r="2025" spans="1:6">
      <c r="A2025" s="1075" t="s">
        <v>746</v>
      </c>
      <c r="B2025" s="1017" t="s">
        <v>99</v>
      </c>
      <c r="C2025" s="1076" t="s">
        <v>1539</v>
      </c>
      <c r="D2025" s="1010"/>
      <c r="E2025" s="987">
        <v>217712</v>
      </c>
      <c r="F2025" s="988">
        <v>10</v>
      </c>
    </row>
    <row r="2026" spans="1:6">
      <c r="A2026" s="1075" t="s">
        <v>746</v>
      </c>
      <c r="B2026" s="1017" t="s">
        <v>99</v>
      </c>
      <c r="C2026" s="1076" t="s">
        <v>1594</v>
      </c>
      <c r="D2026" s="1010"/>
      <c r="E2026" s="987">
        <v>217712</v>
      </c>
      <c r="F2026" s="988">
        <v>10</v>
      </c>
    </row>
    <row r="2027" spans="1:6">
      <c r="A2027" s="1075" t="s">
        <v>746</v>
      </c>
      <c r="B2027" s="1017" t="s">
        <v>62</v>
      </c>
      <c r="C2027" s="1082" t="s">
        <v>1595</v>
      </c>
      <c r="D2027" s="1010"/>
      <c r="E2027" s="987">
        <v>218672</v>
      </c>
      <c r="F2027" s="988">
        <v>10</v>
      </c>
    </row>
    <row r="2028" spans="1:6">
      <c r="A2028" s="1075" t="s">
        <v>746</v>
      </c>
      <c r="B2028" s="1017" t="s">
        <v>62</v>
      </c>
      <c r="C2028" s="1076" t="s">
        <v>1518</v>
      </c>
      <c r="D2028" s="1010"/>
      <c r="E2028" s="987">
        <v>218672</v>
      </c>
      <c r="F2028" s="988">
        <v>10</v>
      </c>
    </row>
    <row r="2029" spans="1:6">
      <c r="A2029" s="1075" t="s">
        <v>746</v>
      </c>
      <c r="B2029" s="1017" t="s">
        <v>62</v>
      </c>
      <c r="C2029" s="1076" t="s">
        <v>1538</v>
      </c>
      <c r="D2029" s="1010"/>
      <c r="E2029" s="987">
        <v>218672</v>
      </c>
      <c r="F2029" s="988">
        <v>10</v>
      </c>
    </row>
    <row r="2030" spans="1:6">
      <c r="A2030" s="1075" t="s">
        <v>746</v>
      </c>
      <c r="B2030" s="1017" t="s">
        <v>99</v>
      </c>
      <c r="C2030" s="1077" t="s">
        <v>1070</v>
      </c>
      <c r="D2030" s="1010"/>
      <c r="E2030" s="987">
        <v>218672</v>
      </c>
      <c r="F2030" s="988">
        <v>10</v>
      </c>
    </row>
    <row r="2031" spans="1:6">
      <c r="A2031" s="1075" t="s">
        <v>746</v>
      </c>
      <c r="B2031" s="1017" t="s">
        <v>99</v>
      </c>
      <c r="C2031" s="1076" t="s">
        <v>1523</v>
      </c>
      <c r="D2031" s="1010"/>
      <c r="E2031" s="987">
        <v>218672</v>
      </c>
      <c r="F2031" s="988">
        <v>10</v>
      </c>
    </row>
    <row r="2032" spans="1:6">
      <c r="A2032" s="1075" t="s">
        <v>746</v>
      </c>
      <c r="B2032" s="1017" t="s">
        <v>99</v>
      </c>
      <c r="C2032" s="1076" t="s">
        <v>1539</v>
      </c>
      <c r="D2032" s="1010"/>
      <c r="E2032" s="987">
        <v>218672</v>
      </c>
      <c r="F2032" s="988">
        <v>10</v>
      </c>
    </row>
    <row r="2033" spans="1:6">
      <c r="A2033" s="1075" t="s">
        <v>746</v>
      </c>
      <c r="B2033" s="1017" t="s">
        <v>62</v>
      </c>
      <c r="C2033" s="1082" t="s">
        <v>1596</v>
      </c>
      <c r="D2033" s="1010"/>
      <c r="E2033" s="987">
        <v>218681</v>
      </c>
      <c r="F2033" s="988">
        <v>10</v>
      </c>
    </row>
    <row r="2034" spans="1:6">
      <c r="A2034" s="1075" t="s">
        <v>746</v>
      </c>
      <c r="B2034" s="1017" t="s">
        <v>62</v>
      </c>
      <c r="C2034" s="1076" t="s">
        <v>1518</v>
      </c>
      <c r="D2034" s="1010"/>
      <c r="E2034" s="987">
        <v>218681</v>
      </c>
      <c r="F2034" s="988">
        <v>10</v>
      </c>
    </row>
    <row r="2035" spans="1:6">
      <c r="A2035" s="1075" t="s">
        <v>746</v>
      </c>
      <c r="B2035" s="1017" t="s">
        <v>62</v>
      </c>
      <c r="C2035" s="1076" t="s">
        <v>1538</v>
      </c>
      <c r="D2035" s="1010"/>
      <c r="E2035" s="987">
        <v>218681</v>
      </c>
      <c r="F2035" s="988">
        <v>10</v>
      </c>
    </row>
    <row r="2036" spans="1:6">
      <c r="A2036" s="1075" t="s">
        <v>746</v>
      </c>
      <c r="B2036" s="1017" t="s">
        <v>69</v>
      </c>
      <c r="C2036" s="1077" t="s">
        <v>70</v>
      </c>
      <c r="D2036" s="1010"/>
      <c r="E2036" s="987">
        <v>218681</v>
      </c>
      <c r="F2036" s="988">
        <v>10</v>
      </c>
    </row>
    <row r="2037" spans="1:6">
      <c r="A2037" s="1075" t="s">
        <v>746</v>
      </c>
      <c r="B2037" s="1017" t="s">
        <v>69</v>
      </c>
      <c r="C2037" s="1076" t="s">
        <v>1597</v>
      </c>
      <c r="D2037" s="1010"/>
      <c r="E2037" s="987">
        <v>218681</v>
      </c>
      <c r="F2037" s="988">
        <v>10</v>
      </c>
    </row>
    <row r="2038" spans="1:6">
      <c r="A2038" s="1075" t="s">
        <v>746</v>
      </c>
      <c r="B2038" s="1017" t="s">
        <v>99</v>
      </c>
      <c r="C2038" s="1077" t="s">
        <v>1070</v>
      </c>
      <c r="D2038" s="1010"/>
      <c r="E2038" s="987">
        <v>218681</v>
      </c>
      <c r="F2038" s="988">
        <v>10</v>
      </c>
    </row>
    <row r="2039" spans="1:6">
      <c r="A2039" s="1075" t="s">
        <v>746</v>
      </c>
      <c r="B2039" s="1017" t="s">
        <v>99</v>
      </c>
      <c r="C2039" s="1076" t="s">
        <v>1523</v>
      </c>
      <c r="D2039" s="1010"/>
      <c r="E2039" s="987">
        <v>218681</v>
      </c>
      <c r="F2039" s="988">
        <v>10</v>
      </c>
    </row>
    <row r="2040" spans="1:6">
      <c r="A2040" s="1075" t="s">
        <v>746</v>
      </c>
      <c r="B2040" s="1017" t="s">
        <v>99</v>
      </c>
      <c r="C2040" s="1076" t="s">
        <v>1539</v>
      </c>
      <c r="D2040" s="1010"/>
      <c r="E2040" s="987">
        <v>218681</v>
      </c>
      <c r="F2040" s="988">
        <v>10</v>
      </c>
    </row>
    <row r="2041" spans="1:6">
      <c r="A2041" s="1075" t="s">
        <v>746</v>
      </c>
      <c r="B2041" s="1017" t="s">
        <v>62</v>
      </c>
      <c r="C2041" s="1082" t="s">
        <v>1598</v>
      </c>
      <c r="D2041" s="1010"/>
      <c r="E2041" s="987">
        <v>218690</v>
      </c>
      <c r="F2041" s="988">
        <v>10</v>
      </c>
    </row>
    <row r="2042" spans="1:6">
      <c r="A2042" s="1075" t="s">
        <v>746</v>
      </c>
      <c r="B2042" s="1017" t="s">
        <v>62</v>
      </c>
      <c r="C2042" s="1076" t="s">
        <v>1518</v>
      </c>
      <c r="D2042" s="1010"/>
      <c r="E2042" s="987">
        <v>218690</v>
      </c>
      <c r="F2042" s="988">
        <v>10</v>
      </c>
    </row>
    <row r="2043" spans="1:6">
      <c r="A2043" s="1075" t="s">
        <v>746</v>
      </c>
      <c r="B2043" s="1017" t="s">
        <v>62</v>
      </c>
      <c r="C2043" s="1076" t="s">
        <v>1538</v>
      </c>
      <c r="D2043" s="1010"/>
      <c r="E2043" s="1005">
        <v>218690</v>
      </c>
      <c r="F2043" s="988">
        <v>10</v>
      </c>
    </row>
    <row r="2044" spans="1:6">
      <c r="A2044" s="1075" t="s">
        <v>746</v>
      </c>
      <c r="B2044" s="1017" t="s">
        <v>99</v>
      </c>
      <c r="C2044" s="1077" t="s">
        <v>1070</v>
      </c>
      <c r="D2044" s="1010"/>
      <c r="E2044" s="987">
        <v>218690</v>
      </c>
      <c r="F2044" s="988">
        <v>10</v>
      </c>
    </row>
    <row r="2045" spans="1:6">
      <c r="A2045" s="1075" t="s">
        <v>746</v>
      </c>
      <c r="B2045" s="1017" t="s">
        <v>99</v>
      </c>
      <c r="C2045" s="1076" t="s">
        <v>1523</v>
      </c>
      <c r="D2045" s="1010"/>
      <c r="E2045" s="987">
        <v>218690</v>
      </c>
      <c r="F2045" s="988">
        <v>10</v>
      </c>
    </row>
    <row r="2046" spans="1:6">
      <c r="A2046" s="1075" t="s">
        <v>746</v>
      </c>
      <c r="B2046" s="1017" t="s">
        <v>99</v>
      </c>
      <c r="C2046" s="1076" t="s">
        <v>1539</v>
      </c>
      <c r="D2046" s="1010"/>
      <c r="E2046" s="987">
        <v>218690</v>
      </c>
      <c r="F2046" s="988">
        <v>10</v>
      </c>
    </row>
    <row r="2047" spans="1:6">
      <c r="A2047" s="1075" t="s">
        <v>746</v>
      </c>
      <c r="B2047" s="1017" t="s">
        <v>62</v>
      </c>
      <c r="C2047" s="1082" t="s">
        <v>1599</v>
      </c>
      <c r="D2047" s="1010"/>
      <c r="E2047" s="987">
        <v>218706</v>
      </c>
      <c r="F2047" s="988">
        <v>10</v>
      </c>
    </row>
    <row r="2048" spans="1:6">
      <c r="A2048" s="1075" t="s">
        <v>746</v>
      </c>
      <c r="B2048" s="1017" t="s">
        <v>62</v>
      </c>
      <c r="C2048" s="1076" t="s">
        <v>1518</v>
      </c>
      <c r="D2048" s="1010"/>
      <c r="E2048" s="987">
        <v>218706</v>
      </c>
      <c r="F2048" s="988">
        <v>10</v>
      </c>
    </row>
    <row r="2049" spans="1:6">
      <c r="A2049" s="1075" t="s">
        <v>746</v>
      </c>
      <c r="B2049" s="1017" t="s">
        <v>62</v>
      </c>
      <c r="C2049" s="1076" t="s">
        <v>1538</v>
      </c>
      <c r="D2049" s="1010"/>
      <c r="E2049" s="987">
        <v>218706</v>
      </c>
      <c r="F2049" s="988">
        <v>10</v>
      </c>
    </row>
    <row r="2050" spans="1:6">
      <c r="A2050" s="1075" t="s">
        <v>746</v>
      </c>
      <c r="B2050" s="1017" t="s">
        <v>99</v>
      </c>
      <c r="C2050" s="1077" t="s">
        <v>1070</v>
      </c>
      <c r="D2050" s="1010"/>
      <c r="E2050" s="987">
        <v>218706</v>
      </c>
      <c r="F2050" s="988">
        <v>10</v>
      </c>
    </row>
    <row r="2051" spans="1:6">
      <c r="A2051" s="1075" t="s">
        <v>746</v>
      </c>
      <c r="B2051" s="1017" t="s">
        <v>99</v>
      </c>
      <c r="C2051" s="1076" t="s">
        <v>1600</v>
      </c>
      <c r="D2051" s="1016" t="s">
        <v>1571</v>
      </c>
      <c r="E2051" s="987">
        <v>218706</v>
      </c>
      <c r="F2051" s="988">
        <v>10</v>
      </c>
    </row>
    <row r="2052" spans="1:6">
      <c r="A2052" s="1075" t="s">
        <v>746</v>
      </c>
      <c r="B2052" s="1017" t="s">
        <v>99</v>
      </c>
      <c r="C2052" s="1076" t="s">
        <v>1523</v>
      </c>
      <c r="D2052" s="1010"/>
      <c r="E2052" s="987">
        <v>218706</v>
      </c>
      <c r="F2052" s="988">
        <v>10</v>
      </c>
    </row>
    <row r="2053" spans="1:6">
      <c r="A2053" s="1075" t="s">
        <v>746</v>
      </c>
      <c r="B2053" s="1017" t="s">
        <v>99</v>
      </c>
      <c r="C2053" s="1076" t="s">
        <v>1539</v>
      </c>
      <c r="D2053" s="1010"/>
      <c r="E2053" s="987">
        <v>218706</v>
      </c>
      <c r="F2053" s="988">
        <v>10</v>
      </c>
    </row>
    <row r="2054" spans="1:6">
      <c r="A2054" s="1075" t="s">
        <v>746</v>
      </c>
      <c r="B2054" s="1017" t="s">
        <v>99</v>
      </c>
      <c r="C2054" s="1076" t="s">
        <v>1601</v>
      </c>
      <c r="D2054" s="1010"/>
      <c r="E2054" s="987">
        <v>218706</v>
      </c>
      <c r="F2054" s="988">
        <v>10</v>
      </c>
    </row>
    <row r="2055" spans="1:6">
      <c r="A2055" s="1075" t="s">
        <v>746</v>
      </c>
      <c r="B2055" s="1017" t="s">
        <v>62</v>
      </c>
      <c r="C2055" s="1082" t="s">
        <v>1602</v>
      </c>
      <c r="D2055" s="1010"/>
      <c r="E2055" s="987">
        <v>218955</v>
      </c>
      <c r="F2055" s="988">
        <v>10</v>
      </c>
    </row>
    <row r="2056" spans="1:6">
      <c r="A2056" s="1075" t="s">
        <v>746</v>
      </c>
      <c r="B2056" s="1017" t="s">
        <v>62</v>
      </c>
      <c r="C2056" s="1087" t="s">
        <v>1561</v>
      </c>
      <c r="D2056" s="1010"/>
      <c r="E2056" s="987">
        <v>218955</v>
      </c>
      <c r="F2056" s="988">
        <v>10</v>
      </c>
    </row>
    <row r="2057" spans="1:6">
      <c r="A2057" s="1075" t="s">
        <v>746</v>
      </c>
      <c r="B2057" s="1017" t="s">
        <v>62</v>
      </c>
      <c r="C2057" s="1087" t="s">
        <v>1562</v>
      </c>
      <c r="D2057" s="1010"/>
      <c r="E2057" s="987">
        <v>218955</v>
      </c>
      <c r="F2057" s="988">
        <v>10</v>
      </c>
    </row>
    <row r="2058" spans="1:6">
      <c r="A2058" s="1075" t="s">
        <v>746</v>
      </c>
      <c r="B2058" s="1017" t="s">
        <v>62</v>
      </c>
      <c r="C2058" s="1076" t="s">
        <v>1538</v>
      </c>
      <c r="D2058" s="1010"/>
      <c r="E2058" s="987">
        <v>218955</v>
      </c>
      <c r="F2058" s="988">
        <v>10</v>
      </c>
    </row>
    <row r="2059" spans="1:6">
      <c r="A2059" s="1075" t="s">
        <v>746</v>
      </c>
      <c r="B2059" s="1017" t="s">
        <v>99</v>
      </c>
      <c r="C2059" s="1077" t="s">
        <v>1070</v>
      </c>
      <c r="D2059" s="1010"/>
      <c r="E2059" s="987">
        <v>218955</v>
      </c>
      <c r="F2059" s="988">
        <v>10</v>
      </c>
    </row>
    <row r="2060" spans="1:6">
      <c r="A2060" s="1075" t="s">
        <v>746</v>
      </c>
      <c r="B2060" s="1017" t="s">
        <v>99</v>
      </c>
      <c r="C2060" s="1076" t="s">
        <v>1563</v>
      </c>
      <c r="D2060" s="1010"/>
      <c r="E2060" s="987">
        <v>218955</v>
      </c>
      <c r="F2060" s="988">
        <v>10</v>
      </c>
    </row>
    <row r="2061" spans="1:6">
      <c r="A2061" s="1075" t="s">
        <v>746</v>
      </c>
      <c r="B2061" s="1017" t="s">
        <v>99</v>
      </c>
      <c r="C2061" s="1076" t="s">
        <v>1564</v>
      </c>
      <c r="D2061" s="1010"/>
      <c r="E2061" s="987">
        <v>218955</v>
      </c>
      <c r="F2061" s="988">
        <v>10</v>
      </c>
    </row>
    <row r="2062" spans="1:6">
      <c r="A2062" s="1075" t="s">
        <v>746</v>
      </c>
      <c r="B2062" s="1017" t="s">
        <v>99</v>
      </c>
      <c r="C2062" s="1076" t="s">
        <v>1566</v>
      </c>
      <c r="D2062" s="1010"/>
      <c r="E2062" s="987">
        <v>218955</v>
      </c>
      <c r="F2062" s="988">
        <v>10</v>
      </c>
    </row>
    <row r="2063" spans="1:6">
      <c r="A2063" s="1075" t="s">
        <v>746</v>
      </c>
      <c r="B2063" s="1017" t="s">
        <v>99</v>
      </c>
      <c r="C2063" s="1076" t="s">
        <v>1565</v>
      </c>
      <c r="D2063" s="1010"/>
      <c r="E2063" s="987">
        <v>218955</v>
      </c>
      <c r="F2063" s="988">
        <v>10</v>
      </c>
    </row>
    <row r="2064" spans="1:6">
      <c r="A2064" s="1075" t="s">
        <v>746</v>
      </c>
      <c r="B2064" s="1017" t="s">
        <v>99</v>
      </c>
      <c r="C2064" s="1076" t="s">
        <v>1539</v>
      </c>
      <c r="D2064" s="1010"/>
      <c r="E2064" s="987">
        <v>218955</v>
      </c>
      <c r="F2064" s="988">
        <v>10</v>
      </c>
    </row>
    <row r="2065" spans="1:6">
      <c r="A2065" s="1075" t="s">
        <v>746</v>
      </c>
      <c r="B2065" s="1017" t="s">
        <v>99</v>
      </c>
      <c r="C2065" s="1076" t="s">
        <v>1570</v>
      </c>
      <c r="D2065" s="1010"/>
      <c r="E2065" s="987">
        <v>218955</v>
      </c>
      <c r="F2065" s="988">
        <v>10</v>
      </c>
    </row>
    <row r="2066" spans="1:6">
      <c r="A2066" s="1075" t="s">
        <v>746</v>
      </c>
      <c r="B2066" s="1017" t="s">
        <v>99</v>
      </c>
      <c r="C2066" s="1076" t="s">
        <v>1603</v>
      </c>
      <c r="D2066" s="1010"/>
      <c r="E2066" s="987">
        <v>218955</v>
      </c>
      <c r="F2066" s="988">
        <v>10</v>
      </c>
    </row>
    <row r="2067" spans="1:6">
      <c r="A2067" s="1075" t="s">
        <v>746</v>
      </c>
      <c r="B2067" s="1017" t="s">
        <v>238</v>
      </c>
      <c r="C2067" s="1082" t="s">
        <v>1604</v>
      </c>
      <c r="D2067" s="1010"/>
      <c r="E2067" s="987">
        <v>218335</v>
      </c>
      <c r="F2067" s="988">
        <v>15</v>
      </c>
    </row>
    <row r="2068" spans="1:6">
      <c r="A2068" s="1075" t="s">
        <v>746</v>
      </c>
      <c r="B2068" s="1017" t="s">
        <v>238</v>
      </c>
      <c r="C2068" s="1076" t="s">
        <v>1518</v>
      </c>
      <c r="D2068" s="1010"/>
      <c r="E2068" s="987">
        <v>218335</v>
      </c>
      <c r="F2068" s="988">
        <v>15</v>
      </c>
    </row>
    <row r="2069" spans="1:6">
      <c r="A2069" s="1075" t="s">
        <v>746</v>
      </c>
      <c r="B2069" s="1017" t="s">
        <v>238</v>
      </c>
      <c r="C2069" s="1076" t="s">
        <v>1605</v>
      </c>
      <c r="D2069" s="1010"/>
      <c r="E2069" s="987">
        <v>218335</v>
      </c>
      <c r="F2069" s="988">
        <v>15</v>
      </c>
    </row>
    <row r="2070" spans="1:6">
      <c r="A2070" s="1075" t="s">
        <v>746</v>
      </c>
      <c r="B2070" s="1017" t="s">
        <v>238</v>
      </c>
      <c r="C2070" s="1076" t="s">
        <v>1523</v>
      </c>
      <c r="D2070" s="1010"/>
      <c r="E2070" s="987">
        <v>218335</v>
      </c>
      <c r="F2070" s="988">
        <v>15</v>
      </c>
    </row>
    <row r="2071" spans="1:6">
      <c r="A2071" s="1075" t="s">
        <v>746</v>
      </c>
      <c r="B2071" s="1017" t="s">
        <v>238</v>
      </c>
      <c r="C2071" s="1076" t="s">
        <v>1606</v>
      </c>
      <c r="D2071" s="1010"/>
      <c r="E2071" s="987">
        <v>218335</v>
      </c>
      <c r="F2071" s="988">
        <v>15</v>
      </c>
    </row>
    <row r="2072" spans="1:6">
      <c r="A2072" s="1075" t="s">
        <v>746</v>
      </c>
      <c r="B2072" s="1017" t="s">
        <v>238</v>
      </c>
      <c r="C2072" s="1076" t="s">
        <v>1607</v>
      </c>
      <c r="D2072" s="1010"/>
      <c r="E2072" s="987">
        <v>218335</v>
      </c>
      <c r="F2072" s="988">
        <v>15</v>
      </c>
    </row>
    <row r="2073" spans="1:6">
      <c r="A2073" s="1075" t="s">
        <v>746</v>
      </c>
      <c r="B2073" s="1017" t="s">
        <v>238</v>
      </c>
      <c r="C2073" s="1076" t="s">
        <v>1608</v>
      </c>
      <c r="D2073" s="1010"/>
      <c r="E2073" s="987">
        <v>218335</v>
      </c>
      <c r="F2073" s="988">
        <v>15</v>
      </c>
    </row>
    <row r="2074" spans="1:6">
      <c r="A2074" s="1075" t="s">
        <v>746</v>
      </c>
      <c r="B2074" s="1017" t="s">
        <v>238</v>
      </c>
      <c r="C2074" s="1076" t="s">
        <v>1609</v>
      </c>
      <c r="D2074" s="1010"/>
      <c r="E2074" s="987">
        <v>218335</v>
      </c>
      <c r="F2074" s="988">
        <v>15</v>
      </c>
    </row>
    <row r="2075" spans="1:6">
      <c r="A2075" s="1075" t="s">
        <v>746</v>
      </c>
      <c r="B2075" s="1017" t="s">
        <v>238</v>
      </c>
      <c r="C2075" s="1076" t="s">
        <v>1610</v>
      </c>
      <c r="D2075" s="1010"/>
      <c r="E2075" s="987">
        <v>218335</v>
      </c>
      <c r="F2075" s="988">
        <v>15</v>
      </c>
    </row>
    <row r="2076" spans="1:6">
      <c r="A2076" s="1075" t="s">
        <v>746</v>
      </c>
      <c r="B2076" s="1017" t="s">
        <v>238</v>
      </c>
      <c r="C2076" s="1076" t="s">
        <v>1611</v>
      </c>
      <c r="D2076" s="1010"/>
      <c r="E2076" s="987">
        <v>218335</v>
      </c>
      <c r="F2076" s="988">
        <v>15</v>
      </c>
    </row>
    <row r="2077" spans="1:6">
      <c r="A2077" s="1075" t="s">
        <v>746</v>
      </c>
      <c r="B2077" s="1017" t="s">
        <v>238</v>
      </c>
      <c r="C2077" s="1076" t="s">
        <v>1612</v>
      </c>
      <c r="D2077" s="1010"/>
      <c r="E2077" s="987">
        <v>218335</v>
      </c>
      <c r="F2077" s="988">
        <v>15</v>
      </c>
    </row>
    <row r="2078" spans="1:6">
      <c r="A2078" s="1075" t="s">
        <v>746</v>
      </c>
      <c r="B2078" s="1017" t="s">
        <v>238</v>
      </c>
      <c r="C2078" s="1076" t="s">
        <v>1613</v>
      </c>
      <c r="D2078" s="1010"/>
      <c r="E2078" s="987">
        <v>218335</v>
      </c>
      <c r="F2078" s="988">
        <v>15</v>
      </c>
    </row>
    <row r="2079" spans="1:6">
      <c r="A2079" s="1075" t="s">
        <v>746</v>
      </c>
      <c r="B2079" s="1017" t="s">
        <v>238</v>
      </c>
      <c r="C2079" s="1076" t="s">
        <v>1614</v>
      </c>
      <c r="D2079" s="1010"/>
      <c r="E2079" s="987">
        <v>218335</v>
      </c>
      <c r="F2079" s="988">
        <v>15</v>
      </c>
    </row>
    <row r="2080" spans="1:6">
      <c r="A2080" s="1075" t="s">
        <v>746</v>
      </c>
      <c r="B2080" s="1017" t="s">
        <v>238</v>
      </c>
      <c r="C2080" s="1076" t="s">
        <v>1615</v>
      </c>
      <c r="D2080" s="1010"/>
      <c r="E2080" s="987">
        <v>218335</v>
      </c>
      <c r="F2080" s="988">
        <v>15</v>
      </c>
    </row>
    <row r="2081" spans="1:6">
      <c r="A2081" s="1075" t="s">
        <v>746</v>
      </c>
      <c r="B2081" s="1017" t="s">
        <v>238</v>
      </c>
      <c r="C2081" s="1076" t="s">
        <v>1616</v>
      </c>
      <c r="D2081" s="1010"/>
      <c r="E2081" s="987">
        <v>218335</v>
      </c>
      <c r="F2081" s="988">
        <v>15</v>
      </c>
    </row>
    <row r="2082" spans="1:6">
      <c r="A2082" s="1075" t="s">
        <v>746</v>
      </c>
      <c r="B2082" s="1017" t="s">
        <v>238</v>
      </c>
      <c r="C2082" s="1076" t="s">
        <v>1617</v>
      </c>
      <c r="D2082" s="1010"/>
      <c r="E2082" s="987">
        <v>218335</v>
      </c>
      <c r="F2082" s="988">
        <v>15</v>
      </c>
    </row>
    <row r="2083" spans="1:6">
      <c r="A2083" s="1075" t="s">
        <v>746</v>
      </c>
      <c r="B2083" s="1017" t="s">
        <v>238</v>
      </c>
      <c r="C2083" s="1076" t="s">
        <v>1618</v>
      </c>
      <c r="D2083" s="1010"/>
      <c r="E2083" s="987">
        <v>218335</v>
      </c>
      <c r="F2083" s="988">
        <v>15</v>
      </c>
    </row>
    <row r="2084" spans="1:6">
      <c r="A2084" s="1075" t="s">
        <v>746</v>
      </c>
      <c r="B2084" s="1017" t="s">
        <v>132</v>
      </c>
      <c r="C2084" s="1093" t="s">
        <v>1071</v>
      </c>
      <c r="D2084" s="1010"/>
      <c r="E2084" s="1006"/>
      <c r="F2084" s="988">
        <v>99</v>
      </c>
    </row>
    <row r="2085" spans="1:6">
      <c r="A2085" s="1075" t="s">
        <v>746</v>
      </c>
      <c r="B2085" s="1017" t="s">
        <v>132</v>
      </c>
      <c r="C2085" s="1076" t="s">
        <v>1619</v>
      </c>
      <c r="D2085" s="1010"/>
      <c r="E2085" s="1018"/>
      <c r="F2085" s="988">
        <v>99</v>
      </c>
    </row>
    <row r="2086" spans="1:6">
      <c r="A2086" s="1075" t="s">
        <v>746</v>
      </c>
      <c r="B2086" s="1017" t="s">
        <v>132</v>
      </c>
      <c r="C2086" s="1076" t="s">
        <v>1620</v>
      </c>
      <c r="D2086" s="1010"/>
      <c r="E2086" s="1018"/>
      <c r="F2086" s="988">
        <v>99</v>
      </c>
    </row>
    <row r="2087" spans="1:6">
      <c r="A2087" s="1075" t="s">
        <v>746</v>
      </c>
      <c r="B2087" s="1017" t="s">
        <v>132</v>
      </c>
      <c r="C2087" s="1076" t="s">
        <v>1621</v>
      </c>
      <c r="D2087" s="1010"/>
      <c r="E2087" s="1018"/>
      <c r="F2087" s="988">
        <v>99</v>
      </c>
    </row>
    <row r="2088" spans="1:6">
      <c r="A2088" s="1075" t="s">
        <v>746</v>
      </c>
      <c r="B2088" s="1017" t="s">
        <v>132</v>
      </c>
      <c r="C2088" s="1076" t="s">
        <v>1622</v>
      </c>
      <c r="D2088" s="1010"/>
      <c r="E2088" s="1018"/>
      <c r="F2088" s="988">
        <v>99</v>
      </c>
    </row>
    <row r="2089" spans="1:6">
      <c r="A2089" s="1075" t="s">
        <v>746</v>
      </c>
      <c r="B2089" s="1017" t="s">
        <v>132</v>
      </c>
      <c r="C2089" s="1076" t="s">
        <v>1623</v>
      </c>
      <c r="D2089" s="1010"/>
      <c r="E2089" s="1006"/>
      <c r="F2089" s="988">
        <v>99</v>
      </c>
    </row>
    <row r="2090" spans="1:6">
      <c r="A2090" s="1075" t="s">
        <v>746</v>
      </c>
      <c r="B2090" s="1017" t="s">
        <v>132</v>
      </c>
      <c r="C2090" s="1076" t="s">
        <v>1551</v>
      </c>
      <c r="D2090" s="1010"/>
      <c r="E2090" s="1006"/>
      <c r="F2090" s="988">
        <v>99</v>
      </c>
    </row>
    <row r="2091" spans="1:6">
      <c r="A2091" s="1075" t="s">
        <v>746</v>
      </c>
      <c r="B2091" s="1017" t="s">
        <v>132</v>
      </c>
      <c r="C2091" s="1080" t="s">
        <v>1624</v>
      </c>
      <c r="D2091" s="1010"/>
      <c r="E2091" s="1006"/>
      <c r="F2091" s="988">
        <v>99</v>
      </c>
    </row>
    <row r="2092" spans="1:6">
      <c r="A2092" s="1075" t="s">
        <v>746</v>
      </c>
      <c r="B2092" s="1017" t="s">
        <v>138</v>
      </c>
      <c r="C2092" s="1093" t="s">
        <v>139</v>
      </c>
      <c r="D2092" s="1010"/>
      <c r="E2092" s="1006"/>
      <c r="F2092" s="988">
        <v>99</v>
      </c>
    </row>
    <row r="2093" spans="1:6">
      <c r="A2093" s="1075" t="s">
        <v>746</v>
      </c>
      <c r="B2093" s="1017" t="s">
        <v>140</v>
      </c>
      <c r="C2093" s="1077" t="s">
        <v>141</v>
      </c>
      <c r="D2093" s="1010"/>
      <c r="E2093" s="1006"/>
      <c r="F2093" s="988">
        <v>99</v>
      </c>
    </row>
    <row r="2094" spans="1:6">
      <c r="A2094" s="1075" t="s">
        <v>746</v>
      </c>
      <c r="B2094" s="1017" t="s">
        <v>140</v>
      </c>
      <c r="C2094" s="1076" t="s">
        <v>1625</v>
      </c>
      <c r="D2094" s="1010"/>
      <c r="E2094" s="1006"/>
      <c r="F2094" s="988">
        <v>99</v>
      </c>
    </row>
    <row r="2095" spans="1:6">
      <c r="A2095" s="1075" t="s">
        <v>746</v>
      </c>
      <c r="B2095" s="1017" t="s">
        <v>140</v>
      </c>
      <c r="C2095" s="1076" t="s">
        <v>1626</v>
      </c>
      <c r="D2095" s="1010"/>
      <c r="E2095" s="1006"/>
      <c r="F2095" s="988">
        <v>99</v>
      </c>
    </row>
    <row r="2096" spans="1:6">
      <c r="A2096" s="1075" t="s">
        <v>746</v>
      </c>
      <c r="B2096" s="1017" t="s">
        <v>140</v>
      </c>
      <c r="C2096" s="1076" t="s">
        <v>1627</v>
      </c>
      <c r="D2096" s="1010"/>
      <c r="E2096" s="1006"/>
      <c r="F2096" s="988">
        <v>99</v>
      </c>
    </row>
    <row r="2097" spans="1:6">
      <c r="A2097" s="1075" t="s">
        <v>746</v>
      </c>
      <c r="B2097" s="1017" t="s">
        <v>140</v>
      </c>
      <c r="C2097" s="1076" t="s">
        <v>1628</v>
      </c>
      <c r="D2097" s="1010"/>
      <c r="E2097" s="1006"/>
      <c r="F2097" s="988">
        <v>99</v>
      </c>
    </row>
    <row r="2098" spans="1:6">
      <c r="A2098" s="1075" t="s">
        <v>746</v>
      </c>
      <c r="B2098" s="1017" t="s">
        <v>142</v>
      </c>
      <c r="C2098" s="1077" t="s">
        <v>143</v>
      </c>
      <c r="D2098" s="1010"/>
      <c r="E2098" s="1006"/>
      <c r="F2098" s="988">
        <v>99</v>
      </c>
    </row>
    <row r="2099" spans="1:6">
      <c r="A2099" s="1075" t="s">
        <v>746</v>
      </c>
      <c r="B2099" s="1017" t="s">
        <v>142</v>
      </c>
      <c r="C2099" s="1076" t="s">
        <v>1629</v>
      </c>
      <c r="D2099" s="1010"/>
      <c r="E2099" s="1006"/>
      <c r="F2099" s="988">
        <v>99</v>
      </c>
    </row>
    <row r="2100" spans="1:6">
      <c r="A2100" s="1075" t="s">
        <v>746</v>
      </c>
      <c r="B2100" s="1017" t="s">
        <v>142</v>
      </c>
      <c r="C2100" s="1076" t="s">
        <v>1538</v>
      </c>
      <c r="D2100" s="1010"/>
      <c r="E2100" s="1006"/>
      <c r="F2100" s="988">
        <v>99</v>
      </c>
    </row>
    <row r="2101" spans="1:6">
      <c r="A2101" s="1075" t="s">
        <v>746</v>
      </c>
      <c r="B2101" s="1017" t="s">
        <v>142</v>
      </c>
      <c r="C2101" s="1076" t="s">
        <v>1630</v>
      </c>
      <c r="D2101" s="1010"/>
      <c r="E2101" s="1006"/>
      <c r="F2101" s="988">
        <v>99</v>
      </c>
    </row>
    <row r="2102" spans="1:6">
      <c r="A2102" s="1075" t="s">
        <v>746</v>
      </c>
      <c r="B2102" s="1017" t="s">
        <v>142</v>
      </c>
      <c r="C2102" s="1076" t="s">
        <v>1631</v>
      </c>
      <c r="D2102" s="1010"/>
      <c r="E2102" s="1006"/>
      <c r="F2102" s="988">
        <v>99</v>
      </c>
    </row>
    <row r="2103" spans="1:6">
      <c r="A2103" s="1075" t="s">
        <v>746</v>
      </c>
      <c r="B2103" s="1017" t="s">
        <v>142</v>
      </c>
      <c r="C2103" s="1076" t="s">
        <v>1632</v>
      </c>
      <c r="D2103" s="1010"/>
      <c r="E2103" s="1006"/>
      <c r="F2103" s="988">
        <v>99</v>
      </c>
    </row>
    <row r="2104" spans="1:6">
      <c r="A2104" s="1075" t="s">
        <v>746</v>
      </c>
      <c r="B2104" s="1017" t="s">
        <v>145</v>
      </c>
      <c r="C2104" s="1076" t="s">
        <v>1633</v>
      </c>
      <c r="D2104" s="1010"/>
      <c r="E2104" s="1006"/>
      <c r="F2104" s="988">
        <v>99</v>
      </c>
    </row>
    <row r="2105" spans="1:6">
      <c r="A2105" s="1075" t="s">
        <v>746</v>
      </c>
      <c r="B2105" s="1017" t="s">
        <v>145</v>
      </c>
      <c r="C2105" s="1076" t="s">
        <v>1634</v>
      </c>
      <c r="D2105" s="1010"/>
      <c r="E2105" s="1006"/>
      <c r="F2105" s="988">
        <v>99</v>
      </c>
    </row>
    <row r="2106" spans="1:6">
      <c r="A2106" s="1075" t="s">
        <v>746</v>
      </c>
      <c r="B2106" s="1017" t="s">
        <v>145</v>
      </c>
      <c r="C2106" s="1077" t="s">
        <v>146</v>
      </c>
      <c r="D2106" s="1010"/>
      <c r="E2106" s="1006"/>
      <c r="F2106" s="988">
        <v>99</v>
      </c>
    </row>
    <row r="2107" spans="1:6">
      <c r="A2107" s="1075" t="s">
        <v>746</v>
      </c>
      <c r="B2107" s="1017" t="s">
        <v>145</v>
      </c>
      <c r="C2107" s="1076" t="s">
        <v>304</v>
      </c>
      <c r="D2107" s="1010"/>
      <c r="E2107" s="1006"/>
      <c r="F2107" s="988">
        <v>99</v>
      </c>
    </row>
    <row r="2108" spans="1:6">
      <c r="A2108" s="1075" t="s">
        <v>746</v>
      </c>
      <c r="B2108" s="1017" t="s">
        <v>149</v>
      </c>
      <c r="C2108" s="1077" t="s">
        <v>247</v>
      </c>
      <c r="D2108" s="1010"/>
      <c r="E2108" s="1006"/>
      <c r="F2108" s="988">
        <v>99</v>
      </c>
    </row>
    <row r="2109" spans="1:6">
      <c r="A2109" s="1075" t="s">
        <v>746</v>
      </c>
      <c r="B2109" s="1017" t="s">
        <v>151</v>
      </c>
      <c r="C2109" s="1093" t="s">
        <v>152</v>
      </c>
      <c r="D2109" s="1010"/>
      <c r="E2109" s="1006"/>
      <c r="F2109" s="988">
        <v>99</v>
      </c>
    </row>
    <row r="2110" spans="1:6">
      <c r="A2110" s="1075" t="s">
        <v>746</v>
      </c>
      <c r="B2110" s="1017" t="s">
        <v>151</v>
      </c>
      <c r="C2110" s="1076" t="s">
        <v>1635</v>
      </c>
      <c r="D2110" s="1010"/>
      <c r="E2110" s="1018"/>
      <c r="F2110" s="988">
        <v>99</v>
      </c>
    </row>
    <row r="2111" spans="1:6">
      <c r="A2111" s="1075" t="s">
        <v>746</v>
      </c>
      <c r="B2111" s="1017" t="s">
        <v>151</v>
      </c>
      <c r="C2111" s="1076" t="s">
        <v>1636</v>
      </c>
      <c r="D2111" s="1010"/>
      <c r="E2111" s="1018"/>
      <c r="F2111" s="988">
        <v>99</v>
      </c>
    </row>
    <row r="2112" spans="1:6">
      <c r="A2112" s="1075" t="s">
        <v>746</v>
      </c>
      <c r="B2112" s="1017" t="s">
        <v>248</v>
      </c>
      <c r="C2112" s="1093" t="s">
        <v>249</v>
      </c>
      <c r="D2112" s="1010"/>
      <c r="E2112" s="1006"/>
      <c r="F2112" s="988">
        <v>99</v>
      </c>
    </row>
    <row r="2113" spans="1:6">
      <c r="A2113" s="1075" t="s">
        <v>746</v>
      </c>
      <c r="B2113" s="1017" t="s">
        <v>250</v>
      </c>
      <c r="C2113" s="1077" t="s">
        <v>251</v>
      </c>
      <c r="D2113" s="1010"/>
      <c r="E2113" s="1006"/>
      <c r="F2113" s="988">
        <v>99</v>
      </c>
    </row>
    <row r="2114" spans="1:6">
      <c r="A2114" s="1075" t="s">
        <v>746</v>
      </c>
      <c r="B2114" s="1017" t="s">
        <v>250</v>
      </c>
      <c r="C2114" s="1076" t="s">
        <v>483</v>
      </c>
      <c r="D2114" s="1010"/>
      <c r="E2114" s="1006"/>
      <c r="F2114" s="988">
        <v>99</v>
      </c>
    </row>
    <row r="2115" spans="1:6">
      <c r="A2115" s="1075" t="s">
        <v>746</v>
      </c>
      <c r="B2115" s="1017" t="s">
        <v>250</v>
      </c>
      <c r="C2115" s="1076" t="s">
        <v>255</v>
      </c>
      <c r="D2115" s="1010"/>
      <c r="E2115" s="1006"/>
      <c r="F2115" s="988">
        <v>99</v>
      </c>
    </row>
    <row r="2116" spans="1:6">
      <c r="A2116" s="1075" t="s">
        <v>746</v>
      </c>
      <c r="B2116" s="1017" t="s">
        <v>258</v>
      </c>
      <c r="C2116" s="1077" t="s">
        <v>259</v>
      </c>
      <c r="D2116" s="1010"/>
      <c r="E2116" s="1006"/>
      <c r="F2116" s="988">
        <v>99</v>
      </c>
    </row>
    <row r="2117" spans="1:6">
      <c r="A2117" s="1075" t="s">
        <v>746</v>
      </c>
      <c r="B2117" s="1017" t="s">
        <v>258</v>
      </c>
      <c r="C2117" s="1076" t="s">
        <v>485</v>
      </c>
      <c r="D2117" s="1010"/>
      <c r="E2117" s="1006"/>
      <c r="F2117" s="988">
        <v>99</v>
      </c>
    </row>
    <row r="2118" spans="1:6">
      <c r="A2118" s="1075" t="s">
        <v>746</v>
      </c>
      <c r="B2118" s="1017" t="s">
        <v>258</v>
      </c>
      <c r="C2118" s="1076" t="s">
        <v>1637</v>
      </c>
      <c r="D2118" s="1010"/>
      <c r="E2118" s="1006"/>
      <c r="F2118" s="988">
        <v>99</v>
      </c>
    </row>
    <row r="2119" spans="1:6">
      <c r="A2119" s="1075" t="s">
        <v>746</v>
      </c>
      <c r="B2119" s="1017" t="s">
        <v>258</v>
      </c>
      <c r="C2119" s="1076" t="s">
        <v>261</v>
      </c>
      <c r="D2119" s="1010"/>
      <c r="E2119" s="1006"/>
      <c r="F2119" s="988">
        <v>99</v>
      </c>
    </row>
    <row r="2120" spans="1:6">
      <c r="A2120" s="1075" t="s">
        <v>746</v>
      </c>
      <c r="B2120" s="1017" t="s">
        <v>258</v>
      </c>
      <c r="C2120" s="1076" t="s">
        <v>1638</v>
      </c>
      <c r="D2120" s="1010"/>
      <c r="E2120" s="1006"/>
      <c r="F2120" s="988">
        <v>99</v>
      </c>
    </row>
    <row r="2121" spans="1:6">
      <c r="A2121" s="1075" t="s">
        <v>746</v>
      </c>
      <c r="B2121" s="1017" t="s">
        <v>157</v>
      </c>
      <c r="C2121" s="1077" t="s">
        <v>158</v>
      </c>
      <c r="D2121" s="1010"/>
      <c r="E2121" s="1006"/>
      <c r="F2121" s="988">
        <v>99</v>
      </c>
    </row>
    <row r="2122" spans="1:6">
      <c r="A2122" s="1075" t="s">
        <v>746</v>
      </c>
      <c r="B2122" s="1017" t="s">
        <v>157</v>
      </c>
      <c r="C2122" s="1076" t="s">
        <v>1639</v>
      </c>
      <c r="D2122" s="1010"/>
      <c r="E2122" s="1006"/>
      <c r="F2122" s="988">
        <v>99</v>
      </c>
    </row>
    <row r="2123" spans="1:6">
      <c r="A2123" s="1075" t="s">
        <v>746</v>
      </c>
      <c r="B2123" s="1017" t="s">
        <v>159</v>
      </c>
      <c r="C2123" s="1093" t="s">
        <v>160</v>
      </c>
      <c r="D2123" s="1010"/>
      <c r="E2123" s="1006"/>
      <c r="F2123" s="988">
        <v>99</v>
      </c>
    </row>
    <row r="2124" spans="1:6">
      <c r="A2124" s="1075" t="s">
        <v>746</v>
      </c>
      <c r="B2124" s="1017" t="s">
        <v>161</v>
      </c>
      <c r="C2124" s="1084" t="s">
        <v>162</v>
      </c>
      <c r="D2124" s="1010"/>
      <c r="E2124" s="1006"/>
      <c r="F2124" s="988">
        <v>99</v>
      </c>
    </row>
    <row r="2125" spans="1:6">
      <c r="A2125" s="1075" t="s">
        <v>746</v>
      </c>
      <c r="B2125" s="1017" t="s">
        <v>161</v>
      </c>
      <c r="C2125" s="1094" t="s">
        <v>1640</v>
      </c>
      <c r="D2125" s="1010"/>
      <c r="E2125" s="1006"/>
      <c r="F2125" s="988">
        <v>99</v>
      </c>
    </row>
    <row r="2126" spans="1:6">
      <c r="A2126" s="1075" t="s">
        <v>746</v>
      </c>
      <c r="B2126" s="1014" t="s">
        <v>170</v>
      </c>
      <c r="C2126" s="1076" t="s">
        <v>171</v>
      </c>
      <c r="D2126" s="1010"/>
      <c r="E2126" s="1018"/>
      <c r="F2126" s="988">
        <v>99</v>
      </c>
    </row>
    <row r="2127" spans="1:6">
      <c r="A2127" s="1075" t="s">
        <v>746</v>
      </c>
      <c r="B2127" s="1014" t="s">
        <v>172</v>
      </c>
      <c r="C2127" s="1076" t="s">
        <v>165</v>
      </c>
      <c r="D2127" s="1010"/>
      <c r="E2127" s="1018"/>
      <c r="F2127" s="988">
        <v>99</v>
      </c>
    </row>
    <row r="2128" spans="1:6">
      <c r="A2128" s="1075" t="s">
        <v>746</v>
      </c>
      <c r="B2128" s="1014" t="s">
        <v>173</v>
      </c>
      <c r="C2128" s="1076" t="s">
        <v>167</v>
      </c>
      <c r="D2128" s="1010"/>
      <c r="E2128" s="1018"/>
      <c r="F2128" s="988">
        <v>99</v>
      </c>
    </row>
    <row r="2129" spans="1:6">
      <c r="A2129" s="1075" t="s">
        <v>746</v>
      </c>
      <c r="B2129" s="1014" t="s">
        <v>176</v>
      </c>
      <c r="C2129" s="1076" t="s">
        <v>177</v>
      </c>
      <c r="D2129" s="1010"/>
      <c r="E2129" s="1018"/>
      <c r="F2129" s="988">
        <v>99</v>
      </c>
    </row>
    <row r="2130" spans="1:6">
      <c r="A2130" s="1075" t="s">
        <v>746</v>
      </c>
      <c r="B2130" s="1014" t="s">
        <v>180</v>
      </c>
      <c r="C2130" s="1076" t="s">
        <v>165</v>
      </c>
      <c r="D2130" s="1010"/>
      <c r="E2130" s="1018"/>
      <c r="F2130" s="988">
        <v>99</v>
      </c>
    </row>
    <row r="2131" spans="1:6">
      <c r="A2131" s="1075" t="s">
        <v>746</v>
      </c>
      <c r="B2131" s="1014" t="s">
        <v>178</v>
      </c>
      <c r="C2131" s="1076" t="s">
        <v>167</v>
      </c>
      <c r="D2131" s="1010"/>
      <c r="E2131" s="1018"/>
      <c r="F2131" s="988">
        <v>99</v>
      </c>
    </row>
    <row r="2132" spans="1:6">
      <c r="A2132" s="1075" t="s">
        <v>746</v>
      </c>
      <c r="B2132" s="1017" t="s">
        <v>161</v>
      </c>
      <c r="C2132" s="1094" t="s">
        <v>1641</v>
      </c>
      <c r="D2132" s="1010"/>
      <c r="E2132" s="1006"/>
      <c r="F2132" s="988">
        <v>99</v>
      </c>
    </row>
    <row r="2133" spans="1:6">
      <c r="A2133" s="1075" t="s">
        <v>746</v>
      </c>
      <c r="B2133" s="1014" t="s">
        <v>170</v>
      </c>
      <c r="C2133" s="1076" t="s">
        <v>171</v>
      </c>
      <c r="D2133" s="1010"/>
      <c r="E2133" s="1018"/>
      <c r="F2133" s="988">
        <v>99</v>
      </c>
    </row>
    <row r="2134" spans="1:6">
      <c r="A2134" s="1075" t="s">
        <v>746</v>
      </c>
      <c r="B2134" s="1014" t="s">
        <v>172</v>
      </c>
      <c r="C2134" s="1076" t="s">
        <v>165</v>
      </c>
      <c r="D2134" s="1010"/>
      <c r="E2134" s="1018"/>
      <c r="F2134" s="988">
        <v>99</v>
      </c>
    </row>
    <row r="2135" spans="1:6">
      <c r="A2135" s="1075" t="s">
        <v>746</v>
      </c>
      <c r="B2135" s="1014" t="s">
        <v>173</v>
      </c>
      <c r="C2135" s="1076" t="s">
        <v>167</v>
      </c>
      <c r="D2135" s="1010"/>
      <c r="E2135" s="1018"/>
      <c r="F2135" s="988">
        <v>99</v>
      </c>
    </row>
    <row r="2136" spans="1:6">
      <c r="A2136" s="1075" t="s">
        <v>746</v>
      </c>
      <c r="B2136" s="1014" t="s">
        <v>176</v>
      </c>
      <c r="C2136" s="1076" t="s">
        <v>177</v>
      </c>
      <c r="D2136" s="1010"/>
      <c r="E2136" s="1018"/>
      <c r="F2136" s="988">
        <v>99</v>
      </c>
    </row>
    <row r="2137" spans="1:6">
      <c r="A2137" s="1075" t="s">
        <v>746</v>
      </c>
      <c r="B2137" s="1014" t="s">
        <v>180</v>
      </c>
      <c r="C2137" s="1076" t="s">
        <v>165</v>
      </c>
      <c r="D2137" s="1010"/>
      <c r="E2137" s="1018"/>
      <c r="F2137" s="988">
        <v>99</v>
      </c>
    </row>
    <row r="2138" spans="1:6">
      <c r="A2138" s="1075" t="s">
        <v>746</v>
      </c>
      <c r="B2138" s="1014" t="s">
        <v>178</v>
      </c>
      <c r="C2138" s="1076" t="s">
        <v>167</v>
      </c>
      <c r="D2138" s="1010"/>
      <c r="E2138" s="1018"/>
      <c r="F2138" s="988">
        <v>99</v>
      </c>
    </row>
    <row r="2139" spans="1:6">
      <c r="A2139" s="1075" t="s">
        <v>746</v>
      </c>
      <c r="B2139" s="1017" t="s">
        <v>161</v>
      </c>
      <c r="C2139" s="1094" t="s">
        <v>1642</v>
      </c>
      <c r="D2139" s="1010"/>
      <c r="E2139" s="1006"/>
      <c r="F2139" s="988">
        <v>99</v>
      </c>
    </row>
    <row r="2140" spans="1:6">
      <c r="A2140" s="1075" t="s">
        <v>746</v>
      </c>
      <c r="B2140" s="1014" t="s">
        <v>170</v>
      </c>
      <c r="C2140" s="1076" t="s">
        <v>171</v>
      </c>
      <c r="D2140" s="1010"/>
      <c r="E2140" s="1018"/>
      <c r="F2140" s="988">
        <v>99</v>
      </c>
    </row>
    <row r="2141" spans="1:6">
      <c r="A2141" s="1075" t="s">
        <v>746</v>
      </c>
      <c r="B2141" s="1014" t="s">
        <v>172</v>
      </c>
      <c r="C2141" s="1076" t="s">
        <v>165</v>
      </c>
      <c r="D2141" s="1010"/>
      <c r="E2141" s="1018"/>
      <c r="F2141" s="988">
        <v>99</v>
      </c>
    </row>
    <row r="2142" spans="1:6">
      <c r="A2142" s="1075" t="s">
        <v>746</v>
      </c>
      <c r="B2142" s="1014" t="s">
        <v>173</v>
      </c>
      <c r="C2142" s="1076" t="s">
        <v>167</v>
      </c>
      <c r="D2142" s="1010"/>
      <c r="E2142" s="1018"/>
      <c r="F2142" s="988">
        <v>99</v>
      </c>
    </row>
    <row r="2143" spans="1:6">
      <c r="A2143" s="1075" t="s">
        <v>746</v>
      </c>
      <c r="B2143" s="1014" t="s">
        <v>176</v>
      </c>
      <c r="C2143" s="1076" t="s">
        <v>177</v>
      </c>
      <c r="D2143" s="1010"/>
      <c r="E2143" s="1018"/>
      <c r="F2143" s="988">
        <v>99</v>
      </c>
    </row>
    <row r="2144" spans="1:6">
      <c r="A2144" s="1075" t="s">
        <v>746</v>
      </c>
      <c r="B2144" s="1014" t="s">
        <v>180</v>
      </c>
      <c r="C2144" s="1076" t="s">
        <v>165</v>
      </c>
      <c r="D2144" s="1010"/>
      <c r="E2144" s="1018"/>
      <c r="F2144" s="988">
        <v>99</v>
      </c>
    </row>
    <row r="2145" spans="1:6">
      <c r="A2145" s="1075" t="s">
        <v>746</v>
      </c>
      <c r="B2145" s="1014" t="s">
        <v>178</v>
      </c>
      <c r="C2145" s="1076" t="s">
        <v>167</v>
      </c>
      <c r="D2145" s="1010"/>
      <c r="E2145" s="1018"/>
      <c r="F2145" s="988">
        <v>99</v>
      </c>
    </row>
    <row r="2146" spans="1:6">
      <c r="A2146" s="1075" t="s">
        <v>746</v>
      </c>
      <c r="B2146" s="1017" t="s">
        <v>161</v>
      </c>
      <c r="C2146" s="1094" t="s">
        <v>1643</v>
      </c>
      <c r="D2146" s="1010"/>
      <c r="E2146" s="1006"/>
      <c r="F2146" s="988">
        <v>99</v>
      </c>
    </row>
    <row r="2147" spans="1:6">
      <c r="A2147" s="1075" t="s">
        <v>746</v>
      </c>
      <c r="B2147" s="1014" t="s">
        <v>170</v>
      </c>
      <c r="C2147" s="1076" t="s">
        <v>171</v>
      </c>
      <c r="D2147" s="1010"/>
      <c r="E2147" s="1018"/>
      <c r="F2147" s="988">
        <v>99</v>
      </c>
    </row>
    <row r="2148" spans="1:6">
      <c r="A2148" s="1075" t="s">
        <v>746</v>
      </c>
      <c r="B2148" s="1014" t="s">
        <v>172</v>
      </c>
      <c r="C2148" s="1076" t="s">
        <v>165</v>
      </c>
      <c r="D2148" s="1010"/>
      <c r="E2148" s="1018"/>
      <c r="F2148" s="988">
        <v>99</v>
      </c>
    </row>
    <row r="2149" spans="1:6">
      <c r="A2149" s="1075" t="s">
        <v>746</v>
      </c>
      <c r="B2149" s="1014" t="s">
        <v>173</v>
      </c>
      <c r="C2149" s="1076" t="s">
        <v>167</v>
      </c>
      <c r="D2149" s="1010"/>
      <c r="E2149" s="1018"/>
      <c r="F2149" s="988">
        <v>99</v>
      </c>
    </row>
    <row r="2150" spans="1:6">
      <c r="A2150" s="1075" t="s">
        <v>746</v>
      </c>
      <c r="B2150" s="1014" t="s">
        <v>176</v>
      </c>
      <c r="C2150" s="1076" t="s">
        <v>177</v>
      </c>
      <c r="D2150" s="1010"/>
      <c r="E2150" s="1018"/>
      <c r="F2150" s="988">
        <v>99</v>
      </c>
    </row>
    <row r="2151" spans="1:6">
      <c r="A2151" s="1075" t="s">
        <v>746</v>
      </c>
      <c r="B2151" s="1014" t="s">
        <v>180</v>
      </c>
      <c r="C2151" s="1076" t="s">
        <v>165</v>
      </c>
      <c r="D2151" s="1010"/>
      <c r="E2151" s="1018"/>
      <c r="F2151" s="988">
        <v>99</v>
      </c>
    </row>
    <row r="2152" spans="1:6">
      <c r="A2152" s="1075" t="s">
        <v>746</v>
      </c>
      <c r="B2152" s="1014" t="s">
        <v>178</v>
      </c>
      <c r="C2152" s="1076" t="s">
        <v>167</v>
      </c>
      <c r="D2152" s="1010"/>
      <c r="E2152" s="1018"/>
      <c r="F2152" s="988">
        <v>99</v>
      </c>
    </row>
    <row r="2153" spans="1:6">
      <c r="A2153" s="1075" t="s">
        <v>746</v>
      </c>
      <c r="B2153" s="1017" t="s">
        <v>161</v>
      </c>
      <c r="C2153" s="1094" t="s">
        <v>1644</v>
      </c>
      <c r="D2153" s="1010"/>
      <c r="E2153" s="1006"/>
      <c r="F2153" s="988">
        <v>99</v>
      </c>
    </row>
    <row r="2154" spans="1:6">
      <c r="A2154" s="1075" t="s">
        <v>746</v>
      </c>
      <c r="B2154" s="1014" t="s">
        <v>170</v>
      </c>
      <c r="C2154" s="1076" t="s">
        <v>171</v>
      </c>
      <c r="D2154" s="1010"/>
      <c r="E2154" s="1018"/>
      <c r="F2154" s="988">
        <v>99</v>
      </c>
    </row>
    <row r="2155" spans="1:6">
      <c r="A2155" s="1075" t="s">
        <v>746</v>
      </c>
      <c r="B2155" s="1014" t="s">
        <v>172</v>
      </c>
      <c r="C2155" s="1076" t="s">
        <v>165</v>
      </c>
      <c r="D2155" s="1010"/>
      <c r="E2155" s="1018"/>
      <c r="F2155" s="988">
        <v>99</v>
      </c>
    </row>
    <row r="2156" spans="1:6">
      <c r="A2156" s="1075" t="s">
        <v>746</v>
      </c>
      <c r="B2156" s="1014" t="s">
        <v>173</v>
      </c>
      <c r="C2156" s="1076" t="s">
        <v>167</v>
      </c>
      <c r="D2156" s="1010"/>
      <c r="E2156" s="1018"/>
      <c r="F2156" s="988">
        <v>99</v>
      </c>
    </row>
    <row r="2157" spans="1:6">
      <c r="A2157" s="1075" t="s">
        <v>746</v>
      </c>
      <c r="B2157" s="1014" t="s">
        <v>176</v>
      </c>
      <c r="C2157" s="1076" t="s">
        <v>177</v>
      </c>
      <c r="D2157" s="1010"/>
      <c r="E2157" s="1018"/>
      <c r="F2157" s="988">
        <v>99</v>
      </c>
    </row>
    <row r="2158" spans="1:6">
      <c r="A2158" s="1075" t="s">
        <v>746</v>
      </c>
      <c r="B2158" s="1014" t="s">
        <v>180</v>
      </c>
      <c r="C2158" s="1076" t="s">
        <v>165</v>
      </c>
      <c r="D2158" s="1010"/>
      <c r="E2158" s="1018"/>
      <c r="F2158" s="988">
        <v>99</v>
      </c>
    </row>
    <row r="2159" spans="1:6">
      <c r="A2159" s="1075" t="s">
        <v>746</v>
      </c>
      <c r="B2159" s="1014" t="s">
        <v>178</v>
      </c>
      <c r="C2159" s="1076" t="s">
        <v>167</v>
      </c>
      <c r="D2159" s="1010"/>
      <c r="E2159" s="1018"/>
      <c r="F2159" s="988">
        <v>99</v>
      </c>
    </row>
    <row r="2160" spans="1:6">
      <c r="A2160" s="1075" t="s">
        <v>746</v>
      </c>
      <c r="B2160" s="1014" t="s">
        <v>161</v>
      </c>
      <c r="C2160" s="1094" t="s">
        <v>1645</v>
      </c>
      <c r="D2160" s="1010"/>
      <c r="E2160" s="1018"/>
      <c r="F2160" s="988">
        <v>99</v>
      </c>
    </row>
    <row r="2161" spans="1:6">
      <c r="A2161" s="1075" t="s">
        <v>746</v>
      </c>
      <c r="B2161" s="1014" t="s">
        <v>170</v>
      </c>
      <c r="C2161" s="1076" t="s">
        <v>171</v>
      </c>
      <c r="D2161" s="1010"/>
      <c r="E2161" s="1018"/>
      <c r="F2161" s="988">
        <v>99</v>
      </c>
    </row>
    <row r="2162" spans="1:6">
      <c r="A2162" s="1075" t="s">
        <v>746</v>
      </c>
      <c r="B2162" s="1014" t="s">
        <v>172</v>
      </c>
      <c r="C2162" s="1076" t="s">
        <v>165</v>
      </c>
      <c r="D2162" s="1010"/>
      <c r="E2162" s="1018"/>
      <c r="F2162" s="988">
        <v>99</v>
      </c>
    </row>
    <row r="2163" spans="1:6">
      <c r="A2163" s="1075" t="s">
        <v>746</v>
      </c>
      <c r="B2163" s="1014" t="s">
        <v>173</v>
      </c>
      <c r="C2163" s="1076" t="s">
        <v>167</v>
      </c>
      <c r="D2163" s="1010"/>
      <c r="E2163" s="1018"/>
      <c r="F2163" s="988">
        <v>99</v>
      </c>
    </row>
    <row r="2164" spans="1:6">
      <c r="A2164" s="1075" t="s">
        <v>746</v>
      </c>
      <c r="B2164" s="1014" t="s">
        <v>176</v>
      </c>
      <c r="C2164" s="1076" t="s">
        <v>177</v>
      </c>
      <c r="D2164" s="1010"/>
      <c r="E2164" s="1018"/>
      <c r="F2164" s="988">
        <v>99</v>
      </c>
    </row>
    <row r="2165" spans="1:6">
      <c r="A2165" s="1075" t="s">
        <v>746</v>
      </c>
      <c r="B2165" s="1014" t="s">
        <v>180</v>
      </c>
      <c r="C2165" s="1076" t="s">
        <v>165</v>
      </c>
      <c r="D2165" s="1010"/>
      <c r="E2165" s="1018"/>
      <c r="F2165" s="988">
        <v>99</v>
      </c>
    </row>
    <row r="2166" spans="1:6">
      <c r="A2166" s="1075" t="s">
        <v>746</v>
      </c>
      <c r="B2166" s="1014" t="s">
        <v>178</v>
      </c>
      <c r="C2166" s="1076" t="s">
        <v>167</v>
      </c>
      <c r="D2166" s="1010"/>
      <c r="E2166" s="1018"/>
      <c r="F2166" s="988">
        <v>99</v>
      </c>
    </row>
    <row r="2167" spans="1:6">
      <c r="A2167" s="1075" t="s">
        <v>746</v>
      </c>
      <c r="B2167" s="1017" t="s">
        <v>187</v>
      </c>
      <c r="C2167" s="1015" t="s">
        <v>331</v>
      </c>
      <c r="D2167" s="1010"/>
      <c r="E2167" s="1006"/>
      <c r="F2167" s="988">
        <v>99</v>
      </c>
    </row>
    <row r="2168" spans="1:6">
      <c r="A2168" s="1075" t="s">
        <v>746</v>
      </c>
      <c r="B2168" s="1017" t="s">
        <v>192</v>
      </c>
      <c r="C2168" s="1015" t="s">
        <v>332</v>
      </c>
      <c r="D2168" s="1010"/>
      <c r="E2168" s="1006"/>
      <c r="F2168" s="988">
        <v>99</v>
      </c>
    </row>
    <row r="2169" spans="1:6">
      <c r="A2169" s="1075" t="s">
        <v>746</v>
      </c>
      <c r="B2169" s="1017" t="s">
        <v>192</v>
      </c>
      <c r="C2169" s="1095" t="s">
        <v>1646</v>
      </c>
      <c r="D2169" s="1010"/>
      <c r="E2169" s="1006"/>
      <c r="F2169" s="1007">
        <v>99</v>
      </c>
    </row>
    <row r="2170" spans="1:6">
      <c r="A2170" s="1075" t="s">
        <v>746</v>
      </c>
      <c r="B2170" s="1014" t="s">
        <v>195</v>
      </c>
      <c r="C2170" s="1011" t="s">
        <v>165</v>
      </c>
      <c r="D2170" s="1010"/>
      <c r="E2170" s="1018"/>
      <c r="F2170" s="1007">
        <v>99</v>
      </c>
    </row>
    <row r="2171" spans="1:6">
      <c r="A2171" s="1075" t="s">
        <v>746</v>
      </c>
      <c r="B2171" s="1014" t="s">
        <v>196</v>
      </c>
      <c r="C2171" s="1011" t="s">
        <v>167</v>
      </c>
      <c r="D2171" s="1010"/>
      <c r="E2171" s="1018"/>
      <c r="F2171" s="1007">
        <v>99</v>
      </c>
    </row>
    <row r="2172" spans="1:6">
      <c r="A2172" s="882" t="s">
        <v>747</v>
      </c>
      <c r="B2172" s="883" t="s">
        <v>62</v>
      </c>
      <c r="C2172" s="884" t="s">
        <v>1072</v>
      </c>
      <c r="D2172" s="885"/>
      <c r="E2172" s="886">
        <v>220862</v>
      </c>
      <c r="F2172" s="887">
        <v>1</v>
      </c>
    </row>
    <row r="2173" spans="1:6">
      <c r="A2173" s="882" t="s">
        <v>747</v>
      </c>
      <c r="B2173" s="888" t="s">
        <v>62</v>
      </c>
      <c r="C2173" s="889" t="s">
        <v>1073</v>
      </c>
      <c r="D2173" s="890"/>
      <c r="E2173" s="891">
        <v>221759</v>
      </c>
      <c r="F2173" s="892">
        <v>1</v>
      </c>
    </row>
    <row r="2174" spans="1:6">
      <c r="A2174" s="882" t="s">
        <v>747</v>
      </c>
      <c r="B2174" s="888" t="s">
        <v>69</v>
      </c>
      <c r="C2174" s="893" t="s">
        <v>1074</v>
      </c>
      <c r="D2174" s="890"/>
      <c r="E2174" s="891">
        <v>221759</v>
      </c>
      <c r="F2174" s="892">
        <v>1</v>
      </c>
    </row>
    <row r="2175" spans="1:6">
      <c r="A2175" s="882" t="s">
        <v>747</v>
      </c>
      <c r="B2175" s="888" t="s">
        <v>69</v>
      </c>
      <c r="C2175" s="889" t="s">
        <v>1075</v>
      </c>
      <c r="D2175" s="890"/>
      <c r="E2175" s="891">
        <v>221759</v>
      </c>
      <c r="F2175" s="892">
        <v>1</v>
      </c>
    </row>
    <row r="2176" spans="1:6">
      <c r="A2176" s="882" t="s">
        <v>747</v>
      </c>
      <c r="B2176" s="888" t="s">
        <v>69</v>
      </c>
      <c r="C2176" s="889" t="s">
        <v>1076</v>
      </c>
      <c r="D2176" s="890"/>
      <c r="E2176" s="891">
        <v>221759</v>
      </c>
      <c r="F2176" s="892">
        <v>1</v>
      </c>
    </row>
    <row r="2177" spans="1:6">
      <c r="A2177" s="882" t="s">
        <v>747</v>
      </c>
      <c r="B2177" s="888" t="s">
        <v>69</v>
      </c>
      <c r="C2177" s="889" t="s">
        <v>1077</v>
      </c>
      <c r="D2177" s="890"/>
      <c r="E2177" s="891">
        <v>221759</v>
      </c>
      <c r="F2177" s="892">
        <v>1</v>
      </c>
    </row>
    <row r="2178" spans="1:6">
      <c r="A2178" s="894" t="s">
        <v>747</v>
      </c>
      <c r="B2178" s="888" t="s">
        <v>74</v>
      </c>
      <c r="C2178" s="893" t="s">
        <v>75</v>
      </c>
      <c r="D2178" s="890"/>
      <c r="E2178" s="891">
        <v>221759</v>
      </c>
      <c r="F2178" s="892">
        <v>1</v>
      </c>
    </row>
    <row r="2179" spans="1:6">
      <c r="A2179" s="894" t="s">
        <v>747</v>
      </c>
      <c r="B2179" s="888" t="s">
        <v>76</v>
      </c>
      <c r="C2179" s="893" t="s">
        <v>77</v>
      </c>
      <c r="D2179" s="890"/>
      <c r="E2179" s="891">
        <v>221759</v>
      </c>
      <c r="F2179" s="892">
        <v>1</v>
      </c>
    </row>
    <row r="2180" spans="1:6">
      <c r="A2180" s="894" t="s">
        <v>747</v>
      </c>
      <c r="B2180" s="888" t="s">
        <v>62</v>
      </c>
      <c r="C2180" s="893" t="s">
        <v>1078</v>
      </c>
      <c r="D2180" s="890"/>
      <c r="E2180" s="891">
        <v>220075</v>
      </c>
      <c r="F2180" s="892">
        <v>2</v>
      </c>
    </row>
    <row r="2181" spans="1:6">
      <c r="A2181" s="894" t="s">
        <v>747</v>
      </c>
      <c r="B2181" s="888" t="s">
        <v>64</v>
      </c>
      <c r="C2181" s="893" t="s">
        <v>334</v>
      </c>
      <c r="D2181" s="890"/>
      <c r="E2181" s="891">
        <v>220075</v>
      </c>
      <c r="F2181" s="892">
        <v>2</v>
      </c>
    </row>
    <row r="2182" spans="1:6">
      <c r="A2182" s="901" t="s">
        <v>747</v>
      </c>
      <c r="B2182" s="883" t="s">
        <v>62</v>
      </c>
      <c r="C2182" s="893" t="s">
        <v>1079</v>
      </c>
      <c r="D2182" s="1096"/>
      <c r="E2182" s="886">
        <v>220978</v>
      </c>
      <c r="F2182" s="892">
        <v>2</v>
      </c>
    </row>
    <row r="2183" spans="1:6">
      <c r="A2183" s="894" t="s">
        <v>747</v>
      </c>
      <c r="B2183" s="888" t="s">
        <v>62</v>
      </c>
      <c r="C2183" s="893" t="s">
        <v>1080</v>
      </c>
      <c r="D2183" s="890"/>
      <c r="E2183" s="891">
        <v>221838</v>
      </c>
      <c r="F2183" s="892">
        <v>2</v>
      </c>
    </row>
    <row r="2184" spans="1:6">
      <c r="A2184" s="894" t="s">
        <v>747</v>
      </c>
      <c r="B2184" s="888" t="s">
        <v>74</v>
      </c>
      <c r="C2184" s="893" t="s">
        <v>77</v>
      </c>
      <c r="D2184" s="890"/>
      <c r="E2184" s="891">
        <v>221838</v>
      </c>
      <c r="F2184" s="892">
        <v>2</v>
      </c>
    </row>
    <row r="2185" spans="1:6">
      <c r="A2185" s="894" t="s">
        <v>747</v>
      </c>
      <c r="B2185" s="888" t="s">
        <v>74</v>
      </c>
      <c r="C2185" s="893" t="s">
        <v>1081</v>
      </c>
      <c r="D2185" s="890"/>
      <c r="E2185" s="891">
        <v>221838</v>
      </c>
      <c r="F2185" s="892">
        <v>2</v>
      </c>
    </row>
    <row r="2186" spans="1:6">
      <c r="A2186" s="894" t="s">
        <v>747</v>
      </c>
      <c r="B2186" s="888" t="s">
        <v>74</v>
      </c>
      <c r="C2186" s="893" t="s">
        <v>1082</v>
      </c>
      <c r="D2186" s="890"/>
      <c r="E2186" s="891">
        <v>221838</v>
      </c>
      <c r="F2186" s="892">
        <v>2</v>
      </c>
    </row>
    <row r="2187" spans="1:6">
      <c r="A2187" s="894" t="s">
        <v>747</v>
      </c>
      <c r="B2187" s="888" t="s">
        <v>74</v>
      </c>
      <c r="C2187" s="895" t="s">
        <v>1083</v>
      </c>
      <c r="D2187" s="896"/>
      <c r="E2187" s="891">
        <v>221838</v>
      </c>
      <c r="F2187" s="892">
        <v>2</v>
      </c>
    </row>
    <row r="2188" spans="1:6">
      <c r="A2188" s="897" t="s">
        <v>747</v>
      </c>
      <c r="B2188" s="883" t="s">
        <v>74</v>
      </c>
      <c r="C2188" s="898" t="s">
        <v>1084</v>
      </c>
      <c r="D2188" s="1097"/>
      <c r="E2188" s="886">
        <v>221838</v>
      </c>
      <c r="F2188" s="887">
        <v>2</v>
      </c>
    </row>
    <row r="2189" spans="1:6">
      <c r="A2189" s="894" t="s">
        <v>747</v>
      </c>
      <c r="B2189" s="883" t="s">
        <v>62</v>
      </c>
      <c r="C2189" s="885" t="s">
        <v>1085</v>
      </c>
      <c r="D2189" s="885"/>
      <c r="E2189" s="886">
        <v>219602</v>
      </c>
      <c r="F2189" s="887">
        <v>3</v>
      </c>
    </row>
    <row r="2190" spans="1:6">
      <c r="A2190" s="894" t="s">
        <v>747</v>
      </c>
      <c r="B2190" s="883" t="s">
        <v>62</v>
      </c>
      <c r="C2190" s="893" t="s">
        <v>1086</v>
      </c>
      <c r="D2190" s="890"/>
      <c r="E2190" s="886">
        <v>221847</v>
      </c>
      <c r="F2190" s="887">
        <v>3</v>
      </c>
    </row>
    <row r="2191" spans="1:6">
      <c r="A2191" s="894" t="s">
        <v>747</v>
      </c>
      <c r="B2191" s="883" t="s">
        <v>62</v>
      </c>
      <c r="C2191" s="893" t="s">
        <v>1087</v>
      </c>
      <c r="D2191" s="890"/>
      <c r="E2191" s="886">
        <v>221740</v>
      </c>
      <c r="F2191" s="887">
        <v>3</v>
      </c>
    </row>
    <row r="2192" spans="1:6">
      <c r="A2192" s="894" t="s">
        <v>747</v>
      </c>
      <c r="B2192" s="883" t="s">
        <v>62</v>
      </c>
      <c r="C2192" s="885" t="s">
        <v>1088</v>
      </c>
      <c r="D2192" s="1096" t="s">
        <v>1782</v>
      </c>
      <c r="E2192" s="892">
        <v>221768</v>
      </c>
      <c r="F2192" s="1098">
        <v>4</v>
      </c>
    </row>
    <row r="2193" spans="1:6">
      <c r="A2193" s="894" t="s">
        <v>747</v>
      </c>
      <c r="B2193" s="883" t="s">
        <v>62</v>
      </c>
      <c r="C2193" s="902" t="s">
        <v>1089</v>
      </c>
      <c r="D2193" s="903"/>
      <c r="E2193" s="886">
        <v>219824</v>
      </c>
      <c r="F2193" s="887">
        <v>8</v>
      </c>
    </row>
    <row r="2194" spans="1:6">
      <c r="A2194" s="894" t="s">
        <v>747</v>
      </c>
      <c r="B2194" s="883" t="s">
        <v>62</v>
      </c>
      <c r="C2194" s="904" t="s">
        <v>1090</v>
      </c>
      <c r="D2194" s="903"/>
      <c r="E2194" s="886">
        <v>221184</v>
      </c>
      <c r="F2194" s="887">
        <v>8</v>
      </c>
    </row>
    <row r="2195" spans="1:6">
      <c r="A2195" s="894" t="s">
        <v>747</v>
      </c>
      <c r="B2195" s="883" t="s">
        <v>62</v>
      </c>
      <c r="C2195" s="902" t="s">
        <v>1091</v>
      </c>
      <c r="D2195" s="903"/>
      <c r="E2195" s="886">
        <v>221643</v>
      </c>
      <c r="F2195" s="887">
        <v>8</v>
      </c>
    </row>
    <row r="2196" spans="1:6">
      <c r="A2196" s="894" t="s">
        <v>747</v>
      </c>
      <c r="B2196" s="883" t="s">
        <v>62</v>
      </c>
      <c r="C2196" s="904" t="s">
        <v>1092</v>
      </c>
      <c r="D2196" s="903"/>
      <c r="E2196" s="886">
        <v>221485</v>
      </c>
      <c r="F2196" s="887">
        <v>8</v>
      </c>
    </row>
    <row r="2197" spans="1:6">
      <c r="A2197" s="894" t="s">
        <v>747</v>
      </c>
      <c r="B2197" s="883" t="s">
        <v>62</v>
      </c>
      <c r="C2197" s="902" t="s">
        <v>1093</v>
      </c>
      <c r="D2197" s="903"/>
      <c r="E2197" s="886">
        <v>222053</v>
      </c>
      <c r="F2197" s="887">
        <v>8</v>
      </c>
    </row>
    <row r="2198" spans="1:6">
      <c r="A2198" s="894" t="s">
        <v>747</v>
      </c>
      <c r="B2198" s="883" t="s">
        <v>62</v>
      </c>
      <c r="C2198" s="904" t="s">
        <v>1094</v>
      </c>
      <c r="D2198" s="903"/>
      <c r="E2198" s="886">
        <v>219879</v>
      </c>
      <c r="F2198" s="887">
        <v>9</v>
      </c>
    </row>
    <row r="2199" spans="1:6">
      <c r="A2199" s="894" t="s">
        <v>747</v>
      </c>
      <c r="B2199" s="883" t="s">
        <v>62</v>
      </c>
      <c r="C2199" s="902" t="s">
        <v>1095</v>
      </c>
      <c r="D2199" s="903"/>
      <c r="E2199" s="886">
        <v>219888</v>
      </c>
      <c r="F2199" s="887">
        <v>9</v>
      </c>
    </row>
    <row r="2200" spans="1:6">
      <c r="A2200" s="894" t="s">
        <v>747</v>
      </c>
      <c r="B2200" s="883" t="s">
        <v>62</v>
      </c>
      <c r="C2200" s="885" t="s">
        <v>1096</v>
      </c>
      <c r="D2200" s="885"/>
      <c r="E2200" s="886">
        <v>220400</v>
      </c>
      <c r="F2200" s="887">
        <v>9</v>
      </c>
    </row>
    <row r="2201" spans="1:6">
      <c r="A2201" s="894" t="s">
        <v>747</v>
      </c>
      <c r="B2201" s="883" t="s">
        <v>62</v>
      </c>
      <c r="C2201" s="902" t="s">
        <v>1097</v>
      </c>
      <c r="D2201" s="903"/>
      <c r="E2201" s="886">
        <v>221096</v>
      </c>
      <c r="F2201" s="887">
        <v>9</v>
      </c>
    </row>
    <row r="2202" spans="1:6">
      <c r="A2202" s="894" t="s">
        <v>747</v>
      </c>
      <c r="B2202" s="883" t="s">
        <v>62</v>
      </c>
      <c r="C2202" s="893" t="s">
        <v>1098</v>
      </c>
      <c r="D2202" s="890"/>
      <c r="E2202" s="886">
        <v>221908</v>
      </c>
      <c r="F2202" s="887">
        <v>9</v>
      </c>
    </row>
    <row r="2203" spans="1:6">
      <c r="A2203" s="894" t="s">
        <v>747</v>
      </c>
      <c r="B2203" s="883" t="s">
        <v>62</v>
      </c>
      <c r="C2203" s="902" t="s">
        <v>1099</v>
      </c>
      <c r="D2203" s="903"/>
      <c r="E2203" s="886">
        <v>221397</v>
      </c>
      <c r="F2203" s="887">
        <v>9</v>
      </c>
    </row>
    <row r="2204" spans="1:6" ht="51">
      <c r="A2204" s="894" t="s">
        <v>747</v>
      </c>
      <c r="B2204" s="883" t="s">
        <v>62</v>
      </c>
      <c r="C2204" s="905" t="s">
        <v>1100</v>
      </c>
      <c r="D2204" s="906"/>
      <c r="E2204" s="886">
        <v>222062</v>
      </c>
      <c r="F2204" s="887">
        <v>9</v>
      </c>
    </row>
    <row r="2205" spans="1:6">
      <c r="A2205" s="894" t="s">
        <v>747</v>
      </c>
      <c r="B2205" s="883" t="s">
        <v>62</v>
      </c>
      <c r="C2205" s="885" t="s">
        <v>1101</v>
      </c>
      <c r="D2205" s="1099"/>
      <c r="E2205" s="886">
        <v>220057</v>
      </c>
      <c r="F2205" s="887">
        <v>10</v>
      </c>
    </row>
    <row r="2206" spans="1:6">
      <c r="A2206" s="894" t="s">
        <v>747</v>
      </c>
      <c r="B2206" s="883" t="s">
        <v>62</v>
      </c>
      <c r="C2206" s="902" t="s">
        <v>1104</v>
      </c>
      <c r="D2206" s="903"/>
      <c r="E2206" s="886">
        <v>219596</v>
      </c>
      <c r="F2206" s="887">
        <v>13</v>
      </c>
    </row>
    <row r="2207" spans="1:6">
      <c r="A2207" s="897" t="s">
        <v>747</v>
      </c>
      <c r="B2207" s="883" t="s">
        <v>62</v>
      </c>
      <c r="C2207" s="893" t="s">
        <v>1102</v>
      </c>
      <c r="D2207" s="1100"/>
      <c r="E2207" s="892" t="s">
        <v>1103</v>
      </c>
      <c r="F2207" s="1101">
        <v>13</v>
      </c>
    </row>
    <row r="2208" spans="1:6">
      <c r="A2208" s="894" t="s">
        <v>747</v>
      </c>
      <c r="B2208" s="883" t="s">
        <v>62</v>
      </c>
      <c r="C2208" s="885" t="s">
        <v>1105</v>
      </c>
      <c r="D2208" s="885"/>
      <c r="E2208" s="886">
        <v>219921</v>
      </c>
      <c r="F2208" s="887">
        <v>13</v>
      </c>
    </row>
    <row r="2209" spans="1:6">
      <c r="A2209" s="894" t="s">
        <v>747</v>
      </c>
      <c r="B2209" s="883" t="s">
        <v>62</v>
      </c>
      <c r="C2209" s="907" t="s">
        <v>1106</v>
      </c>
      <c r="D2209" s="908"/>
      <c r="E2209" s="886">
        <v>221591</v>
      </c>
      <c r="F2209" s="887">
        <v>13</v>
      </c>
    </row>
    <row r="2210" spans="1:6">
      <c r="A2210" s="894" t="s">
        <v>747</v>
      </c>
      <c r="B2210" s="883" t="s">
        <v>62</v>
      </c>
      <c r="C2210" s="909" t="s">
        <v>1107</v>
      </c>
      <c r="D2210" s="890"/>
      <c r="E2210" s="886">
        <v>221430</v>
      </c>
      <c r="F2210" s="887">
        <v>13</v>
      </c>
    </row>
    <row r="2211" spans="1:6">
      <c r="A2211" s="894" t="s">
        <v>747</v>
      </c>
      <c r="B2211" s="883" t="s">
        <v>62</v>
      </c>
      <c r="C2211" s="904" t="s">
        <v>1108</v>
      </c>
      <c r="D2211" s="903"/>
      <c r="E2211" s="886">
        <v>219994</v>
      </c>
      <c r="F2211" s="887">
        <v>13</v>
      </c>
    </row>
    <row r="2212" spans="1:6">
      <c r="A2212" s="894" t="s">
        <v>747</v>
      </c>
      <c r="B2212" s="883" t="s">
        <v>62</v>
      </c>
      <c r="C2212" s="904" t="s">
        <v>1109</v>
      </c>
      <c r="D2212" s="903"/>
      <c r="E2212" s="886">
        <v>220127</v>
      </c>
      <c r="F2212" s="887">
        <v>13</v>
      </c>
    </row>
    <row r="2213" spans="1:6">
      <c r="A2213" s="894" t="s">
        <v>747</v>
      </c>
      <c r="B2213" s="883" t="s">
        <v>62</v>
      </c>
      <c r="C2213" s="904" t="s">
        <v>1110</v>
      </c>
      <c r="D2213" s="903"/>
      <c r="E2213" s="886">
        <v>220251</v>
      </c>
      <c r="F2213" s="887">
        <v>13</v>
      </c>
    </row>
    <row r="2214" spans="1:6">
      <c r="A2214" s="894" t="s">
        <v>747</v>
      </c>
      <c r="B2214" s="883" t="s">
        <v>62</v>
      </c>
      <c r="C2214" s="904" t="s">
        <v>1111</v>
      </c>
      <c r="D2214" s="903"/>
      <c r="E2214" s="886">
        <v>220279</v>
      </c>
      <c r="F2214" s="887">
        <v>13</v>
      </c>
    </row>
    <row r="2215" spans="1:6">
      <c r="A2215" s="894" t="s">
        <v>747</v>
      </c>
      <c r="B2215" s="883" t="s">
        <v>62</v>
      </c>
      <c r="C2215" s="904" t="s">
        <v>1112</v>
      </c>
      <c r="D2215" s="903"/>
      <c r="E2215" s="886">
        <v>220321</v>
      </c>
      <c r="F2215" s="887">
        <v>13</v>
      </c>
    </row>
    <row r="2216" spans="1:6">
      <c r="A2216" s="894" t="s">
        <v>747</v>
      </c>
      <c r="B2216" s="883" t="s">
        <v>62</v>
      </c>
      <c r="C2216" s="904" t="s">
        <v>1113</v>
      </c>
      <c r="D2216" s="903"/>
      <c r="E2216" s="886">
        <v>220394</v>
      </c>
      <c r="F2216" s="887">
        <v>13</v>
      </c>
    </row>
    <row r="2217" spans="1:6">
      <c r="A2217" s="894" t="s">
        <v>747</v>
      </c>
      <c r="B2217" s="883" t="s">
        <v>62</v>
      </c>
      <c r="C2217" s="909" t="s">
        <v>1114</v>
      </c>
      <c r="D2217" s="890"/>
      <c r="E2217" s="886">
        <v>221616</v>
      </c>
      <c r="F2217" s="887">
        <v>13</v>
      </c>
    </row>
    <row r="2218" spans="1:6">
      <c r="A2218" s="894" t="s">
        <v>747</v>
      </c>
      <c r="B2218" s="883" t="s">
        <v>62</v>
      </c>
      <c r="C2218" s="904" t="s">
        <v>1115</v>
      </c>
      <c r="D2218" s="903"/>
      <c r="E2218" s="886">
        <v>221625</v>
      </c>
      <c r="F2218" s="887">
        <v>13</v>
      </c>
    </row>
    <row r="2219" spans="1:6">
      <c r="A2219" s="894" t="s">
        <v>747</v>
      </c>
      <c r="B2219" s="883" t="s">
        <v>62</v>
      </c>
      <c r="C2219" s="904" t="s">
        <v>1116</v>
      </c>
      <c r="D2219" s="903"/>
      <c r="E2219" s="886">
        <v>220640</v>
      </c>
      <c r="F2219" s="887">
        <v>13</v>
      </c>
    </row>
    <row r="2220" spans="1:6">
      <c r="A2220" s="894" t="s">
        <v>747</v>
      </c>
      <c r="B2220" s="883" t="s">
        <v>62</v>
      </c>
      <c r="C2220" s="904" t="s">
        <v>1117</v>
      </c>
      <c r="D2220" s="903"/>
      <c r="E2220" s="886">
        <v>220756</v>
      </c>
      <c r="F2220" s="887">
        <v>13</v>
      </c>
    </row>
    <row r="2221" spans="1:6">
      <c r="A2221" s="894" t="s">
        <v>747</v>
      </c>
      <c r="B2221" s="883" t="s">
        <v>62</v>
      </c>
      <c r="C2221" s="904" t="s">
        <v>1118</v>
      </c>
      <c r="D2221" s="903"/>
      <c r="E2221" s="886">
        <v>221607</v>
      </c>
      <c r="F2221" s="887">
        <v>13</v>
      </c>
    </row>
    <row r="2222" spans="1:6">
      <c r="A2222" s="894" t="s">
        <v>747</v>
      </c>
      <c r="B2222" s="883" t="s">
        <v>62</v>
      </c>
      <c r="C2222" s="904" t="s">
        <v>1119</v>
      </c>
      <c r="D2222" s="1102" t="s">
        <v>1804</v>
      </c>
      <c r="E2222" s="892">
        <v>220853</v>
      </c>
      <c r="F2222" s="892">
        <v>13</v>
      </c>
    </row>
    <row r="2223" spans="1:6">
      <c r="A2223" s="894" t="s">
        <v>747</v>
      </c>
      <c r="B2223" s="883" t="s">
        <v>62</v>
      </c>
      <c r="C2223" s="904" t="s">
        <v>1120</v>
      </c>
      <c r="D2223" s="903"/>
      <c r="E2223" s="886">
        <v>221050</v>
      </c>
      <c r="F2223" s="887">
        <v>13</v>
      </c>
    </row>
    <row r="2224" spans="1:6">
      <c r="A2224" s="894" t="s">
        <v>747</v>
      </c>
      <c r="B2224" s="883" t="s">
        <v>62</v>
      </c>
      <c r="C2224" s="909" t="s">
        <v>1121</v>
      </c>
      <c r="D2224" s="890"/>
      <c r="E2224" s="886">
        <v>221102</v>
      </c>
      <c r="F2224" s="887">
        <v>13</v>
      </c>
    </row>
    <row r="2225" spans="1:6">
      <c r="A2225" s="894" t="s">
        <v>747</v>
      </c>
      <c r="B2225" s="883" t="s">
        <v>62</v>
      </c>
      <c r="C2225" s="904" t="s">
        <v>1122</v>
      </c>
      <c r="D2225" s="903"/>
      <c r="E2225" s="886">
        <v>248925</v>
      </c>
      <c r="F2225" s="887">
        <v>13</v>
      </c>
    </row>
    <row r="2226" spans="1:6">
      <c r="A2226" s="894" t="s">
        <v>747</v>
      </c>
      <c r="B2226" s="883" t="s">
        <v>62</v>
      </c>
      <c r="C2226" s="904" t="s">
        <v>1123</v>
      </c>
      <c r="D2226" s="903"/>
      <c r="E2226" s="886">
        <v>221236</v>
      </c>
      <c r="F2226" s="887">
        <v>13</v>
      </c>
    </row>
    <row r="2227" spans="1:6">
      <c r="A2227" s="894" t="s">
        <v>747</v>
      </c>
      <c r="B2227" s="883" t="s">
        <v>62</v>
      </c>
      <c r="C2227" s="904" t="s">
        <v>1124</v>
      </c>
      <c r="D2227" s="903"/>
      <c r="E2227" s="886">
        <v>221582</v>
      </c>
      <c r="F2227" s="887">
        <v>13</v>
      </c>
    </row>
    <row r="2228" spans="1:6">
      <c r="A2228" s="894" t="s">
        <v>747</v>
      </c>
      <c r="B2228" s="883" t="s">
        <v>62</v>
      </c>
      <c r="C2228" s="904" t="s">
        <v>1125</v>
      </c>
      <c r="D2228" s="903"/>
      <c r="E2228" s="886">
        <v>221281</v>
      </c>
      <c r="F2228" s="887">
        <v>13</v>
      </c>
    </row>
    <row r="2229" spans="1:6">
      <c r="A2229" s="894" t="s">
        <v>747</v>
      </c>
      <c r="B2229" s="883" t="s">
        <v>62</v>
      </c>
      <c r="C2229" s="904" t="s">
        <v>1126</v>
      </c>
      <c r="D2229" s="903"/>
      <c r="E2229" s="886">
        <v>221333</v>
      </c>
      <c r="F2229" s="887">
        <v>13</v>
      </c>
    </row>
    <row r="2230" spans="1:6">
      <c r="A2230" s="894" t="s">
        <v>747</v>
      </c>
      <c r="B2230" s="883" t="s">
        <v>62</v>
      </c>
      <c r="C2230" s="904" t="s">
        <v>1127</v>
      </c>
      <c r="D2230" s="903"/>
      <c r="E2230" s="886">
        <v>221388</v>
      </c>
      <c r="F2230" s="887">
        <v>13</v>
      </c>
    </row>
    <row r="2231" spans="1:6">
      <c r="A2231" s="894" t="s">
        <v>747</v>
      </c>
      <c r="B2231" s="883" t="s">
        <v>62</v>
      </c>
      <c r="C2231" s="909" t="s">
        <v>1128</v>
      </c>
      <c r="D2231" s="890"/>
      <c r="E2231" s="886">
        <v>221494</v>
      </c>
      <c r="F2231" s="887">
        <v>13</v>
      </c>
    </row>
    <row r="2232" spans="1:6">
      <c r="A2232" s="894" t="s">
        <v>747</v>
      </c>
      <c r="B2232" s="883" t="s">
        <v>62</v>
      </c>
      <c r="C2232" s="904" t="s">
        <v>1129</v>
      </c>
      <c r="D2232" s="903"/>
      <c r="E2232" s="886">
        <v>221634</v>
      </c>
      <c r="F2232" s="887">
        <v>13</v>
      </c>
    </row>
    <row r="2233" spans="1:6">
      <c r="A2233" s="894" t="s">
        <v>747</v>
      </c>
      <c r="B2233" s="883" t="s">
        <v>238</v>
      </c>
      <c r="C2233" s="904" t="s">
        <v>1130</v>
      </c>
      <c r="D2233" s="903"/>
      <c r="E2233" s="886">
        <v>221704</v>
      </c>
      <c r="F2233" s="887">
        <v>15</v>
      </c>
    </row>
    <row r="2234" spans="1:6">
      <c r="A2234" s="894" t="s">
        <v>747</v>
      </c>
      <c r="B2234" s="883" t="s">
        <v>238</v>
      </c>
      <c r="C2234" s="904" t="s">
        <v>495</v>
      </c>
      <c r="D2234" s="903"/>
      <c r="E2234" s="886">
        <v>221704</v>
      </c>
      <c r="F2234" s="887">
        <v>15</v>
      </c>
    </row>
    <row r="2235" spans="1:6">
      <c r="A2235" s="894" t="s">
        <v>747</v>
      </c>
      <c r="B2235" s="883" t="s">
        <v>238</v>
      </c>
      <c r="C2235" s="904" t="s">
        <v>334</v>
      </c>
      <c r="D2235" s="903"/>
      <c r="E2235" s="886">
        <v>221704</v>
      </c>
      <c r="F2235" s="887">
        <v>15</v>
      </c>
    </row>
    <row r="2236" spans="1:6">
      <c r="A2236" s="894" t="s">
        <v>747</v>
      </c>
      <c r="B2236" s="883" t="s">
        <v>238</v>
      </c>
      <c r="C2236" s="904" t="s">
        <v>66</v>
      </c>
      <c r="D2236" s="903"/>
      <c r="E2236" s="886">
        <v>221704</v>
      </c>
      <c r="F2236" s="887">
        <v>15</v>
      </c>
    </row>
    <row r="2237" spans="1:6">
      <c r="A2237" s="894" t="s">
        <v>747</v>
      </c>
      <c r="B2237" s="883" t="s">
        <v>116</v>
      </c>
      <c r="C2237" s="904" t="s">
        <v>1131</v>
      </c>
      <c r="D2237" s="903"/>
      <c r="E2237" s="886">
        <v>221704</v>
      </c>
      <c r="F2237" s="887">
        <v>15</v>
      </c>
    </row>
    <row r="2238" spans="1:6">
      <c r="A2238" s="894" t="s">
        <v>747</v>
      </c>
      <c r="B2238" s="883" t="s">
        <v>132</v>
      </c>
      <c r="C2238" s="909" t="s">
        <v>1071</v>
      </c>
      <c r="D2238" s="890"/>
      <c r="E2238" s="899"/>
      <c r="F2238" s="900">
        <v>99</v>
      </c>
    </row>
    <row r="2239" spans="1:6">
      <c r="A2239" s="894" t="s">
        <v>747</v>
      </c>
      <c r="B2239" s="883" t="s">
        <v>132</v>
      </c>
      <c r="C2239" s="904" t="s">
        <v>1132</v>
      </c>
      <c r="D2239" s="903"/>
      <c r="E2239" s="899"/>
      <c r="F2239" s="900">
        <v>99</v>
      </c>
    </row>
    <row r="2240" spans="1:6">
      <c r="A2240" s="894" t="s">
        <v>747</v>
      </c>
      <c r="B2240" s="883" t="s">
        <v>138</v>
      </c>
      <c r="C2240" s="904" t="s">
        <v>139</v>
      </c>
      <c r="D2240" s="903"/>
      <c r="E2240" s="899"/>
      <c r="F2240" s="900">
        <v>99</v>
      </c>
    </row>
    <row r="2241" spans="1:6">
      <c r="A2241" s="894" t="s">
        <v>747</v>
      </c>
      <c r="B2241" s="883" t="s">
        <v>140</v>
      </c>
      <c r="C2241" s="904" t="s">
        <v>141</v>
      </c>
      <c r="D2241" s="903"/>
      <c r="E2241" s="899"/>
      <c r="F2241" s="900">
        <v>99</v>
      </c>
    </row>
    <row r="2242" spans="1:6">
      <c r="A2242" s="894" t="s">
        <v>747</v>
      </c>
      <c r="B2242" s="883" t="s">
        <v>140</v>
      </c>
      <c r="C2242" s="904" t="s">
        <v>1133</v>
      </c>
      <c r="D2242" s="903"/>
      <c r="E2242" s="899"/>
      <c r="F2242" s="900">
        <v>99</v>
      </c>
    </row>
    <row r="2243" spans="1:6">
      <c r="A2243" s="894" t="s">
        <v>747</v>
      </c>
      <c r="B2243" s="883" t="s">
        <v>140</v>
      </c>
      <c r="C2243" s="904" t="s">
        <v>1134</v>
      </c>
      <c r="D2243" s="903"/>
      <c r="E2243" s="899"/>
      <c r="F2243" s="900">
        <v>99</v>
      </c>
    </row>
    <row r="2244" spans="1:6">
      <c r="A2244" s="894" t="s">
        <v>747</v>
      </c>
      <c r="B2244" s="883" t="s">
        <v>145</v>
      </c>
      <c r="C2244" s="904" t="s">
        <v>146</v>
      </c>
      <c r="D2244" s="903"/>
      <c r="E2244" s="899"/>
      <c r="F2244" s="900">
        <v>99</v>
      </c>
    </row>
    <row r="2245" spans="1:6">
      <c r="A2245" s="894" t="s">
        <v>747</v>
      </c>
      <c r="B2245" s="883" t="s">
        <v>145</v>
      </c>
      <c r="C2245" s="909" t="s">
        <v>304</v>
      </c>
      <c r="D2245" s="890"/>
      <c r="E2245" s="899"/>
      <c r="F2245" s="900">
        <v>99</v>
      </c>
    </row>
    <row r="2246" spans="1:6">
      <c r="A2246" s="894" t="s">
        <v>747</v>
      </c>
      <c r="B2246" s="883" t="s">
        <v>149</v>
      </c>
      <c r="C2246" s="904" t="s">
        <v>247</v>
      </c>
      <c r="D2246" s="903"/>
      <c r="E2246" s="899"/>
      <c r="F2246" s="900">
        <v>99</v>
      </c>
    </row>
    <row r="2247" spans="1:6">
      <c r="A2247" s="894" t="s">
        <v>747</v>
      </c>
      <c r="B2247" s="883" t="s">
        <v>151</v>
      </c>
      <c r="C2247" s="904" t="s">
        <v>152</v>
      </c>
      <c r="D2247" s="903"/>
      <c r="E2247" s="899"/>
      <c r="F2247" s="900">
        <v>99</v>
      </c>
    </row>
    <row r="2248" spans="1:6">
      <c r="A2248" s="894" t="s">
        <v>747</v>
      </c>
      <c r="B2248" s="883" t="s">
        <v>248</v>
      </c>
      <c r="C2248" s="904" t="s">
        <v>249</v>
      </c>
      <c r="D2248" s="903"/>
      <c r="E2248" s="899"/>
      <c r="F2248" s="900">
        <v>99</v>
      </c>
    </row>
    <row r="2249" spans="1:6">
      <c r="A2249" s="894" t="s">
        <v>747</v>
      </c>
      <c r="B2249" s="883" t="s">
        <v>250</v>
      </c>
      <c r="C2249" s="904" t="s">
        <v>251</v>
      </c>
      <c r="D2249" s="903"/>
      <c r="E2249" s="899"/>
      <c r="F2249" s="900">
        <v>99</v>
      </c>
    </row>
    <row r="2250" spans="1:6">
      <c r="A2250" s="894" t="s">
        <v>747</v>
      </c>
      <c r="B2250" s="883" t="s">
        <v>250</v>
      </c>
      <c r="C2250" s="904" t="s">
        <v>664</v>
      </c>
      <c r="D2250" s="903"/>
      <c r="E2250" s="899"/>
      <c r="F2250" s="900">
        <v>99</v>
      </c>
    </row>
    <row r="2251" spans="1:6">
      <c r="A2251" s="894" t="s">
        <v>747</v>
      </c>
      <c r="B2251" s="883" t="s">
        <v>250</v>
      </c>
      <c r="C2251" s="904" t="s">
        <v>255</v>
      </c>
      <c r="D2251" s="903"/>
      <c r="E2251" s="899"/>
      <c r="F2251" s="900">
        <v>99</v>
      </c>
    </row>
    <row r="2252" spans="1:6">
      <c r="A2252" s="894" t="s">
        <v>747</v>
      </c>
      <c r="B2252" s="883" t="s">
        <v>258</v>
      </c>
      <c r="C2252" s="909" t="s">
        <v>259</v>
      </c>
      <c r="D2252" s="890"/>
      <c r="E2252" s="899"/>
      <c r="F2252" s="900">
        <v>99</v>
      </c>
    </row>
    <row r="2253" spans="1:6">
      <c r="A2253" s="894" t="s">
        <v>747</v>
      </c>
      <c r="B2253" s="883" t="s">
        <v>157</v>
      </c>
      <c r="C2253" s="904" t="s">
        <v>158</v>
      </c>
      <c r="D2253" s="903"/>
      <c r="E2253" s="899"/>
      <c r="F2253" s="900">
        <v>99</v>
      </c>
    </row>
    <row r="2254" spans="1:6">
      <c r="A2254" s="894" t="s">
        <v>747</v>
      </c>
      <c r="B2254" s="883" t="s">
        <v>159</v>
      </c>
      <c r="C2254" s="904" t="s">
        <v>160</v>
      </c>
      <c r="D2254" s="903"/>
      <c r="E2254" s="899"/>
      <c r="F2254" s="900">
        <v>99</v>
      </c>
    </row>
    <row r="2255" spans="1:6">
      <c r="A2255" s="894" t="s">
        <v>747</v>
      </c>
      <c r="B2255" s="883" t="s">
        <v>161</v>
      </c>
      <c r="C2255" s="904" t="s">
        <v>162</v>
      </c>
      <c r="D2255" s="903"/>
      <c r="E2255" s="899"/>
      <c r="F2255" s="900">
        <v>99</v>
      </c>
    </row>
    <row r="2256" spans="1:6">
      <c r="A2256" s="894" t="s">
        <v>747</v>
      </c>
      <c r="B2256" s="883" t="s">
        <v>161</v>
      </c>
      <c r="C2256" s="904" t="s">
        <v>1135</v>
      </c>
      <c r="D2256" s="903"/>
      <c r="E2256" s="899"/>
      <c r="F2256" s="900">
        <v>99</v>
      </c>
    </row>
    <row r="2257" spans="1:6">
      <c r="A2257" s="894" t="s">
        <v>747</v>
      </c>
      <c r="B2257" s="883" t="s">
        <v>170</v>
      </c>
      <c r="C2257" s="904" t="s">
        <v>171</v>
      </c>
      <c r="D2257" s="903"/>
      <c r="E2257" s="899"/>
      <c r="F2257" s="900">
        <v>99</v>
      </c>
    </row>
    <row r="2258" spans="1:6">
      <c r="A2258" s="894" t="s">
        <v>747</v>
      </c>
      <c r="B2258" s="883" t="s">
        <v>172</v>
      </c>
      <c r="C2258" s="904" t="s">
        <v>165</v>
      </c>
      <c r="D2258" s="903"/>
      <c r="E2258" s="899"/>
      <c r="F2258" s="900">
        <v>99</v>
      </c>
    </row>
    <row r="2259" spans="1:6">
      <c r="A2259" s="894" t="s">
        <v>747</v>
      </c>
      <c r="B2259" s="883" t="s">
        <v>173</v>
      </c>
      <c r="C2259" s="909" t="s">
        <v>167</v>
      </c>
      <c r="D2259" s="890"/>
      <c r="E2259" s="899"/>
      <c r="F2259" s="900">
        <v>99</v>
      </c>
    </row>
    <row r="2260" spans="1:6">
      <c r="A2260" s="894" t="s">
        <v>747</v>
      </c>
      <c r="B2260" s="883" t="s">
        <v>176</v>
      </c>
      <c r="C2260" s="904" t="s">
        <v>177</v>
      </c>
      <c r="D2260" s="903"/>
      <c r="E2260" s="899"/>
      <c r="F2260" s="900">
        <v>99</v>
      </c>
    </row>
    <row r="2261" spans="1:6">
      <c r="A2261" s="894" t="s">
        <v>747</v>
      </c>
      <c r="B2261" s="883" t="s">
        <v>180</v>
      </c>
      <c r="C2261" s="904" t="s">
        <v>165</v>
      </c>
      <c r="D2261" s="903"/>
      <c r="E2261" s="899"/>
      <c r="F2261" s="900">
        <v>99</v>
      </c>
    </row>
    <row r="2262" spans="1:6">
      <c r="A2262" s="894" t="s">
        <v>747</v>
      </c>
      <c r="B2262" s="883" t="s">
        <v>178</v>
      </c>
      <c r="C2262" s="904" t="s">
        <v>167</v>
      </c>
      <c r="D2262" s="903"/>
      <c r="E2262" s="899"/>
      <c r="F2262" s="900">
        <v>99</v>
      </c>
    </row>
    <row r="2263" spans="1:6">
      <c r="A2263" s="894" t="s">
        <v>747</v>
      </c>
      <c r="B2263" s="883" t="s">
        <v>187</v>
      </c>
      <c r="C2263" s="904" t="s">
        <v>188</v>
      </c>
      <c r="D2263" s="903"/>
      <c r="E2263" s="899"/>
      <c r="F2263" s="900">
        <v>99</v>
      </c>
    </row>
    <row r="2264" spans="1:6">
      <c r="A2264" s="894" t="s">
        <v>747</v>
      </c>
      <c r="B2264" s="883" t="s">
        <v>190</v>
      </c>
      <c r="C2264" s="904" t="s">
        <v>165</v>
      </c>
      <c r="D2264" s="903"/>
      <c r="E2264" s="899"/>
      <c r="F2264" s="900">
        <v>99</v>
      </c>
    </row>
    <row r="2265" spans="1:6">
      <c r="A2265" s="894" t="s">
        <v>747</v>
      </c>
      <c r="B2265" s="883" t="s">
        <v>191</v>
      </c>
      <c r="C2265" s="904" t="s">
        <v>167</v>
      </c>
      <c r="D2265" s="903"/>
      <c r="E2265" s="899"/>
      <c r="F2265" s="900">
        <v>99</v>
      </c>
    </row>
    <row r="2266" spans="1:6">
      <c r="A2266" s="894" t="s">
        <v>747</v>
      </c>
      <c r="B2266" s="883" t="s">
        <v>192</v>
      </c>
      <c r="C2266" s="909" t="s">
        <v>332</v>
      </c>
      <c r="D2266" s="890"/>
      <c r="E2266" s="899"/>
      <c r="F2266" s="900">
        <v>99</v>
      </c>
    </row>
    <row r="2267" spans="1:6">
      <c r="A2267" s="894" t="s">
        <v>747</v>
      </c>
      <c r="B2267" s="883" t="s">
        <v>195</v>
      </c>
      <c r="C2267" s="904" t="s">
        <v>165</v>
      </c>
      <c r="D2267" s="903"/>
      <c r="E2267" s="899"/>
      <c r="F2267" s="900">
        <v>99</v>
      </c>
    </row>
    <row r="2268" spans="1:6">
      <c r="A2268" s="894" t="s">
        <v>747</v>
      </c>
      <c r="B2268" s="883" t="s">
        <v>196</v>
      </c>
      <c r="C2268" s="904" t="s">
        <v>167</v>
      </c>
      <c r="D2268" s="903"/>
      <c r="E2268" s="899"/>
      <c r="F2268" s="900">
        <v>99</v>
      </c>
    </row>
    <row r="2269" spans="1:6">
      <c r="A2269" s="719" t="s">
        <v>748</v>
      </c>
      <c r="B2269" s="717" t="s">
        <v>62</v>
      </c>
      <c r="C2269" s="770" t="s">
        <v>1136</v>
      </c>
      <c r="D2269" s="782"/>
      <c r="E2269" s="719">
        <v>228723</v>
      </c>
      <c r="F2269" s="719">
        <v>1</v>
      </c>
    </row>
    <row r="2270" spans="1:6">
      <c r="A2270" s="719" t="s">
        <v>748</v>
      </c>
      <c r="B2270" s="717" t="s">
        <v>64</v>
      </c>
      <c r="C2270" s="774" t="s">
        <v>495</v>
      </c>
      <c r="D2270" s="783"/>
      <c r="E2270" s="719">
        <v>228723</v>
      </c>
      <c r="F2270" s="719">
        <v>1</v>
      </c>
    </row>
    <row r="2271" spans="1:6">
      <c r="A2271" s="719" t="s">
        <v>748</v>
      </c>
      <c r="B2271" s="717" t="s">
        <v>64</v>
      </c>
      <c r="C2271" s="772" t="s">
        <v>1137</v>
      </c>
      <c r="D2271" s="783"/>
      <c r="E2271" s="719">
        <v>228723</v>
      </c>
      <c r="F2271" s="719">
        <v>1</v>
      </c>
    </row>
    <row r="2272" spans="1:6">
      <c r="A2272" s="719" t="s">
        <v>748</v>
      </c>
      <c r="B2272" s="717" t="s">
        <v>76</v>
      </c>
      <c r="C2272" s="772" t="s">
        <v>1138</v>
      </c>
      <c r="D2272" s="783"/>
      <c r="E2272" s="719">
        <v>228723</v>
      </c>
      <c r="F2272" s="719">
        <v>1</v>
      </c>
    </row>
    <row r="2273" spans="1:6">
      <c r="A2273" s="719" t="s">
        <v>748</v>
      </c>
      <c r="B2273" s="717" t="s">
        <v>74</v>
      </c>
      <c r="C2273" s="772" t="s">
        <v>1139</v>
      </c>
      <c r="D2273" s="783"/>
      <c r="E2273" s="719">
        <v>228723</v>
      </c>
      <c r="F2273" s="719">
        <v>1</v>
      </c>
    </row>
    <row r="2274" spans="1:6">
      <c r="A2274" s="719" t="s">
        <v>748</v>
      </c>
      <c r="B2274" s="717" t="s">
        <v>381</v>
      </c>
      <c r="C2274" s="772" t="s">
        <v>1140</v>
      </c>
      <c r="D2274" s="783"/>
      <c r="E2274" s="719">
        <v>228723</v>
      </c>
      <c r="F2274" s="719">
        <v>1</v>
      </c>
    </row>
    <row r="2275" spans="1:6">
      <c r="A2275" s="719" t="s">
        <v>748</v>
      </c>
      <c r="B2275" s="717" t="s">
        <v>69</v>
      </c>
      <c r="C2275" s="772" t="s">
        <v>1141</v>
      </c>
      <c r="D2275" s="783"/>
      <c r="E2275" s="719">
        <v>228723</v>
      </c>
      <c r="F2275" s="719">
        <v>1</v>
      </c>
    </row>
    <row r="2276" spans="1:6">
      <c r="A2276" s="719" t="s">
        <v>748</v>
      </c>
      <c r="B2276" s="717" t="s">
        <v>749</v>
      </c>
      <c r="C2276" s="772" t="s">
        <v>1142</v>
      </c>
      <c r="D2276" s="783"/>
      <c r="E2276" s="719">
        <v>228723</v>
      </c>
      <c r="F2276" s="719">
        <v>1</v>
      </c>
    </row>
    <row r="2277" spans="1:6">
      <c r="A2277" s="719" t="s">
        <v>748</v>
      </c>
      <c r="B2277" s="717" t="s">
        <v>69</v>
      </c>
      <c r="C2277" s="772" t="s">
        <v>1143</v>
      </c>
      <c r="D2277" s="783"/>
      <c r="E2277" s="719">
        <v>228723</v>
      </c>
      <c r="F2277" s="719">
        <v>1</v>
      </c>
    </row>
    <row r="2278" spans="1:6">
      <c r="A2278" s="719" t="s">
        <v>748</v>
      </c>
      <c r="B2278" s="717" t="s">
        <v>69</v>
      </c>
      <c r="C2278" s="772" t="s">
        <v>1144</v>
      </c>
      <c r="D2278" s="783"/>
      <c r="E2278" s="719">
        <v>228723</v>
      </c>
      <c r="F2278" s="719">
        <v>1</v>
      </c>
    </row>
    <row r="2279" spans="1:6">
      <c r="A2279" s="719" t="s">
        <v>748</v>
      </c>
      <c r="B2279" s="717" t="s">
        <v>69</v>
      </c>
      <c r="C2279" s="772" t="s">
        <v>1456</v>
      </c>
      <c r="D2279" s="783"/>
      <c r="E2279" s="719">
        <v>228723</v>
      </c>
      <c r="F2279" s="719">
        <v>1</v>
      </c>
    </row>
    <row r="2280" spans="1:6">
      <c r="A2280" s="719" t="s">
        <v>748</v>
      </c>
      <c r="B2280" s="717" t="s">
        <v>69</v>
      </c>
      <c r="C2280" s="774" t="s">
        <v>70</v>
      </c>
      <c r="D2280" s="783"/>
      <c r="E2280" s="719">
        <v>228723</v>
      </c>
      <c r="F2280" s="719">
        <v>1</v>
      </c>
    </row>
    <row r="2281" spans="1:6">
      <c r="A2281" s="719" t="s">
        <v>748</v>
      </c>
      <c r="B2281" s="717" t="s">
        <v>62</v>
      </c>
      <c r="C2281" s="770" t="s">
        <v>1145</v>
      </c>
      <c r="D2281" s="782"/>
      <c r="E2281" s="719">
        <v>229115</v>
      </c>
      <c r="F2281" s="719">
        <v>1</v>
      </c>
    </row>
    <row r="2282" spans="1:6">
      <c r="A2282" s="719" t="s">
        <v>748</v>
      </c>
      <c r="B2282" s="717" t="s">
        <v>62</v>
      </c>
      <c r="C2282" s="770" t="s">
        <v>1146</v>
      </c>
      <c r="D2282" s="782"/>
      <c r="E2282" s="719">
        <v>225511</v>
      </c>
      <c r="F2282" s="719">
        <v>1</v>
      </c>
    </row>
    <row r="2283" spans="1:6">
      <c r="A2283" s="719" t="s">
        <v>748</v>
      </c>
      <c r="B2283" s="717" t="s">
        <v>62</v>
      </c>
      <c r="C2283" s="770" t="s">
        <v>1147</v>
      </c>
      <c r="D2283" s="782"/>
      <c r="E2283" s="719">
        <v>227216</v>
      </c>
      <c r="F2283" s="719">
        <v>1</v>
      </c>
    </row>
    <row r="2284" spans="1:6">
      <c r="A2284" s="719" t="s">
        <v>748</v>
      </c>
      <c r="B2284" s="717" t="s">
        <v>62</v>
      </c>
      <c r="C2284" s="770" t="s">
        <v>1148</v>
      </c>
      <c r="D2284" s="782"/>
      <c r="E2284" s="719">
        <v>228769</v>
      </c>
      <c r="F2284" s="719">
        <v>1</v>
      </c>
    </row>
    <row r="2285" spans="1:6">
      <c r="A2285" s="719" t="s">
        <v>748</v>
      </c>
      <c r="B2285" s="717" t="s">
        <v>62</v>
      </c>
      <c r="C2285" s="770" t="s">
        <v>1149</v>
      </c>
      <c r="D2285" s="782"/>
      <c r="E2285" s="719">
        <v>228778</v>
      </c>
      <c r="F2285" s="719">
        <v>1</v>
      </c>
    </row>
    <row r="2286" spans="1:6">
      <c r="A2286" s="719" t="s">
        <v>748</v>
      </c>
      <c r="B2286" s="717" t="s">
        <v>62</v>
      </c>
      <c r="C2286" s="770" t="s">
        <v>1150</v>
      </c>
      <c r="D2286" s="782"/>
      <c r="E2286" s="719">
        <v>228787</v>
      </c>
      <c r="F2286" s="719">
        <v>1</v>
      </c>
    </row>
    <row r="2287" spans="1:6">
      <c r="A2287" s="719" t="s">
        <v>748</v>
      </c>
      <c r="B2287" s="717" t="s">
        <v>62</v>
      </c>
      <c r="C2287" s="717" t="s">
        <v>1151</v>
      </c>
      <c r="D2287" s="784"/>
      <c r="E2287" s="719">
        <v>229027</v>
      </c>
      <c r="F2287" s="719">
        <v>1</v>
      </c>
    </row>
    <row r="2288" spans="1:6">
      <c r="A2288" s="719" t="s">
        <v>748</v>
      </c>
      <c r="B2288" s="717" t="s">
        <v>62</v>
      </c>
      <c r="C2288" s="770" t="s">
        <v>1152</v>
      </c>
      <c r="D2288" s="784"/>
      <c r="E2288" s="719">
        <v>228459</v>
      </c>
      <c r="F2288" s="719">
        <v>2</v>
      </c>
    </row>
    <row r="2289" spans="1:6">
      <c r="A2289" s="719" t="s">
        <v>748</v>
      </c>
      <c r="B2289" s="717" t="s">
        <v>62</v>
      </c>
      <c r="C2289" s="717" t="s">
        <v>1153</v>
      </c>
      <c r="D2289" s="1141" t="s">
        <v>1805</v>
      </c>
      <c r="E2289" s="719">
        <v>229179</v>
      </c>
      <c r="F2289" s="719">
        <v>2</v>
      </c>
    </row>
    <row r="2290" spans="1:6">
      <c r="A2290" s="719" t="s">
        <v>748</v>
      </c>
      <c r="B2290" s="717" t="s">
        <v>62</v>
      </c>
      <c r="C2290" s="770" t="s">
        <v>1154</v>
      </c>
      <c r="D2290" s="1142" t="s">
        <v>1806</v>
      </c>
      <c r="E2290" s="719">
        <v>228796</v>
      </c>
      <c r="F2290" s="719">
        <v>2</v>
      </c>
    </row>
    <row r="2291" spans="1:6">
      <c r="A2291" s="719" t="s">
        <v>748</v>
      </c>
      <c r="B2291" s="717" t="s">
        <v>62</v>
      </c>
      <c r="C2291" s="770" t="s">
        <v>1155</v>
      </c>
      <c r="D2291" s="782"/>
      <c r="E2291" s="719">
        <v>222831</v>
      </c>
      <c r="F2291" s="719">
        <v>3</v>
      </c>
    </row>
    <row r="2292" spans="1:6">
      <c r="A2292" s="719" t="s">
        <v>748</v>
      </c>
      <c r="B2292" s="717" t="s">
        <v>62</v>
      </c>
      <c r="C2292" s="770" t="s">
        <v>1156</v>
      </c>
      <c r="D2292" s="782"/>
      <c r="E2292" s="719">
        <v>226091</v>
      </c>
      <c r="F2292" s="719">
        <v>3</v>
      </c>
    </row>
    <row r="2293" spans="1:6">
      <c r="A2293" s="719" t="s">
        <v>748</v>
      </c>
      <c r="B2293" s="717" t="s">
        <v>62</v>
      </c>
      <c r="C2293" s="770" t="s">
        <v>1157</v>
      </c>
      <c r="D2293" s="782"/>
      <c r="E2293" s="719">
        <v>226833</v>
      </c>
      <c r="F2293" s="719">
        <v>3</v>
      </c>
    </row>
    <row r="2294" spans="1:6">
      <c r="A2294" s="719" t="s">
        <v>748</v>
      </c>
      <c r="B2294" s="717" t="s">
        <v>62</v>
      </c>
      <c r="C2294" s="770" t="s">
        <v>1158</v>
      </c>
      <c r="D2294" s="782"/>
      <c r="E2294" s="719">
        <v>227526</v>
      </c>
      <c r="F2294" s="719">
        <v>3</v>
      </c>
    </row>
    <row r="2295" spans="1:6">
      <c r="A2295" s="719" t="s">
        <v>748</v>
      </c>
      <c r="B2295" s="717" t="s">
        <v>62</v>
      </c>
      <c r="C2295" s="770" t="s">
        <v>1159</v>
      </c>
      <c r="D2295" s="782"/>
      <c r="E2295" s="719">
        <v>227881</v>
      </c>
      <c r="F2295" s="719">
        <v>3</v>
      </c>
    </row>
    <row r="2296" spans="1:6">
      <c r="A2296" s="719" t="s">
        <v>748</v>
      </c>
      <c r="B2296" s="717" t="s">
        <v>62</v>
      </c>
      <c r="C2296" s="770" t="s">
        <v>1160</v>
      </c>
      <c r="D2296" s="782"/>
      <c r="E2296" s="719">
        <v>228431</v>
      </c>
      <c r="F2296" s="719">
        <v>3</v>
      </c>
    </row>
    <row r="2297" spans="1:6">
      <c r="A2297" s="719" t="s">
        <v>748</v>
      </c>
      <c r="B2297" s="717" t="s">
        <v>62</v>
      </c>
      <c r="C2297" s="770" t="s">
        <v>1161</v>
      </c>
      <c r="D2297" s="782"/>
      <c r="E2297" s="719">
        <v>228501</v>
      </c>
      <c r="F2297" s="719">
        <v>3</v>
      </c>
    </row>
    <row r="2298" spans="1:6">
      <c r="A2298" s="719" t="s">
        <v>748</v>
      </c>
      <c r="B2298" s="717" t="s">
        <v>62</v>
      </c>
      <c r="C2298" s="770" t="s">
        <v>1162</v>
      </c>
      <c r="D2298" s="782"/>
      <c r="E2298" s="719">
        <v>228529</v>
      </c>
      <c r="F2298" s="719">
        <v>3</v>
      </c>
    </row>
    <row r="2299" spans="1:6">
      <c r="A2299" s="719" t="s">
        <v>748</v>
      </c>
      <c r="B2299" s="717" t="s">
        <v>62</v>
      </c>
      <c r="C2299" s="717" t="s">
        <v>1163</v>
      </c>
      <c r="D2299" s="785"/>
      <c r="E2299" s="719">
        <v>226152</v>
      </c>
      <c r="F2299" s="719">
        <v>3</v>
      </c>
    </row>
    <row r="2300" spans="1:6">
      <c r="A2300" s="719" t="s">
        <v>748</v>
      </c>
      <c r="B2300" s="717" t="s">
        <v>62</v>
      </c>
      <c r="C2300" s="770" t="s">
        <v>1164</v>
      </c>
      <c r="D2300" s="782"/>
      <c r="E2300" s="719">
        <v>224554</v>
      </c>
      <c r="F2300" s="719">
        <v>3</v>
      </c>
    </row>
    <row r="2301" spans="1:6">
      <c r="A2301" s="719" t="s">
        <v>748</v>
      </c>
      <c r="B2301" s="717" t="s">
        <v>62</v>
      </c>
      <c r="C2301" s="770" t="s">
        <v>1165</v>
      </c>
      <c r="D2301" s="786" t="s">
        <v>1439</v>
      </c>
      <c r="E2301" s="787">
        <v>224147</v>
      </c>
      <c r="F2301" s="719">
        <v>3</v>
      </c>
    </row>
    <row r="2302" spans="1:6">
      <c r="A2302" s="719" t="s">
        <v>748</v>
      </c>
      <c r="B2302" s="717" t="s">
        <v>62</v>
      </c>
      <c r="C2302" s="770" t="s">
        <v>1166</v>
      </c>
      <c r="D2302" s="782"/>
      <c r="E2302" s="787">
        <v>228705</v>
      </c>
      <c r="F2302" s="719">
        <v>3</v>
      </c>
    </row>
    <row r="2303" spans="1:6">
      <c r="A2303" s="719" t="s">
        <v>748</v>
      </c>
      <c r="B2303" s="717" t="s">
        <v>62</v>
      </c>
      <c r="C2303" s="770" t="s">
        <v>1167</v>
      </c>
      <c r="D2303" s="786"/>
      <c r="E2303" s="787">
        <v>229063</v>
      </c>
      <c r="F2303" s="719">
        <v>3</v>
      </c>
    </row>
    <row r="2304" spans="1:6">
      <c r="A2304" s="719" t="s">
        <v>748</v>
      </c>
      <c r="B2304" s="717" t="s">
        <v>62</v>
      </c>
      <c r="C2304" s="770" t="s">
        <v>1168</v>
      </c>
      <c r="D2304" s="782"/>
      <c r="E2304" s="787">
        <v>225414</v>
      </c>
      <c r="F2304" s="719">
        <v>3</v>
      </c>
    </row>
    <row r="2305" spans="1:6">
      <c r="A2305" s="719" t="s">
        <v>748</v>
      </c>
      <c r="B2305" s="717" t="s">
        <v>62</v>
      </c>
      <c r="C2305" s="717" t="s">
        <v>1169</v>
      </c>
      <c r="D2305" s="782"/>
      <c r="E2305" s="787">
        <v>227368</v>
      </c>
      <c r="F2305" s="719">
        <v>3</v>
      </c>
    </row>
    <row r="2306" spans="1:6">
      <c r="A2306" s="719" t="s">
        <v>748</v>
      </c>
      <c r="B2306" s="717" t="s">
        <v>62</v>
      </c>
      <c r="C2306" s="770" t="s">
        <v>1170</v>
      </c>
      <c r="D2306" s="782"/>
      <c r="E2306" s="787">
        <v>228802</v>
      </c>
      <c r="F2306" s="719">
        <v>3</v>
      </c>
    </row>
    <row r="2307" spans="1:6">
      <c r="A2307" s="719" t="s">
        <v>748</v>
      </c>
      <c r="B2307" s="717" t="s">
        <v>62</v>
      </c>
      <c r="C2307" s="717" t="s">
        <v>1171</v>
      </c>
      <c r="D2307" s="788"/>
      <c r="E2307" s="787">
        <v>229018</v>
      </c>
      <c r="F2307" s="719">
        <v>3</v>
      </c>
    </row>
    <row r="2308" spans="1:6">
      <c r="A2308" s="719" t="s">
        <v>748</v>
      </c>
      <c r="B2308" s="717" t="s">
        <v>62</v>
      </c>
      <c r="C2308" s="770" t="s">
        <v>1172</v>
      </c>
      <c r="D2308" s="782"/>
      <c r="E2308" s="787">
        <v>229814</v>
      </c>
      <c r="F2308" s="719">
        <v>3</v>
      </c>
    </row>
    <row r="2309" spans="1:6">
      <c r="A2309" s="719" t="s">
        <v>748</v>
      </c>
      <c r="B2309" s="717" t="s">
        <v>62</v>
      </c>
      <c r="C2309" s="717" t="s">
        <v>1173</v>
      </c>
      <c r="D2309" s="1103" t="s">
        <v>1789</v>
      </c>
      <c r="E2309" s="1104">
        <v>483036</v>
      </c>
      <c r="F2309" s="1105">
        <v>3</v>
      </c>
    </row>
    <row r="2310" spans="1:6">
      <c r="A2310" s="719" t="s">
        <v>748</v>
      </c>
      <c r="B2310" s="717" t="s">
        <v>62</v>
      </c>
      <c r="C2310" s="770" t="s">
        <v>1174</v>
      </c>
      <c r="D2310" s="782"/>
      <c r="E2310" s="787">
        <v>224545</v>
      </c>
      <c r="F2310" s="719">
        <v>4</v>
      </c>
    </row>
    <row r="2311" spans="1:6">
      <c r="A2311" s="719" t="s">
        <v>748</v>
      </c>
      <c r="B2311" s="717" t="s">
        <v>62</v>
      </c>
      <c r="C2311" s="770" t="s">
        <v>1178</v>
      </c>
      <c r="D2311" s="1106"/>
      <c r="E2311" s="787">
        <v>225432</v>
      </c>
      <c r="F2311" s="1107">
        <v>4</v>
      </c>
    </row>
    <row r="2312" spans="1:6">
      <c r="A2312" s="719" t="s">
        <v>748</v>
      </c>
      <c r="B2312" s="717" t="s">
        <v>62</v>
      </c>
      <c r="C2312" s="717" t="s">
        <v>1175</v>
      </c>
      <c r="D2312" s="782"/>
      <c r="E2312" s="787">
        <v>225502</v>
      </c>
      <c r="F2312" s="719">
        <v>4</v>
      </c>
    </row>
    <row r="2313" spans="1:6">
      <c r="A2313" s="719" t="s">
        <v>748</v>
      </c>
      <c r="B2313" s="717" t="s">
        <v>62</v>
      </c>
      <c r="C2313" s="770" t="s">
        <v>1176</v>
      </c>
      <c r="D2313" s="786"/>
      <c r="E2313" s="787">
        <v>227924</v>
      </c>
      <c r="F2313" s="719">
        <v>5</v>
      </c>
    </row>
    <row r="2314" spans="1:6">
      <c r="A2314" s="719" t="s">
        <v>748</v>
      </c>
      <c r="B2314" s="717" t="s">
        <v>62</v>
      </c>
      <c r="C2314" s="717" t="s">
        <v>1177</v>
      </c>
      <c r="D2314" s="1103" t="s">
        <v>1790</v>
      </c>
      <c r="E2314" s="1104">
        <v>870501</v>
      </c>
      <c r="F2314" s="1105">
        <v>4</v>
      </c>
    </row>
    <row r="2315" spans="1:6">
      <c r="A2315" s="719" t="s">
        <v>748</v>
      </c>
      <c r="B2315" s="717" t="s">
        <v>62</v>
      </c>
      <c r="C2315" s="770" t="s">
        <v>1179</v>
      </c>
      <c r="D2315" s="1143"/>
      <c r="E2315" s="787">
        <v>228714</v>
      </c>
      <c r="F2315" s="719">
        <v>5</v>
      </c>
    </row>
    <row r="2316" spans="1:6">
      <c r="A2316" s="719" t="s">
        <v>748</v>
      </c>
      <c r="B2316" s="717" t="s">
        <v>62</v>
      </c>
      <c r="C2316" s="770" t="s">
        <v>1180</v>
      </c>
      <c r="D2316" s="1144" t="s">
        <v>1807</v>
      </c>
      <c r="E2316" s="787">
        <v>223506</v>
      </c>
      <c r="F2316" s="719">
        <v>7</v>
      </c>
    </row>
    <row r="2317" spans="1:6">
      <c r="A2317" s="719" t="s">
        <v>748</v>
      </c>
      <c r="B2317" s="717" t="s">
        <v>62</v>
      </c>
      <c r="C2317" s="770" t="s">
        <v>1181</v>
      </c>
      <c r="D2317" s="1144" t="s">
        <v>1807</v>
      </c>
      <c r="E2317" s="787">
        <v>226806</v>
      </c>
      <c r="F2317" s="719">
        <v>7</v>
      </c>
    </row>
    <row r="2318" spans="1:6">
      <c r="A2318" s="719" t="s">
        <v>748</v>
      </c>
      <c r="B2318" s="717" t="s">
        <v>62</v>
      </c>
      <c r="C2318" s="770" t="s">
        <v>1182</v>
      </c>
      <c r="D2318" s="1144" t="s">
        <v>1808</v>
      </c>
      <c r="E2318" s="787">
        <v>409315</v>
      </c>
      <c r="F2318" s="719">
        <v>7</v>
      </c>
    </row>
    <row r="2319" spans="1:6">
      <c r="A2319" s="719" t="s">
        <v>748</v>
      </c>
      <c r="B2319" s="717" t="s">
        <v>62</v>
      </c>
      <c r="C2319" s="770" t="s">
        <v>1183</v>
      </c>
      <c r="D2319" s="782"/>
      <c r="E2319" s="787">
        <v>222576</v>
      </c>
      <c r="F2319" s="719">
        <v>8</v>
      </c>
    </row>
    <row r="2320" spans="1:6">
      <c r="A2320" s="719" t="s">
        <v>748</v>
      </c>
      <c r="B2320" s="717" t="s">
        <v>62</v>
      </c>
      <c r="C2320" s="770" t="s">
        <v>1184</v>
      </c>
      <c r="D2320" s="786" t="s">
        <v>1457</v>
      </c>
      <c r="E2320" s="787">
        <v>222992</v>
      </c>
      <c r="F2320" s="719">
        <v>8</v>
      </c>
    </row>
    <row r="2321" spans="1:6">
      <c r="A2321" s="719" t="s">
        <v>748</v>
      </c>
      <c r="B2321" s="717" t="s">
        <v>62</v>
      </c>
      <c r="C2321" s="770" t="s">
        <v>1185</v>
      </c>
      <c r="D2321" s="782"/>
      <c r="E2321" s="719">
        <v>223427</v>
      </c>
      <c r="F2321" s="719">
        <v>8</v>
      </c>
    </row>
    <row r="2322" spans="1:6">
      <c r="A2322" s="719" t="s">
        <v>748</v>
      </c>
      <c r="B2322" s="717" t="s">
        <v>62</v>
      </c>
      <c r="C2322" s="789" t="s">
        <v>1186</v>
      </c>
      <c r="D2322" s="790"/>
      <c r="E2322" s="719">
        <v>223524</v>
      </c>
      <c r="F2322" s="719">
        <v>8</v>
      </c>
    </row>
    <row r="2323" spans="1:6">
      <c r="A2323" s="719" t="s">
        <v>748</v>
      </c>
      <c r="B2323" s="717" t="s">
        <v>62</v>
      </c>
      <c r="C2323" s="770" t="s">
        <v>1187</v>
      </c>
      <c r="D2323" s="782"/>
      <c r="E2323" s="719">
        <v>223816</v>
      </c>
      <c r="F2323" s="719">
        <v>8</v>
      </c>
    </row>
    <row r="2324" spans="1:6">
      <c r="A2324" s="719" t="s">
        <v>748</v>
      </c>
      <c r="B2324" s="717" t="s">
        <v>62</v>
      </c>
      <c r="C2324" s="770" t="s">
        <v>1188</v>
      </c>
      <c r="D2324" s="782"/>
      <c r="E2324" s="719">
        <v>247834</v>
      </c>
      <c r="F2324" s="719">
        <v>8</v>
      </c>
    </row>
    <row r="2325" spans="1:6">
      <c r="A2325" s="719" t="s">
        <v>748</v>
      </c>
      <c r="B2325" s="717" t="s">
        <v>62</v>
      </c>
      <c r="C2325" s="770" t="s">
        <v>1189</v>
      </c>
      <c r="D2325" s="782"/>
      <c r="E2325" s="719">
        <v>224350</v>
      </c>
      <c r="F2325" s="719">
        <v>8</v>
      </c>
    </row>
    <row r="2326" spans="1:6">
      <c r="A2326" s="719" t="s">
        <v>748</v>
      </c>
      <c r="B2326" s="717" t="s">
        <v>62</v>
      </c>
      <c r="C2326" s="789" t="s">
        <v>1190</v>
      </c>
      <c r="D2326" s="790"/>
      <c r="E2326" s="719">
        <v>224572</v>
      </c>
      <c r="F2326" s="719">
        <v>8</v>
      </c>
    </row>
    <row r="2327" spans="1:6">
      <c r="A2327" s="719" t="s">
        <v>748</v>
      </c>
      <c r="B2327" s="717" t="s">
        <v>62</v>
      </c>
      <c r="C2327" s="789" t="s">
        <v>1191</v>
      </c>
      <c r="D2327" s="790"/>
      <c r="E2327" s="719">
        <v>224615</v>
      </c>
      <c r="F2327" s="719">
        <v>8</v>
      </c>
    </row>
    <row r="2328" spans="1:6">
      <c r="A2328" s="719" t="s">
        <v>748</v>
      </c>
      <c r="B2328" s="717" t="s">
        <v>62</v>
      </c>
      <c r="C2328" s="770" t="s">
        <v>1192</v>
      </c>
      <c r="D2328" s="782"/>
      <c r="E2328" s="719">
        <v>224642</v>
      </c>
      <c r="F2328" s="719">
        <v>8</v>
      </c>
    </row>
    <row r="2329" spans="1:6">
      <c r="A2329" s="719" t="s">
        <v>748</v>
      </c>
      <c r="B2329" s="717" t="s">
        <v>62</v>
      </c>
      <c r="C2329" s="770" t="s">
        <v>1193</v>
      </c>
      <c r="D2329" s="782"/>
      <c r="E2329" s="719">
        <v>225423</v>
      </c>
      <c r="F2329" s="719">
        <v>8</v>
      </c>
    </row>
    <row r="2330" spans="1:6">
      <c r="A2330" s="719" t="s">
        <v>748</v>
      </c>
      <c r="B2330" s="717" t="s">
        <v>62</v>
      </c>
      <c r="C2330" s="770" t="s">
        <v>1194</v>
      </c>
      <c r="D2330" s="782"/>
      <c r="E2330" s="719">
        <v>226134</v>
      </c>
      <c r="F2330" s="719">
        <v>8</v>
      </c>
    </row>
    <row r="2331" spans="1:6">
      <c r="A2331" s="719" t="s">
        <v>748</v>
      </c>
      <c r="B2331" s="717" t="s">
        <v>62</v>
      </c>
      <c r="C2331" s="717" t="s">
        <v>1195</v>
      </c>
      <c r="D2331" s="785"/>
      <c r="E2331" s="719">
        <v>227182</v>
      </c>
      <c r="F2331" s="719">
        <v>8</v>
      </c>
    </row>
    <row r="2332" spans="1:6">
      <c r="A2332" s="719" t="s">
        <v>748</v>
      </c>
      <c r="B2332" s="717" t="s">
        <v>62</v>
      </c>
      <c r="C2332" s="770" t="s">
        <v>1196</v>
      </c>
      <c r="D2332" s="782"/>
      <c r="E2332" s="719">
        <v>226578</v>
      </c>
      <c r="F2332" s="719">
        <v>8</v>
      </c>
    </row>
    <row r="2333" spans="1:6">
      <c r="A2333" s="719" t="s">
        <v>748</v>
      </c>
      <c r="B2333" s="717" t="s">
        <v>62</v>
      </c>
      <c r="C2333" s="789" t="s">
        <v>1222</v>
      </c>
      <c r="D2333" s="728"/>
      <c r="E2333" s="719">
        <v>226930</v>
      </c>
      <c r="F2333" s="719">
        <v>8</v>
      </c>
    </row>
    <row r="2334" spans="1:6">
      <c r="A2334" s="719" t="s">
        <v>748</v>
      </c>
      <c r="B2334" s="717" t="s">
        <v>62</v>
      </c>
      <c r="C2334" s="770" t="s">
        <v>1197</v>
      </c>
      <c r="D2334" s="782"/>
      <c r="E2334" s="719">
        <v>227146</v>
      </c>
      <c r="F2334" s="719">
        <v>8</v>
      </c>
    </row>
    <row r="2335" spans="1:6">
      <c r="A2335" s="719" t="s">
        <v>748</v>
      </c>
      <c r="B2335" s="717" t="s">
        <v>62</v>
      </c>
      <c r="C2335" s="770" t="s">
        <v>1198</v>
      </c>
      <c r="D2335" s="1144" t="s">
        <v>1809</v>
      </c>
      <c r="E2335" s="719">
        <v>224110</v>
      </c>
      <c r="F2335" s="719">
        <v>8</v>
      </c>
    </row>
    <row r="2336" spans="1:6">
      <c r="A2336" s="719" t="s">
        <v>748</v>
      </c>
      <c r="B2336" s="717" t="s">
        <v>62</v>
      </c>
      <c r="C2336" s="789" t="s">
        <v>1199</v>
      </c>
      <c r="D2336" s="790"/>
      <c r="E2336" s="719">
        <v>227191</v>
      </c>
      <c r="F2336" s="719">
        <v>8</v>
      </c>
    </row>
    <row r="2337" spans="1:6">
      <c r="A2337" s="719" t="s">
        <v>748</v>
      </c>
      <c r="B2337" s="717" t="s">
        <v>62</v>
      </c>
      <c r="C2337" s="791" t="s">
        <v>1200</v>
      </c>
      <c r="D2337" s="792"/>
      <c r="E2337" s="719">
        <v>420398</v>
      </c>
      <c r="F2337" s="719">
        <v>8</v>
      </c>
    </row>
    <row r="2338" spans="1:6">
      <c r="A2338" s="719" t="s">
        <v>748</v>
      </c>
      <c r="B2338" s="717" t="s">
        <v>62</v>
      </c>
      <c r="C2338" s="791" t="s">
        <v>1201</v>
      </c>
      <c r="D2338" s="785"/>
      <c r="E2338" s="719">
        <v>246354</v>
      </c>
      <c r="F2338" s="719">
        <v>8</v>
      </c>
    </row>
    <row r="2339" spans="1:6">
      <c r="A2339" s="719" t="s">
        <v>748</v>
      </c>
      <c r="B2339" s="717" t="s">
        <v>62</v>
      </c>
      <c r="C2339" s="789" t="s">
        <v>1202</v>
      </c>
      <c r="D2339" s="790"/>
      <c r="E2339" s="719">
        <v>227766</v>
      </c>
      <c r="F2339" s="719">
        <v>8</v>
      </c>
    </row>
    <row r="2340" spans="1:6">
      <c r="A2340" s="719" t="s">
        <v>748</v>
      </c>
      <c r="B2340" s="717" t="s">
        <v>62</v>
      </c>
      <c r="C2340" s="791" t="s">
        <v>1203</v>
      </c>
      <c r="D2340" s="792"/>
      <c r="E2340" s="719">
        <v>227924</v>
      </c>
      <c r="F2340" s="719">
        <v>8</v>
      </c>
    </row>
    <row r="2341" spans="1:6">
      <c r="A2341" s="719" t="s">
        <v>748</v>
      </c>
      <c r="B2341" s="717" t="s">
        <v>62</v>
      </c>
      <c r="C2341" s="770" t="s">
        <v>1204</v>
      </c>
      <c r="D2341" s="782"/>
      <c r="E2341" s="719">
        <v>227979</v>
      </c>
      <c r="F2341" s="719">
        <v>8</v>
      </c>
    </row>
    <row r="2342" spans="1:6">
      <c r="A2342" s="719" t="s">
        <v>748</v>
      </c>
      <c r="B2342" s="717" t="s">
        <v>62</v>
      </c>
      <c r="C2342" s="770" t="s">
        <v>1205</v>
      </c>
      <c r="D2342" s="782"/>
      <c r="E2342" s="719">
        <v>228158</v>
      </c>
      <c r="F2342" s="719">
        <v>8</v>
      </c>
    </row>
    <row r="2343" spans="1:6">
      <c r="A2343" s="719" t="s">
        <v>748</v>
      </c>
      <c r="B2343" s="717" t="s">
        <v>62</v>
      </c>
      <c r="C2343" s="791" t="s">
        <v>1206</v>
      </c>
      <c r="D2343" s="792"/>
      <c r="E2343" s="719">
        <v>227854</v>
      </c>
      <c r="F2343" s="719">
        <v>8</v>
      </c>
    </row>
    <row r="2344" spans="1:6">
      <c r="A2344" s="719" t="s">
        <v>748</v>
      </c>
      <c r="B2344" s="717" t="s">
        <v>62</v>
      </c>
      <c r="C2344" s="770" t="s">
        <v>1207</v>
      </c>
      <c r="D2344" s="782"/>
      <c r="E2344" s="719">
        <v>228547</v>
      </c>
      <c r="F2344" s="719">
        <v>8</v>
      </c>
    </row>
    <row r="2345" spans="1:6">
      <c r="A2345" s="719" t="s">
        <v>748</v>
      </c>
      <c r="B2345" s="717" t="s">
        <v>62</v>
      </c>
      <c r="C2345" s="717" t="s">
        <v>1208</v>
      </c>
      <c r="D2345" s="784"/>
      <c r="E2345" s="719">
        <v>225308</v>
      </c>
      <c r="F2345" s="719">
        <v>8</v>
      </c>
    </row>
    <row r="2346" spans="1:6">
      <c r="A2346" s="719" t="s">
        <v>748</v>
      </c>
      <c r="B2346" s="717" t="s">
        <v>62</v>
      </c>
      <c r="C2346" s="770" t="s">
        <v>1209</v>
      </c>
      <c r="D2346" s="786" t="s">
        <v>1437</v>
      </c>
      <c r="E2346" s="719">
        <v>229355</v>
      </c>
      <c r="F2346" s="719">
        <v>8</v>
      </c>
    </row>
    <row r="2347" spans="1:6">
      <c r="A2347" s="719" t="s">
        <v>748</v>
      </c>
      <c r="B2347" s="717" t="s">
        <v>62</v>
      </c>
      <c r="C2347" s="770" t="s">
        <v>1210</v>
      </c>
      <c r="D2347" s="782"/>
      <c r="E2347" s="719">
        <v>222567</v>
      </c>
      <c r="F2347" s="719">
        <v>9</v>
      </c>
    </row>
    <row r="2348" spans="1:6">
      <c r="A2348" s="719" t="s">
        <v>748</v>
      </c>
      <c r="B2348" s="717" t="s">
        <v>62</v>
      </c>
      <c r="C2348" s="770" t="s">
        <v>1211</v>
      </c>
      <c r="D2348" s="782"/>
      <c r="E2348" s="719">
        <v>222822</v>
      </c>
      <c r="F2348" s="719">
        <v>9</v>
      </c>
    </row>
    <row r="2349" spans="1:6">
      <c r="A2349" s="719" t="s">
        <v>748</v>
      </c>
      <c r="B2349" s="717" t="s">
        <v>62</v>
      </c>
      <c r="C2349" s="789" t="s">
        <v>1212</v>
      </c>
      <c r="D2349" s="790"/>
      <c r="E2349" s="719">
        <v>223773</v>
      </c>
      <c r="F2349" s="719">
        <v>9</v>
      </c>
    </row>
    <row r="2350" spans="1:6">
      <c r="A2350" s="719" t="s">
        <v>748</v>
      </c>
      <c r="B2350" s="717" t="s">
        <v>62</v>
      </c>
      <c r="C2350" s="770" t="s">
        <v>1213</v>
      </c>
      <c r="D2350" s="782"/>
      <c r="E2350" s="719">
        <v>223898</v>
      </c>
      <c r="F2350" s="719">
        <v>9</v>
      </c>
    </row>
    <row r="2351" spans="1:6">
      <c r="A2351" s="719" t="s">
        <v>748</v>
      </c>
      <c r="B2351" s="717" t="s">
        <v>62</v>
      </c>
      <c r="C2351" s="770" t="s">
        <v>1214</v>
      </c>
      <c r="D2351" s="782"/>
      <c r="E2351" s="719">
        <v>223320</v>
      </c>
      <c r="F2351" s="719">
        <v>9</v>
      </c>
    </row>
    <row r="2352" spans="1:6">
      <c r="A2352" s="719" t="s">
        <v>748</v>
      </c>
      <c r="B2352" s="717" t="s">
        <v>62</v>
      </c>
      <c r="C2352" s="770" t="s">
        <v>1215</v>
      </c>
      <c r="D2352" s="782"/>
      <c r="E2352" s="719">
        <v>226408</v>
      </c>
      <c r="F2352" s="719">
        <v>9</v>
      </c>
    </row>
    <row r="2353" spans="1:6">
      <c r="A2353" s="719" t="s">
        <v>748</v>
      </c>
      <c r="B2353" s="717" t="s">
        <v>62</v>
      </c>
      <c r="C2353" s="770" t="s">
        <v>1216</v>
      </c>
      <c r="D2353" s="782"/>
      <c r="E2353" s="719">
        <v>225070</v>
      </c>
      <c r="F2353" s="719">
        <v>9</v>
      </c>
    </row>
    <row r="2354" spans="1:6">
      <c r="A2354" s="719" t="s">
        <v>748</v>
      </c>
      <c r="B2354" s="717" t="s">
        <v>62</v>
      </c>
      <c r="C2354" s="770" t="s">
        <v>1217</v>
      </c>
      <c r="D2354" s="782"/>
      <c r="E2354" s="719">
        <v>225371</v>
      </c>
      <c r="F2354" s="719">
        <v>9</v>
      </c>
    </row>
    <row r="2355" spans="1:6">
      <c r="A2355" s="719" t="s">
        <v>748</v>
      </c>
      <c r="B2355" s="717" t="s">
        <v>62</v>
      </c>
      <c r="C2355" s="793" t="s">
        <v>1218</v>
      </c>
      <c r="D2355" s="794"/>
      <c r="E2355" s="719">
        <v>225520</v>
      </c>
      <c r="F2355" s="719">
        <v>9</v>
      </c>
    </row>
    <row r="2356" spans="1:6">
      <c r="A2356" s="719" t="s">
        <v>748</v>
      </c>
      <c r="B2356" s="717" t="s">
        <v>62</v>
      </c>
      <c r="C2356" s="717" t="s">
        <v>1219</v>
      </c>
      <c r="D2356" s="784"/>
      <c r="E2356" s="719">
        <v>226019</v>
      </c>
      <c r="F2356" s="719">
        <v>8</v>
      </c>
    </row>
    <row r="2357" spans="1:6">
      <c r="A2357" s="719" t="s">
        <v>748</v>
      </c>
      <c r="B2357" s="717" t="s">
        <v>62</v>
      </c>
      <c r="C2357" s="795" t="s">
        <v>1220</v>
      </c>
      <c r="D2357" s="782"/>
      <c r="E2357" s="719">
        <v>441760</v>
      </c>
      <c r="F2357" s="719">
        <v>9</v>
      </c>
    </row>
    <row r="2358" spans="1:6">
      <c r="A2358" s="719" t="s">
        <v>748</v>
      </c>
      <c r="B2358" s="717" t="s">
        <v>62</v>
      </c>
      <c r="C2358" s="770" t="s">
        <v>1221</v>
      </c>
      <c r="D2358" s="727"/>
      <c r="E2358" s="719">
        <v>226204</v>
      </c>
      <c r="F2358" s="719">
        <v>9</v>
      </c>
    </row>
    <row r="2359" spans="1:6">
      <c r="A2359" s="719" t="s">
        <v>748</v>
      </c>
      <c r="B2359" s="717" t="s">
        <v>62</v>
      </c>
      <c r="C2359" s="717" t="s">
        <v>1223</v>
      </c>
      <c r="D2359" s="775"/>
      <c r="E2359" s="719">
        <v>227225</v>
      </c>
      <c r="F2359" s="719">
        <v>9</v>
      </c>
    </row>
    <row r="2360" spans="1:6">
      <c r="A2360" s="719" t="s">
        <v>748</v>
      </c>
      <c r="B2360" s="717" t="s">
        <v>62</v>
      </c>
      <c r="C2360" s="770" t="s">
        <v>1224</v>
      </c>
      <c r="D2360" s="782"/>
      <c r="E2360" s="719">
        <v>227304</v>
      </c>
      <c r="F2360" s="719">
        <v>9</v>
      </c>
    </row>
    <row r="2361" spans="1:6">
      <c r="A2361" s="719" t="s">
        <v>748</v>
      </c>
      <c r="B2361" s="717" t="s">
        <v>62</v>
      </c>
      <c r="C2361" s="770" t="s">
        <v>1225</v>
      </c>
      <c r="D2361" s="782"/>
      <c r="E2361" s="719">
        <v>227401</v>
      </c>
      <c r="F2361" s="719">
        <v>9</v>
      </c>
    </row>
    <row r="2362" spans="1:6">
      <c r="A2362" s="719" t="s">
        <v>748</v>
      </c>
      <c r="B2362" s="717" t="s">
        <v>62</v>
      </c>
      <c r="C2362" s="770" t="s">
        <v>1226</v>
      </c>
      <c r="D2362" s="782"/>
      <c r="E2362" s="719">
        <v>228316</v>
      </c>
      <c r="F2362" s="719">
        <v>9</v>
      </c>
    </row>
    <row r="2363" spans="1:6">
      <c r="A2363" s="719" t="s">
        <v>748</v>
      </c>
      <c r="B2363" s="717" t="s">
        <v>62</v>
      </c>
      <c r="C2363" s="770" t="s">
        <v>1227</v>
      </c>
      <c r="D2363" s="782"/>
      <c r="E2363" s="719">
        <v>228608</v>
      </c>
      <c r="F2363" s="719">
        <v>9</v>
      </c>
    </row>
    <row r="2364" spans="1:6">
      <c r="A2364" s="719" t="s">
        <v>748</v>
      </c>
      <c r="B2364" s="717" t="s">
        <v>62</v>
      </c>
      <c r="C2364" s="770" t="s">
        <v>1228</v>
      </c>
      <c r="D2364" s="782"/>
      <c r="E2364" s="719">
        <v>228699</v>
      </c>
      <c r="F2364" s="719">
        <v>9</v>
      </c>
    </row>
    <row r="2365" spans="1:6">
      <c r="A2365" s="719" t="s">
        <v>748</v>
      </c>
      <c r="B2365" s="717" t="s">
        <v>62</v>
      </c>
      <c r="C2365" s="770" t="s">
        <v>1229</v>
      </c>
      <c r="D2365" s="784"/>
      <c r="E2365" s="736">
        <v>229072</v>
      </c>
      <c r="F2365" s="719">
        <v>8</v>
      </c>
    </row>
    <row r="2366" spans="1:6">
      <c r="A2366" s="719" t="s">
        <v>748</v>
      </c>
      <c r="B2366" s="717" t="s">
        <v>62</v>
      </c>
      <c r="C2366" s="795" t="s">
        <v>1230</v>
      </c>
      <c r="D2366" s="782"/>
      <c r="E2366" s="719">
        <v>229319</v>
      </c>
      <c r="F2366" s="719">
        <v>9</v>
      </c>
    </row>
    <row r="2367" spans="1:6">
      <c r="A2367" s="719" t="s">
        <v>748</v>
      </c>
      <c r="B2367" s="717" t="s">
        <v>62</v>
      </c>
      <c r="C2367" s="796" t="s">
        <v>1231</v>
      </c>
      <c r="D2367" s="784"/>
      <c r="E2367" s="719">
        <v>228680</v>
      </c>
      <c r="F2367" s="719">
        <v>8</v>
      </c>
    </row>
    <row r="2368" spans="1:6">
      <c r="A2368" s="719" t="s">
        <v>748</v>
      </c>
      <c r="B2368" s="717" t="s">
        <v>62</v>
      </c>
      <c r="C2368" s="770" t="s">
        <v>1232</v>
      </c>
      <c r="D2368" s="1144" t="s">
        <v>1809</v>
      </c>
      <c r="E2368" s="719">
        <v>229504</v>
      </c>
      <c r="F2368" s="719">
        <v>9</v>
      </c>
    </row>
    <row r="2369" spans="1:6">
      <c r="A2369" s="719" t="s">
        <v>748</v>
      </c>
      <c r="B2369" s="717" t="s">
        <v>62</v>
      </c>
      <c r="C2369" s="770" t="s">
        <v>1233</v>
      </c>
      <c r="D2369" s="782"/>
      <c r="E2369" s="719">
        <v>229540</v>
      </c>
      <c r="F2369" s="719">
        <v>9</v>
      </c>
    </row>
    <row r="2370" spans="1:6">
      <c r="A2370" s="719" t="s">
        <v>748</v>
      </c>
      <c r="B2370" s="717" t="s">
        <v>62</v>
      </c>
      <c r="C2370" s="770" t="s">
        <v>1234</v>
      </c>
      <c r="D2370" s="782"/>
      <c r="E2370" s="719">
        <v>229799</v>
      </c>
      <c r="F2370" s="719">
        <v>9</v>
      </c>
    </row>
    <row r="2371" spans="1:6">
      <c r="A2371" s="719" t="s">
        <v>748</v>
      </c>
      <c r="B2371" s="717" t="s">
        <v>62</v>
      </c>
      <c r="C2371" s="770" t="s">
        <v>1235</v>
      </c>
      <c r="D2371" s="782"/>
      <c r="E2371" s="719">
        <v>229841</v>
      </c>
      <c r="F2371" s="719">
        <v>9</v>
      </c>
    </row>
    <row r="2372" spans="1:6">
      <c r="A2372" s="719" t="s">
        <v>748</v>
      </c>
      <c r="B2372" s="717" t="s">
        <v>62</v>
      </c>
      <c r="C2372" s="770" t="s">
        <v>1236</v>
      </c>
      <c r="D2372" s="782"/>
      <c r="E2372" s="719">
        <v>223922</v>
      </c>
      <c r="F2372" s="719">
        <v>10</v>
      </c>
    </row>
    <row r="2373" spans="1:6">
      <c r="A2373" s="719" t="s">
        <v>748</v>
      </c>
      <c r="B2373" s="717" t="s">
        <v>62</v>
      </c>
      <c r="C2373" s="770" t="s">
        <v>1237</v>
      </c>
      <c r="D2373" s="782"/>
      <c r="E2373" s="719">
        <v>224891</v>
      </c>
      <c r="F2373" s="719">
        <v>10</v>
      </c>
    </row>
    <row r="2374" spans="1:6">
      <c r="A2374" s="719" t="s">
        <v>748</v>
      </c>
      <c r="B2374" s="717" t="s">
        <v>62</v>
      </c>
      <c r="C2374" s="770" t="s">
        <v>1238</v>
      </c>
      <c r="D2374" s="782"/>
      <c r="E2374" s="719">
        <v>224961</v>
      </c>
      <c r="F2374" s="719">
        <v>10</v>
      </c>
    </row>
    <row r="2375" spans="1:6">
      <c r="A2375" s="719" t="s">
        <v>748</v>
      </c>
      <c r="B2375" s="717" t="s">
        <v>62</v>
      </c>
      <c r="C2375" s="795" t="s">
        <v>1239</v>
      </c>
      <c r="D2375" s="782"/>
      <c r="E2375" s="719">
        <v>226107</v>
      </c>
      <c r="F2375" s="719">
        <v>10</v>
      </c>
    </row>
    <row r="2376" spans="1:6">
      <c r="A2376" s="719" t="s">
        <v>748</v>
      </c>
      <c r="B2376" s="717" t="s">
        <v>62</v>
      </c>
      <c r="C2376" s="796" t="s">
        <v>1240</v>
      </c>
      <c r="D2376" s="786" t="s">
        <v>1455</v>
      </c>
      <c r="E2376" s="719">
        <v>226116</v>
      </c>
      <c r="F2376" s="719">
        <v>10</v>
      </c>
    </row>
    <row r="2377" spans="1:6">
      <c r="A2377" s="719" t="s">
        <v>748</v>
      </c>
      <c r="B2377" s="717" t="s">
        <v>62</v>
      </c>
      <c r="C2377" s="791" t="s">
        <v>1241</v>
      </c>
      <c r="D2377" s="1103" t="s">
        <v>1791</v>
      </c>
      <c r="E2377" s="1104">
        <v>488730</v>
      </c>
      <c r="F2377" s="1108">
        <v>9</v>
      </c>
    </row>
    <row r="2378" spans="1:6">
      <c r="A2378" s="719" t="s">
        <v>748</v>
      </c>
      <c r="B2378" s="717" t="s">
        <v>62</v>
      </c>
      <c r="C2378" s="770" t="s">
        <v>1242</v>
      </c>
      <c r="D2378" s="782"/>
      <c r="E2378" s="719">
        <v>227386</v>
      </c>
      <c r="F2378" s="719">
        <v>10</v>
      </c>
    </row>
    <row r="2379" spans="1:6">
      <c r="A2379" s="719" t="s">
        <v>748</v>
      </c>
      <c r="B2379" s="717" t="s">
        <v>62</v>
      </c>
      <c r="C2379" s="770" t="s">
        <v>1243</v>
      </c>
      <c r="D2379" s="782"/>
      <c r="E2379" s="719">
        <v>227687</v>
      </c>
      <c r="F2379" s="719">
        <v>10</v>
      </c>
    </row>
    <row r="2380" spans="1:6">
      <c r="A2380" s="719" t="s">
        <v>748</v>
      </c>
      <c r="B2380" s="717" t="s">
        <v>62</v>
      </c>
      <c r="C2380" s="793" t="s">
        <v>1244</v>
      </c>
      <c r="D2380" s="794"/>
      <c r="E2380" s="719">
        <v>382911</v>
      </c>
      <c r="F2380" s="719">
        <v>10</v>
      </c>
    </row>
    <row r="2381" spans="1:6">
      <c r="A2381" s="719" t="s">
        <v>748</v>
      </c>
      <c r="B2381" s="717" t="s">
        <v>62</v>
      </c>
      <c r="C2381" s="770" t="s">
        <v>1245</v>
      </c>
      <c r="D2381" s="775"/>
      <c r="E2381" s="797" t="s">
        <v>1246</v>
      </c>
      <c r="F2381" s="798">
        <v>10</v>
      </c>
    </row>
    <row r="2382" spans="1:6">
      <c r="A2382" s="719" t="s">
        <v>748</v>
      </c>
      <c r="B2382" s="717" t="s">
        <v>62</v>
      </c>
      <c r="C2382" s="795" t="s">
        <v>1247</v>
      </c>
      <c r="D2382" s="782"/>
      <c r="E2382" s="719">
        <v>408394</v>
      </c>
      <c r="F2382" s="719">
        <v>10</v>
      </c>
    </row>
    <row r="2383" spans="1:6">
      <c r="A2383" s="719" t="s">
        <v>748</v>
      </c>
      <c r="B2383" s="717" t="s">
        <v>62</v>
      </c>
      <c r="C2383" s="770" t="s">
        <v>1248</v>
      </c>
      <c r="D2383" s="775"/>
      <c r="E2383" s="797" t="s">
        <v>1246</v>
      </c>
      <c r="F2383" s="798">
        <v>10</v>
      </c>
    </row>
    <row r="2384" spans="1:6">
      <c r="A2384" s="719" t="s">
        <v>748</v>
      </c>
      <c r="B2384" s="717" t="s">
        <v>62</v>
      </c>
      <c r="C2384" s="795" t="s">
        <v>1249</v>
      </c>
      <c r="D2384" s="782"/>
      <c r="E2384" s="719">
        <v>229328</v>
      </c>
      <c r="F2384" s="719">
        <v>10</v>
      </c>
    </row>
    <row r="2385" spans="1:6">
      <c r="A2385" s="719" t="s">
        <v>748</v>
      </c>
      <c r="B2385" s="717" t="s">
        <v>62</v>
      </c>
      <c r="C2385" s="770" t="s">
        <v>1250</v>
      </c>
      <c r="D2385" s="782"/>
      <c r="E2385" s="719">
        <v>229832</v>
      </c>
      <c r="F2385" s="719">
        <v>10</v>
      </c>
    </row>
    <row r="2386" spans="1:6">
      <c r="A2386" s="719" t="s">
        <v>748</v>
      </c>
      <c r="B2386" s="717" t="s">
        <v>62</v>
      </c>
      <c r="C2386" s="799" t="s">
        <v>1251</v>
      </c>
      <c r="D2386" s="783"/>
      <c r="E2386" s="770"/>
      <c r="F2386" s="736">
        <v>11</v>
      </c>
    </row>
    <row r="2387" spans="1:6">
      <c r="A2387" s="719" t="s">
        <v>748</v>
      </c>
      <c r="B2387" s="717" t="s">
        <v>62</v>
      </c>
      <c r="C2387" s="1109" t="s">
        <v>1792</v>
      </c>
      <c r="D2387" s="1104" t="s">
        <v>1793</v>
      </c>
      <c r="E2387" s="1110">
        <v>224615</v>
      </c>
      <c r="F2387" s="736">
        <v>10</v>
      </c>
    </row>
    <row r="2388" spans="1:6">
      <c r="A2388" s="719" t="s">
        <v>748</v>
      </c>
      <c r="B2388" s="717" t="s">
        <v>64</v>
      </c>
      <c r="C2388" s="800" t="s">
        <v>1252</v>
      </c>
      <c r="D2388" s="783"/>
      <c r="E2388" s="719">
        <v>223214</v>
      </c>
      <c r="F2388" s="719">
        <v>15</v>
      </c>
    </row>
    <row r="2389" spans="1:6">
      <c r="A2389" s="719" t="s">
        <v>748</v>
      </c>
      <c r="B2389" s="717" t="s">
        <v>64</v>
      </c>
      <c r="C2389" s="800" t="s">
        <v>1253</v>
      </c>
      <c r="D2389" s="782"/>
      <c r="E2389" s="719">
        <v>229337</v>
      </c>
      <c r="F2389" s="719">
        <v>15</v>
      </c>
    </row>
    <row r="2390" spans="1:6">
      <c r="A2390" s="719" t="s">
        <v>748</v>
      </c>
      <c r="B2390" s="717" t="s">
        <v>64</v>
      </c>
      <c r="C2390" s="800" t="s">
        <v>1254</v>
      </c>
      <c r="D2390" s="782"/>
      <c r="E2390" s="798" t="s">
        <v>1255</v>
      </c>
      <c r="F2390" s="719">
        <v>15</v>
      </c>
    </row>
    <row r="2391" spans="1:6">
      <c r="A2391" s="719" t="s">
        <v>748</v>
      </c>
      <c r="B2391" s="717" t="s">
        <v>64</v>
      </c>
      <c r="C2391" s="800" t="s">
        <v>1256</v>
      </c>
      <c r="D2391" s="782"/>
      <c r="E2391" s="719">
        <v>228909</v>
      </c>
      <c r="F2391" s="719">
        <v>15</v>
      </c>
    </row>
    <row r="2392" spans="1:6">
      <c r="A2392" s="719" t="s">
        <v>748</v>
      </c>
      <c r="B2392" s="717" t="s">
        <v>64</v>
      </c>
      <c r="C2392" s="800" t="s">
        <v>1257</v>
      </c>
      <c r="D2392" s="782"/>
      <c r="E2392" s="719">
        <v>229300</v>
      </c>
      <c r="F2392" s="719">
        <v>15</v>
      </c>
    </row>
    <row r="2393" spans="1:6">
      <c r="A2393" s="719" t="s">
        <v>748</v>
      </c>
      <c r="B2393" s="717" t="s">
        <v>64</v>
      </c>
      <c r="C2393" s="800" t="s">
        <v>1258</v>
      </c>
      <c r="D2393" s="782"/>
      <c r="E2393" s="719">
        <v>228644</v>
      </c>
      <c r="F2393" s="719">
        <v>15</v>
      </c>
    </row>
    <row r="2394" spans="1:6">
      <c r="A2394" s="719" t="s">
        <v>748</v>
      </c>
      <c r="B2394" s="717" t="s">
        <v>64</v>
      </c>
      <c r="C2394" s="801" t="s">
        <v>1259</v>
      </c>
      <c r="D2394" s="785"/>
      <c r="E2394" s="719">
        <v>416801</v>
      </c>
      <c r="F2394" s="719">
        <v>15</v>
      </c>
    </row>
    <row r="2395" spans="1:6">
      <c r="A2395" s="719" t="s">
        <v>748</v>
      </c>
      <c r="B2395" s="717" t="s">
        <v>64</v>
      </c>
      <c r="C2395" s="800" t="s">
        <v>1260</v>
      </c>
      <c r="D2395" s="782"/>
      <c r="E2395" s="719">
        <v>228653</v>
      </c>
      <c r="F2395" s="719">
        <v>15</v>
      </c>
    </row>
    <row r="2396" spans="1:6">
      <c r="A2396" s="719" t="s">
        <v>748</v>
      </c>
      <c r="B2396" s="717" t="s">
        <v>64</v>
      </c>
      <c r="C2396" s="800" t="s">
        <v>1261</v>
      </c>
      <c r="D2396" s="782"/>
      <c r="E2396" s="719">
        <v>228635</v>
      </c>
      <c r="F2396" s="719">
        <v>15</v>
      </c>
    </row>
    <row r="2397" spans="1:6">
      <c r="A2397" s="719" t="s">
        <v>748</v>
      </c>
      <c r="B2397" s="717" t="s">
        <v>336</v>
      </c>
      <c r="C2397" s="800" t="s">
        <v>1262</v>
      </c>
      <c r="D2397" s="783"/>
      <c r="E2397" s="802" t="s">
        <v>1263</v>
      </c>
      <c r="F2397" s="719">
        <v>15</v>
      </c>
    </row>
    <row r="2398" spans="1:6">
      <c r="A2398" s="719" t="s">
        <v>748</v>
      </c>
      <c r="B2398" s="717"/>
      <c r="C2398" s="770" t="s">
        <v>1264</v>
      </c>
      <c r="D2398" s="782"/>
      <c r="E2398" s="802" t="s">
        <v>1263</v>
      </c>
      <c r="F2398" s="719">
        <v>99</v>
      </c>
    </row>
    <row r="2399" spans="1:6">
      <c r="A2399" s="719" t="s">
        <v>748</v>
      </c>
      <c r="B2399" s="717"/>
      <c r="C2399" s="770" t="s">
        <v>1731</v>
      </c>
      <c r="D2399" s="782"/>
      <c r="E2399" s="802" t="s">
        <v>1263</v>
      </c>
      <c r="F2399" s="719">
        <v>99</v>
      </c>
    </row>
    <row r="2400" spans="1:6">
      <c r="A2400" s="719" t="s">
        <v>748</v>
      </c>
      <c r="B2400" s="717"/>
      <c r="C2400" s="803" t="s">
        <v>1732</v>
      </c>
      <c r="D2400" s="782"/>
      <c r="E2400" s="804" t="s">
        <v>1263</v>
      </c>
      <c r="F2400" s="719">
        <v>99</v>
      </c>
    </row>
    <row r="2401" spans="1:6">
      <c r="A2401" s="719" t="s">
        <v>748</v>
      </c>
      <c r="B2401" s="717" t="s">
        <v>62</v>
      </c>
      <c r="C2401" s="717" t="s">
        <v>1265</v>
      </c>
      <c r="D2401" s="785"/>
      <c r="E2401" s="736">
        <v>443711</v>
      </c>
      <c r="F2401" s="719">
        <v>4</v>
      </c>
    </row>
    <row r="2402" spans="1:6">
      <c r="A2402" s="719" t="s">
        <v>748</v>
      </c>
      <c r="B2402" s="717" t="s">
        <v>118</v>
      </c>
      <c r="C2402" s="771" t="s">
        <v>406</v>
      </c>
      <c r="D2402" s="782"/>
      <c r="E2402" s="719"/>
      <c r="F2402" s="719">
        <v>99</v>
      </c>
    </row>
    <row r="2403" spans="1:6">
      <c r="A2403" s="719" t="s">
        <v>748</v>
      </c>
      <c r="B2403" s="717" t="s">
        <v>123</v>
      </c>
      <c r="C2403" s="805" t="s">
        <v>1266</v>
      </c>
      <c r="D2403" s="783"/>
      <c r="E2403" s="777"/>
      <c r="F2403" s="719">
        <v>99</v>
      </c>
    </row>
    <row r="2404" spans="1:6">
      <c r="A2404" s="719" t="s">
        <v>748</v>
      </c>
      <c r="B2404" s="717" t="s">
        <v>123</v>
      </c>
      <c r="C2404" s="805" t="s">
        <v>1267</v>
      </c>
      <c r="D2404" s="783"/>
      <c r="E2404" s="777"/>
      <c r="F2404" s="719">
        <v>99</v>
      </c>
    </row>
    <row r="2405" spans="1:6">
      <c r="A2405" s="719" t="s">
        <v>748</v>
      </c>
      <c r="B2405" s="717" t="s">
        <v>123</v>
      </c>
      <c r="C2405" s="805" t="s">
        <v>1268</v>
      </c>
      <c r="D2405" s="783"/>
      <c r="E2405" s="777"/>
      <c r="F2405" s="719">
        <v>99</v>
      </c>
    </row>
    <row r="2406" spans="1:6">
      <c r="A2406" s="719" t="s">
        <v>748</v>
      </c>
      <c r="B2406" s="717" t="s">
        <v>123</v>
      </c>
      <c r="C2406" s="805" t="s">
        <v>1269</v>
      </c>
      <c r="D2406" s="783"/>
      <c r="E2406" s="777"/>
      <c r="F2406" s="719">
        <v>99</v>
      </c>
    </row>
    <row r="2407" spans="1:6">
      <c r="A2407" s="719" t="s">
        <v>748</v>
      </c>
      <c r="B2407" s="717" t="s">
        <v>132</v>
      </c>
      <c r="C2407" s="771" t="s">
        <v>1071</v>
      </c>
      <c r="D2407" s="782"/>
      <c r="E2407" s="777"/>
      <c r="F2407" s="719">
        <v>99</v>
      </c>
    </row>
    <row r="2408" spans="1:6">
      <c r="A2408" s="719" t="s">
        <v>748</v>
      </c>
      <c r="B2408" s="717" t="s">
        <v>132</v>
      </c>
      <c r="C2408" s="805" t="s">
        <v>1270</v>
      </c>
      <c r="D2408" s="783"/>
      <c r="E2408" s="777"/>
      <c r="F2408" s="719">
        <v>99</v>
      </c>
    </row>
    <row r="2409" spans="1:6">
      <c r="A2409" s="719" t="s">
        <v>748</v>
      </c>
      <c r="B2409" s="717" t="s">
        <v>138</v>
      </c>
      <c r="C2409" s="771" t="s">
        <v>139</v>
      </c>
      <c r="D2409" s="782"/>
      <c r="E2409" s="777"/>
      <c r="F2409" s="719">
        <v>99</v>
      </c>
    </row>
    <row r="2410" spans="1:6">
      <c r="A2410" s="719" t="s">
        <v>748</v>
      </c>
      <c r="B2410" s="717" t="s">
        <v>140</v>
      </c>
      <c r="C2410" s="806" t="s">
        <v>1271</v>
      </c>
      <c r="D2410" s="783"/>
      <c r="E2410" s="777"/>
      <c r="F2410" s="719">
        <v>99</v>
      </c>
    </row>
    <row r="2411" spans="1:6">
      <c r="A2411" s="719" t="s">
        <v>748</v>
      </c>
      <c r="B2411" s="717" t="s">
        <v>140</v>
      </c>
      <c r="C2411" s="805" t="s">
        <v>1272</v>
      </c>
      <c r="D2411" s="783"/>
      <c r="E2411" s="777"/>
      <c r="F2411" s="719">
        <v>99</v>
      </c>
    </row>
    <row r="2412" spans="1:6">
      <c r="A2412" s="719" t="s">
        <v>748</v>
      </c>
      <c r="B2412" s="717" t="s">
        <v>142</v>
      </c>
      <c r="C2412" s="774" t="s">
        <v>143</v>
      </c>
      <c r="D2412" s="783"/>
      <c r="E2412" s="777"/>
      <c r="F2412" s="719">
        <v>99</v>
      </c>
    </row>
    <row r="2413" spans="1:6">
      <c r="A2413" s="719" t="s">
        <v>748</v>
      </c>
      <c r="B2413" s="717" t="s">
        <v>142</v>
      </c>
      <c r="C2413" s="806" t="s">
        <v>1273</v>
      </c>
      <c r="D2413" s="783"/>
      <c r="E2413" s="777"/>
      <c r="F2413" s="719">
        <v>99</v>
      </c>
    </row>
    <row r="2414" spans="1:6">
      <c r="A2414" s="719" t="s">
        <v>748</v>
      </c>
      <c r="B2414" s="717" t="s">
        <v>149</v>
      </c>
      <c r="C2414" s="774" t="s">
        <v>150</v>
      </c>
      <c r="D2414" s="783"/>
      <c r="E2414" s="777"/>
      <c r="F2414" s="719">
        <v>99</v>
      </c>
    </row>
    <row r="2415" spans="1:6">
      <c r="A2415" s="719" t="s">
        <v>748</v>
      </c>
      <c r="B2415" s="717" t="s">
        <v>151</v>
      </c>
      <c r="C2415" s="771" t="s">
        <v>152</v>
      </c>
      <c r="D2415" s="782"/>
      <c r="E2415" s="777"/>
      <c r="F2415" s="719">
        <v>99</v>
      </c>
    </row>
    <row r="2416" spans="1:6">
      <c r="A2416" s="719" t="s">
        <v>748</v>
      </c>
      <c r="B2416" s="717" t="s">
        <v>151</v>
      </c>
      <c r="C2416" s="805" t="s">
        <v>1274</v>
      </c>
      <c r="D2416" s="782"/>
      <c r="E2416" s="777"/>
      <c r="F2416" s="719">
        <v>99</v>
      </c>
    </row>
    <row r="2417" spans="1:6">
      <c r="A2417" s="719" t="s">
        <v>748</v>
      </c>
      <c r="B2417" s="717" t="s">
        <v>151</v>
      </c>
      <c r="C2417" s="805" t="s">
        <v>1275</v>
      </c>
      <c r="D2417" s="783"/>
      <c r="E2417" s="777"/>
      <c r="F2417" s="719">
        <v>99</v>
      </c>
    </row>
    <row r="2418" spans="1:6">
      <c r="A2418" s="719" t="s">
        <v>748</v>
      </c>
      <c r="B2418" s="717" t="s">
        <v>159</v>
      </c>
      <c r="C2418" s="771" t="s">
        <v>160</v>
      </c>
      <c r="D2418" s="782"/>
      <c r="E2418" s="777"/>
      <c r="F2418" s="719">
        <v>99</v>
      </c>
    </row>
    <row r="2419" spans="1:6">
      <c r="A2419" s="719" t="s">
        <v>748</v>
      </c>
      <c r="B2419" s="717" t="s">
        <v>161</v>
      </c>
      <c r="C2419" s="776" t="s">
        <v>162</v>
      </c>
      <c r="D2419" s="785"/>
      <c r="E2419" s="777"/>
      <c r="F2419" s="719">
        <v>99</v>
      </c>
    </row>
    <row r="2420" spans="1:6">
      <c r="A2420" s="719" t="s">
        <v>748</v>
      </c>
      <c r="B2420" s="717" t="s">
        <v>161</v>
      </c>
      <c r="C2420" s="807" t="s">
        <v>1276</v>
      </c>
      <c r="D2420" s="783"/>
      <c r="E2420" s="777"/>
      <c r="F2420" s="719">
        <v>99</v>
      </c>
    </row>
    <row r="2421" spans="1:6">
      <c r="A2421" s="719" t="s">
        <v>748</v>
      </c>
      <c r="B2421" s="778" t="s">
        <v>166</v>
      </c>
      <c r="C2421" s="805" t="s">
        <v>167</v>
      </c>
      <c r="D2421" s="783"/>
      <c r="E2421" s="777"/>
      <c r="F2421" s="719">
        <v>99</v>
      </c>
    </row>
    <row r="2422" spans="1:6">
      <c r="A2422" s="719" t="s">
        <v>748</v>
      </c>
      <c r="B2422" s="717" t="s">
        <v>161</v>
      </c>
      <c r="C2422" s="807" t="s">
        <v>1277</v>
      </c>
      <c r="D2422" s="783"/>
      <c r="E2422" s="777"/>
      <c r="F2422" s="719">
        <v>99</v>
      </c>
    </row>
    <row r="2423" spans="1:6">
      <c r="A2423" s="719" t="s">
        <v>748</v>
      </c>
      <c r="B2423" s="717" t="s">
        <v>161</v>
      </c>
      <c r="C2423" s="807" t="s">
        <v>1278</v>
      </c>
      <c r="D2423" s="783"/>
      <c r="E2423" s="777"/>
      <c r="F2423" s="719">
        <v>99</v>
      </c>
    </row>
    <row r="2424" spans="1:6">
      <c r="A2424" s="719" t="s">
        <v>748</v>
      </c>
      <c r="B2424" s="717" t="s">
        <v>161</v>
      </c>
      <c r="C2424" s="807" t="s">
        <v>1279</v>
      </c>
      <c r="D2424" s="783"/>
      <c r="E2424" s="777"/>
      <c r="F2424" s="719">
        <v>99</v>
      </c>
    </row>
    <row r="2425" spans="1:6">
      <c r="A2425" s="912" t="s">
        <v>750</v>
      </c>
      <c r="B2425" s="913" t="s">
        <v>62</v>
      </c>
      <c r="C2425" s="1111" t="s">
        <v>1280</v>
      </c>
      <c r="D2425" s="925"/>
      <c r="E2425" s="926">
        <v>232186</v>
      </c>
      <c r="F2425" s="916">
        <v>1</v>
      </c>
    </row>
    <row r="2426" spans="1:6">
      <c r="A2426" s="912" t="s">
        <v>750</v>
      </c>
      <c r="B2426" s="913" t="s">
        <v>62</v>
      </c>
      <c r="C2426" s="914" t="s">
        <v>1281</v>
      </c>
      <c r="D2426" s="918"/>
      <c r="E2426" s="926">
        <v>232982</v>
      </c>
      <c r="F2426" s="916">
        <v>1</v>
      </c>
    </row>
    <row r="2427" spans="1:6">
      <c r="A2427" s="912" t="s">
        <v>750</v>
      </c>
      <c r="B2427" s="913" t="s">
        <v>62</v>
      </c>
      <c r="C2427" s="1111" t="s">
        <v>1282</v>
      </c>
      <c r="D2427" s="925"/>
      <c r="E2427" s="926">
        <v>234076</v>
      </c>
      <c r="F2427" s="916">
        <v>1</v>
      </c>
    </row>
    <row r="2428" spans="1:6">
      <c r="A2428" s="912" t="s">
        <v>750</v>
      </c>
      <c r="B2428" s="913" t="s">
        <v>64</v>
      </c>
      <c r="C2428" s="922" t="s">
        <v>334</v>
      </c>
      <c r="D2428" s="1112"/>
      <c r="E2428" s="926">
        <v>234076</v>
      </c>
      <c r="F2428" s="916">
        <v>1</v>
      </c>
    </row>
    <row r="2429" spans="1:6">
      <c r="A2429" s="912" t="s">
        <v>750</v>
      </c>
      <c r="B2429" s="913" t="s">
        <v>62</v>
      </c>
      <c r="C2429" s="914" t="s">
        <v>1283</v>
      </c>
      <c r="D2429" s="915"/>
      <c r="E2429" s="916">
        <v>234030</v>
      </c>
      <c r="F2429" s="916">
        <v>1</v>
      </c>
    </row>
    <row r="2430" spans="1:6">
      <c r="A2430" s="912" t="s">
        <v>750</v>
      </c>
      <c r="B2430" s="913" t="s">
        <v>64</v>
      </c>
      <c r="C2430" s="922" t="s">
        <v>334</v>
      </c>
      <c r="D2430" s="1112"/>
      <c r="E2430" s="926">
        <v>234030</v>
      </c>
      <c r="F2430" s="916">
        <v>1</v>
      </c>
    </row>
    <row r="2431" spans="1:6">
      <c r="A2431" s="912" t="s">
        <v>750</v>
      </c>
      <c r="B2431" s="913" t="s">
        <v>62</v>
      </c>
      <c r="C2431" s="1111" t="s">
        <v>1284</v>
      </c>
      <c r="D2431" s="925"/>
      <c r="E2431" s="926">
        <v>233921</v>
      </c>
      <c r="F2431" s="916">
        <v>1</v>
      </c>
    </row>
    <row r="2432" spans="1:6">
      <c r="A2432" s="912" t="s">
        <v>750</v>
      </c>
      <c r="B2432" s="913" t="s">
        <v>64</v>
      </c>
      <c r="C2432" s="922" t="s">
        <v>66</v>
      </c>
      <c r="D2432" s="1112"/>
      <c r="E2432" s="926">
        <v>233921</v>
      </c>
      <c r="F2432" s="916">
        <v>1</v>
      </c>
    </row>
    <row r="2433" spans="1:6">
      <c r="A2433" s="912" t="s">
        <v>750</v>
      </c>
      <c r="B2433" s="913" t="s">
        <v>64</v>
      </c>
      <c r="C2433" s="922" t="s">
        <v>334</v>
      </c>
      <c r="D2433" s="1112"/>
      <c r="E2433" s="926">
        <v>233921</v>
      </c>
      <c r="F2433" s="916">
        <v>1</v>
      </c>
    </row>
    <row r="2434" spans="1:6">
      <c r="A2434" s="912" t="s">
        <v>750</v>
      </c>
      <c r="B2434" s="913" t="s">
        <v>74</v>
      </c>
      <c r="C2434" s="1113" t="s">
        <v>1285</v>
      </c>
      <c r="D2434" s="1112"/>
      <c r="E2434" s="926">
        <v>233921</v>
      </c>
      <c r="F2434" s="916">
        <v>1</v>
      </c>
    </row>
    <row r="2435" spans="1:6">
      <c r="A2435" s="912" t="s">
        <v>750</v>
      </c>
      <c r="B2435" s="913" t="s">
        <v>76</v>
      </c>
      <c r="C2435" s="1113" t="s">
        <v>1286</v>
      </c>
      <c r="D2435" s="1112"/>
      <c r="E2435" s="926">
        <v>233921</v>
      </c>
      <c r="F2435" s="916">
        <v>1</v>
      </c>
    </row>
    <row r="2436" spans="1:6">
      <c r="A2436" s="912" t="s">
        <v>750</v>
      </c>
      <c r="B2436" s="913" t="s">
        <v>62</v>
      </c>
      <c r="C2436" s="1111" t="s">
        <v>1287</v>
      </c>
      <c r="D2436" s="925"/>
      <c r="E2436" s="926">
        <v>231624</v>
      </c>
      <c r="F2436" s="916">
        <v>2</v>
      </c>
    </row>
    <row r="2437" spans="1:6">
      <c r="A2437" s="912" t="s">
        <v>750</v>
      </c>
      <c r="B2437" s="913" t="s">
        <v>78</v>
      </c>
      <c r="C2437" s="1113" t="s">
        <v>79</v>
      </c>
      <c r="D2437" s="1112"/>
      <c r="E2437" s="926">
        <v>231624</v>
      </c>
      <c r="F2437" s="916">
        <v>2</v>
      </c>
    </row>
    <row r="2438" spans="1:6">
      <c r="A2438" s="912" t="s">
        <v>750</v>
      </c>
      <c r="B2438" s="913" t="s">
        <v>78</v>
      </c>
      <c r="C2438" s="922" t="s">
        <v>1288</v>
      </c>
      <c r="D2438" s="1112"/>
      <c r="E2438" s="926">
        <v>231624</v>
      </c>
      <c r="F2438" s="916">
        <v>2</v>
      </c>
    </row>
    <row r="2439" spans="1:6">
      <c r="A2439" s="912" t="s">
        <v>750</v>
      </c>
      <c r="B2439" s="913" t="s">
        <v>62</v>
      </c>
      <c r="C2439" s="1111" t="s">
        <v>1289</v>
      </c>
      <c r="D2439" s="1114"/>
      <c r="E2439" s="926">
        <v>232423</v>
      </c>
      <c r="F2439" s="916">
        <v>3</v>
      </c>
    </row>
    <row r="2440" spans="1:6">
      <c r="A2440" s="912" t="s">
        <v>750</v>
      </c>
      <c r="B2440" s="913" t="s">
        <v>62</v>
      </c>
      <c r="C2440" s="914" t="s">
        <v>1290</v>
      </c>
      <c r="D2440" s="1115" t="s">
        <v>1785</v>
      </c>
      <c r="E2440" s="916">
        <v>232566</v>
      </c>
      <c r="F2440" s="1116">
        <v>5</v>
      </c>
    </row>
    <row r="2441" spans="1:6">
      <c r="A2441" s="912" t="s">
        <v>750</v>
      </c>
      <c r="B2441" s="913" t="s">
        <v>62</v>
      </c>
      <c r="C2441" s="914" t="s">
        <v>1291</v>
      </c>
      <c r="D2441" s="1115" t="s">
        <v>1782</v>
      </c>
      <c r="E2441" s="916">
        <v>232937</v>
      </c>
      <c r="F2441" s="1116">
        <v>4</v>
      </c>
    </row>
    <row r="2442" spans="1:6">
      <c r="A2442" s="912" t="s">
        <v>750</v>
      </c>
      <c r="B2442" s="913" t="s">
        <v>62</v>
      </c>
      <c r="C2442" s="914" t="s">
        <v>1292</v>
      </c>
      <c r="D2442" s="1114" t="s">
        <v>1784</v>
      </c>
      <c r="E2442" s="916">
        <v>233277</v>
      </c>
      <c r="F2442" s="916">
        <v>3</v>
      </c>
    </row>
    <row r="2443" spans="1:6">
      <c r="A2443" s="912" t="s">
        <v>750</v>
      </c>
      <c r="B2443" s="913" t="s">
        <v>62</v>
      </c>
      <c r="C2443" s="1117" t="s">
        <v>1293</v>
      </c>
      <c r="D2443" s="1115" t="s">
        <v>1785</v>
      </c>
      <c r="E2443" s="916">
        <v>232681</v>
      </c>
      <c r="F2443" s="1116">
        <v>5</v>
      </c>
    </row>
    <row r="2444" spans="1:6">
      <c r="A2444" s="912" t="s">
        <v>750</v>
      </c>
      <c r="B2444" s="913" t="s">
        <v>62</v>
      </c>
      <c r="C2444" s="1111" t="s">
        <v>1294</v>
      </c>
      <c r="D2444" s="915"/>
      <c r="E2444" s="916">
        <v>234155</v>
      </c>
      <c r="F2444" s="916">
        <v>3</v>
      </c>
    </row>
    <row r="2445" spans="1:6">
      <c r="A2445" s="912" t="s">
        <v>750</v>
      </c>
      <c r="B2445" s="913" t="s">
        <v>74</v>
      </c>
      <c r="C2445" s="1113" t="s">
        <v>75</v>
      </c>
      <c r="D2445" s="918"/>
      <c r="E2445" s="926">
        <v>234155</v>
      </c>
      <c r="F2445" s="916">
        <v>3</v>
      </c>
    </row>
    <row r="2446" spans="1:6">
      <c r="A2446" s="912" t="s">
        <v>750</v>
      </c>
      <c r="B2446" s="913" t="s">
        <v>62</v>
      </c>
      <c r="C2446" s="914" t="s">
        <v>1295</v>
      </c>
      <c r="D2446" s="1114"/>
      <c r="E2446" s="926">
        <v>231712</v>
      </c>
      <c r="F2446" s="916">
        <v>5</v>
      </c>
    </row>
    <row r="2447" spans="1:6">
      <c r="A2447" s="912" t="s">
        <v>750</v>
      </c>
      <c r="B2447" s="913" t="s">
        <v>62</v>
      </c>
      <c r="C2447" s="1111" t="s">
        <v>1296</v>
      </c>
      <c r="D2447" s="918"/>
      <c r="E2447" s="926">
        <v>233897</v>
      </c>
      <c r="F2447" s="916">
        <v>6</v>
      </c>
    </row>
    <row r="2448" spans="1:6">
      <c r="A2448" s="912" t="s">
        <v>750</v>
      </c>
      <c r="B2448" s="913" t="s">
        <v>62</v>
      </c>
      <c r="C2448" s="1111" t="s">
        <v>1297</v>
      </c>
      <c r="D2448" s="918"/>
      <c r="E2448" s="926">
        <v>232414</v>
      </c>
      <c r="F2448" s="916">
        <v>8</v>
      </c>
    </row>
    <row r="2449" spans="1:6">
      <c r="A2449" s="912" t="s">
        <v>750</v>
      </c>
      <c r="B2449" s="913" t="s">
        <v>62</v>
      </c>
      <c r="C2449" s="1111" t="s">
        <v>1298</v>
      </c>
      <c r="D2449" s="1118"/>
      <c r="E2449" s="916">
        <v>232450</v>
      </c>
      <c r="F2449" s="916">
        <v>8</v>
      </c>
    </row>
    <row r="2450" spans="1:6">
      <c r="A2450" s="912" t="s">
        <v>750</v>
      </c>
      <c r="B2450" s="913" t="s">
        <v>62</v>
      </c>
      <c r="C2450" s="1111" t="s">
        <v>1299</v>
      </c>
      <c r="D2450" s="918"/>
      <c r="E2450" s="926">
        <v>232946</v>
      </c>
      <c r="F2450" s="916">
        <v>8</v>
      </c>
    </row>
    <row r="2451" spans="1:6">
      <c r="A2451" s="912" t="s">
        <v>750</v>
      </c>
      <c r="B2451" s="913" t="s">
        <v>62</v>
      </c>
      <c r="C2451" s="1111" t="s">
        <v>1300</v>
      </c>
      <c r="D2451" s="1114" t="s">
        <v>1810</v>
      </c>
      <c r="E2451" s="926">
        <v>233754</v>
      </c>
      <c r="F2451" s="916">
        <v>8</v>
      </c>
    </row>
    <row r="2452" spans="1:6">
      <c r="A2452" s="912" t="s">
        <v>750</v>
      </c>
      <c r="B2452" s="913" t="s">
        <v>62</v>
      </c>
      <c r="C2452" s="1111" t="s">
        <v>1301</v>
      </c>
      <c r="D2452" s="918"/>
      <c r="E2452" s="926">
        <v>233772</v>
      </c>
      <c r="F2452" s="916">
        <v>8</v>
      </c>
    </row>
    <row r="2453" spans="1:6">
      <c r="A2453" s="912" t="s">
        <v>750</v>
      </c>
      <c r="B2453" s="913" t="s">
        <v>62</v>
      </c>
      <c r="C2453" s="1111" t="s">
        <v>1302</v>
      </c>
      <c r="D2453" s="918"/>
      <c r="E2453" s="926">
        <v>231536</v>
      </c>
      <c r="F2453" s="916">
        <v>9</v>
      </c>
    </row>
    <row r="2454" spans="1:6">
      <c r="A2454" s="912" t="s">
        <v>750</v>
      </c>
      <c r="B2454" s="913" t="s">
        <v>62</v>
      </c>
      <c r="C2454" s="1111" t="s">
        <v>1303</v>
      </c>
      <c r="D2454" s="918"/>
      <c r="E2454" s="926">
        <v>231697</v>
      </c>
      <c r="F2454" s="916">
        <v>9</v>
      </c>
    </row>
    <row r="2455" spans="1:6">
      <c r="A2455" s="912" t="s">
        <v>750</v>
      </c>
      <c r="B2455" s="913" t="s">
        <v>62</v>
      </c>
      <c r="C2455" s="1111" t="s">
        <v>1305</v>
      </c>
      <c r="D2455" s="918"/>
      <c r="E2455" s="926">
        <v>232195</v>
      </c>
      <c r="F2455" s="916">
        <v>9</v>
      </c>
    </row>
    <row r="2456" spans="1:6">
      <c r="A2456" s="912" t="s">
        <v>750</v>
      </c>
      <c r="B2456" s="913" t="s">
        <v>62</v>
      </c>
      <c r="C2456" s="1111" t="s">
        <v>1306</v>
      </c>
      <c r="D2456" s="918"/>
      <c r="E2456" s="926">
        <v>232575</v>
      </c>
      <c r="F2456" s="916">
        <v>9</v>
      </c>
    </row>
    <row r="2457" spans="1:6">
      <c r="A2457" s="912" t="s">
        <v>750</v>
      </c>
      <c r="B2457" s="913" t="s">
        <v>62</v>
      </c>
      <c r="C2457" s="1111" t="s">
        <v>1307</v>
      </c>
      <c r="D2457" s="918"/>
      <c r="E2457" s="926">
        <v>232867</v>
      </c>
      <c r="F2457" s="916">
        <v>9</v>
      </c>
    </row>
    <row r="2458" spans="1:6">
      <c r="A2458" s="912" t="s">
        <v>750</v>
      </c>
      <c r="B2458" s="913" t="s">
        <v>62</v>
      </c>
      <c r="C2458" s="1111" t="s">
        <v>1308</v>
      </c>
      <c r="D2458" s="1114"/>
      <c r="E2458" s="926">
        <v>233116</v>
      </c>
      <c r="F2458" s="1119">
        <v>9</v>
      </c>
    </row>
    <row r="2459" spans="1:6">
      <c r="A2459" s="912" t="s">
        <v>750</v>
      </c>
      <c r="B2459" s="913" t="s">
        <v>62</v>
      </c>
      <c r="C2459" s="1111" t="s">
        <v>1309</v>
      </c>
      <c r="D2459" s="1114" t="s">
        <v>1800</v>
      </c>
      <c r="E2459" s="926">
        <v>233639</v>
      </c>
      <c r="F2459" s="1119">
        <v>9</v>
      </c>
    </row>
    <row r="2460" spans="1:6">
      <c r="A2460" s="912" t="s">
        <v>750</v>
      </c>
      <c r="B2460" s="913" t="s">
        <v>62</v>
      </c>
      <c r="C2460" s="914" t="s">
        <v>1310</v>
      </c>
      <c r="D2460" s="1114"/>
      <c r="E2460" s="926">
        <v>233949</v>
      </c>
      <c r="F2460" s="1119">
        <v>9</v>
      </c>
    </row>
    <row r="2461" spans="1:6">
      <c r="A2461" s="912" t="s">
        <v>750</v>
      </c>
      <c r="B2461" s="913" t="s">
        <v>62</v>
      </c>
      <c r="C2461" s="1111" t="s">
        <v>1311</v>
      </c>
      <c r="D2461" s="918"/>
      <c r="E2461" s="926">
        <v>231873</v>
      </c>
      <c r="F2461" s="916">
        <v>10</v>
      </c>
    </row>
    <row r="2462" spans="1:6">
      <c r="A2462" s="912" t="s">
        <v>750</v>
      </c>
      <c r="B2462" s="913" t="s">
        <v>62</v>
      </c>
      <c r="C2462" s="1111" t="s">
        <v>1304</v>
      </c>
      <c r="D2462" s="1115"/>
      <c r="E2462" s="926">
        <v>231882</v>
      </c>
      <c r="F2462" s="916">
        <v>10</v>
      </c>
    </row>
    <row r="2463" spans="1:6">
      <c r="A2463" s="912" t="s">
        <v>750</v>
      </c>
      <c r="B2463" s="913" t="s">
        <v>62</v>
      </c>
      <c r="C2463" s="1111" t="s">
        <v>1312</v>
      </c>
      <c r="D2463" s="918"/>
      <c r="E2463" s="926">
        <v>232052</v>
      </c>
      <c r="F2463" s="916">
        <v>10</v>
      </c>
    </row>
    <row r="2464" spans="1:6">
      <c r="A2464" s="912" t="s">
        <v>750</v>
      </c>
      <c r="B2464" s="913" t="s">
        <v>62</v>
      </c>
      <c r="C2464" s="914" t="s">
        <v>1313</v>
      </c>
      <c r="D2464" s="915"/>
      <c r="E2464" s="916">
        <v>232788</v>
      </c>
      <c r="F2464" s="916">
        <v>10</v>
      </c>
    </row>
    <row r="2465" spans="1:6">
      <c r="A2465" s="912" t="s">
        <v>750</v>
      </c>
      <c r="B2465" s="913" t="s">
        <v>62</v>
      </c>
      <c r="C2465" s="1117" t="s">
        <v>1314</v>
      </c>
      <c r="D2465" s="1115"/>
      <c r="E2465" s="916">
        <v>233019</v>
      </c>
      <c r="F2465" s="916">
        <v>10</v>
      </c>
    </row>
    <row r="2466" spans="1:6">
      <c r="A2466" s="912" t="s">
        <v>750</v>
      </c>
      <c r="B2466" s="913" t="s">
        <v>62</v>
      </c>
      <c r="C2466" s="1111" t="s">
        <v>1315</v>
      </c>
      <c r="D2466" s="918"/>
      <c r="E2466" s="926">
        <v>233037</v>
      </c>
      <c r="F2466" s="916">
        <v>10</v>
      </c>
    </row>
    <row r="2467" spans="1:6">
      <c r="A2467" s="912" t="s">
        <v>750</v>
      </c>
      <c r="B2467" s="913" t="s">
        <v>62</v>
      </c>
      <c r="C2467" s="1111" t="s">
        <v>1316</v>
      </c>
      <c r="D2467" s="918"/>
      <c r="E2467" s="926">
        <v>233310</v>
      </c>
      <c r="F2467" s="916">
        <v>10</v>
      </c>
    </row>
    <row r="2468" spans="1:6">
      <c r="A2468" s="912" t="s">
        <v>750</v>
      </c>
      <c r="B2468" s="913" t="s">
        <v>62</v>
      </c>
      <c r="C2468" s="1111" t="s">
        <v>1317</v>
      </c>
      <c r="D2468" s="918"/>
      <c r="E2468" s="926">
        <v>233338</v>
      </c>
      <c r="F2468" s="916">
        <v>10</v>
      </c>
    </row>
    <row r="2469" spans="1:6">
      <c r="A2469" s="912" t="s">
        <v>750</v>
      </c>
      <c r="B2469" s="913" t="s">
        <v>62</v>
      </c>
      <c r="C2469" s="1111" t="s">
        <v>1318</v>
      </c>
      <c r="D2469" s="915"/>
      <c r="E2469" s="916">
        <v>233648</v>
      </c>
      <c r="F2469" s="916">
        <v>10</v>
      </c>
    </row>
    <row r="2470" spans="1:6">
      <c r="A2470" s="912" t="s">
        <v>750</v>
      </c>
      <c r="B2470" s="913" t="s">
        <v>62</v>
      </c>
      <c r="C2470" s="1111" t="s">
        <v>1319</v>
      </c>
      <c r="D2470" s="918"/>
      <c r="E2470" s="926">
        <v>233903</v>
      </c>
      <c r="F2470" s="916">
        <v>10</v>
      </c>
    </row>
    <row r="2471" spans="1:6">
      <c r="A2471" s="912" t="s">
        <v>750</v>
      </c>
      <c r="B2471" s="913" t="s">
        <v>62</v>
      </c>
      <c r="C2471" s="914" t="s">
        <v>1320</v>
      </c>
      <c r="D2471" s="1115"/>
      <c r="E2471" s="916">
        <v>234377</v>
      </c>
      <c r="F2471" s="916">
        <v>10</v>
      </c>
    </row>
    <row r="2472" spans="1:6">
      <c r="A2472" s="912" t="s">
        <v>750</v>
      </c>
      <c r="B2472" s="913" t="s">
        <v>116</v>
      </c>
      <c r="C2472" s="1111" t="s">
        <v>1321</v>
      </c>
      <c r="D2472" s="918"/>
      <c r="E2472" s="926">
        <v>234085</v>
      </c>
      <c r="F2472" s="916">
        <v>15</v>
      </c>
    </row>
    <row r="2473" spans="1:6">
      <c r="A2473" s="912" t="s">
        <v>750</v>
      </c>
      <c r="B2473" s="913" t="s">
        <v>62</v>
      </c>
      <c r="C2473" s="1111" t="s">
        <v>1322</v>
      </c>
      <c r="D2473" s="918"/>
      <c r="E2473" s="924"/>
      <c r="F2473" s="836">
        <v>11</v>
      </c>
    </row>
    <row r="2474" spans="1:6">
      <c r="A2474" s="912" t="s">
        <v>750</v>
      </c>
      <c r="B2474" s="913" t="s">
        <v>118</v>
      </c>
      <c r="C2474" s="925" t="s">
        <v>406</v>
      </c>
      <c r="D2474" s="918"/>
      <c r="E2474" s="924"/>
      <c r="F2474" s="916">
        <v>99</v>
      </c>
    </row>
    <row r="2475" spans="1:6">
      <c r="A2475" s="912" t="s">
        <v>750</v>
      </c>
      <c r="B2475" s="913" t="s">
        <v>120</v>
      </c>
      <c r="C2475" s="1113" t="s">
        <v>79</v>
      </c>
      <c r="D2475" s="918"/>
      <c r="E2475" s="924"/>
      <c r="F2475" s="916">
        <v>99</v>
      </c>
    </row>
    <row r="2476" spans="1:6">
      <c r="A2476" s="912" t="s">
        <v>750</v>
      </c>
      <c r="B2476" s="913" t="s">
        <v>120</v>
      </c>
      <c r="C2476" s="922" t="s">
        <v>1323</v>
      </c>
      <c r="D2476" s="918"/>
      <c r="E2476" s="924"/>
      <c r="F2476" s="916">
        <v>99</v>
      </c>
    </row>
    <row r="2477" spans="1:6">
      <c r="A2477" s="912" t="s">
        <v>750</v>
      </c>
      <c r="B2477" s="913" t="s">
        <v>120</v>
      </c>
      <c r="C2477" s="922" t="s">
        <v>1324</v>
      </c>
      <c r="D2477" s="918"/>
      <c r="E2477" s="924"/>
      <c r="F2477" s="916">
        <v>99</v>
      </c>
    </row>
    <row r="2478" spans="1:6">
      <c r="A2478" s="912" t="s">
        <v>750</v>
      </c>
      <c r="B2478" s="913" t="s">
        <v>120</v>
      </c>
      <c r="C2478" s="922" t="s">
        <v>1325</v>
      </c>
      <c r="D2478" s="918"/>
      <c r="E2478" s="924"/>
      <c r="F2478" s="916">
        <v>99</v>
      </c>
    </row>
    <row r="2479" spans="1:6">
      <c r="A2479" s="912" t="s">
        <v>750</v>
      </c>
      <c r="B2479" s="913" t="s">
        <v>120</v>
      </c>
      <c r="C2479" s="922" t="s">
        <v>1733</v>
      </c>
      <c r="D2479" s="918"/>
      <c r="E2479" s="924"/>
      <c r="F2479" s="836">
        <v>99</v>
      </c>
    </row>
    <row r="2480" spans="1:6">
      <c r="A2480" s="912" t="s">
        <v>750</v>
      </c>
      <c r="B2480" s="913" t="s">
        <v>120</v>
      </c>
      <c r="C2480" s="922" t="s">
        <v>1734</v>
      </c>
      <c r="D2480" s="918"/>
      <c r="E2480" s="924"/>
      <c r="F2480" s="836">
        <v>99</v>
      </c>
    </row>
    <row r="2481" spans="1:6">
      <c r="A2481" s="912" t="s">
        <v>750</v>
      </c>
      <c r="B2481" s="913" t="s">
        <v>120</v>
      </c>
      <c r="C2481" s="922" t="s">
        <v>1735</v>
      </c>
      <c r="D2481" s="918"/>
      <c r="E2481" s="924"/>
      <c r="F2481" s="836">
        <v>99</v>
      </c>
    </row>
    <row r="2482" spans="1:6">
      <c r="A2482" s="912" t="s">
        <v>750</v>
      </c>
      <c r="B2482" s="913" t="s">
        <v>120</v>
      </c>
      <c r="C2482" s="922" t="s">
        <v>1736</v>
      </c>
      <c r="D2482" s="918"/>
      <c r="E2482" s="924"/>
      <c r="F2482" s="836">
        <v>99</v>
      </c>
    </row>
    <row r="2483" spans="1:6">
      <c r="A2483" s="912" t="s">
        <v>750</v>
      </c>
      <c r="B2483" s="913" t="s">
        <v>120</v>
      </c>
      <c r="C2483" s="922" t="s">
        <v>1737</v>
      </c>
      <c r="D2483" s="918"/>
      <c r="E2483" s="924"/>
      <c r="F2483" s="916">
        <v>99</v>
      </c>
    </row>
    <row r="2484" spans="1:6">
      <c r="A2484" s="912" t="s">
        <v>750</v>
      </c>
      <c r="B2484" s="913" t="s">
        <v>123</v>
      </c>
      <c r="C2484" s="1113" t="s">
        <v>1070</v>
      </c>
      <c r="D2484" s="918"/>
      <c r="E2484" s="924"/>
      <c r="F2484" s="916">
        <v>99</v>
      </c>
    </row>
    <row r="2485" spans="1:6">
      <c r="A2485" s="912" t="s">
        <v>750</v>
      </c>
      <c r="B2485" s="913" t="s">
        <v>123</v>
      </c>
      <c r="C2485" s="1113"/>
      <c r="D2485" s="918"/>
      <c r="E2485" s="924"/>
      <c r="F2485" s="916">
        <v>99</v>
      </c>
    </row>
    <row r="2486" spans="1:6">
      <c r="A2486" s="912" t="s">
        <v>750</v>
      </c>
      <c r="B2486" s="913" t="s">
        <v>132</v>
      </c>
      <c r="C2486" s="925" t="s">
        <v>1071</v>
      </c>
      <c r="D2486" s="918"/>
      <c r="E2486" s="924"/>
      <c r="F2486" s="916">
        <v>99</v>
      </c>
    </row>
    <row r="2487" spans="1:6">
      <c r="A2487" s="912" t="s">
        <v>750</v>
      </c>
      <c r="B2487" s="913" t="s">
        <v>132</v>
      </c>
      <c r="C2487" s="922" t="s">
        <v>1327</v>
      </c>
      <c r="D2487" s="918"/>
      <c r="E2487" s="924"/>
      <c r="F2487" s="916">
        <v>99</v>
      </c>
    </row>
    <row r="2488" spans="1:6">
      <c r="A2488" s="912" t="s">
        <v>750</v>
      </c>
      <c r="B2488" s="913" t="s">
        <v>132</v>
      </c>
      <c r="C2488" s="922" t="s">
        <v>1328</v>
      </c>
      <c r="D2488" s="918"/>
      <c r="E2488" s="924"/>
      <c r="F2488" s="916">
        <v>99</v>
      </c>
    </row>
    <row r="2489" spans="1:6">
      <c r="A2489" s="912" t="s">
        <v>750</v>
      </c>
      <c r="B2489" s="913" t="s">
        <v>132</v>
      </c>
      <c r="C2489" s="922" t="s">
        <v>1329</v>
      </c>
      <c r="D2489" s="918"/>
      <c r="E2489" s="924"/>
      <c r="F2489" s="916">
        <v>99</v>
      </c>
    </row>
    <row r="2490" spans="1:6">
      <c r="A2490" s="912" t="s">
        <v>750</v>
      </c>
      <c r="B2490" s="913" t="s">
        <v>132</v>
      </c>
      <c r="C2490" s="922" t="s">
        <v>1330</v>
      </c>
      <c r="D2490" s="918"/>
      <c r="E2490" s="924"/>
      <c r="F2490" s="916">
        <v>99</v>
      </c>
    </row>
    <row r="2491" spans="1:6">
      <c r="A2491" s="912" t="s">
        <v>750</v>
      </c>
      <c r="B2491" s="913" t="s">
        <v>132</v>
      </c>
      <c r="C2491" s="922" t="s">
        <v>1331</v>
      </c>
      <c r="D2491" s="918"/>
      <c r="E2491" s="924"/>
      <c r="F2491" s="916">
        <v>99</v>
      </c>
    </row>
    <row r="2492" spans="1:6">
      <c r="A2492" s="912" t="s">
        <v>750</v>
      </c>
      <c r="B2492" s="913" t="s">
        <v>132</v>
      </c>
      <c r="C2492" s="922" t="s">
        <v>1332</v>
      </c>
      <c r="D2492" s="918"/>
      <c r="E2492" s="924"/>
      <c r="F2492" s="916">
        <v>99</v>
      </c>
    </row>
    <row r="2493" spans="1:6">
      <c r="A2493" s="912" t="s">
        <v>750</v>
      </c>
      <c r="B2493" s="913" t="s">
        <v>132</v>
      </c>
      <c r="C2493" s="922" t="s">
        <v>1333</v>
      </c>
      <c r="D2493" s="918"/>
      <c r="E2493" s="924"/>
      <c r="F2493" s="916">
        <v>99</v>
      </c>
    </row>
    <row r="2494" spans="1:6">
      <c r="A2494" s="912" t="s">
        <v>750</v>
      </c>
      <c r="B2494" s="913" t="s">
        <v>132</v>
      </c>
      <c r="C2494" s="922" t="s">
        <v>1334</v>
      </c>
      <c r="D2494" s="918"/>
      <c r="E2494" s="924"/>
      <c r="F2494" s="916">
        <v>99</v>
      </c>
    </row>
    <row r="2495" spans="1:6">
      <c r="A2495" s="912" t="s">
        <v>750</v>
      </c>
      <c r="B2495" s="913" t="s">
        <v>132</v>
      </c>
      <c r="C2495" s="922" t="s">
        <v>1335</v>
      </c>
      <c r="D2495" s="918"/>
      <c r="E2495" s="924"/>
      <c r="F2495" s="916">
        <v>99</v>
      </c>
    </row>
    <row r="2496" spans="1:6">
      <c r="A2496" s="912" t="s">
        <v>750</v>
      </c>
      <c r="B2496" s="913" t="s">
        <v>132</v>
      </c>
      <c r="C2496" s="922" t="s">
        <v>1336</v>
      </c>
      <c r="D2496" s="918"/>
      <c r="E2496" s="924"/>
      <c r="F2496" s="916">
        <v>99</v>
      </c>
    </row>
    <row r="2497" spans="1:6">
      <c r="A2497" s="912" t="s">
        <v>750</v>
      </c>
      <c r="B2497" s="913" t="s">
        <v>132</v>
      </c>
      <c r="C2497" s="922" t="s">
        <v>1337</v>
      </c>
      <c r="D2497" s="918"/>
      <c r="E2497" s="924"/>
      <c r="F2497" s="916">
        <v>99</v>
      </c>
    </row>
    <row r="2498" spans="1:6">
      <c r="A2498" s="912" t="s">
        <v>750</v>
      </c>
      <c r="B2498" s="913" t="s">
        <v>132</v>
      </c>
      <c r="C2498" s="922" t="s">
        <v>1326</v>
      </c>
      <c r="D2498" s="918"/>
      <c r="E2498" s="924"/>
      <c r="F2498" s="836">
        <v>99</v>
      </c>
    </row>
    <row r="2499" spans="1:6">
      <c r="A2499" s="912" t="s">
        <v>750</v>
      </c>
      <c r="B2499" s="913" t="s">
        <v>138</v>
      </c>
      <c r="C2499" s="925" t="s">
        <v>139</v>
      </c>
      <c r="D2499" s="918"/>
      <c r="E2499" s="924"/>
      <c r="F2499" s="916">
        <v>99</v>
      </c>
    </row>
    <row r="2500" spans="1:6">
      <c r="A2500" s="912" t="s">
        <v>750</v>
      </c>
      <c r="B2500" s="913" t="s">
        <v>140</v>
      </c>
      <c r="C2500" s="1113" t="s">
        <v>141</v>
      </c>
      <c r="D2500" s="918"/>
      <c r="E2500" s="924"/>
      <c r="F2500" s="916">
        <v>99</v>
      </c>
    </row>
    <row r="2501" spans="1:6">
      <c r="A2501" s="912" t="s">
        <v>750</v>
      </c>
      <c r="B2501" s="913" t="s">
        <v>142</v>
      </c>
      <c r="C2501" s="1113" t="s">
        <v>143</v>
      </c>
      <c r="D2501" s="918"/>
      <c r="E2501" s="924"/>
      <c r="F2501" s="916">
        <v>99</v>
      </c>
    </row>
    <row r="2502" spans="1:6">
      <c r="A2502" s="912" t="s">
        <v>750</v>
      </c>
      <c r="B2502" s="913" t="s">
        <v>142</v>
      </c>
      <c r="C2502" s="1113" t="s">
        <v>1338</v>
      </c>
      <c r="D2502" s="918"/>
      <c r="E2502" s="924"/>
      <c r="F2502" s="916">
        <v>99</v>
      </c>
    </row>
    <row r="2503" spans="1:6">
      <c r="A2503" s="912" t="s">
        <v>750</v>
      </c>
      <c r="B2503" s="913"/>
      <c r="C2503" s="1113" t="s">
        <v>1339</v>
      </c>
      <c r="D2503" s="918"/>
      <c r="E2503" s="924"/>
      <c r="F2503" s="916">
        <v>99</v>
      </c>
    </row>
    <row r="2504" spans="1:6">
      <c r="A2504" s="912" t="s">
        <v>750</v>
      </c>
      <c r="B2504" s="913" t="s">
        <v>142</v>
      </c>
      <c r="C2504" s="1113" t="s">
        <v>1340</v>
      </c>
      <c r="D2504" s="918"/>
      <c r="E2504" s="924"/>
      <c r="F2504" s="916">
        <v>99</v>
      </c>
    </row>
    <row r="2505" spans="1:6">
      <c r="A2505" s="912" t="s">
        <v>750</v>
      </c>
      <c r="B2505" s="913" t="s">
        <v>142</v>
      </c>
      <c r="C2505" s="1113" t="s">
        <v>1738</v>
      </c>
      <c r="D2505" s="918"/>
      <c r="E2505" s="924"/>
      <c r="F2505" s="916">
        <v>99</v>
      </c>
    </row>
    <row r="2506" spans="1:6">
      <c r="A2506" s="912" t="s">
        <v>750</v>
      </c>
      <c r="B2506" s="913" t="s">
        <v>145</v>
      </c>
      <c r="C2506" s="922" t="s">
        <v>304</v>
      </c>
      <c r="D2506" s="918"/>
      <c r="E2506" s="924"/>
      <c r="F2506" s="916">
        <v>99</v>
      </c>
    </row>
    <row r="2507" spans="1:6">
      <c r="A2507" s="912" t="s">
        <v>750</v>
      </c>
      <c r="B2507" s="913" t="s">
        <v>149</v>
      </c>
      <c r="C2507" s="1113" t="s">
        <v>1341</v>
      </c>
      <c r="D2507" s="918"/>
      <c r="E2507" s="924"/>
      <c r="F2507" s="916">
        <v>99</v>
      </c>
    </row>
    <row r="2508" spans="1:6">
      <c r="A2508" s="912" t="s">
        <v>750</v>
      </c>
      <c r="B2508" s="913" t="s">
        <v>151</v>
      </c>
      <c r="C2508" s="925" t="s">
        <v>152</v>
      </c>
      <c r="D2508" s="918"/>
      <c r="E2508" s="924"/>
      <c r="F2508" s="916">
        <v>99</v>
      </c>
    </row>
    <row r="2509" spans="1:6">
      <c r="A2509" s="912" t="s">
        <v>750</v>
      </c>
      <c r="B2509" s="913" t="s">
        <v>248</v>
      </c>
      <c r="C2509" s="925" t="s">
        <v>249</v>
      </c>
      <c r="D2509" s="918"/>
      <c r="E2509" s="924"/>
      <c r="F2509" s="916">
        <v>99</v>
      </c>
    </row>
    <row r="2510" spans="1:6">
      <c r="A2510" s="912" t="s">
        <v>750</v>
      </c>
      <c r="B2510" s="913" t="s">
        <v>250</v>
      </c>
      <c r="C2510" s="1113" t="s">
        <v>251</v>
      </c>
      <c r="D2510" s="918"/>
      <c r="E2510" s="924"/>
      <c r="F2510" s="916">
        <v>99</v>
      </c>
    </row>
    <row r="2511" spans="1:6">
      <c r="A2511" s="912" t="s">
        <v>750</v>
      </c>
      <c r="B2511" s="913" t="s">
        <v>250</v>
      </c>
      <c r="C2511" s="922" t="s">
        <v>255</v>
      </c>
      <c r="D2511" s="918"/>
      <c r="E2511" s="924"/>
      <c r="F2511" s="916">
        <v>99</v>
      </c>
    </row>
    <row r="2512" spans="1:6">
      <c r="A2512" s="912" t="s">
        <v>750</v>
      </c>
      <c r="B2512" s="913" t="s">
        <v>258</v>
      </c>
      <c r="C2512" s="1113" t="s">
        <v>259</v>
      </c>
      <c r="D2512" s="918"/>
      <c r="E2512" s="924"/>
      <c r="F2512" s="916">
        <v>99</v>
      </c>
    </row>
    <row r="2513" spans="1:6">
      <c r="A2513" s="912" t="s">
        <v>750</v>
      </c>
      <c r="B2513" s="913" t="s">
        <v>258</v>
      </c>
      <c r="C2513" s="922" t="s">
        <v>1342</v>
      </c>
      <c r="D2513" s="918"/>
      <c r="E2513" s="924"/>
      <c r="F2513" s="916">
        <v>99</v>
      </c>
    </row>
    <row r="2514" spans="1:6">
      <c r="A2514" s="912" t="s">
        <v>750</v>
      </c>
      <c r="B2514" s="913" t="s">
        <v>258</v>
      </c>
      <c r="C2514" s="922" t="s">
        <v>1343</v>
      </c>
      <c r="D2514" s="918"/>
      <c r="E2514" s="924"/>
      <c r="F2514" s="916">
        <v>99</v>
      </c>
    </row>
    <row r="2515" spans="1:6">
      <c r="A2515" s="912" t="s">
        <v>750</v>
      </c>
      <c r="B2515" s="913" t="s">
        <v>258</v>
      </c>
      <c r="C2515" s="922" t="s">
        <v>485</v>
      </c>
      <c r="D2515" s="918"/>
      <c r="E2515" s="924"/>
      <c r="F2515" s="916">
        <v>99</v>
      </c>
    </row>
    <row r="2516" spans="1:6">
      <c r="A2516" s="912" t="s">
        <v>750</v>
      </c>
      <c r="B2516" s="913" t="s">
        <v>258</v>
      </c>
      <c r="C2516" s="922" t="s">
        <v>1344</v>
      </c>
      <c r="D2516" s="918"/>
      <c r="E2516" s="924"/>
      <c r="F2516" s="916">
        <v>99</v>
      </c>
    </row>
    <row r="2517" spans="1:6">
      <c r="A2517" s="912" t="s">
        <v>750</v>
      </c>
      <c r="B2517" s="913" t="s">
        <v>157</v>
      </c>
      <c r="C2517" s="1113" t="s">
        <v>158</v>
      </c>
      <c r="D2517" s="918"/>
      <c r="E2517" s="924"/>
      <c r="F2517" s="916">
        <v>99</v>
      </c>
    </row>
    <row r="2518" spans="1:6">
      <c r="A2518" s="912" t="s">
        <v>750</v>
      </c>
      <c r="B2518" s="913" t="s">
        <v>159</v>
      </c>
      <c r="C2518" s="923" t="s">
        <v>160</v>
      </c>
      <c r="D2518" s="918"/>
      <c r="E2518" s="924"/>
      <c r="F2518" s="916">
        <v>99</v>
      </c>
    </row>
    <row r="2519" spans="1:6">
      <c r="A2519" s="912" t="s">
        <v>750</v>
      </c>
      <c r="B2519" s="913" t="s">
        <v>161</v>
      </c>
      <c r="C2519" s="1120" t="s">
        <v>162</v>
      </c>
      <c r="D2519" s="918"/>
      <c r="E2519" s="924"/>
      <c r="F2519" s="916">
        <v>99</v>
      </c>
    </row>
    <row r="2520" spans="1:6">
      <c r="A2520" s="912" t="s">
        <v>750</v>
      </c>
      <c r="B2520" s="913" t="s">
        <v>161</v>
      </c>
      <c r="C2520" s="1121" t="s">
        <v>1345</v>
      </c>
      <c r="D2520" s="918"/>
      <c r="E2520" s="924"/>
      <c r="F2520" s="916">
        <v>99</v>
      </c>
    </row>
    <row r="2521" spans="1:6">
      <c r="A2521" s="912" t="s">
        <v>750</v>
      </c>
      <c r="B2521" s="1122" t="s">
        <v>170</v>
      </c>
      <c r="C2521" s="922" t="s">
        <v>171</v>
      </c>
      <c r="D2521" s="918"/>
      <c r="E2521" s="1123"/>
      <c r="F2521" s="916">
        <v>99</v>
      </c>
    </row>
    <row r="2522" spans="1:6">
      <c r="A2522" s="912" t="s">
        <v>750</v>
      </c>
      <c r="B2522" s="1122" t="s">
        <v>172</v>
      </c>
      <c r="C2522" s="922" t="s">
        <v>165</v>
      </c>
      <c r="D2522" s="918"/>
      <c r="E2522" s="1123"/>
      <c r="F2522" s="916">
        <v>99</v>
      </c>
    </row>
    <row r="2523" spans="1:6">
      <c r="A2523" s="912" t="s">
        <v>750</v>
      </c>
      <c r="B2523" s="1122" t="s">
        <v>173</v>
      </c>
      <c r="C2523" s="922" t="s">
        <v>1346</v>
      </c>
      <c r="D2523" s="918"/>
      <c r="E2523" s="1123"/>
      <c r="F2523" s="916">
        <v>99</v>
      </c>
    </row>
    <row r="2524" spans="1:6">
      <c r="A2524" s="912" t="s">
        <v>750</v>
      </c>
      <c r="B2524" s="913" t="s">
        <v>176</v>
      </c>
      <c r="C2524" s="922" t="s">
        <v>1347</v>
      </c>
      <c r="D2524" s="918"/>
      <c r="E2524" s="1123"/>
      <c r="F2524" s="916">
        <v>99</v>
      </c>
    </row>
    <row r="2525" spans="1:6">
      <c r="A2525" s="912" t="s">
        <v>750</v>
      </c>
      <c r="B2525" s="913"/>
      <c r="C2525" s="922" t="s">
        <v>1739</v>
      </c>
      <c r="D2525" s="918"/>
      <c r="E2525" s="1123"/>
      <c r="F2525" s="836">
        <v>99</v>
      </c>
    </row>
    <row r="2526" spans="1:6">
      <c r="A2526" s="912" t="s">
        <v>750</v>
      </c>
      <c r="B2526" s="913"/>
      <c r="C2526" s="922" t="s">
        <v>1740</v>
      </c>
      <c r="D2526" s="918"/>
      <c r="E2526" s="1123"/>
      <c r="F2526" s="836">
        <v>99</v>
      </c>
    </row>
    <row r="2527" spans="1:6">
      <c r="A2527" s="912" t="s">
        <v>750</v>
      </c>
      <c r="B2527" s="913"/>
      <c r="C2527" s="922" t="s">
        <v>1741</v>
      </c>
      <c r="D2527" s="918"/>
      <c r="E2527" s="1123"/>
      <c r="F2527" s="836">
        <v>99</v>
      </c>
    </row>
    <row r="2528" spans="1:6">
      <c r="A2528" s="912" t="s">
        <v>750</v>
      </c>
      <c r="B2528" s="913"/>
      <c r="C2528" s="922" t="s">
        <v>1742</v>
      </c>
      <c r="D2528" s="918"/>
      <c r="E2528" s="1123"/>
      <c r="F2528" s="836">
        <v>99</v>
      </c>
    </row>
    <row r="2529" spans="1:6">
      <c r="A2529" s="912" t="s">
        <v>750</v>
      </c>
      <c r="B2529" s="913"/>
      <c r="C2529" s="922" t="s">
        <v>1743</v>
      </c>
      <c r="D2529" s="918"/>
      <c r="E2529" s="1123"/>
      <c r="F2529" s="836">
        <v>99</v>
      </c>
    </row>
    <row r="2530" spans="1:6">
      <c r="A2530" s="912" t="s">
        <v>750</v>
      </c>
      <c r="B2530" s="913"/>
      <c r="C2530" s="922" t="s">
        <v>1744</v>
      </c>
      <c r="D2530" s="918"/>
      <c r="E2530" s="1123"/>
      <c r="F2530" s="836">
        <v>99</v>
      </c>
    </row>
    <row r="2531" spans="1:6">
      <c r="A2531" s="912" t="s">
        <v>750</v>
      </c>
      <c r="B2531" s="1122" t="s">
        <v>180</v>
      </c>
      <c r="C2531" s="922" t="s">
        <v>165</v>
      </c>
      <c r="D2531" s="918"/>
      <c r="E2531" s="1123"/>
      <c r="F2531" s="916">
        <v>99</v>
      </c>
    </row>
    <row r="2532" spans="1:6">
      <c r="A2532" s="912" t="s">
        <v>750</v>
      </c>
      <c r="B2532" s="1122" t="s">
        <v>178</v>
      </c>
      <c r="C2532" s="922" t="s">
        <v>167</v>
      </c>
      <c r="D2532" s="918"/>
      <c r="E2532" s="1123"/>
      <c r="F2532" s="916">
        <v>99</v>
      </c>
    </row>
    <row r="2533" spans="1:6">
      <c r="A2533" s="912" t="s">
        <v>750</v>
      </c>
      <c r="B2533" s="1122" t="s">
        <v>187</v>
      </c>
      <c r="C2533" s="1120" t="s">
        <v>188</v>
      </c>
      <c r="D2533" s="918"/>
      <c r="E2533" s="1123"/>
      <c r="F2533" s="916">
        <v>99</v>
      </c>
    </row>
    <row r="2534" spans="1:6">
      <c r="A2534" s="912" t="s">
        <v>750</v>
      </c>
      <c r="B2534" s="1122" t="s">
        <v>187</v>
      </c>
      <c r="C2534" s="1121" t="s">
        <v>1345</v>
      </c>
      <c r="D2534" s="918"/>
      <c r="E2534" s="1123"/>
      <c r="F2534" s="916">
        <v>99</v>
      </c>
    </row>
    <row r="2535" spans="1:6">
      <c r="A2535" s="912" t="s">
        <v>750</v>
      </c>
      <c r="B2535" s="1122" t="s">
        <v>190</v>
      </c>
      <c r="C2535" s="922" t="s">
        <v>165</v>
      </c>
      <c r="D2535" s="918"/>
      <c r="E2535" s="1123"/>
      <c r="F2535" s="916">
        <v>99</v>
      </c>
    </row>
    <row r="2536" spans="1:6">
      <c r="A2536" s="912" t="s">
        <v>750</v>
      </c>
      <c r="B2536" s="1122" t="s">
        <v>191</v>
      </c>
      <c r="C2536" s="922" t="s">
        <v>167</v>
      </c>
      <c r="D2536" s="918"/>
      <c r="E2536" s="1123"/>
      <c r="F2536" s="916">
        <v>99</v>
      </c>
    </row>
    <row r="2537" spans="1:6">
      <c r="A2537" s="912" t="s">
        <v>750</v>
      </c>
      <c r="B2537" s="1122" t="s">
        <v>187</v>
      </c>
      <c r="C2537" s="922" t="s">
        <v>1348</v>
      </c>
      <c r="D2537" s="918"/>
      <c r="E2537" s="1123"/>
      <c r="F2537" s="916">
        <v>99</v>
      </c>
    </row>
    <row r="2538" spans="1:6">
      <c r="A2538" s="912" t="s">
        <v>750</v>
      </c>
      <c r="B2538" s="913" t="s">
        <v>192</v>
      </c>
      <c r="C2538" s="1120" t="s">
        <v>332</v>
      </c>
      <c r="D2538" s="918"/>
      <c r="E2538" s="924"/>
      <c r="F2538" s="916">
        <v>99</v>
      </c>
    </row>
    <row r="2539" spans="1:6">
      <c r="A2539" s="912" t="s">
        <v>750</v>
      </c>
      <c r="B2539" s="913" t="s">
        <v>192</v>
      </c>
      <c r="C2539" s="1124" t="s">
        <v>1349</v>
      </c>
      <c r="D2539" s="918"/>
      <c r="E2539" s="924"/>
      <c r="F2539" s="916">
        <v>99</v>
      </c>
    </row>
    <row r="2540" spans="1:6">
      <c r="A2540" s="912" t="s">
        <v>750</v>
      </c>
      <c r="B2540" s="1122" t="s">
        <v>195</v>
      </c>
      <c r="C2540" s="922" t="s">
        <v>165</v>
      </c>
      <c r="D2540" s="918"/>
      <c r="E2540" s="1123"/>
      <c r="F2540" s="916">
        <v>99</v>
      </c>
    </row>
    <row r="2541" spans="1:6">
      <c r="A2541" s="912" t="s">
        <v>750</v>
      </c>
      <c r="B2541" s="1122" t="s">
        <v>196</v>
      </c>
      <c r="C2541" s="922" t="s">
        <v>167</v>
      </c>
      <c r="D2541" s="918"/>
      <c r="E2541" s="1123"/>
      <c r="F2541" s="916">
        <v>99</v>
      </c>
    </row>
    <row r="2542" spans="1:6">
      <c r="A2542" s="912" t="s">
        <v>750</v>
      </c>
      <c r="B2542" s="913" t="s">
        <v>192</v>
      </c>
      <c r="C2542" s="1124" t="s">
        <v>1350</v>
      </c>
      <c r="D2542" s="918"/>
      <c r="E2542" s="924"/>
      <c r="F2542" s="916">
        <v>99</v>
      </c>
    </row>
    <row r="2543" spans="1:6">
      <c r="A2543" s="912" t="s">
        <v>750</v>
      </c>
      <c r="B2543" s="1122" t="s">
        <v>195</v>
      </c>
      <c r="C2543" s="922" t="s">
        <v>165</v>
      </c>
      <c r="D2543" s="918"/>
      <c r="E2543" s="1123"/>
      <c r="F2543" s="916">
        <v>99</v>
      </c>
    </row>
    <row r="2544" spans="1:6">
      <c r="A2544" s="912" t="s">
        <v>750</v>
      </c>
      <c r="B2544" s="1122" t="s">
        <v>196</v>
      </c>
      <c r="C2544" s="922" t="s">
        <v>167</v>
      </c>
      <c r="D2544" s="918"/>
      <c r="E2544" s="1123"/>
      <c r="F2544" s="916">
        <v>99</v>
      </c>
    </row>
    <row r="2545" spans="1:6">
      <c r="A2545" s="1020" t="s">
        <v>751</v>
      </c>
      <c r="B2545" s="1021" t="s">
        <v>62</v>
      </c>
      <c r="C2545" s="1022" t="s">
        <v>1351</v>
      </c>
      <c r="D2545" s="1023"/>
      <c r="E2545" s="1125">
        <v>238032</v>
      </c>
      <c r="F2545" s="1025">
        <v>1</v>
      </c>
    </row>
    <row r="2546" spans="1:6">
      <c r="A2546" s="1020" t="s">
        <v>751</v>
      </c>
      <c r="B2546" s="1021" t="s">
        <v>64</v>
      </c>
      <c r="C2546" s="1126" t="s">
        <v>495</v>
      </c>
      <c r="D2546" s="1127"/>
      <c r="E2546" s="1125">
        <v>238032</v>
      </c>
      <c r="F2546" s="1025">
        <v>1</v>
      </c>
    </row>
    <row r="2547" spans="1:6">
      <c r="A2547" s="1020" t="s">
        <v>751</v>
      </c>
      <c r="B2547" s="1021" t="s">
        <v>64</v>
      </c>
      <c r="C2547" s="1026" t="s">
        <v>1352</v>
      </c>
      <c r="D2547" s="1027"/>
      <c r="E2547" s="1125">
        <v>238032</v>
      </c>
      <c r="F2547" s="1025">
        <v>1</v>
      </c>
    </row>
    <row r="2548" spans="1:6">
      <c r="A2548" s="1020" t="s">
        <v>751</v>
      </c>
      <c r="B2548" s="1021" t="s">
        <v>64</v>
      </c>
      <c r="C2548" s="1026" t="s">
        <v>1353</v>
      </c>
      <c r="D2548" s="1027"/>
      <c r="E2548" s="1125">
        <v>238032</v>
      </c>
      <c r="F2548" s="1025">
        <v>1</v>
      </c>
    </row>
    <row r="2549" spans="1:6">
      <c r="A2549" s="1020" t="s">
        <v>751</v>
      </c>
      <c r="B2549" s="1021" t="s">
        <v>132</v>
      </c>
      <c r="C2549" s="1026" t="s">
        <v>1354</v>
      </c>
      <c r="D2549" s="1027"/>
      <c r="E2549" s="1125">
        <v>238032</v>
      </c>
      <c r="F2549" s="1025">
        <v>1</v>
      </c>
    </row>
    <row r="2550" spans="1:6">
      <c r="A2550" s="1020" t="s">
        <v>751</v>
      </c>
      <c r="B2550" s="1021" t="s">
        <v>132</v>
      </c>
      <c r="C2550" s="1026" t="s">
        <v>1355</v>
      </c>
      <c r="D2550" s="1027"/>
      <c r="E2550" s="1125">
        <v>238032</v>
      </c>
      <c r="F2550" s="1025">
        <v>1</v>
      </c>
    </row>
    <row r="2551" spans="1:6">
      <c r="A2551" s="1020" t="s">
        <v>751</v>
      </c>
      <c r="B2551" s="1021" t="s">
        <v>64</v>
      </c>
      <c r="C2551" s="1028" t="s">
        <v>70</v>
      </c>
      <c r="D2551" s="1027"/>
      <c r="E2551" s="1128">
        <v>238032</v>
      </c>
      <c r="F2551" s="1025">
        <v>1</v>
      </c>
    </row>
    <row r="2552" spans="1:6">
      <c r="A2552" s="1020" t="s">
        <v>751</v>
      </c>
      <c r="B2552" s="1021" t="s">
        <v>64</v>
      </c>
      <c r="C2552" s="1026" t="s">
        <v>1356</v>
      </c>
      <c r="D2552" s="1027"/>
      <c r="E2552" s="1128">
        <v>238032</v>
      </c>
      <c r="F2552" s="1025">
        <v>1</v>
      </c>
    </row>
    <row r="2553" spans="1:6">
      <c r="A2553" s="1020" t="s">
        <v>751</v>
      </c>
      <c r="B2553" s="1021" t="s">
        <v>132</v>
      </c>
      <c r="C2553" s="1026" t="s">
        <v>1357</v>
      </c>
      <c r="D2553" s="1027"/>
      <c r="E2553" s="1125">
        <v>238032</v>
      </c>
      <c r="F2553" s="1025">
        <v>1</v>
      </c>
    </row>
    <row r="2554" spans="1:6">
      <c r="A2554" s="1020" t="s">
        <v>751</v>
      </c>
      <c r="B2554" s="1021" t="s">
        <v>64</v>
      </c>
      <c r="C2554" s="1026" t="s">
        <v>1358</v>
      </c>
      <c r="D2554" s="1027"/>
      <c r="E2554" s="1128">
        <v>238032</v>
      </c>
      <c r="F2554" s="1025">
        <v>1</v>
      </c>
    </row>
    <row r="2555" spans="1:6">
      <c r="A2555" s="1020" t="s">
        <v>751</v>
      </c>
      <c r="B2555" s="1021" t="s">
        <v>64</v>
      </c>
      <c r="C2555" s="1026" t="s">
        <v>1359</v>
      </c>
      <c r="D2555" s="1027"/>
      <c r="E2555" s="1128">
        <v>238032</v>
      </c>
      <c r="F2555" s="1025">
        <v>1</v>
      </c>
    </row>
    <row r="2556" spans="1:6">
      <c r="A2556" s="1020" t="s">
        <v>751</v>
      </c>
      <c r="B2556" s="1021" t="s">
        <v>74</v>
      </c>
      <c r="C2556" s="1028" t="s">
        <v>75</v>
      </c>
      <c r="D2556" s="1027"/>
      <c r="E2556" s="1128">
        <v>238032</v>
      </c>
      <c r="F2556" s="1025">
        <v>1</v>
      </c>
    </row>
    <row r="2557" spans="1:6">
      <c r="A2557" s="1020" t="s">
        <v>751</v>
      </c>
      <c r="B2557" s="1021" t="s">
        <v>76</v>
      </c>
      <c r="C2557" s="1028" t="s">
        <v>77</v>
      </c>
      <c r="D2557" s="1027"/>
      <c r="E2557" s="1128">
        <v>238032</v>
      </c>
      <c r="F2557" s="1025">
        <v>1</v>
      </c>
    </row>
    <row r="2558" spans="1:6">
      <c r="A2558" s="1020" t="s">
        <v>751</v>
      </c>
      <c r="B2558" s="1021" t="s">
        <v>381</v>
      </c>
      <c r="C2558" s="1028" t="s">
        <v>752</v>
      </c>
      <c r="D2558" s="1027"/>
      <c r="E2558" s="1128">
        <v>238032</v>
      </c>
      <c r="F2558" s="1025">
        <v>1</v>
      </c>
    </row>
    <row r="2559" spans="1:6">
      <c r="A2559" s="1020" t="s">
        <v>751</v>
      </c>
      <c r="B2559" s="1021" t="s">
        <v>78</v>
      </c>
      <c r="C2559" s="1028" t="s">
        <v>79</v>
      </c>
      <c r="D2559" s="1027"/>
      <c r="E2559" s="1128">
        <v>238032</v>
      </c>
      <c r="F2559" s="1025">
        <v>1</v>
      </c>
    </row>
    <row r="2560" spans="1:6">
      <c r="A2560" s="1020" t="s">
        <v>751</v>
      </c>
      <c r="B2560" s="1021" t="s">
        <v>78</v>
      </c>
      <c r="C2560" s="1026" t="s">
        <v>1360</v>
      </c>
      <c r="D2560" s="1027"/>
      <c r="E2560" s="1128">
        <v>238032</v>
      </c>
      <c r="F2560" s="1025">
        <v>1</v>
      </c>
    </row>
    <row r="2561" spans="1:6">
      <c r="A2561" s="1020" t="s">
        <v>751</v>
      </c>
      <c r="B2561" s="1021" t="s">
        <v>99</v>
      </c>
      <c r="C2561" s="1028" t="s">
        <v>1070</v>
      </c>
      <c r="D2561" s="1027"/>
      <c r="E2561" s="1128">
        <v>238032</v>
      </c>
      <c r="F2561" s="1025">
        <v>1</v>
      </c>
    </row>
    <row r="2562" spans="1:6">
      <c r="A2562" s="1020" t="s">
        <v>751</v>
      </c>
      <c r="B2562" s="1021" t="s">
        <v>99</v>
      </c>
      <c r="C2562" s="1026" t="s">
        <v>1361</v>
      </c>
      <c r="D2562" s="1027"/>
      <c r="E2562" s="1128">
        <v>238032</v>
      </c>
      <c r="F2562" s="1025">
        <v>1</v>
      </c>
    </row>
    <row r="2563" spans="1:6">
      <c r="A2563" s="1020" t="s">
        <v>751</v>
      </c>
      <c r="B2563" s="1021" t="s">
        <v>62</v>
      </c>
      <c r="C2563" s="1022" t="s">
        <v>1362</v>
      </c>
      <c r="D2563" s="1023"/>
      <c r="E2563" s="1128">
        <v>237525</v>
      </c>
      <c r="F2563" s="1025">
        <v>3</v>
      </c>
    </row>
    <row r="2564" spans="1:6">
      <c r="A2564" s="1020" t="s">
        <v>751</v>
      </c>
      <c r="B2564" s="1021" t="s">
        <v>78</v>
      </c>
      <c r="C2564" s="1028" t="s">
        <v>79</v>
      </c>
      <c r="D2564" s="1027"/>
      <c r="E2564" s="1128">
        <v>237525</v>
      </c>
      <c r="F2564" s="1025">
        <v>3</v>
      </c>
    </row>
    <row r="2565" spans="1:6">
      <c r="A2565" s="1020" t="s">
        <v>751</v>
      </c>
      <c r="B2565" s="1021" t="s">
        <v>99</v>
      </c>
      <c r="C2565" s="1026" t="s">
        <v>1363</v>
      </c>
      <c r="D2565" s="1027"/>
      <c r="E2565" s="1128">
        <v>237525</v>
      </c>
      <c r="F2565" s="1025">
        <v>3</v>
      </c>
    </row>
    <row r="2566" spans="1:6">
      <c r="A2566" s="1020" t="s">
        <v>751</v>
      </c>
      <c r="B2566" s="1021" t="s">
        <v>78</v>
      </c>
      <c r="C2566" s="1026" t="s">
        <v>1364</v>
      </c>
      <c r="D2566" s="1027"/>
      <c r="E2566" s="1128">
        <v>237525</v>
      </c>
      <c r="F2566" s="1025">
        <v>3</v>
      </c>
    </row>
    <row r="2567" spans="1:6">
      <c r="A2567" s="1020" t="s">
        <v>751</v>
      </c>
      <c r="B2567" s="1021" t="s">
        <v>99</v>
      </c>
      <c r="C2567" s="1028" t="s">
        <v>1070</v>
      </c>
      <c r="D2567" s="1027"/>
      <c r="E2567" s="1128">
        <v>237525</v>
      </c>
      <c r="F2567" s="1025">
        <v>3</v>
      </c>
    </row>
    <row r="2568" spans="1:6">
      <c r="A2568" s="1020" t="s">
        <v>751</v>
      </c>
      <c r="B2568" s="1021" t="s">
        <v>64</v>
      </c>
      <c r="C2568" s="1028" t="s">
        <v>334</v>
      </c>
      <c r="D2568" s="1027"/>
      <c r="E2568" s="1128">
        <v>237525</v>
      </c>
      <c r="F2568" s="1025">
        <v>3</v>
      </c>
    </row>
    <row r="2569" spans="1:6">
      <c r="A2569" s="1020" t="s">
        <v>751</v>
      </c>
      <c r="B2569" s="1021" t="s">
        <v>64</v>
      </c>
      <c r="C2569" s="1026" t="s">
        <v>1365</v>
      </c>
      <c r="D2569" s="1027"/>
      <c r="E2569" s="1128">
        <v>237525</v>
      </c>
      <c r="F2569" s="1025">
        <v>3</v>
      </c>
    </row>
    <row r="2570" spans="1:6">
      <c r="A2570" s="1020" t="s">
        <v>751</v>
      </c>
      <c r="B2570" s="1021" t="s">
        <v>64</v>
      </c>
      <c r="C2570" s="1026" t="s">
        <v>1366</v>
      </c>
      <c r="D2570" s="1027"/>
      <c r="E2570" s="1128">
        <v>237525</v>
      </c>
      <c r="F2570" s="1025">
        <v>3</v>
      </c>
    </row>
    <row r="2571" spans="1:6">
      <c r="A2571" s="1020" t="s">
        <v>751</v>
      </c>
      <c r="B2571" s="1021" t="s">
        <v>64</v>
      </c>
      <c r="C2571" s="1026" t="s">
        <v>1367</v>
      </c>
      <c r="D2571" s="1027"/>
      <c r="E2571" s="1128">
        <v>237525</v>
      </c>
      <c r="F2571" s="1025">
        <v>3</v>
      </c>
    </row>
    <row r="2572" spans="1:6">
      <c r="A2572" s="1020" t="s">
        <v>751</v>
      </c>
      <c r="B2572" s="1021" t="s">
        <v>78</v>
      </c>
      <c r="C2572" s="1026" t="s">
        <v>1368</v>
      </c>
      <c r="D2572" s="1027"/>
      <c r="E2572" s="1128">
        <v>237525</v>
      </c>
      <c r="F2572" s="1025">
        <v>3</v>
      </c>
    </row>
    <row r="2573" spans="1:6">
      <c r="A2573" s="1020" t="s">
        <v>751</v>
      </c>
      <c r="B2573" s="1021" t="s">
        <v>99</v>
      </c>
      <c r="C2573" s="1026" t="s">
        <v>1353</v>
      </c>
      <c r="D2573" s="1027"/>
      <c r="E2573" s="1128">
        <v>237525</v>
      </c>
      <c r="F2573" s="1025">
        <v>3</v>
      </c>
    </row>
    <row r="2574" spans="1:6">
      <c r="A2574" s="1020" t="s">
        <v>751</v>
      </c>
      <c r="B2574" s="1021" t="s">
        <v>62</v>
      </c>
      <c r="C2574" s="1022" t="s">
        <v>1372</v>
      </c>
      <c r="D2574" s="1129"/>
      <c r="E2574" s="1128">
        <v>237330</v>
      </c>
      <c r="F2574" s="1025">
        <v>5</v>
      </c>
    </row>
    <row r="2575" spans="1:6">
      <c r="A2575" s="1020" t="s">
        <v>751</v>
      </c>
      <c r="B2575" s="1021" t="s">
        <v>99</v>
      </c>
      <c r="C2575" s="1028" t="s">
        <v>1070</v>
      </c>
      <c r="D2575" s="1027"/>
      <c r="E2575" s="1128">
        <v>237330</v>
      </c>
      <c r="F2575" s="1025">
        <v>5</v>
      </c>
    </row>
    <row r="2576" spans="1:6">
      <c r="A2576" s="1020" t="s">
        <v>751</v>
      </c>
      <c r="B2576" s="1021" t="s">
        <v>62</v>
      </c>
      <c r="C2576" s="1030" t="s">
        <v>1369</v>
      </c>
      <c r="D2576" s="1031"/>
      <c r="E2576" s="1128">
        <v>237367</v>
      </c>
      <c r="F2576" s="1025">
        <v>5</v>
      </c>
    </row>
    <row r="2577" spans="1:6">
      <c r="A2577" s="1020" t="s">
        <v>751</v>
      </c>
      <c r="B2577" s="1021" t="s">
        <v>62</v>
      </c>
      <c r="C2577" s="1030" t="s">
        <v>1370</v>
      </c>
      <c r="D2577" s="1031"/>
      <c r="E2577" s="1128">
        <v>237792</v>
      </c>
      <c r="F2577" s="1025">
        <v>5</v>
      </c>
    </row>
    <row r="2578" spans="1:6">
      <c r="A2578" s="1020" t="s">
        <v>751</v>
      </c>
      <c r="B2578" s="1021" t="s">
        <v>99</v>
      </c>
      <c r="C2578" s="1028" t="s">
        <v>1070</v>
      </c>
      <c r="D2578" s="1027"/>
      <c r="E2578" s="1128">
        <v>237792</v>
      </c>
      <c r="F2578" s="1025">
        <v>5</v>
      </c>
    </row>
    <row r="2579" spans="1:6">
      <c r="A2579" s="1020" t="s">
        <v>751</v>
      </c>
      <c r="B2579" s="1021" t="s">
        <v>62</v>
      </c>
      <c r="C2579" s="1022" t="s">
        <v>1374</v>
      </c>
      <c r="D2579" s="1145" t="s">
        <v>1811</v>
      </c>
      <c r="E2579" s="1128">
        <v>237932</v>
      </c>
      <c r="F2579" s="1025">
        <v>5</v>
      </c>
    </row>
    <row r="2580" spans="1:6">
      <c r="A2580" s="1020" t="s">
        <v>751</v>
      </c>
      <c r="B2580" s="1021" t="s">
        <v>62</v>
      </c>
      <c r="C2580" s="1021" t="s">
        <v>1371</v>
      </c>
      <c r="D2580" s="1034"/>
      <c r="E2580" s="1128">
        <v>237215</v>
      </c>
      <c r="F2580" s="1025">
        <v>6</v>
      </c>
    </row>
    <row r="2581" spans="1:6">
      <c r="A2581" s="1020" t="s">
        <v>751</v>
      </c>
      <c r="B2581" s="1021" t="s">
        <v>62</v>
      </c>
      <c r="C2581" s="1022" t="s">
        <v>1373</v>
      </c>
      <c r="D2581" s="1023"/>
      <c r="E2581" s="1128">
        <v>237385</v>
      </c>
      <c r="F2581" s="1025">
        <v>6</v>
      </c>
    </row>
    <row r="2582" spans="1:6">
      <c r="A2582" s="1020" t="s">
        <v>751</v>
      </c>
      <c r="B2582" s="1021" t="s">
        <v>99</v>
      </c>
      <c r="C2582" s="1028" t="s">
        <v>1070</v>
      </c>
      <c r="D2582" s="1027"/>
      <c r="E2582" s="1128">
        <v>237385</v>
      </c>
      <c r="F2582" s="1025">
        <v>6</v>
      </c>
    </row>
    <row r="2583" spans="1:6">
      <c r="A2583" s="1020" t="s">
        <v>751</v>
      </c>
      <c r="B2583" s="1021" t="s">
        <v>62</v>
      </c>
      <c r="C2583" s="1022" t="s">
        <v>1375</v>
      </c>
      <c r="D2583" s="1145" t="s">
        <v>1811</v>
      </c>
      <c r="E2583" s="1128">
        <v>237899</v>
      </c>
      <c r="F2583" s="1025">
        <v>6</v>
      </c>
    </row>
    <row r="2584" spans="1:6">
      <c r="A2584" s="1020" t="s">
        <v>751</v>
      </c>
      <c r="B2584" s="1021" t="s">
        <v>62</v>
      </c>
      <c r="C2584" s="1130" t="s">
        <v>1377</v>
      </c>
      <c r="D2584" s="1131"/>
      <c r="E2584" s="1128">
        <v>237950</v>
      </c>
      <c r="F2584" s="1025">
        <v>6</v>
      </c>
    </row>
    <row r="2585" spans="1:6">
      <c r="A2585" s="1020" t="s">
        <v>751</v>
      </c>
      <c r="B2585" s="1021" t="s">
        <v>99</v>
      </c>
      <c r="C2585" s="1132" t="s">
        <v>1378</v>
      </c>
      <c r="D2585" s="1133"/>
      <c r="E2585" s="1128">
        <v>237950</v>
      </c>
      <c r="F2585" s="1025">
        <v>6</v>
      </c>
    </row>
    <row r="2586" spans="1:6">
      <c r="A2586" s="1020" t="s">
        <v>751</v>
      </c>
      <c r="B2586" s="1021" t="s">
        <v>62</v>
      </c>
      <c r="C2586" s="1130" t="s">
        <v>1379</v>
      </c>
      <c r="D2586" s="1131"/>
      <c r="E2586" s="1128">
        <v>237701</v>
      </c>
      <c r="F2586" s="1025">
        <v>7</v>
      </c>
    </row>
    <row r="2587" spans="1:6">
      <c r="A2587" s="1020" t="s">
        <v>751</v>
      </c>
      <c r="B2587" s="1021" t="s">
        <v>99</v>
      </c>
      <c r="C2587" s="1028" t="s">
        <v>1070</v>
      </c>
      <c r="D2587" s="1027"/>
      <c r="E2587" s="1128">
        <v>237701</v>
      </c>
      <c r="F2587" s="1025">
        <v>7</v>
      </c>
    </row>
    <row r="2588" spans="1:6">
      <c r="A2588" s="1020" t="s">
        <v>751</v>
      </c>
      <c r="B2588" s="1021" t="s">
        <v>62</v>
      </c>
      <c r="C2588" s="1130" t="s">
        <v>1376</v>
      </c>
      <c r="D2588" s="1145" t="s">
        <v>1799</v>
      </c>
      <c r="E2588" s="1125">
        <v>237686</v>
      </c>
      <c r="F2588" s="1025">
        <v>7</v>
      </c>
    </row>
    <row r="2589" spans="1:6">
      <c r="A2589" s="1020" t="s">
        <v>751</v>
      </c>
      <c r="B2589" s="1021" t="s">
        <v>99</v>
      </c>
      <c r="C2589" s="1028" t="s">
        <v>1070</v>
      </c>
      <c r="D2589" s="1031"/>
      <c r="E2589" s="1128">
        <v>237686</v>
      </c>
      <c r="F2589" s="1025">
        <v>7</v>
      </c>
    </row>
    <row r="2590" spans="1:6">
      <c r="A2590" s="1020" t="s">
        <v>751</v>
      </c>
      <c r="B2590" s="1021" t="s">
        <v>62</v>
      </c>
      <c r="C2590" s="1030" t="s">
        <v>1380</v>
      </c>
      <c r="D2590" s="1129"/>
      <c r="E2590" s="1128">
        <v>447582</v>
      </c>
      <c r="F2590" s="1025">
        <v>10</v>
      </c>
    </row>
    <row r="2591" spans="1:6">
      <c r="A2591" s="1020" t="s">
        <v>751</v>
      </c>
      <c r="B2591" s="1021" t="s">
        <v>99</v>
      </c>
      <c r="C2591" s="1028" t="s">
        <v>1070</v>
      </c>
      <c r="D2591" s="1027"/>
      <c r="E2591" s="1128">
        <v>447582</v>
      </c>
      <c r="F2591" s="1025">
        <v>10</v>
      </c>
    </row>
    <row r="2592" spans="1:6">
      <c r="A2592" s="1020" t="s">
        <v>751</v>
      </c>
      <c r="B2592" s="1021" t="s">
        <v>62</v>
      </c>
      <c r="C2592" s="1130" t="s">
        <v>1381</v>
      </c>
      <c r="D2592" s="1129"/>
      <c r="E2592" s="1128">
        <v>443492</v>
      </c>
      <c r="F2592" s="1025">
        <v>10</v>
      </c>
    </row>
    <row r="2593" spans="1:6">
      <c r="A2593" s="1020" t="s">
        <v>751</v>
      </c>
      <c r="B2593" s="1021" t="s">
        <v>99</v>
      </c>
      <c r="C2593" s="1028" t="s">
        <v>1070</v>
      </c>
      <c r="D2593" s="1027"/>
      <c r="E2593" s="1128">
        <v>443492</v>
      </c>
      <c r="F2593" s="1025">
        <v>10</v>
      </c>
    </row>
    <row r="2594" spans="1:6">
      <c r="A2594" s="1020" t="s">
        <v>751</v>
      </c>
      <c r="B2594" s="1021" t="s">
        <v>62</v>
      </c>
      <c r="C2594" s="1022" t="s">
        <v>1382</v>
      </c>
      <c r="D2594" s="1145" t="s">
        <v>1795</v>
      </c>
      <c r="E2594" s="1128">
        <v>446774</v>
      </c>
      <c r="F2594" s="1134">
        <v>9</v>
      </c>
    </row>
    <row r="2595" spans="1:6">
      <c r="A2595" s="1020" t="s">
        <v>751</v>
      </c>
      <c r="B2595" s="1021" t="s">
        <v>99</v>
      </c>
      <c r="C2595" s="1028" t="s">
        <v>1070</v>
      </c>
      <c r="D2595" s="1032" t="s">
        <v>1784</v>
      </c>
      <c r="E2595" s="1128">
        <v>446774</v>
      </c>
      <c r="F2595" s="1135">
        <v>9</v>
      </c>
    </row>
    <row r="2596" spans="1:6">
      <c r="A2596" s="1020" t="s">
        <v>751</v>
      </c>
      <c r="B2596" s="1021" t="s">
        <v>62</v>
      </c>
      <c r="C2596" s="1030" t="s">
        <v>1383</v>
      </c>
      <c r="D2596" s="1031"/>
      <c r="E2596" s="1128">
        <v>484932</v>
      </c>
      <c r="F2596" s="1025">
        <v>10</v>
      </c>
    </row>
    <row r="2597" spans="1:6">
      <c r="A2597" s="1020" t="s">
        <v>751</v>
      </c>
      <c r="B2597" s="1021" t="s">
        <v>62</v>
      </c>
      <c r="C2597" s="1130" t="s">
        <v>1384</v>
      </c>
      <c r="D2597" s="1131"/>
      <c r="E2597" s="1128">
        <v>438708</v>
      </c>
      <c r="F2597" s="1025">
        <v>10</v>
      </c>
    </row>
    <row r="2598" spans="1:6">
      <c r="A2598" s="1020" t="s">
        <v>751</v>
      </c>
      <c r="B2598" s="1021" t="s">
        <v>99</v>
      </c>
      <c r="C2598" s="1028" t="s">
        <v>1070</v>
      </c>
      <c r="D2598" s="1027"/>
      <c r="E2598" s="1128">
        <v>438708</v>
      </c>
      <c r="F2598" s="1025">
        <v>10</v>
      </c>
    </row>
    <row r="2599" spans="1:6">
      <c r="A2599" s="1020" t="s">
        <v>751</v>
      </c>
      <c r="B2599" s="1021" t="s">
        <v>62</v>
      </c>
      <c r="C2599" s="1030" t="s">
        <v>1385</v>
      </c>
      <c r="D2599" s="1031"/>
      <c r="E2599" s="1128">
        <v>444954</v>
      </c>
      <c r="F2599" s="1025">
        <v>10</v>
      </c>
    </row>
    <row r="2600" spans="1:6">
      <c r="A2600" s="1020" t="s">
        <v>751</v>
      </c>
      <c r="B2600" s="1021" t="s">
        <v>99</v>
      </c>
      <c r="C2600" s="1028" t="s">
        <v>1070</v>
      </c>
      <c r="D2600" s="1027"/>
      <c r="E2600" s="1128">
        <v>444954</v>
      </c>
      <c r="F2600" s="1025">
        <v>10</v>
      </c>
    </row>
    <row r="2601" spans="1:6">
      <c r="A2601" s="1020" t="s">
        <v>751</v>
      </c>
      <c r="B2601" s="1021" t="s">
        <v>62</v>
      </c>
      <c r="C2601" s="1130" t="s">
        <v>1386</v>
      </c>
      <c r="D2601" s="1131"/>
      <c r="E2601" s="1128">
        <v>237817</v>
      </c>
      <c r="F2601" s="1025">
        <v>10</v>
      </c>
    </row>
    <row r="2602" spans="1:6">
      <c r="A2602" s="1020" t="s">
        <v>751</v>
      </c>
      <c r="B2602" s="1021" t="s">
        <v>99</v>
      </c>
      <c r="C2602" s="1028" t="s">
        <v>1070</v>
      </c>
      <c r="D2602" s="1027"/>
      <c r="E2602" s="1128">
        <v>237817</v>
      </c>
      <c r="F2602" s="1025">
        <v>10</v>
      </c>
    </row>
    <row r="2603" spans="1:6">
      <c r="A2603" s="1020" t="s">
        <v>751</v>
      </c>
      <c r="B2603" s="1021" t="s">
        <v>62</v>
      </c>
      <c r="C2603" s="1030" t="s">
        <v>1387</v>
      </c>
      <c r="D2603" s="1029"/>
      <c r="E2603" s="1128">
        <v>238014</v>
      </c>
      <c r="F2603" s="1025">
        <v>10</v>
      </c>
    </row>
    <row r="2604" spans="1:6">
      <c r="A2604" s="1020" t="s">
        <v>751</v>
      </c>
      <c r="B2604" s="1021" t="s">
        <v>99</v>
      </c>
      <c r="C2604" s="1028" t="s">
        <v>1070</v>
      </c>
      <c r="D2604" s="1027"/>
      <c r="E2604" s="1128">
        <v>238014</v>
      </c>
      <c r="F2604" s="1025">
        <v>10</v>
      </c>
    </row>
    <row r="2605" spans="1:6">
      <c r="A2605" s="1020" t="s">
        <v>751</v>
      </c>
      <c r="B2605" s="1021" t="s">
        <v>238</v>
      </c>
      <c r="C2605" s="1130" t="s">
        <v>1388</v>
      </c>
      <c r="D2605" s="1131"/>
      <c r="E2605" s="1128">
        <v>237880</v>
      </c>
      <c r="F2605" s="1025">
        <v>15</v>
      </c>
    </row>
    <row r="2606" spans="1:6">
      <c r="A2606" s="1020" t="s">
        <v>751</v>
      </c>
      <c r="B2606" s="1021" t="s">
        <v>99</v>
      </c>
      <c r="C2606" s="1028" t="s">
        <v>1070</v>
      </c>
      <c r="D2606" s="1027"/>
      <c r="E2606" s="1128">
        <v>237880</v>
      </c>
      <c r="F2606" s="1025">
        <v>15</v>
      </c>
    </row>
    <row r="2607" spans="1:6">
      <c r="A2607" s="1020" t="s">
        <v>751</v>
      </c>
      <c r="B2607" s="1021" t="s">
        <v>99</v>
      </c>
      <c r="C2607" s="1026" t="s">
        <v>1353</v>
      </c>
      <c r="D2607" s="1027"/>
      <c r="E2607" s="1128">
        <v>237880</v>
      </c>
      <c r="F2607" s="1025">
        <v>15</v>
      </c>
    </row>
    <row r="2608" spans="1:6">
      <c r="A2608" s="1020" t="s">
        <v>751</v>
      </c>
      <c r="B2608" s="1021" t="s">
        <v>118</v>
      </c>
      <c r="C2608" s="1023" t="s">
        <v>406</v>
      </c>
      <c r="D2608" s="1023"/>
      <c r="E2608" s="1136"/>
      <c r="F2608" s="1036">
        <v>99</v>
      </c>
    </row>
    <row r="2609" spans="1:6">
      <c r="A2609" s="1020" t="s">
        <v>751</v>
      </c>
      <c r="B2609" s="1021" t="s">
        <v>336</v>
      </c>
      <c r="C2609" s="1028" t="s">
        <v>70</v>
      </c>
      <c r="D2609" s="1027"/>
      <c r="E2609" s="1136"/>
      <c r="F2609" s="1036">
        <v>99</v>
      </c>
    </row>
    <row r="2610" spans="1:6">
      <c r="A2610" s="1020" t="s">
        <v>751</v>
      </c>
      <c r="B2610" s="1021" t="s">
        <v>336</v>
      </c>
      <c r="C2610" s="1026" t="s">
        <v>1389</v>
      </c>
      <c r="D2610" s="1027"/>
      <c r="E2610" s="1136"/>
      <c r="F2610" s="1036">
        <v>99</v>
      </c>
    </row>
    <row r="2611" spans="1:6">
      <c r="A2611" s="1020" t="s">
        <v>751</v>
      </c>
      <c r="B2611" s="1021" t="s">
        <v>336</v>
      </c>
      <c r="C2611" s="1026" t="s">
        <v>1390</v>
      </c>
      <c r="D2611" s="1027"/>
      <c r="E2611" s="1136"/>
      <c r="F2611" s="1036">
        <v>99</v>
      </c>
    </row>
    <row r="2612" spans="1:6">
      <c r="A2612" s="1137" t="s">
        <v>751</v>
      </c>
      <c r="B2612" s="1021" t="s">
        <v>336</v>
      </c>
      <c r="C2612" s="1026" t="s">
        <v>1391</v>
      </c>
      <c r="D2612" s="1027"/>
      <c r="E2612" s="1136"/>
      <c r="F2612" s="1036">
        <v>99</v>
      </c>
    </row>
    <row r="2613" spans="1:6">
      <c r="A2613" s="1137" t="s">
        <v>751</v>
      </c>
      <c r="B2613" s="1021" t="s">
        <v>685</v>
      </c>
      <c r="C2613" s="1026" t="s">
        <v>1392</v>
      </c>
      <c r="D2613" s="1027"/>
      <c r="E2613" s="1136"/>
      <c r="F2613" s="1036">
        <v>99</v>
      </c>
    </row>
    <row r="2614" spans="1:6">
      <c r="A2614" s="1137" t="s">
        <v>751</v>
      </c>
      <c r="B2614" s="1021" t="s">
        <v>132</v>
      </c>
      <c r="C2614" s="1023" t="s">
        <v>1071</v>
      </c>
      <c r="D2614" s="1023"/>
      <c r="E2614" s="1136"/>
      <c r="F2614" s="1036">
        <v>99</v>
      </c>
    </row>
    <row r="2615" spans="1:6">
      <c r="A2615" s="1137" t="s">
        <v>751</v>
      </c>
      <c r="B2615" s="1021" t="s">
        <v>132</v>
      </c>
      <c r="C2615" s="1026" t="s">
        <v>1393</v>
      </c>
      <c r="D2615" s="1027"/>
      <c r="E2615" s="1136"/>
      <c r="F2615" s="1036">
        <v>99</v>
      </c>
    </row>
    <row r="2616" spans="1:6">
      <c r="A2616" s="1137" t="s">
        <v>751</v>
      </c>
      <c r="B2616" s="1021" t="s">
        <v>132</v>
      </c>
      <c r="C2616" s="1026" t="s">
        <v>1394</v>
      </c>
      <c r="D2616" s="1027"/>
      <c r="E2616" s="1136"/>
      <c r="F2616" s="1036">
        <v>99</v>
      </c>
    </row>
    <row r="2617" spans="1:6">
      <c r="A2617" s="1137" t="s">
        <v>751</v>
      </c>
      <c r="B2617" s="1021" t="s">
        <v>132</v>
      </c>
      <c r="C2617" s="1026" t="s">
        <v>1395</v>
      </c>
      <c r="D2617" s="1027"/>
      <c r="E2617" s="1136"/>
      <c r="F2617" s="1036">
        <v>99</v>
      </c>
    </row>
    <row r="2618" spans="1:6">
      <c r="A2618" s="1137" t="s">
        <v>1458</v>
      </c>
      <c r="B2618" s="1021" t="s">
        <v>132</v>
      </c>
      <c r="C2618" s="1026" t="s">
        <v>1396</v>
      </c>
      <c r="D2618" s="1027"/>
      <c r="E2618" s="1136"/>
      <c r="F2618" s="1036">
        <v>99</v>
      </c>
    </row>
    <row r="2619" spans="1:6">
      <c r="A2619" s="1137" t="s">
        <v>751</v>
      </c>
      <c r="B2619" s="1021" t="s">
        <v>132</v>
      </c>
      <c r="C2619" s="1026" t="s">
        <v>1745</v>
      </c>
      <c r="D2619" s="1027"/>
      <c r="E2619" s="1136"/>
      <c r="F2619" s="1036">
        <v>99</v>
      </c>
    </row>
    <row r="2620" spans="1:6">
      <c r="A2620" s="1137" t="s">
        <v>751</v>
      </c>
      <c r="B2620" s="1021" t="s">
        <v>138</v>
      </c>
      <c r="C2620" s="1023" t="s">
        <v>139</v>
      </c>
      <c r="D2620" s="1023"/>
      <c r="E2620" s="1136"/>
      <c r="F2620" s="1036">
        <v>99</v>
      </c>
    </row>
    <row r="2621" spans="1:6">
      <c r="A2621" s="1137" t="s">
        <v>751</v>
      </c>
      <c r="B2621" s="1021" t="s">
        <v>140</v>
      </c>
      <c r="C2621" s="1028" t="s">
        <v>141</v>
      </c>
      <c r="D2621" s="1027"/>
      <c r="E2621" s="1136"/>
      <c r="F2621" s="1036">
        <v>99</v>
      </c>
    </row>
    <row r="2622" spans="1:6">
      <c r="A2622" s="1137" t="s">
        <v>751</v>
      </c>
      <c r="B2622" s="1021" t="s">
        <v>140</v>
      </c>
      <c r="C2622" s="1028" t="s">
        <v>1397</v>
      </c>
      <c r="D2622" s="1027"/>
      <c r="E2622" s="1136"/>
      <c r="F2622" s="1036">
        <v>99</v>
      </c>
    </row>
    <row r="2623" spans="1:6">
      <c r="A2623" s="1137" t="s">
        <v>751</v>
      </c>
      <c r="B2623" s="1021" t="s">
        <v>140</v>
      </c>
      <c r="C2623" s="1028" t="s">
        <v>1398</v>
      </c>
      <c r="D2623" s="1027"/>
      <c r="E2623" s="1136"/>
      <c r="F2623" s="1036">
        <v>99</v>
      </c>
    </row>
    <row r="2624" spans="1:6">
      <c r="A2624" s="1137" t="s">
        <v>751</v>
      </c>
      <c r="B2624" s="1021" t="s">
        <v>142</v>
      </c>
      <c r="C2624" s="1028" t="s">
        <v>143</v>
      </c>
      <c r="D2624" s="1027"/>
      <c r="E2624" s="1136"/>
      <c r="F2624" s="1036">
        <v>99</v>
      </c>
    </row>
    <row r="2625" spans="1:6">
      <c r="A2625" s="1137" t="s">
        <v>751</v>
      </c>
      <c r="B2625" s="1021" t="s">
        <v>142</v>
      </c>
      <c r="C2625" s="1026" t="s">
        <v>1399</v>
      </c>
      <c r="D2625" s="1027"/>
      <c r="E2625" s="1136"/>
      <c r="F2625" s="1036">
        <v>99</v>
      </c>
    </row>
    <row r="2626" spans="1:6">
      <c r="A2626" s="1137" t="s">
        <v>751</v>
      </c>
      <c r="B2626" s="1021" t="s">
        <v>145</v>
      </c>
      <c r="C2626" s="1028" t="s">
        <v>146</v>
      </c>
      <c r="D2626" s="1027"/>
      <c r="E2626" s="1136"/>
      <c r="F2626" s="1036">
        <v>99</v>
      </c>
    </row>
    <row r="2627" spans="1:6">
      <c r="A2627" s="1137" t="s">
        <v>751</v>
      </c>
      <c r="B2627" s="1021" t="s">
        <v>149</v>
      </c>
      <c r="C2627" s="1028" t="s">
        <v>247</v>
      </c>
      <c r="D2627" s="1027"/>
      <c r="E2627" s="1136"/>
      <c r="F2627" s="1036">
        <v>99</v>
      </c>
    </row>
    <row r="2628" spans="1:6">
      <c r="A2628" s="1137" t="s">
        <v>751</v>
      </c>
      <c r="B2628" s="1021" t="s">
        <v>151</v>
      </c>
      <c r="C2628" s="1023" t="s">
        <v>152</v>
      </c>
      <c r="D2628" s="1023"/>
      <c r="E2628" s="1136"/>
      <c r="F2628" s="1036">
        <v>99</v>
      </c>
    </row>
    <row r="2629" spans="1:6">
      <c r="A2629" s="1137" t="s">
        <v>751</v>
      </c>
      <c r="B2629" s="1021" t="s">
        <v>248</v>
      </c>
      <c r="C2629" s="1023" t="s">
        <v>249</v>
      </c>
      <c r="D2629" s="1023"/>
      <c r="E2629" s="1136"/>
      <c r="F2629" s="1036">
        <v>99</v>
      </c>
    </row>
    <row r="2630" spans="1:6">
      <c r="A2630" s="1137" t="s">
        <v>751</v>
      </c>
      <c r="B2630" s="1021" t="s">
        <v>157</v>
      </c>
      <c r="C2630" s="1028" t="s">
        <v>158</v>
      </c>
      <c r="D2630" s="1027"/>
      <c r="E2630" s="1136"/>
      <c r="F2630" s="1036">
        <v>99</v>
      </c>
    </row>
    <row r="2631" spans="1:6">
      <c r="A2631" s="1137" t="s">
        <v>751</v>
      </c>
      <c r="B2631" s="1021" t="s">
        <v>157</v>
      </c>
      <c r="C2631" s="1026" t="s">
        <v>1459</v>
      </c>
      <c r="D2631" s="1027"/>
      <c r="E2631" s="1136"/>
      <c r="F2631" s="1036">
        <v>99</v>
      </c>
    </row>
    <row r="2632" spans="1:6">
      <c r="A2632" s="1137" t="s">
        <v>751</v>
      </c>
      <c r="B2632" s="1021" t="s">
        <v>157</v>
      </c>
      <c r="C2632" s="1026" t="s">
        <v>1460</v>
      </c>
      <c r="D2632" s="1027"/>
      <c r="E2632" s="1136"/>
      <c r="F2632" s="1036">
        <v>99</v>
      </c>
    </row>
    <row r="2633" spans="1:6">
      <c r="A2633" s="1137" t="s">
        <v>751</v>
      </c>
      <c r="B2633" s="1021" t="s">
        <v>157</v>
      </c>
      <c r="C2633" s="1026" t="s">
        <v>1461</v>
      </c>
      <c r="D2633" s="1027"/>
      <c r="E2633" s="1136"/>
      <c r="F2633" s="1036">
        <v>99</v>
      </c>
    </row>
    <row r="2634" spans="1:6">
      <c r="A2634" s="1137" t="s">
        <v>751</v>
      </c>
      <c r="B2634" s="1021" t="s">
        <v>157</v>
      </c>
      <c r="C2634" s="1026" t="s">
        <v>1462</v>
      </c>
      <c r="D2634" s="1027"/>
      <c r="E2634" s="1136"/>
      <c r="F2634" s="1036">
        <v>99</v>
      </c>
    </row>
    <row r="2635" spans="1:6">
      <c r="A2635" s="1137" t="s">
        <v>751</v>
      </c>
      <c r="B2635" s="1021" t="s">
        <v>157</v>
      </c>
      <c r="C2635" s="1026" t="s">
        <v>255</v>
      </c>
      <c r="D2635" s="1027"/>
      <c r="E2635" s="1136"/>
      <c r="F2635" s="1036">
        <v>99</v>
      </c>
    </row>
    <row r="2636" spans="1:6">
      <c r="A2636" s="1137" t="s">
        <v>751</v>
      </c>
      <c r="B2636" s="1021" t="s">
        <v>157</v>
      </c>
      <c r="C2636" s="1026" t="s">
        <v>1463</v>
      </c>
      <c r="D2636" s="1027"/>
      <c r="E2636" s="1136"/>
      <c r="F2636" s="1036">
        <v>99</v>
      </c>
    </row>
    <row r="2637" spans="1:6">
      <c r="A2637" s="1137" t="s">
        <v>751</v>
      </c>
      <c r="B2637" s="1021" t="s">
        <v>159</v>
      </c>
      <c r="C2637" s="1023" t="s">
        <v>160</v>
      </c>
      <c r="D2637" s="1023"/>
      <c r="E2637" s="1136"/>
      <c r="F2637" s="1036">
        <v>99</v>
      </c>
    </row>
    <row r="2638" spans="1:6">
      <c r="A2638" s="1137" t="s">
        <v>751</v>
      </c>
      <c r="B2638" s="1021" t="s">
        <v>161</v>
      </c>
      <c r="C2638" s="1039" t="s">
        <v>162</v>
      </c>
      <c r="D2638" s="1034"/>
      <c r="E2638" s="1136"/>
      <c r="F2638" s="1036">
        <v>99</v>
      </c>
    </row>
    <row r="2639" spans="1:6">
      <c r="A2639" s="1137" t="s">
        <v>751</v>
      </c>
      <c r="B2639" s="1021" t="s">
        <v>161</v>
      </c>
      <c r="C2639" s="1040" t="s">
        <v>1401</v>
      </c>
      <c r="D2639" s="1027"/>
      <c r="E2639" s="1136"/>
      <c r="F2639" s="1036">
        <v>99</v>
      </c>
    </row>
    <row r="2640" spans="1:6">
      <c r="A2640" s="1137" t="s">
        <v>751</v>
      </c>
      <c r="B2640" s="1047" t="s">
        <v>170</v>
      </c>
      <c r="C2640" s="1026" t="s">
        <v>171</v>
      </c>
      <c r="D2640" s="1027"/>
      <c r="E2640" s="1138"/>
      <c r="F2640" s="1036">
        <v>99</v>
      </c>
    </row>
    <row r="2641" spans="1:6">
      <c r="A2641" s="1020" t="s">
        <v>751</v>
      </c>
      <c r="B2641" s="1047" t="s">
        <v>172</v>
      </c>
      <c r="C2641" s="1026" t="s">
        <v>165</v>
      </c>
      <c r="D2641" s="1027"/>
      <c r="E2641" s="1138"/>
      <c r="F2641" s="1036">
        <v>99</v>
      </c>
    </row>
    <row r="2642" spans="1:6">
      <c r="A2642" s="1020" t="s">
        <v>751</v>
      </c>
      <c r="B2642" s="1047" t="s">
        <v>173</v>
      </c>
      <c r="C2642" s="1026" t="s">
        <v>167</v>
      </c>
      <c r="D2642" s="1027"/>
      <c r="E2642" s="1138"/>
      <c r="F2642" s="1036">
        <v>99</v>
      </c>
    </row>
    <row r="2643" spans="1:6">
      <c r="A2643" s="1020" t="s">
        <v>751</v>
      </c>
      <c r="B2643" s="1021" t="s">
        <v>176</v>
      </c>
      <c r="C2643" s="1026" t="s">
        <v>177</v>
      </c>
      <c r="D2643" s="1027"/>
      <c r="E2643" s="1138"/>
      <c r="F2643" s="1036">
        <v>99</v>
      </c>
    </row>
    <row r="2644" spans="1:6">
      <c r="A2644" s="1020" t="s">
        <v>751</v>
      </c>
      <c r="B2644" s="1047" t="s">
        <v>180</v>
      </c>
      <c r="C2644" s="1026" t="s">
        <v>165</v>
      </c>
      <c r="D2644" s="1027"/>
      <c r="E2644" s="1138"/>
      <c r="F2644" s="1036">
        <v>99</v>
      </c>
    </row>
    <row r="2645" spans="1:6">
      <c r="A2645" s="1020" t="s">
        <v>751</v>
      </c>
      <c r="B2645" s="1047" t="s">
        <v>178</v>
      </c>
      <c r="C2645" s="1026" t="s">
        <v>167</v>
      </c>
      <c r="D2645" s="1027"/>
      <c r="E2645" s="1138"/>
      <c r="F2645" s="1036">
        <v>99</v>
      </c>
    </row>
    <row r="2646" spans="1:6">
      <c r="A2646" s="1020" t="s">
        <v>751</v>
      </c>
      <c r="B2646" s="1021" t="s">
        <v>161</v>
      </c>
      <c r="C2646" s="1040" t="s">
        <v>1400</v>
      </c>
      <c r="D2646" s="1027"/>
      <c r="E2646" s="1138"/>
      <c r="F2646" s="1036">
        <v>99</v>
      </c>
    </row>
    <row r="2647" spans="1:6">
      <c r="A2647" s="1020" t="s">
        <v>751</v>
      </c>
      <c r="B2647" s="1047" t="s">
        <v>170</v>
      </c>
      <c r="C2647" s="1026" t="s">
        <v>171</v>
      </c>
      <c r="D2647" s="1027"/>
      <c r="E2647" s="1138"/>
      <c r="F2647" s="1036">
        <v>99</v>
      </c>
    </row>
    <row r="2648" spans="1:6">
      <c r="A2648" s="1020" t="s">
        <v>751</v>
      </c>
      <c r="B2648" s="1047" t="s">
        <v>172</v>
      </c>
      <c r="C2648" s="1026" t="s">
        <v>165</v>
      </c>
      <c r="D2648" s="1027"/>
      <c r="E2648" s="1138"/>
      <c r="F2648" s="1036">
        <v>99</v>
      </c>
    </row>
    <row r="2649" spans="1:6">
      <c r="A2649" s="1020" t="s">
        <v>751</v>
      </c>
      <c r="B2649" s="1047" t="s">
        <v>173</v>
      </c>
      <c r="C2649" s="1026" t="s">
        <v>167</v>
      </c>
      <c r="D2649" s="1027"/>
      <c r="E2649" s="1138"/>
      <c r="F2649" s="1036">
        <v>99</v>
      </c>
    </row>
    <row r="2650" spans="1:6">
      <c r="A2650" s="1020" t="s">
        <v>751</v>
      </c>
      <c r="B2650" s="1021" t="s">
        <v>176</v>
      </c>
      <c r="C2650" s="1026" t="s">
        <v>177</v>
      </c>
      <c r="D2650" s="1027"/>
      <c r="E2650" s="1138"/>
      <c r="F2650" s="1036">
        <v>99</v>
      </c>
    </row>
    <row r="2651" spans="1:6">
      <c r="A2651" s="1020" t="s">
        <v>751</v>
      </c>
      <c r="B2651" s="1047" t="s">
        <v>180</v>
      </c>
      <c r="C2651" s="1026" t="s">
        <v>165</v>
      </c>
      <c r="D2651" s="1027"/>
      <c r="E2651" s="1138"/>
      <c r="F2651" s="1036">
        <v>99</v>
      </c>
    </row>
    <row r="2652" spans="1:6">
      <c r="A2652" s="1020" t="s">
        <v>751</v>
      </c>
      <c r="B2652" s="1047" t="s">
        <v>178</v>
      </c>
      <c r="C2652" s="1026" t="s">
        <v>167</v>
      </c>
      <c r="D2652" s="1027"/>
      <c r="E2652" s="1138"/>
      <c r="F2652" s="1036">
        <v>99</v>
      </c>
    </row>
    <row r="2653" spans="1:6">
      <c r="A2653" s="1020" t="s">
        <v>751</v>
      </c>
      <c r="B2653" s="1021" t="s">
        <v>161</v>
      </c>
      <c r="C2653" s="1040" t="s">
        <v>1402</v>
      </c>
      <c r="D2653" s="1027"/>
      <c r="E2653" s="1136"/>
      <c r="F2653" s="1036">
        <v>99</v>
      </c>
    </row>
    <row r="2654" spans="1:6">
      <c r="A2654" s="1020" t="s">
        <v>751</v>
      </c>
      <c r="B2654" s="1047" t="s">
        <v>170</v>
      </c>
      <c r="C2654" s="1026" t="s">
        <v>171</v>
      </c>
      <c r="D2654" s="1027"/>
      <c r="E2654" s="1138"/>
      <c r="F2654" s="1036">
        <v>99</v>
      </c>
    </row>
    <row r="2655" spans="1:6">
      <c r="A2655" s="1020" t="s">
        <v>751</v>
      </c>
      <c r="B2655" s="1047" t="s">
        <v>172</v>
      </c>
      <c r="C2655" s="1026" t="s">
        <v>165</v>
      </c>
      <c r="D2655" s="1027"/>
      <c r="E2655" s="1138"/>
      <c r="F2655" s="1036">
        <v>99</v>
      </c>
    </row>
    <row r="2656" spans="1:6">
      <c r="A2656" s="1020" t="s">
        <v>751</v>
      </c>
      <c r="B2656" s="1047" t="s">
        <v>173</v>
      </c>
      <c r="C2656" s="1026" t="s">
        <v>167</v>
      </c>
      <c r="D2656" s="1027"/>
      <c r="E2656" s="1138"/>
      <c r="F2656" s="1036">
        <v>99</v>
      </c>
    </row>
    <row r="2657" spans="1:6">
      <c r="A2657" s="1020" t="s">
        <v>751</v>
      </c>
      <c r="B2657" s="1021" t="s">
        <v>176</v>
      </c>
      <c r="C2657" s="1026" t="s">
        <v>177</v>
      </c>
      <c r="D2657" s="1027"/>
      <c r="E2657" s="1138"/>
      <c r="F2657" s="1036">
        <v>99</v>
      </c>
    </row>
    <row r="2658" spans="1:6">
      <c r="A2658" s="1020" t="s">
        <v>751</v>
      </c>
      <c r="B2658" s="1047" t="s">
        <v>180</v>
      </c>
      <c r="C2658" s="1026" t="s">
        <v>165</v>
      </c>
      <c r="D2658" s="1027"/>
      <c r="E2658" s="1138"/>
      <c r="F2658" s="1036">
        <v>99</v>
      </c>
    </row>
    <row r="2659" spans="1:6">
      <c r="A2659" s="1020" t="s">
        <v>751</v>
      </c>
      <c r="B2659" s="1047" t="s">
        <v>178</v>
      </c>
      <c r="C2659" s="1026" t="s">
        <v>167</v>
      </c>
      <c r="D2659" s="1027"/>
      <c r="E2659" s="1138"/>
      <c r="F2659" s="1036">
        <v>99</v>
      </c>
    </row>
    <row r="2660" spans="1:6">
      <c r="A2660" s="1020" t="s">
        <v>751</v>
      </c>
      <c r="B2660" s="1021" t="s">
        <v>161</v>
      </c>
      <c r="C2660" s="1040" t="s">
        <v>1403</v>
      </c>
      <c r="D2660" s="1027"/>
      <c r="E2660" s="1136"/>
      <c r="F2660" s="1036">
        <v>99</v>
      </c>
    </row>
    <row r="2661" spans="1:6">
      <c r="A2661" s="1020" t="s">
        <v>751</v>
      </c>
      <c r="B2661" s="1047" t="s">
        <v>170</v>
      </c>
      <c r="C2661" s="1026" t="s">
        <v>171</v>
      </c>
      <c r="D2661" s="1027"/>
      <c r="E2661" s="1138"/>
      <c r="F2661" s="1036">
        <v>99</v>
      </c>
    </row>
    <row r="2662" spans="1:6">
      <c r="A2662" s="1020" t="s">
        <v>751</v>
      </c>
      <c r="B2662" s="1047" t="s">
        <v>172</v>
      </c>
      <c r="C2662" s="1026" t="s">
        <v>165</v>
      </c>
      <c r="D2662" s="1027"/>
      <c r="E2662" s="1138"/>
      <c r="F2662" s="1036">
        <v>99</v>
      </c>
    </row>
    <row r="2663" spans="1:6">
      <c r="A2663" s="1020" t="s">
        <v>751</v>
      </c>
      <c r="B2663" s="1047" t="s">
        <v>173</v>
      </c>
      <c r="C2663" s="1026" t="s">
        <v>167</v>
      </c>
      <c r="D2663" s="1027"/>
      <c r="E2663" s="1138"/>
      <c r="F2663" s="1036">
        <v>99</v>
      </c>
    </row>
    <row r="2664" spans="1:6">
      <c r="A2664" s="1020" t="s">
        <v>751</v>
      </c>
      <c r="B2664" s="1021" t="s">
        <v>176</v>
      </c>
      <c r="C2664" s="1026" t="s">
        <v>177</v>
      </c>
      <c r="D2664" s="1027"/>
      <c r="E2664" s="1138"/>
      <c r="F2664" s="1036">
        <v>99</v>
      </c>
    </row>
    <row r="2665" spans="1:6">
      <c r="A2665" s="1020" t="s">
        <v>751</v>
      </c>
      <c r="B2665" s="1047" t="s">
        <v>180</v>
      </c>
      <c r="C2665" s="1026" t="s">
        <v>165</v>
      </c>
      <c r="D2665" s="1027"/>
      <c r="E2665" s="1138"/>
      <c r="F2665" s="1036">
        <v>99</v>
      </c>
    </row>
    <row r="2666" spans="1:6">
      <c r="A2666" s="1020" t="s">
        <v>751</v>
      </c>
      <c r="B2666" s="1047" t="s">
        <v>178</v>
      </c>
      <c r="C2666" s="1026" t="s">
        <v>167</v>
      </c>
      <c r="D2666" s="1027"/>
      <c r="E2666" s="1138"/>
      <c r="F2666" s="1036">
        <v>99</v>
      </c>
    </row>
    <row r="2667" spans="1:6">
      <c r="A2667" s="1020" t="s">
        <v>751</v>
      </c>
      <c r="B2667" s="1021" t="s">
        <v>161</v>
      </c>
      <c r="C2667" s="1040" t="s">
        <v>1404</v>
      </c>
      <c r="D2667" s="1027"/>
      <c r="E2667" s="1138"/>
      <c r="F2667" s="1036">
        <v>99</v>
      </c>
    </row>
    <row r="2668" spans="1:6">
      <c r="A2668" s="1020" t="s">
        <v>751</v>
      </c>
      <c r="B2668" s="1047" t="s">
        <v>170</v>
      </c>
      <c r="C2668" s="1026" t="s">
        <v>171</v>
      </c>
      <c r="D2668" s="1027"/>
      <c r="E2668" s="1138"/>
      <c r="F2668" s="1036">
        <v>99</v>
      </c>
    </row>
    <row r="2669" spans="1:6">
      <c r="A2669" s="1020" t="s">
        <v>751</v>
      </c>
      <c r="B2669" s="1047" t="s">
        <v>172</v>
      </c>
      <c r="C2669" s="1026" t="s">
        <v>165</v>
      </c>
      <c r="D2669" s="1027"/>
      <c r="E2669" s="1138"/>
      <c r="F2669" s="1036">
        <v>99</v>
      </c>
    </row>
    <row r="2670" spans="1:6">
      <c r="A2670" s="1020" t="s">
        <v>751</v>
      </c>
      <c r="B2670" s="1047" t="s">
        <v>173</v>
      </c>
      <c r="C2670" s="1026" t="s">
        <v>167</v>
      </c>
      <c r="D2670" s="1027"/>
      <c r="E2670" s="1138"/>
      <c r="F2670" s="1036">
        <v>99</v>
      </c>
    </row>
    <row r="2671" spans="1:6">
      <c r="A2671" s="1020" t="s">
        <v>751</v>
      </c>
      <c r="B2671" s="1047" t="s">
        <v>176</v>
      </c>
      <c r="C2671" s="1026" t="s">
        <v>177</v>
      </c>
      <c r="D2671" s="1027"/>
      <c r="E2671" s="1138"/>
      <c r="F2671" s="1036">
        <v>99</v>
      </c>
    </row>
    <row r="2672" spans="1:6">
      <c r="A2672" s="1020" t="s">
        <v>751</v>
      </c>
      <c r="B2672" s="1047" t="s">
        <v>180</v>
      </c>
      <c r="C2672" s="1026" t="s">
        <v>165</v>
      </c>
      <c r="D2672" s="1027"/>
      <c r="E2672" s="1138"/>
      <c r="F2672" s="1036">
        <v>99</v>
      </c>
    </row>
    <row r="2673" spans="1:6">
      <c r="A2673" s="1020" t="s">
        <v>751</v>
      </c>
      <c r="B2673" s="1047" t="s">
        <v>178</v>
      </c>
      <c r="C2673" s="1026" t="s">
        <v>167</v>
      </c>
      <c r="D2673" s="1027"/>
      <c r="E2673" s="1138"/>
      <c r="F2673" s="1036">
        <v>99</v>
      </c>
    </row>
    <row r="2674" spans="1:6">
      <c r="A2674" s="1020" t="s">
        <v>751</v>
      </c>
      <c r="B2674" s="1021" t="s">
        <v>161</v>
      </c>
      <c r="C2674" s="1040" t="s">
        <v>1405</v>
      </c>
      <c r="D2674" s="1027"/>
      <c r="E2674" s="1136"/>
      <c r="F2674" s="1036">
        <v>99</v>
      </c>
    </row>
    <row r="2675" spans="1:6">
      <c r="A2675" s="1020" t="s">
        <v>751</v>
      </c>
      <c r="B2675" s="1047" t="s">
        <v>170</v>
      </c>
      <c r="C2675" s="1026" t="s">
        <v>171</v>
      </c>
      <c r="D2675" s="1027"/>
      <c r="E2675" s="1138"/>
      <c r="F2675" s="1036">
        <v>99</v>
      </c>
    </row>
    <row r="2676" spans="1:6">
      <c r="A2676" s="1020" t="s">
        <v>751</v>
      </c>
      <c r="B2676" s="1047" t="s">
        <v>172</v>
      </c>
      <c r="C2676" s="1026" t="s">
        <v>165</v>
      </c>
      <c r="D2676" s="1027"/>
      <c r="E2676" s="1138"/>
      <c r="F2676" s="1036">
        <v>99</v>
      </c>
    </row>
    <row r="2677" spans="1:6">
      <c r="A2677" s="1020" t="s">
        <v>751</v>
      </c>
      <c r="B2677" s="1047" t="s">
        <v>173</v>
      </c>
      <c r="C2677" s="1026" t="s">
        <v>167</v>
      </c>
      <c r="D2677" s="1027"/>
      <c r="E2677" s="1138"/>
      <c r="F2677" s="1036">
        <v>99</v>
      </c>
    </row>
    <row r="2678" spans="1:6">
      <c r="A2678" s="1020" t="s">
        <v>751</v>
      </c>
      <c r="B2678" s="1021" t="s">
        <v>176</v>
      </c>
      <c r="C2678" s="1026" t="s">
        <v>177</v>
      </c>
      <c r="D2678" s="1027"/>
      <c r="E2678" s="1138"/>
      <c r="F2678" s="1036">
        <v>99</v>
      </c>
    </row>
    <row r="2679" spans="1:6">
      <c r="A2679" s="1020" t="s">
        <v>751</v>
      </c>
      <c r="B2679" s="1047" t="s">
        <v>180</v>
      </c>
      <c r="C2679" s="1026" t="s">
        <v>165</v>
      </c>
      <c r="D2679" s="1027"/>
      <c r="E2679" s="1138"/>
      <c r="F2679" s="1036">
        <v>99</v>
      </c>
    </row>
    <row r="2680" spans="1:6">
      <c r="A2680" s="1020" t="s">
        <v>751</v>
      </c>
      <c r="B2680" s="1047" t="s">
        <v>178</v>
      </c>
      <c r="C2680" s="1026" t="s">
        <v>167</v>
      </c>
      <c r="D2680" s="1027"/>
      <c r="E2680" s="1138"/>
      <c r="F2680" s="1036">
        <v>99</v>
      </c>
    </row>
    <row r="2681" spans="1:6">
      <c r="A2681" s="1020" t="s">
        <v>751</v>
      </c>
      <c r="B2681" s="1021" t="s">
        <v>161</v>
      </c>
      <c r="C2681" s="1040" t="s">
        <v>1406</v>
      </c>
      <c r="D2681" s="1027"/>
      <c r="E2681" s="1136"/>
      <c r="F2681" s="1036">
        <v>99</v>
      </c>
    </row>
    <row r="2682" spans="1:6">
      <c r="A2682" s="1020" t="s">
        <v>751</v>
      </c>
      <c r="B2682" s="1047" t="s">
        <v>170</v>
      </c>
      <c r="C2682" s="1026" t="s">
        <v>171</v>
      </c>
      <c r="D2682" s="1027"/>
      <c r="E2682" s="1138"/>
      <c r="F2682" s="1036">
        <v>99</v>
      </c>
    </row>
    <row r="2683" spans="1:6">
      <c r="A2683" s="1020" t="s">
        <v>751</v>
      </c>
      <c r="B2683" s="1047" t="s">
        <v>172</v>
      </c>
      <c r="C2683" s="1026" t="s">
        <v>165</v>
      </c>
      <c r="D2683" s="1027"/>
      <c r="E2683" s="1138"/>
      <c r="F2683" s="1036">
        <v>99</v>
      </c>
    </row>
    <row r="2684" spans="1:6">
      <c r="A2684" s="1020" t="s">
        <v>751</v>
      </c>
      <c r="B2684" s="1047" t="s">
        <v>173</v>
      </c>
      <c r="C2684" s="1026" t="s">
        <v>167</v>
      </c>
      <c r="D2684" s="1027"/>
      <c r="E2684" s="1138"/>
      <c r="F2684" s="1036">
        <v>99</v>
      </c>
    </row>
    <row r="2685" spans="1:6">
      <c r="A2685" s="1020" t="s">
        <v>751</v>
      </c>
      <c r="B2685" s="1021" t="s">
        <v>176</v>
      </c>
      <c r="C2685" s="1026" t="s">
        <v>177</v>
      </c>
      <c r="D2685" s="1027"/>
      <c r="E2685" s="1138"/>
      <c r="F2685" s="1036">
        <v>99</v>
      </c>
    </row>
    <row r="2686" spans="1:6">
      <c r="A2686" s="1020" t="s">
        <v>751</v>
      </c>
      <c r="B2686" s="1021" t="s">
        <v>180</v>
      </c>
      <c r="C2686" s="1026" t="s">
        <v>165</v>
      </c>
      <c r="D2686" s="1027"/>
      <c r="E2686" s="1138"/>
      <c r="F2686" s="1036">
        <v>99</v>
      </c>
    </row>
    <row r="2687" spans="1:6">
      <c r="A2687" s="1020" t="s">
        <v>751</v>
      </c>
      <c r="B2687" s="1021" t="s">
        <v>161</v>
      </c>
      <c r="C2687" s="1040" t="s">
        <v>1464</v>
      </c>
      <c r="D2687" s="1027"/>
      <c r="E2687" s="1136"/>
      <c r="F2687" s="1036">
        <v>99</v>
      </c>
    </row>
    <row r="2688" spans="1:6">
      <c r="A2688" s="1137" t="s">
        <v>751</v>
      </c>
      <c r="B2688" s="1021" t="s">
        <v>170</v>
      </c>
      <c r="C2688" s="1026" t="s">
        <v>171</v>
      </c>
      <c r="D2688" s="1027"/>
      <c r="E2688" s="1136"/>
      <c r="F2688" s="1036">
        <v>99</v>
      </c>
    </row>
    <row r="2689" spans="1:6">
      <c r="A2689" s="1137" t="s">
        <v>751</v>
      </c>
      <c r="B2689" s="1021" t="s">
        <v>172</v>
      </c>
      <c r="C2689" s="1026" t="s">
        <v>165</v>
      </c>
      <c r="D2689" s="1027"/>
      <c r="E2689" s="1136"/>
      <c r="F2689" s="1036">
        <v>99</v>
      </c>
    </row>
    <row r="2690" spans="1:6">
      <c r="A2690" s="1137" t="s">
        <v>751</v>
      </c>
      <c r="B2690" s="1021" t="s">
        <v>173</v>
      </c>
      <c r="C2690" s="1026" t="s">
        <v>167</v>
      </c>
      <c r="D2690" s="1027"/>
      <c r="E2690" s="1136"/>
      <c r="F2690" s="1036">
        <v>99</v>
      </c>
    </row>
    <row r="2691" spans="1:6">
      <c r="A2691" s="1137" t="s">
        <v>751</v>
      </c>
      <c r="B2691" s="1021" t="s">
        <v>176</v>
      </c>
      <c r="C2691" s="1026" t="s">
        <v>177</v>
      </c>
      <c r="D2691" s="1027"/>
      <c r="E2691" s="1136"/>
      <c r="F2691" s="1036">
        <v>99</v>
      </c>
    </row>
    <row r="2692" spans="1:6">
      <c r="A2692" s="1137" t="s">
        <v>751</v>
      </c>
      <c r="B2692" s="1021" t="s">
        <v>180</v>
      </c>
      <c r="C2692" s="1026" t="s">
        <v>165</v>
      </c>
      <c r="D2692" s="1027"/>
      <c r="E2692" s="1136"/>
      <c r="F2692" s="1036">
        <v>99</v>
      </c>
    </row>
    <row r="2693" spans="1:6">
      <c r="A2693" s="1020" t="s">
        <v>751</v>
      </c>
      <c r="B2693" s="1021" t="s">
        <v>161</v>
      </c>
      <c r="C2693" s="1040" t="s">
        <v>1465</v>
      </c>
      <c r="D2693" s="1027"/>
      <c r="E2693" s="1136"/>
      <c r="F2693" s="1036">
        <v>99</v>
      </c>
    </row>
    <row r="2694" spans="1:6">
      <c r="A2694" s="1137" t="s">
        <v>751</v>
      </c>
      <c r="B2694" s="1021" t="s">
        <v>170</v>
      </c>
      <c r="C2694" s="1026" t="s">
        <v>171</v>
      </c>
      <c r="D2694" s="1027"/>
      <c r="E2694" s="1136"/>
      <c r="F2694" s="1036">
        <v>99</v>
      </c>
    </row>
    <row r="2695" spans="1:6">
      <c r="A2695" s="1137" t="s">
        <v>751</v>
      </c>
      <c r="B2695" s="1021" t="s">
        <v>172</v>
      </c>
      <c r="C2695" s="1026" t="s">
        <v>165</v>
      </c>
      <c r="D2695" s="1027"/>
      <c r="E2695" s="1136"/>
      <c r="F2695" s="1036">
        <v>99</v>
      </c>
    </row>
    <row r="2696" spans="1:6">
      <c r="A2696" s="1137" t="s">
        <v>751</v>
      </c>
      <c r="B2696" s="1021" t="s">
        <v>173</v>
      </c>
      <c r="C2696" s="1026" t="s">
        <v>167</v>
      </c>
      <c r="D2696" s="1027"/>
      <c r="E2696" s="1136"/>
      <c r="F2696" s="1036">
        <v>99</v>
      </c>
    </row>
    <row r="2697" spans="1:6">
      <c r="A2697" s="1137" t="s">
        <v>751</v>
      </c>
      <c r="B2697" s="1021" t="s">
        <v>176</v>
      </c>
      <c r="C2697" s="1026" t="s">
        <v>177</v>
      </c>
      <c r="D2697" s="1027"/>
      <c r="E2697" s="1136"/>
      <c r="F2697" s="1036">
        <v>99</v>
      </c>
    </row>
    <row r="2698" spans="1:6">
      <c r="A2698" s="1137" t="s">
        <v>751</v>
      </c>
      <c r="B2698" s="1021" t="s">
        <v>180</v>
      </c>
      <c r="C2698" s="1026" t="s">
        <v>165</v>
      </c>
      <c r="D2698" s="1027"/>
      <c r="E2698" s="1136"/>
      <c r="F2698" s="1036">
        <v>99</v>
      </c>
    </row>
    <row r="2699" spans="1:6">
      <c r="A2699" s="808" t="s">
        <v>751</v>
      </c>
      <c r="B2699" s="729" t="s">
        <v>62</v>
      </c>
      <c r="C2699" s="729" t="s">
        <v>1466</v>
      </c>
      <c r="D2699" s="729"/>
      <c r="E2699" s="759">
        <v>237729</v>
      </c>
      <c r="F2699" s="759">
        <v>14</v>
      </c>
    </row>
    <row r="2700" spans="1:6">
      <c r="A2700" s="808" t="s">
        <v>751</v>
      </c>
      <c r="B2700" s="729" t="s">
        <v>62</v>
      </c>
      <c r="C2700" s="729" t="s">
        <v>1467</v>
      </c>
      <c r="D2700" s="729"/>
      <c r="E2700" s="759">
        <v>237172</v>
      </c>
      <c r="F2700" s="759">
        <v>14</v>
      </c>
    </row>
    <row r="2701" spans="1:6">
      <c r="A2701" s="808" t="s">
        <v>751</v>
      </c>
      <c r="B2701" s="729" t="s">
        <v>62</v>
      </c>
      <c r="C2701" s="729" t="s">
        <v>1468</v>
      </c>
      <c r="D2701" s="729"/>
      <c r="E2701" s="759">
        <v>237224</v>
      </c>
      <c r="F2701" s="759">
        <v>14</v>
      </c>
    </row>
    <row r="2702" spans="1:6">
      <c r="A2702" s="759" t="s">
        <v>751</v>
      </c>
      <c r="B2702" s="729" t="s">
        <v>62</v>
      </c>
      <c r="C2702" s="729" t="s">
        <v>1407</v>
      </c>
      <c r="D2702" s="729"/>
      <c r="E2702" s="759">
        <v>237242</v>
      </c>
      <c r="F2702" s="759">
        <v>14</v>
      </c>
    </row>
    <row r="2703" spans="1:6">
      <c r="A2703" s="759" t="s">
        <v>751</v>
      </c>
      <c r="B2703" s="729" t="s">
        <v>62</v>
      </c>
      <c r="C2703" s="729" t="s">
        <v>1469</v>
      </c>
      <c r="D2703" s="729"/>
      <c r="E2703" s="759">
        <v>430795</v>
      </c>
      <c r="F2703" s="759">
        <v>14</v>
      </c>
    </row>
    <row r="2704" spans="1:6">
      <c r="A2704" s="808" t="s">
        <v>751</v>
      </c>
      <c r="B2704" s="729" t="s">
        <v>62</v>
      </c>
      <c r="C2704" s="729" t="s">
        <v>1408</v>
      </c>
      <c r="D2704" s="729"/>
      <c r="E2704" s="759">
        <v>413176</v>
      </c>
      <c r="F2704" s="759">
        <v>14</v>
      </c>
    </row>
    <row r="2705" spans="1:6">
      <c r="A2705" s="808" t="s">
        <v>751</v>
      </c>
      <c r="B2705" s="729" t="s">
        <v>62</v>
      </c>
      <c r="C2705" s="729" t="s">
        <v>1409</v>
      </c>
      <c r="D2705" s="729"/>
      <c r="E2705" s="759">
        <v>237844</v>
      </c>
      <c r="F2705" s="759">
        <v>14</v>
      </c>
    </row>
    <row r="2706" spans="1:6">
      <c r="A2706" s="759" t="s">
        <v>751</v>
      </c>
      <c r="B2706" s="729" t="s">
        <v>62</v>
      </c>
      <c r="C2706" s="729" t="s">
        <v>1410</v>
      </c>
      <c r="D2706" s="729"/>
      <c r="E2706" s="759">
        <v>431169</v>
      </c>
      <c r="F2706" s="759">
        <v>14</v>
      </c>
    </row>
    <row r="2707" spans="1:6">
      <c r="A2707" s="808" t="s">
        <v>751</v>
      </c>
      <c r="B2707" s="729" t="s">
        <v>62</v>
      </c>
      <c r="C2707" s="729" t="s">
        <v>1411</v>
      </c>
      <c r="D2707" s="729"/>
      <c r="E2707" s="759">
        <v>237473</v>
      </c>
      <c r="F2707" s="759">
        <v>14</v>
      </c>
    </row>
    <row r="2708" spans="1:6">
      <c r="A2708" s="808" t="s">
        <v>751</v>
      </c>
      <c r="B2708" s="729" t="s">
        <v>62</v>
      </c>
      <c r="C2708" s="729" t="s">
        <v>1412</v>
      </c>
      <c r="D2708" s="729"/>
      <c r="E2708" s="759">
        <v>446349</v>
      </c>
      <c r="F2708" s="759">
        <v>14</v>
      </c>
    </row>
    <row r="2709" spans="1:6">
      <c r="A2709" s="808" t="s">
        <v>751</v>
      </c>
      <c r="B2709" s="729" t="s">
        <v>62</v>
      </c>
      <c r="C2709" s="729" t="s">
        <v>1470</v>
      </c>
      <c r="D2709" s="729"/>
      <c r="E2709" s="759">
        <v>237516</v>
      </c>
      <c r="F2709" s="759">
        <v>14</v>
      </c>
    </row>
    <row r="2710" spans="1:6">
      <c r="A2710" s="759" t="s">
        <v>751</v>
      </c>
      <c r="B2710" s="729" t="s">
        <v>62</v>
      </c>
      <c r="C2710" s="729" t="s">
        <v>1471</v>
      </c>
      <c r="D2710" s="729"/>
      <c r="E2710" s="759">
        <v>237534</v>
      </c>
      <c r="F2710" s="759">
        <v>14</v>
      </c>
    </row>
    <row r="2711" spans="1:6">
      <c r="A2711" s="808" t="s">
        <v>751</v>
      </c>
      <c r="B2711" s="729" t="s">
        <v>62</v>
      </c>
      <c r="C2711" s="729" t="s">
        <v>1413</v>
      </c>
      <c r="D2711" s="729"/>
      <c r="E2711" s="759">
        <v>237543</v>
      </c>
      <c r="F2711" s="759">
        <v>14</v>
      </c>
    </row>
    <row r="2712" spans="1:6">
      <c r="A2712" s="808" t="s">
        <v>751</v>
      </c>
      <c r="B2712" s="729" t="s">
        <v>62</v>
      </c>
      <c r="C2712" s="729" t="s">
        <v>1472</v>
      </c>
      <c r="D2712" s="729"/>
      <c r="E2712" s="759">
        <v>368647</v>
      </c>
      <c r="F2712" s="759">
        <v>14</v>
      </c>
    </row>
    <row r="2713" spans="1:6">
      <c r="A2713" s="808" t="s">
        <v>751</v>
      </c>
      <c r="B2713" s="729" t="s">
        <v>62</v>
      </c>
      <c r="C2713" s="729" t="s">
        <v>1414</v>
      </c>
      <c r="D2713" s="729"/>
      <c r="E2713" s="759">
        <v>237561</v>
      </c>
      <c r="F2713" s="759">
        <v>14</v>
      </c>
    </row>
    <row r="2714" spans="1:6">
      <c r="A2714" s="808" t="s">
        <v>751</v>
      </c>
      <c r="B2714" s="729" t="s">
        <v>62</v>
      </c>
      <c r="C2714" s="729" t="s">
        <v>1415</v>
      </c>
      <c r="D2714" s="729"/>
      <c r="E2714" s="759">
        <v>419420</v>
      </c>
      <c r="F2714" s="759">
        <v>14</v>
      </c>
    </row>
    <row r="2715" spans="1:6">
      <c r="A2715" s="808" t="s">
        <v>751</v>
      </c>
      <c r="B2715" s="729" t="s">
        <v>62</v>
      </c>
      <c r="C2715" s="729" t="s">
        <v>1416</v>
      </c>
      <c r="D2715" s="729"/>
      <c r="E2715" s="759">
        <v>237491</v>
      </c>
      <c r="F2715" s="759">
        <v>14</v>
      </c>
    </row>
    <row r="2716" spans="1:6">
      <c r="A2716" s="808" t="s">
        <v>751</v>
      </c>
      <c r="B2716" s="729" t="s">
        <v>62</v>
      </c>
      <c r="C2716" s="729" t="s">
        <v>1417</v>
      </c>
      <c r="D2716" s="729"/>
      <c r="E2716" s="759">
        <v>364575</v>
      </c>
      <c r="F2716" s="759">
        <v>14</v>
      </c>
    </row>
    <row r="2717" spans="1:6">
      <c r="A2717" s="808" t="s">
        <v>751</v>
      </c>
      <c r="B2717" s="729" t="s">
        <v>62</v>
      </c>
      <c r="C2717" s="729" t="s">
        <v>1418</v>
      </c>
      <c r="D2717" s="729"/>
      <c r="E2717" s="759">
        <v>441894</v>
      </c>
      <c r="F2717" s="759">
        <v>14</v>
      </c>
    </row>
    <row r="2718" spans="1:6">
      <c r="A2718" s="808" t="s">
        <v>751</v>
      </c>
      <c r="B2718" s="729" t="s">
        <v>62</v>
      </c>
      <c r="C2718" s="729" t="s">
        <v>1419</v>
      </c>
      <c r="D2718" s="729"/>
      <c r="E2718" s="759">
        <v>419031</v>
      </c>
      <c r="F2718" s="759">
        <v>14</v>
      </c>
    </row>
    <row r="2719" spans="1:6">
      <c r="A2719" s="759" t="s">
        <v>751</v>
      </c>
      <c r="B2719" s="729" t="s">
        <v>62</v>
      </c>
      <c r="C2719" s="729" t="s">
        <v>1473</v>
      </c>
      <c r="D2719" s="729"/>
      <c r="E2719" s="765" t="s">
        <v>1246</v>
      </c>
      <c r="F2719" s="759">
        <v>14</v>
      </c>
    </row>
    <row r="2720" spans="1:6">
      <c r="A2720" s="808" t="s">
        <v>751</v>
      </c>
      <c r="B2720" s="729" t="s">
        <v>62</v>
      </c>
      <c r="C2720" s="729" t="s">
        <v>1474</v>
      </c>
      <c r="D2720" s="729"/>
      <c r="E2720" s="765" t="s">
        <v>1246</v>
      </c>
      <c r="F2720" s="759">
        <v>15</v>
      </c>
    </row>
    <row r="2721" spans="1:6">
      <c r="A2721" s="808" t="s">
        <v>751</v>
      </c>
      <c r="B2721" s="729" t="s">
        <v>62</v>
      </c>
      <c r="C2721" s="729" t="s">
        <v>1420</v>
      </c>
      <c r="D2721" s="729"/>
      <c r="E2721" s="759">
        <v>486202</v>
      </c>
      <c r="F2721" s="759">
        <v>15</v>
      </c>
    </row>
    <row r="2722" spans="1:6">
      <c r="A2722" s="759" t="s">
        <v>751</v>
      </c>
      <c r="B2722" s="729" t="s">
        <v>62</v>
      </c>
      <c r="C2722" s="729" t="s">
        <v>1421</v>
      </c>
      <c r="D2722" s="729"/>
      <c r="E2722" s="759">
        <v>486406</v>
      </c>
      <c r="F2722" s="759">
        <v>15</v>
      </c>
    </row>
    <row r="2723" spans="1:6">
      <c r="A2723" s="759" t="s">
        <v>751</v>
      </c>
      <c r="B2723" s="729" t="s">
        <v>62</v>
      </c>
      <c r="C2723" s="729" t="s">
        <v>1475</v>
      </c>
      <c r="D2723" s="729"/>
      <c r="E2723" s="765" t="s">
        <v>1246</v>
      </c>
      <c r="F2723" s="759">
        <v>15</v>
      </c>
    </row>
    <row r="2724" spans="1:6">
      <c r="A2724" s="759" t="s">
        <v>751</v>
      </c>
      <c r="B2724" s="729" t="s">
        <v>62</v>
      </c>
      <c r="C2724" s="729" t="s">
        <v>1746</v>
      </c>
      <c r="D2724" s="729"/>
      <c r="E2724" s="759">
        <v>238096</v>
      </c>
      <c r="F2724" s="759">
        <v>15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F3B49-B488-4DBD-8A2A-0F4DA85DD0CA}">
  <sheetPr codeName="Sheet14"/>
  <dimension ref="A1:AB707"/>
  <sheetViews>
    <sheetView workbookViewId="0">
      <selection sqref="A1:XFD1048576"/>
    </sheetView>
  </sheetViews>
  <sheetFormatPr defaultColWidth="11.3046875" defaultRowHeight="12.5"/>
  <cols>
    <col min="1" max="1" width="4.765625" style="144" customWidth="1"/>
    <col min="2" max="2" width="24.53515625" style="144" customWidth="1"/>
    <col min="3" max="3" width="11.3046875" style="217"/>
    <col min="4" max="9" width="11.3046875" style="144"/>
    <col min="10" max="14" width="10.84375" style="144" customWidth="1"/>
    <col min="15" max="15" width="11.3046875" style="144"/>
    <col min="16" max="18" width="9.765625" style="144" customWidth="1"/>
    <col min="19" max="19" width="10.4609375" style="144" customWidth="1"/>
    <col min="20" max="20" width="10.765625" style="144" customWidth="1"/>
    <col min="21" max="21" width="10.3046875" style="144" customWidth="1"/>
    <col min="22" max="22" width="11.69140625" style="218" customWidth="1"/>
    <col min="23" max="23" width="11.3046875" style="144"/>
    <col min="24" max="24" width="11.3046875" style="218"/>
    <col min="25" max="25" width="11.3046875" style="144"/>
    <col min="26" max="28" width="11.3046875" style="218"/>
    <col min="29" max="16384" width="11.3046875" style="144"/>
  </cols>
  <sheetData>
    <row r="1" spans="1:28" ht="13">
      <c r="A1" s="55"/>
      <c r="B1" s="53"/>
      <c r="C1" s="144"/>
      <c r="D1" s="107"/>
      <c r="V1" s="144"/>
      <c r="X1" s="144"/>
      <c r="Z1" s="144"/>
      <c r="AA1" s="144"/>
      <c r="AB1" s="144"/>
    </row>
    <row r="2" spans="1:28">
      <c r="C2" s="144"/>
      <c r="V2" s="144"/>
      <c r="X2" s="144"/>
      <c r="Z2" s="144"/>
      <c r="AA2" s="144"/>
      <c r="AB2" s="144"/>
    </row>
    <row r="3" spans="1:28" s="152" customFormat="1" ht="13">
      <c r="A3" s="145"/>
      <c r="B3" s="146"/>
      <c r="C3" s="147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9"/>
      <c r="W3" s="150"/>
      <c r="X3" s="53"/>
      <c r="Y3" s="151"/>
      <c r="Z3" s="151"/>
      <c r="AA3" s="151"/>
      <c r="AB3" s="151"/>
    </row>
    <row r="4" spans="1:28" s="152" customFormat="1" ht="13">
      <c r="A4" s="153"/>
      <c r="B4" s="154"/>
      <c r="C4" s="147"/>
      <c r="D4" s="148"/>
      <c r="E4" s="148"/>
      <c r="F4" s="148"/>
      <c r="G4" s="148"/>
      <c r="H4" s="148"/>
      <c r="I4" s="155"/>
      <c r="J4" s="156"/>
      <c r="K4" s="148"/>
      <c r="L4" s="148"/>
      <c r="M4" s="148"/>
      <c r="N4" s="148"/>
      <c r="O4" s="155"/>
      <c r="P4" s="59"/>
      <c r="Q4" s="60"/>
      <c r="R4" s="60"/>
      <c r="S4" s="157"/>
      <c r="T4" s="156"/>
      <c r="U4" s="157"/>
      <c r="V4" s="147"/>
      <c r="W4" s="155"/>
      <c r="X4" s="53"/>
      <c r="Y4" s="151"/>
      <c r="Z4" s="151"/>
      <c r="AA4" s="151"/>
      <c r="AB4" s="151"/>
    </row>
    <row r="5" spans="1:28" s="152" customFormat="1" ht="13.5" thickBot="1">
      <c r="A5" s="158"/>
      <c r="B5" s="156"/>
      <c r="C5" s="147"/>
      <c r="D5" s="159"/>
      <c r="E5" s="159"/>
      <c r="F5" s="159"/>
      <c r="G5" s="159"/>
      <c r="H5" s="160"/>
      <c r="I5" s="161"/>
      <c r="J5" s="147"/>
      <c r="K5" s="159"/>
      <c r="L5" s="159"/>
      <c r="M5" s="162"/>
      <c r="N5" s="163"/>
      <c r="O5" s="161"/>
      <c r="P5" s="59"/>
      <c r="Q5" s="90"/>
      <c r="R5" s="90"/>
      <c r="S5" s="164"/>
      <c r="T5" s="165"/>
      <c r="U5" s="166"/>
      <c r="V5" s="165"/>
      <c r="W5" s="155"/>
      <c r="X5" s="53"/>
      <c r="Y5" s="151"/>
      <c r="Z5" s="151"/>
      <c r="AA5" s="151"/>
      <c r="AB5" s="151"/>
    </row>
    <row r="6" spans="1:28" ht="13.5" thickTop="1">
      <c r="A6" s="147"/>
      <c r="B6" s="167"/>
      <c r="C6" s="168"/>
      <c r="D6" s="168"/>
      <c r="E6" s="168"/>
      <c r="F6" s="168"/>
      <c r="G6" s="168"/>
      <c r="H6" s="168"/>
      <c r="I6" s="169"/>
      <c r="J6" s="168"/>
      <c r="K6" s="168"/>
      <c r="L6" s="168"/>
      <c r="M6" s="168"/>
      <c r="N6" s="168"/>
      <c r="O6" s="169"/>
      <c r="P6" s="168"/>
      <c r="Q6" s="168"/>
      <c r="R6" s="168"/>
      <c r="S6" s="169"/>
      <c r="T6" s="168"/>
      <c r="U6" s="169"/>
      <c r="V6" s="168"/>
      <c r="W6" s="169"/>
      <c r="X6" s="53"/>
      <c r="Y6" s="151"/>
      <c r="Z6" s="151"/>
      <c r="AA6" s="151"/>
      <c r="AB6" s="151"/>
    </row>
    <row r="7" spans="1:28" s="173" customFormat="1" ht="13">
      <c r="A7" s="170"/>
      <c r="B7" s="94"/>
      <c r="C7" s="171"/>
      <c r="D7" s="171"/>
      <c r="E7" s="171"/>
      <c r="F7" s="171"/>
      <c r="G7" s="171"/>
      <c r="H7" s="171"/>
      <c r="I7" s="172"/>
      <c r="J7" s="171"/>
      <c r="K7" s="171"/>
      <c r="L7" s="171"/>
      <c r="M7" s="171"/>
      <c r="N7" s="171"/>
      <c r="O7" s="172"/>
      <c r="P7" s="171"/>
      <c r="Q7" s="171"/>
      <c r="R7" s="171"/>
      <c r="S7" s="172"/>
      <c r="T7" s="171"/>
      <c r="U7" s="172"/>
      <c r="V7" s="171"/>
      <c r="W7" s="172"/>
      <c r="X7" s="53"/>
      <c r="Y7" s="151"/>
      <c r="Z7" s="151"/>
      <c r="AA7" s="151"/>
      <c r="AB7" s="151"/>
    </row>
    <row r="8" spans="1:28" s="178" customFormat="1" ht="13">
      <c r="A8" s="174"/>
      <c r="B8" s="175"/>
      <c r="C8" s="176"/>
      <c r="D8" s="176"/>
      <c r="E8" s="176"/>
      <c r="F8" s="176"/>
      <c r="G8" s="176"/>
      <c r="H8" s="176"/>
      <c r="I8" s="177"/>
      <c r="J8" s="176"/>
      <c r="K8" s="176"/>
      <c r="L8" s="176"/>
      <c r="M8" s="176"/>
      <c r="N8" s="176"/>
      <c r="O8" s="177"/>
      <c r="P8" s="176"/>
      <c r="Q8" s="176"/>
      <c r="R8" s="176"/>
      <c r="S8" s="177"/>
      <c r="T8" s="176"/>
      <c r="U8" s="177"/>
      <c r="V8" s="176"/>
      <c r="W8" s="177"/>
      <c r="X8" s="53"/>
      <c r="Y8" s="151"/>
      <c r="Z8" s="151"/>
      <c r="AA8" s="151"/>
      <c r="AB8" s="151"/>
    </row>
    <row r="9" spans="1:28" ht="13">
      <c r="A9" s="170"/>
      <c r="B9" s="59"/>
      <c r="C9" s="179"/>
      <c r="D9" s="179"/>
      <c r="E9" s="179"/>
      <c r="F9" s="179"/>
      <c r="G9" s="179"/>
      <c r="H9" s="179"/>
      <c r="I9" s="180"/>
      <c r="J9" s="179"/>
      <c r="K9" s="179"/>
      <c r="L9" s="179"/>
      <c r="M9" s="179"/>
      <c r="N9" s="179"/>
      <c r="O9" s="180"/>
      <c r="P9" s="179"/>
      <c r="Q9" s="179"/>
      <c r="R9" s="179"/>
      <c r="S9" s="180"/>
      <c r="T9" s="179"/>
      <c r="U9" s="180"/>
      <c r="V9" s="179"/>
      <c r="W9" s="180"/>
      <c r="X9" s="53"/>
      <c r="Y9" s="151"/>
      <c r="Z9" s="151"/>
      <c r="AA9" s="151"/>
      <c r="AB9" s="151"/>
    </row>
    <row r="10" spans="1:28" s="173" customFormat="1" ht="13">
      <c r="A10" s="170"/>
      <c r="B10" s="94"/>
      <c r="C10" s="171"/>
      <c r="D10" s="171"/>
      <c r="E10" s="171"/>
      <c r="F10" s="171"/>
      <c r="G10" s="171"/>
      <c r="H10" s="171"/>
      <c r="I10" s="172"/>
      <c r="J10" s="171"/>
      <c r="K10" s="171"/>
      <c r="L10" s="171"/>
      <c r="M10" s="171"/>
      <c r="N10" s="171"/>
      <c r="O10" s="172"/>
      <c r="P10" s="171"/>
      <c r="Q10" s="171"/>
      <c r="R10" s="171"/>
      <c r="S10" s="172"/>
      <c r="T10" s="171"/>
      <c r="U10" s="172"/>
      <c r="V10" s="171"/>
      <c r="W10" s="172"/>
      <c r="X10" s="53"/>
      <c r="Y10" s="151"/>
      <c r="Z10" s="151"/>
      <c r="AA10" s="151"/>
      <c r="AB10" s="151"/>
    </row>
    <row r="11" spans="1:28" s="178" customFormat="1" ht="13">
      <c r="A11" s="170"/>
      <c r="B11" s="175"/>
      <c r="C11" s="176"/>
      <c r="D11" s="176"/>
      <c r="E11" s="176"/>
      <c r="F11" s="176"/>
      <c r="G11" s="176"/>
      <c r="H11" s="176"/>
      <c r="I11" s="177"/>
      <c r="J11" s="176"/>
      <c r="K11" s="176"/>
      <c r="L11" s="176"/>
      <c r="M11" s="176"/>
      <c r="N11" s="176"/>
      <c r="O11" s="177"/>
      <c r="P11" s="176"/>
      <c r="Q11" s="176"/>
      <c r="R11" s="176"/>
      <c r="S11" s="177"/>
      <c r="T11" s="176"/>
      <c r="U11" s="177"/>
      <c r="V11" s="181"/>
      <c r="W11" s="177"/>
      <c r="X11" s="53"/>
      <c r="Y11" s="151"/>
      <c r="Z11" s="151"/>
      <c r="AA11" s="151"/>
      <c r="AB11" s="151"/>
    </row>
    <row r="12" spans="1:28" ht="13">
      <c r="A12" s="170"/>
      <c r="B12" s="59"/>
      <c r="C12" s="179"/>
      <c r="D12" s="179"/>
      <c r="E12" s="179"/>
      <c r="F12" s="179"/>
      <c r="G12" s="179"/>
      <c r="H12" s="179"/>
      <c r="I12" s="180"/>
      <c r="J12" s="179"/>
      <c r="K12" s="179"/>
      <c r="L12" s="179"/>
      <c r="M12" s="179"/>
      <c r="N12" s="179"/>
      <c r="O12" s="180"/>
      <c r="P12" s="179"/>
      <c r="Q12" s="179"/>
      <c r="R12" s="179"/>
      <c r="S12" s="180"/>
      <c r="T12" s="179"/>
      <c r="U12" s="180"/>
      <c r="V12" s="179"/>
      <c r="W12" s="180"/>
      <c r="X12" s="53"/>
      <c r="Y12" s="151"/>
      <c r="Z12" s="151"/>
      <c r="AA12" s="151"/>
      <c r="AB12" s="151"/>
    </row>
    <row r="13" spans="1:28" s="173" customFormat="1" ht="13">
      <c r="A13" s="170"/>
      <c r="B13" s="94"/>
      <c r="C13" s="171"/>
      <c r="D13" s="171"/>
      <c r="E13" s="171"/>
      <c r="F13" s="171"/>
      <c r="G13" s="171"/>
      <c r="H13" s="171"/>
      <c r="I13" s="172"/>
      <c r="J13" s="171"/>
      <c r="K13" s="171"/>
      <c r="L13" s="171"/>
      <c r="M13" s="171"/>
      <c r="N13" s="171"/>
      <c r="O13" s="172"/>
      <c r="P13" s="171"/>
      <c r="Q13" s="171"/>
      <c r="R13" s="171"/>
      <c r="S13" s="172"/>
      <c r="T13" s="171"/>
      <c r="U13" s="172"/>
      <c r="V13" s="171"/>
      <c r="W13" s="172"/>
      <c r="X13" s="53"/>
      <c r="Y13" s="151"/>
      <c r="Z13" s="151"/>
      <c r="AA13" s="151"/>
      <c r="AB13" s="151"/>
    </row>
    <row r="14" spans="1:28" s="178" customFormat="1" ht="13">
      <c r="A14" s="170"/>
      <c r="B14" s="175"/>
      <c r="C14" s="176"/>
      <c r="D14" s="176"/>
      <c r="E14" s="176"/>
      <c r="F14" s="176"/>
      <c r="G14" s="176"/>
      <c r="H14" s="176"/>
      <c r="I14" s="177"/>
      <c r="J14" s="176"/>
      <c r="K14" s="176"/>
      <c r="L14" s="176"/>
      <c r="M14" s="176"/>
      <c r="N14" s="176"/>
      <c r="O14" s="177"/>
      <c r="P14" s="176"/>
      <c r="Q14" s="176"/>
      <c r="R14" s="176"/>
      <c r="S14" s="177"/>
      <c r="T14" s="176"/>
      <c r="U14" s="177"/>
      <c r="V14" s="176"/>
      <c r="W14" s="177"/>
      <c r="X14" s="53"/>
      <c r="Y14" s="151"/>
      <c r="Z14" s="151"/>
      <c r="AA14" s="151"/>
      <c r="AB14" s="151"/>
    </row>
    <row r="15" spans="1:28" ht="13">
      <c r="A15" s="170"/>
      <c r="B15" s="59"/>
      <c r="C15" s="179"/>
      <c r="D15" s="179"/>
      <c r="E15" s="179"/>
      <c r="F15" s="179"/>
      <c r="G15" s="179"/>
      <c r="H15" s="179"/>
      <c r="I15" s="180"/>
      <c r="J15" s="179"/>
      <c r="K15" s="179"/>
      <c r="L15" s="179"/>
      <c r="M15" s="179"/>
      <c r="N15" s="179"/>
      <c r="O15" s="180"/>
      <c r="P15" s="179"/>
      <c r="Q15" s="179"/>
      <c r="R15" s="179"/>
      <c r="S15" s="180"/>
      <c r="T15" s="179"/>
      <c r="U15" s="180"/>
      <c r="V15" s="179"/>
      <c r="W15" s="180"/>
      <c r="X15" s="53"/>
      <c r="Y15" s="151"/>
      <c r="Z15" s="151"/>
      <c r="AA15" s="151"/>
      <c r="AB15" s="151"/>
    </row>
    <row r="16" spans="1:28" s="182" customFormat="1" ht="13">
      <c r="A16" s="170"/>
      <c r="B16" s="94"/>
      <c r="C16" s="171"/>
      <c r="D16" s="171"/>
      <c r="E16" s="171"/>
      <c r="F16" s="171"/>
      <c r="G16" s="171"/>
      <c r="H16" s="171"/>
      <c r="I16" s="172"/>
      <c r="J16" s="171"/>
      <c r="K16" s="171"/>
      <c r="L16" s="171"/>
      <c r="M16" s="171"/>
      <c r="N16" s="171"/>
      <c r="O16" s="172"/>
      <c r="P16" s="171"/>
      <c r="Q16" s="171"/>
      <c r="R16" s="171"/>
      <c r="S16" s="172"/>
      <c r="T16" s="171"/>
      <c r="U16" s="172"/>
      <c r="V16" s="171"/>
      <c r="W16" s="172"/>
      <c r="X16" s="53"/>
      <c r="Y16" s="151"/>
      <c r="Z16" s="151"/>
      <c r="AA16" s="151"/>
      <c r="AB16" s="151"/>
    </row>
    <row r="17" spans="1:28" s="178" customFormat="1" ht="13">
      <c r="A17" s="170"/>
      <c r="B17" s="175"/>
      <c r="C17" s="176"/>
      <c r="D17" s="176"/>
      <c r="E17" s="176"/>
      <c r="F17" s="176"/>
      <c r="G17" s="176"/>
      <c r="H17" s="176"/>
      <c r="I17" s="177"/>
      <c r="J17" s="176"/>
      <c r="K17" s="176"/>
      <c r="L17" s="176"/>
      <c r="M17" s="176"/>
      <c r="N17" s="176"/>
      <c r="O17" s="177"/>
      <c r="P17" s="176"/>
      <c r="Q17" s="176"/>
      <c r="R17" s="176"/>
      <c r="S17" s="177"/>
      <c r="T17" s="176"/>
      <c r="U17" s="177"/>
      <c r="V17" s="176"/>
      <c r="W17" s="177"/>
      <c r="X17" s="53"/>
      <c r="Y17" s="151"/>
      <c r="Z17" s="151"/>
      <c r="AA17" s="151"/>
      <c r="AB17" s="151"/>
    </row>
    <row r="18" spans="1:28" ht="13">
      <c r="A18" s="170"/>
      <c r="B18" s="59"/>
      <c r="C18" s="179"/>
      <c r="D18" s="179"/>
      <c r="E18" s="179"/>
      <c r="F18" s="179"/>
      <c r="G18" s="179"/>
      <c r="H18" s="179"/>
      <c r="I18" s="180"/>
      <c r="J18" s="179"/>
      <c r="K18" s="179"/>
      <c r="L18" s="179"/>
      <c r="M18" s="179"/>
      <c r="N18" s="179"/>
      <c r="O18" s="180"/>
      <c r="P18" s="179"/>
      <c r="Q18" s="179"/>
      <c r="R18" s="179"/>
      <c r="S18" s="180"/>
      <c r="T18" s="179"/>
      <c r="U18" s="180"/>
      <c r="V18" s="179"/>
      <c r="W18" s="180"/>
      <c r="X18" s="53"/>
      <c r="Y18" s="151"/>
      <c r="Z18" s="151"/>
      <c r="AA18" s="151"/>
      <c r="AB18" s="151"/>
    </row>
    <row r="19" spans="1:28" s="182" customFormat="1" ht="13">
      <c r="A19" s="170"/>
      <c r="B19" s="94"/>
      <c r="C19" s="171"/>
      <c r="D19" s="171"/>
      <c r="E19" s="171"/>
      <c r="F19" s="171"/>
      <c r="G19" s="171"/>
      <c r="H19" s="171"/>
      <c r="I19" s="172"/>
      <c r="J19" s="171"/>
      <c r="K19" s="171"/>
      <c r="L19" s="171"/>
      <c r="M19" s="171"/>
      <c r="N19" s="171"/>
      <c r="O19" s="172"/>
      <c r="P19" s="171"/>
      <c r="Q19" s="171"/>
      <c r="R19" s="171"/>
      <c r="S19" s="172"/>
      <c r="T19" s="171"/>
      <c r="U19" s="172"/>
      <c r="V19" s="171"/>
      <c r="W19" s="172"/>
      <c r="X19" s="53"/>
      <c r="Y19" s="151"/>
      <c r="Z19" s="151"/>
      <c r="AA19" s="151"/>
      <c r="AB19" s="151"/>
    </row>
    <row r="20" spans="1:28" s="178" customFormat="1" ht="13">
      <c r="A20" s="170"/>
      <c r="B20" s="175"/>
      <c r="C20" s="176"/>
      <c r="D20" s="176"/>
      <c r="E20" s="176"/>
      <c r="F20" s="176"/>
      <c r="G20" s="176"/>
      <c r="H20" s="176"/>
      <c r="I20" s="177"/>
      <c r="J20" s="176"/>
      <c r="K20" s="176"/>
      <c r="L20" s="176"/>
      <c r="M20" s="176"/>
      <c r="N20" s="176"/>
      <c r="O20" s="177"/>
      <c r="P20" s="176"/>
      <c r="Q20" s="176"/>
      <c r="R20" s="176"/>
      <c r="S20" s="177"/>
      <c r="T20" s="176"/>
      <c r="U20" s="177"/>
      <c r="V20" s="176"/>
      <c r="W20" s="177"/>
      <c r="X20" s="53"/>
      <c r="Y20" s="151"/>
      <c r="Z20" s="151"/>
      <c r="AA20" s="151"/>
      <c r="AB20" s="151"/>
    </row>
    <row r="21" spans="1:28" ht="13">
      <c r="A21" s="170"/>
      <c r="B21" s="183"/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53"/>
      <c r="Y21" s="151"/>
      <c r="Z21" s="151"/>
      <c r="AA21" s="151"/>
      <c r="AB21" s="151"/>
    </row>
    <row r="22" spans="1:28" s="173" customFormat="1" ht="13">
      <c r="A22" s="170"/>
      <c r="B22" s="184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53"/>
      <c r="Y22" s="151"/>
      <c r="Z22" s="151"/>
      <c r="AA22" s="151"/>
      <c r="AB22" s="151"/>
    </row>
    <row r="23" spans="1:28" s="178" customFormat="1" ht="13">
      <c r="A23" s="170"/>
      <c r="B23" s="185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53"/>
      <c r="Y23" s="151"/>
      <c r="Z23" s="151"/>
      <c r="AA23" s="151"/>
      <c r="AB23" s="151"/>
    </row>
    <row r="24" spans="1:28" ht="13">
      <c r="A24" s="170"/>
      <c r="B24" s="59"/>
      <c r="C24" s="179"/>
      <c r="D24" s="179"/>
      <c r="E24" s="179"/>
      <c r="F24" s="179"/>
      <c r="G24" s="179"/>
      <c r="H24" s="179"/>
      <c r="I24" s="180"/>
      <c r="J24" s="179"/>
      <c r="K24" s="179"/>
      <c r="L24" s="179"/>
      <c r="M24" s="179"/>
      <c r="N24" s="179"/>
      <c r="O24" s="180"/>
      <c r="P24" s="179"/>
      <c r="Q24" s="179"/>
      <c r="R24" s="179"/>
      <c r="S24" s="180"/>
      <c r="T24" s="179"/>
      <c r="U24" s="180"/>
      <c r="V24" s="179"/>
      <c r="W24" s="180"/>
      <c r="X24" s="53"/>
      <c r="Y24" s="151"/>
      <c r="Z24" s="151"/>
      <c r="AA24" s="151"/>
      <c r="AB24" s="151"/>
    </row>
    <row r="25" spans="1:28" s="173" customFormat="1" ht="13">
      <c r="A25" s="170"/>
      <c r="B25" s="94"/>
      <c r="C25" s="171"/>
      <c r="D25" s="171"/>
      <c r="E25" s="171"/>
      <c r="F25" s="171"/>
      <c r="G25" s="171"/>
      <c r="H25" s="171"/>
      <c r="I25" s="172"/>
      <c r="J25" s="171"/>
      <c r="K25" s="171"/>
      <c r="L25" s="171"/>
      <c r="M25" s="171"/>
      <c r="N25" s="171"/>
      <c r="O25" s="172"/>
      <c r="P25" s="171"/>
      <c r="Q25" s="171"/>
      <c r="R25" s="171"/>
      <c r="S25" s="172"/>
      <c r="T25" s="171"/>
      <c r="U25" s="172"/>
      <c r="V25" s="171"/>
      <c r="W25" s="172"/>
      <c r="X25" s="53"/>
      <c r="Y25" s="151"/>
      <c r="Z25" s="151"/>
      <c r="AA25" s="151"/>
      <c r="AB25" s="151"/>
    </row>
    <row r="26" spans="1:28" s="178" customFormat="1" ht="13">
      <c r="A26" s="170"/>
      <c r="B26" s="175"/>
      <c r="C26" s="176"/>
      <c r="D26" s="176"/>
      <c r="E26" s="176"/>
      <c r="F26" s="176"/>
      <c r="G26" s="176"/>
      <c r="H26" s="176"/>
      <c r="I26" s="177"/>
      <c r="J26" s="176"/>
      <c r="K26" s="176"/>
      <c r="L26" s="176"/>
      <c r="M26" s="176"/>
      <c r="N26" s="176"/>
      <c r="O26" s="177"/>
      <c r="P26" s="176"/>
      <c r="Q26" s="176"/>
      <c r="R26" s="176"/>
      <c r="S26" s="177"/>
      <c r="T26" s="176"/>
      <c r="U26" s="177"/>
      <c r="V26" s="176"/>
      <c r="W26" s="177"/>
      <c r="X26" s="53"/>
      <c r="Y26" s="151"/>
      <c r="Z26" s="151"/>
      <c r="AA26" s="151"/>
      <c r="AB26" s="151"/>
    </row>
    <row r="27" spans="1:28" ht="13">
      <c r="A27" s="170"/>
      <c r="B27" s="59"/>
      <c r="C27" s="179"/>
      <c r="D27" s="179"/>
      <c r="E27" s="179"/>
      <c r="F27" s="179"/>
      <c r="G27" s="179"/>
      <c r="H27" s="179"/>
      <c r="I27" s="180"/>
      <c r="J27" s="179"/>
      <c r="K27" s="179"/>
      <c r="L27" s="179"/>
      <c r="M27" s="179"/>
      <c r="N27" s="179"/>
      <c r="O27" s="180"/>
      <c r="P27" s="179"/>
      <c r="Q27" s="179"/>
      <c r="R27" s="179"/>
      <c r="S27" s="180"/>
      <c r="T27" s="179"/>
      <c r="U27" s="180"/>
      <c r="V27" s="179"/>
      <c r="W27" s="180"/>
      <c r="X27" s="53"/>
      <c r="Y27" s="151"/>
      <c r="Z27" s="151"/>
      <c r="AA27" s="151"/>
      <c r="AB27" s="151"/>
    </row>
    <row r="28" spans="1:28" s="173" customFormat="1" ht="13">
      <c r="A28" s="170"/>
      <c r="B28" s="94"/>
      <c r="C28" s="171"/>
      <c r="D28" s="171"/>
      <c r="E28" s="171"/>
      <c r="F28" s="171"/>
      <c r="G28" s="171"/>
      <c r="H28" s="171"/>
      <c r="I28" s="172"/>
      <c r="J28" s="171"/>
      <c r="K28" s="171"/>
      <c r="L28" s="171"/>
      <c r="M28" s="171"/>
      <c r="N28" s="171"/>
      <c r="O28" s="172"/>
      <c r="P28" s="171"/>
      <c r="Q28" s="171"/>
      <c r="R28" s="171"/>
      <c r="S28" s="172"/>
      <c r="T28" s="171"/>
      <c r="U28" s="172"/>
      <c r="V28" s="171"/>
      <c r="W28" s="172"/>
      <c r="X28" s="53"/>
      <c r="Y28" s="151"/>
      <c r="Z28" s="151"/>
      <c r="AA28" s="151"/>
      <c r="AB28" s="151"/>
    </row>
    <row r="29" spans="1:28" s="178" customFormat="1" ht="13">
      <c r="A29" s="170"/>
      <c r="B29" s="175"/>
      <c r="C29" s="176"/>
      <c r="D29" s="176"/>
      <c r="E29" s="176"/>
      <c r="F29" s="176"/>
      <c r="G29" s="176"/>
      <c r="H29" s="176"/>
      <c r="I29" s="177"/>
      <c r="J29" s="176"/>
      <c r="K29" s="176"/>
      <c r="L29" s="176"/>
      <c r="M29" s="176"/>
      <c r="N29" s="176"/>
      <c r="O29" s="177"/>
      <c r="P29" s="176"/>
      <c r="Q29" s="176"/>
      <c r="R29" s="176"/>
      <c r="S29" s="177"/>
      <c r="T29" s="176"/>
      <c r="U29" s="177"/>
      <c r="V29" s="176"/>
      <c r="W29" s="177"/>
      <c r="X29" s="53"/>
      <c r="Y29" s="151"/>
      <c r="Z29" s="151"/>
      <c r="AA29" s="151"/>
      <c r="AB29" s="151"/>
    </row>
    <row r="30" spans="1:28" ht="13">
      <c r="A30" s="170"/>
      <c r="B30" s="59"/>
      <c r="C30" s="179"/>
      <c r="D30" s="179"/>
      <c r="E30" s="179"/>
      <c r="F30" s="179"/>
      <c r="G30" s="179"/>
      <c r="H30" s="179"/>
      <c r="I30" s="180"/>
      <c r="J30" s="179"/>
      <c r="K30" s="179"/>
      <c r="L30" s="179"/>
      <c r="M30" s="179"/>
      <c r="N30" s="179"/>
      <c r="O30" s="180"/>
      <c r="P30" s="179"/>
      <c r="Q30" s="179"/>
      <c r="R30" s="179"/>
      <c r="S30" s="180"/>
      <c r="T30" s="179"/>
      <c r="U30" s="180"/>
      <c r="V30" s="179"/>
      <c r="W30" s="180"/>
      <c r="X30" s="53"/>
      <c r="Y30" s="151"/>
      <c r="Z30" s="151"/>
      <c r="AA30" s="151"/>
      <c r="AB30" s="151"/>
    </row>
    <row r="31" spans="1:28" s="173" customFormat="1" ht="13">
      <c r="A31" s="170"/>
      <c r="B31" s="94"/>
      <c r="C31" s="171"/>
      <c r="D31" s="171"/>
      <c r="E31" s="171"/>
      <c r="F31" s="171"/>
      <c r="G31" s="171"/>
      <c r="H31" s="171"/>
      <c r="I31" s="172"/>
      <c r="J31" s="171"/>
      <c r="K31" s="171"/>
      <c r="L31" s="171"/>
      <c r="M31" s="171"/>
      <c r="N31" s="171"/>
      <c r="O31" s="172"/>
      <c r="P31" s="171"/>
      <c r="Q31" s="171"/>
      <c r="R31" s="171"/>
      <c r="S31" s="172"/>
      <c r="T31" s="171"/>
      <c r="U31" s="172"/>
      <c r="V31" s="171"/>
      <c r="W31" s="172"/>
      <c r="X31" s="53"/>
      <c r="Y31" s="151"/>
      <c r="Z31" s="151"/>
      <c r="AA31" s="151"/>
      <c r="AB31" s="151"/>
    </row>
    <row r="32" spans="1:28" s="178" customFormat="1" ht="13">
      <c r="A32" s="170"/>
      <c r="B32" s="175"/>
      <c r="C32" s="176"/>
      <c r="D32" s="176"/>
      <c r="E32" s="176"/>
      <c r="F32" s="176"/>
      <c r="G32" s="176"/>
      <c r="H32" s="176"/>
      <c r="I32" s="177"/>
      <c r="J32" s="176"/>
      <c r="K32" s="176"/>
      <c r="L32" s="176"/>
      <c r="M32" s="176"/>
      <c r="N32" s="176"/>
      <c r="O32" s="177"/>
      <c r="P32" s="176"/>
      <c r="Q32" s="176"/>
      <c r="R32" s="176"/>
      <c r="S32" s="177"/>
      <c r="T32" s="176"/>
      <c r="U32" s="177"/>
      <c r="V32" s="176"/>
      <c r="W32" s="177"/>
      <c r="X32" s="53"/>
      <c r="Y32" s="151"/>
      <c r="Z32" s="151"/>
      <c r="AA32" s="151"/>
      <c r="AB32" s="151"/>
    </row>
    <row r="33" spans="1:28" ht="13">
      <c r="A33" s="170"/>
      <c r="B33" s="59"/>
      <c r="C33" s="179"/>
      <c r="D33" s="179"/>
      <c r="E33" s="179"/>
      <c r="F33" s="179"/>
      <c r="G33" s="179"/>
      <c r="H33" s="179"/>
      <c r="I33" s="180"/>
      <c r="J33" s="179"/>
      <c r="K33" s="179"/>
      <c r="L33" s="179"/>
      <c r="M33" s="179"/>
      <c r="N33" s="179"/>
      <c r="O33" s="180"/>
      <c r="P33" s="179"/>
      <c r="Q33" s="179"/>
      <c r="R33" s="179"/>
      <c r="S33" s="180"/>
      <c r="T33" s="179"/>
      <c r="U33" s="180"/>
      <c r="V33" s="179"/>
      <c r="W33" s="180"/>
      <c r="X33" s="53"/>
      <c r="Y33" s="151"/>
      <c r="Z33" s="151"/>
      <c r="AA33" s="151"/>
      <c r="AB33" s="151"/>
    </row>
    <row r="34" spans="1:28" s="173" customFormat="1" ht="13">
      <c r="A34" s="170"/>
      <c r="B34" s="94"/>
      <c r="C34" s="171"/>
      <c r="D34" s="171"/>
      <c r="E34" s="171"/>
      <c r="F34" s="171"/>
      <c r="G34" s="171"/>
      <c r="H34" s="171"/>
      <c r="I34" s="172"/>
      <c r="J34" s="171"/>
      <c r="K34" s="171"/>
      <c r="L34" s="171"/>
      <c r="M34" s="171"/>
      <c r="N34" s="171"/>
      <c r="O34" s="172"/>
      <c r="P34" s="171"/>
      <c r="Q34" s="171"/>
      <c r="R34" s="171"/>
      <c r="S34" s="172"/>
      <c r="T34" s="171"/>
      <c r="U34" s="172"/>
      <c r="V34" s="171"/>
      <c r="W34" s="172"/>
      <c r="X34" s="53"/>
      <c r="Y34" s="151"/>
      <c r="Z34" s="151"/>
      <c r="AA34" s="151"/>
      <c r="AB34" s="151"/>
    </row>
    <row r="35" spans="1:28" s="178" customFormat="1" ht="13">
      <c r="A35" s="170"/>
      <c r="B35" s="175"/>
      <c r="C35" s="176"/>
      <c r="D35" s="176"/>
      <c r="E35" s="176"/>
      <c r="F35" s="176"/>
      <c r="G35" s="176"/>
      <c r="H35" s="176"/>
      <c r="I35" s="177"/>
      <c r="J35" s="176"/>
      <c r="K35" s="176"/>
      <c r="L35" s="176"/>
      <c r="M35" s="176"/>
      <c r="N35" s="176"/>
      <c r="O35" s="177"/>
      <c r="P35" s="176"/>
      <c r="Q35" s="176"/>
      <c r="R35" s="176"/>
      <c r="S35" s="177"/>
      <c r="T35" s="176"/>
      <c r="U35" s="177"/>
      <c r="V35" s="176"/>
      <c r="W35" s="177"/>
      <c r="X35" s="53"/>
      <c r="Y35" s="151"/>
      <c r="Z35" s="151"/>
      <c r="AA35" s="151"/>
      <c r="AB35" s="151"/>
    </row>
    <row r="36" spans="1:28" ht="13">
      <c r="A36" s="170"/>
      <c r="B36" s="59"/>
      <c r="C36" s="179"/>
      <c r="D36" s="179"/>
      <c r="E36" s="179"/>
      <c r="F36" s="179"/>
      <c r="G36" s="179"/>
      <c r="H36" s="179"/>
      <c r="I36" s="180"/>
      <c r="J36" s="179"/>
      <c r="K36" s="179"/>
      <c r="L36" s="179"/>
      <c r="M36" s="179"/>
      <c r="N36" s="179"/>
      <c r="O36" s="180"/>
      <c r="P36" s="179"/>
      <c r="Q36" s="179"/>
      <c r="R36" s="179"/>
      <c r="S36" s="180"/>
      <c r="T36" s="179"/>
      <c r="U36" s="180"/>
      <c r="V36" s="179"/>
      <c r="W36" s="180"/>
      <c r="X36" s="53"/>
      <c r="Y36" s="151"/>
      <c r="Z36" s="151"/>
      <c r="AA36" s="151"/>
      <c r="AB36" s="151"/>
    </row>
    <row r="37" spans="1:28" s="173" customFormat="1" ht="13">
      <c r="A37" s="170"/>
      <c r="B37" s="94"/>
      <c r="C37" s="171"/>
      <c r="D37" s="171"/>
      <c r="E37" s="171"/>
      <c r="F37" s="171"/>
      <c r="G37" s="171"/>
      <c r="H37" s="171"/>
      <c r="I37" s="172"/>
      <c r="J37" s="171"/>
      <c r="K37" s="171"/>
      <c r="L37" s="171"/>
      <c r="M37" s="171"/>
      <c r="N37" s="171"/>
      <c r="O37" s="172"/>
      <c r="P37" s="171"/>
      <c r="Q37" s="171"/>
      <c r="R37" s="171"/>
      <c r="S37" s="172"/>
      <c r="T37" s="171"/>
      <c r="U37" s="172"/>
      <c r="V37" s="171"/>
      <c r="W37" s="172"/>
      <c r="X37" s="53"/>
      <c r="Y37" s="151"/>
      <c r="Z37" s="151"/>
      <c r="AA37" s="151"/>
      <c r="AB37" s="151"/>
    </row>
    <row r="38" spans="1:28" s="178" customFormat="1" ht="13">
      <c r="A38" s="170"/>
      <c r="B38" s="175"/>
      <c r="C38" s="176"/>
      <c r="D38" s="176"/>
      <c r="E38" s="176"/>
      <c r="F38" s="176"/>
      <c r="G38" s="176"/>
      <c r="H38" s="176"/>
      <c r="I38" s="177"/>
      <c r="J38" s="176"/>
      <c r="K38" s="176"/>
      <c r="L38" s="176"/>
      <c r="M38" s="176"/>
      <c r="N38" s="176"/>
      <c r="O38" s="177"/>
      <c r="P38" s="176"/>
      <c r="Q38" s="176"/>
      <c r="R38" s="176"/>
      <c r="S38" s="177"/>
      <c r="T38" s="176"/>
      <c r="U38" s="177"/>
      <c r="V38" s="176"/>
      <c r="W38" s="177"/>
      <c r="X38" s="53"/>
      <c r="Y38" s="151"/>
      <c r="Z38" s="151"/>
      <c r="AA38" s="151"/>
      <c r="AB38" s="151"/>
    </row>
    <row r="39" spans="1:28" ht="13">
      <c r="A39" s="170"/>
      <c r="B39" s="59"/>
      <c r="C39" s="179"/>
      <c r="D39" s="179"/>
      <c r="E39" s="179"/>
      <c r="F39" s="179"/>
      <c r="G39" s="179"/>
      <c r="H39" s="179"/>
      <c r="I39" s="180"/>
      <c r="J39" s="179"/>
      <c r="K39" s="179"/>
      <c r="L39" s="179"/>
      <c r="M39" s="179"/>
      <c r="N39" s="179"/>
      <c r="O39" s="180"/>
      <c r="P39" s="179"/>
      <c r="Q39" s="179"/>
      <c r="R39" s="179"/>
      <c r="S39" s="180"/>
      <c r="T39" s="179"/>
      <c r="U39" s="180"/>
      <c r="V39" s="179"/>
      <c r="W39" s="180"/>
      <c r="X39" s="53"/>
      <c r="Y39" s="151"/>
      <c r="Z39" s="151"/>
      <c r="AA39" s="151"/>
      <c r="AB39" s="151"/>
    </row>
    <row r="40" spans="1:28" s="173" customFormat="1" ht="13">
      <c r="A40" s="170"/>
      <c r="B40" s="94"/>
      <c r="C40" s="171"/>
      <c r="D40" s="171"/>
      <c r="E40" s="171"/>
      <c r="F40" s="171"/>
      <c r="G40" s="171"/>
      <c r="H40" s="171"/>
      <c r="I40" s="172"/>
      <c r="J40" s="171"/>
      <c r="K40" s="171"/>
      <c r="L40" s="171"/>
      <c r="M40" s="171"/>
      <c r="N40" s="171"/>
      <c r="O40" s="172"/>
      <c r="P40" s="171"/>
      <c r="Q40" s="171"/>
      <c r="R40" s="171"/>
      <c r="S40" s="172"/>
      <c r="T40" s="171"/>
      <c r="U40" s="172"/>
      <c r="V40" s="171"/>
      <c r="W40" s="172"/>
      <c r="X40" s="53"/>
      <c r="Y40" s="151"/>
      <c r="Z40" s="151"/>
      <c r="AA40" s="151"/>
      <c r="AB40" s="151"/>
    </row>
    <row r="41" spans="1:28" s="178" customFormat="1" ht="13">
      <c r="A41" s="170"/>
      <c r="B41" s="175"/>
      <c r="C41" s="176"/>
      <c r="D41" s="176"/>
      <c r="E41" s="176"/>
      <c r="F41" s="176"/>
      <c r="G41" s="176"/>
      <c r="H41" s="176"/>
      <c r="I41" s="177"/>
      <c r="J41" s="176"/>
      <c r="K41" s="176"/>
      <c r="L41" s="176"/>
      <c r="M41" s="176"/>
      <c r="N41" s="176"/>
      <c r="O41" s="177"/>
      <c r="P41" s="176"/>
      <c r="Q41" s="176"/>
      <c r="R41" s="176"/>
      <c r="S41" s="177"/>
      <c r="T41" s="176"/>
      <c r="U41" s="177"/>
      <c r="V41" s="176"/>
      <c r="W41" s="177"/>
      <c r="X41" s="53"/>
      <c r="Y41" s="151"/>
      <c r="Z41" s="151"/>
      <c r="AA41" s="151"/>
      <c r="AB41" s="151"/>
    </row>
    <row r="42" spans="1:28" ht="13">
      <c r="A42" s="170"/>
      <c r="B42" s="59"/>
      <c r="C42" s="179"/>
      <c r="D42" s="179"/>
      <c r="E42" s="179"/>
      <c r="F42" s="179"/>
      <c r="G42" s="179"/>
      <c r="H42" s="179"/>
      <c r="I42" s="180"/>
      <c r="J42" s="179"/>
      <c r="K42" s="179"/>
      <c r="L42" s="179"/>
      <c r="M42" s="179"/>
      <c r="N42" s="179"/>
      <c r="O42" s="180"/>
      <c r="P42" s="179"/>
      <c r="Q42" s="179"/>
      <c r="R42" s="179"/>
      <c r="S42" s="180"/>
      <c r="T42" s="179"/>
      <c r="U42" s="180"/>
      <c r="V42" s="179"/>
      <c r="W42" s="180"/>
      <c r="X42" s="53"/>
      <c r="Y42" s="151"/>
      <c r="Z42" s="151"/>
      <c r="AA42" s="151"/>
      <c r="AB42" s="151"/>
    </row>
    <row r="43" spans="1:28" s="173" customFormat="1" ht="13">
      <c r="A43" s="170"/>
      <c r="B43" s="94"/>
      <c r="C43" s="171"/>
      <c r="D43" s="171"/>
      <c r="E43" s="171"/>
      <c r="F43" s="171"/>
      <c r="G43" s="171"/>
      <c r="H43" s="171"/>
      <c r="I43" s="172"/>
      <c r="J43" s="171"/>
      <c r="K43" s="171"/>
      <c r="L43" s="171"/>
      <c r="M43" s="171"/>
      <c r="N43" s="171"/>
      <c r="O43" s="172"/>
      <c r="P43" s="171"/>
      <c r="Q43" s="171"/>
      <c r="R43" s="171"/>
      <c r="S43" s="172"/>
      <c r="T43" s="171"/>
      <c r="U43" s="172"/>
      <c r="V43" s="171"/>
      <c r="W43" s="172"/>
      <c r="X43" s="53"/>
      <c r="Y43" s="151"/>
      <c r="Z43" s="151"/>
      <c r="AA43" s="151"/>
      <c r="AB43" s="151"/>
    </row>
    <row r="44" spans="1:28" s="191" customFormat="1" ht="13.5" thickBot="1">
      <c r="A44" s="186"/>
      <c r="B44" s="187"/>
      <c r="C44" s="188"/>
      <c r="D44" s="188"/>
      <c r="E44" s="188"/>
      <c r="F44" s="188"/>
      <c r="G44" s="188"/>
      <c r="H44" s="188"/>
      <c r="I44" s="189"/>
      <c r="J44" s="188"/>
      <c r="K44" s="188"/>
      <c r="L44" s="188"/>
      <c r="M44" s="188"/>
      <c r="N44" s="188"/>
      <c r="O44" s="189"/>
      <c r="P44" s="188"/>
      <c r="Q44" s="188"/>
      <c r="R44" s="188"/>
      <c r="S44" s="189"/>
      <c r="T44" s="188"/>
      <c r="U44" s="189"/>
      <c r="V44" s="190"/>
      <c r="W44" s="189"/>
      <c r="X44" s="53"/>
      <c r="Y44" s="151"/>
      <c r="Z44" s="151"/>
      <c r="AA44" s="151"/>
      <c r="AB44" s="151"/>
    </row>
    <row r="45" spans="1:28" ht="13.5" thickTop="1">
      <c r="A45" s="147"/>
      <c r="B45" s="167"/>
      <c r="C45" s="168"/>
      <c r="D45" s="168"/>
      <c r="E45" s="168"/>
      <c r="F45" s="168"/>
      <c r="G45" s="168"/>
      <c r="H45" s="168"/>
      <c r="I45" s="169"/>
      <c r="J45" s="168"/>
      <c r="K45" s="168"/>
      <c r="L45" s="168"/>
      <c r="M45" s="168"/>
      <c r="N45" s="168"/>
      <c r="O45" s="169"/>
      <c r="P45" s="168"/>
      <c r="Q45" s="168"/>
      <c r="R45" s="168"/>
      <c r="S45" s="169"/>
      <c r="T45" s="168"/>
      <c r="U45" s="169"/>
      <c r="V45" s="168"/>
      <c r="W45" s="169"/>
      <c r="X45" s="53"/>
      <c r="Y45" s="151"/>
      <c r="Z45" s="151"/>
      <c r="AA45" s="151"/>
      <c r="AB45" s="151"/>
    </row>
    <row r="46" spans="1:28" s="173" customFormat="1" ht="13">
      <c r="A46" s="170"/>
      <c r="B46" s="94"/>
      <c r="C46" s="171"/>
      <c r="D46" s="171"/>
      <c r="E46" s="171"/>
      <c r="F46" s="171"/>
      <c r="G46" s="171"/>
      <c r="H46" s="171"/>
      <c r="I46" s="172"/>
      <c r="J46" s="171"/>
      <c r="K46" s="171"/>
      <c r="L46" s="171"/>
      <c r="M46" s="171"/>
      <c r="N46" s="171"/>
      <c r="O46" s="172"/>
      <c r="P46" s="171"/>
      <c r="Q46" s="171"/>
      <c r="R46" s="171"/>
      <c r="S46" s="172"/>
      <c r="T46" s="171"/>
      <c r="U46" s="172"/>
      <c r="V46" s="171"/>
      <c r="W46" s="172"/>
      <c r="X46" s="53"/>
      <c r="Y46" s="151"/>
      <c r="Z46" s="151"/>
      <c r="AA46" s="151"/>
      <c r="AB46" s="151"/>
    </row>
    <row r="47" spans="1:28" s="178" customFormat="1" ht="13">
      <c r="A47" s="174"/>
      <c r="B47" s="175"/>
      <c r="C47" s="176"/>
      <c r="D47" s="176"/>
      <c r="E47" s="176"/>
      <c r="F47" s="176"/>
      <c r="G47" s="176"/>
      <c r="H47" s="176"/>
      <c r="I47" s="177"/>
      <c r="J47" s="176"/>
      <c r="K47" s="176"/>
      <c r="L47" s="176"/>
      <c r="M47" s="176"/>
      <c r="N47" s="176"/>
      <c r="O47" s="177"/>
      <c r="P47" s="176"/>
      <c r="Q47" s="176"/>
      <c r="R47" s="176"/>
      <c r="S47" s="177"/>
      <c r="T47" s="176"/>
      <c r="U47" s="177"/>
      <c r="V47" s="176"/>
      <c r="W47" s="177"/>
      <c r="X47" s="53"/>
      <c r="Y47" s="151"/>
      <c r="Z47" s="151"/>
      <c r="AA47" s="151"/>
      <c r="AB47" s="151"/>
    </row>
    <row r="48" spans="1:28" ht="13">
      <c r="A48" s="170"/>
      <c r="B48" s="59"/>
      <c r="C48" s="179"/>
      <c r="D48" s="179"/>
      <c r="E48" s="179"/>
      <c r="F48" s="179"/>
      <c r="G48" s="179"/>
      <c r="H48" s="179"/>
      <c r="I48" s="180"/>
      <c r="J48" s="179"/>
      <c r="K48" s="179"/>
      <c r="L48" s="179"/>
      <c r="M48" s="179"/>
      <c r="N48" s="179"/>
      <c r="O48" s="180"/>
      <c r="P48" s="179"/>
      <c r="Q48" s="179"/>
      <c r="R48" s="179"/>
      <c r="S48" s="180"/>
      <c r="T48" s="179"/>
      <c r="U48" s="180"/>
      <c r="V48" s="179"/>
      <c r="W48" s="180"/>
      <c r="X48" s="53"/>
      <c r="Y48" s="151"/>
      <c r="Z48" s="151"/>
      <c r="AA48" s="151"/>
      <c r="AB48" s="151"/>
    </row>
    <row r="49" spans="1:28" s="173" customFormat="1" ht="13">
      <c r="A49" s="170"/>
      <c r="B49" s="94"/>
      <c r="C49" s="171"/>
      <c r="D49" s="171"/>
      <c r="E49" s="171"/>
      <c r="F49" s="171"/>
      <c r="G49" s="171"/>
      <c r="H49" s="171"/>
      <c r="I49" s="172"/>
      <c r="J49" s="171"/>
      <c r="K49" s="171"/>
      <c r="L49" s="171"/>
      <c r="M49" s="171"/>
      <c r="N49" s="171"/>
      <c r="O49" s="172"/>
      <c r="P49" s="171"/>
      <c r="Q49" s="171"/>
      <c r="R49" s="171"/>
      <c r="S49" s="172"/>
      <c r="T49" s="171"/>
      <c r="U49" s="172"/>
      <c r="V49" s="171"/>
      <c r="W49" s="172"/>
      <c r="X49" s="53"/>
      <c r="Y49" s="151"/>
      <c r="Z49" s="151"/>
      <c r="AA49" s="151"/>
      <c r="AB49" s="151"/>
    </row>
    <row r="50" spans="1:28" s="178" customFormat="1" ht="13">
      <c r="A50" s="170"/>
      <c r="B50" s="175"/>
      <c r="C50" s="176"/>
      <c r="D50" s="176"/>
      <c r="E50" s="176"/>
      <c r="F50" s="176"/>
      <c r="G50" s="176"/>
      <c r="H50" s="176"/>
      <c r="I50" s="177"/>
      <c r="J50" s="176"/>
      <c r="K50" s="176"/>
      <c r="L50" s="176"/>
      <c r="M50" s="176"/>
      <c r="N50" s="176"/>
      <c r="O50" s="177"/>
      <c r="P50" s="176"/>
      <c r="Q50" s="176"/>
      <c r="R50" s="176"/>
      <c r="S50" s="177"/>
      <c r="T50" s="176"/>
      <c r="U50" s="177"/>
      <c r="V50" s="176"/>
      <c r="W50" s="177"/>
      <c r="X50" s="53"/>
      <c r="Y50" s="151"/>
      <c r="Z50" s="151"/>
      <c r="AA50" s="151"/>
      <c r="AB50" s="151"/>
    </row>
    <row r="51" spans="1:28" ht="13">
      <c r="A51" s="170"/>
      <c r="B51" s="59"/>
      <c r="C51" s="179"/>
      <c r="D51" s="179"/>
      <c r="E51" s="179"/>
      <c r="F51" s="179"/>
      <c r="G51" s="179"/>
      <c r="H51" s="179"/>
      <c r="I51" s="180"/>
      <c r="J51" s="179"/>
      <c r="K51" s="179"/>
      <c r="L51" s="179"/>
      <c r="M51" s="179"/>
      <c r="N51" s="179"/>
      <c r="O51" s="180"/>
      <c r="P51" s="179"/>
      <c r="Q51" s="179"/>
      <c r="R51" s="179"/>
      <c r="S51" s="180"/>
      <c r="T51" s="179"/>
      <c r="U51" s="180"/>
      <c r="V51" s="179"/>
      <c r="W51" s="180"/>
      <c r="X51" s="53"/>
      <c r="Y51" s="151"/>
      <c r="Z51" s="151"/>
      <c r="AA51" s="151"/>
      <c r="AB51" s="151"/>
    </row>
    <row r="52" spans="1:28" s="173" customFormat="1" ht="13">
      <c r="A52" s="170"/>
      <c r="B52" s="94"/>
      <c r="C52" s="171"/>
      <c r="D52" s="171"/>
      <c r="E52" s="171"/>
      <c r="F52" s="171"/>
      <c r="G52" s="171"/>
      <c r="H52" s="171"/>
      <c r="I52" s="172"/>
      <c r="J52" s="171"/>
      <c r="K52" s="171"/>
      <c r="L52" s="171"/>
      <c r="M52" s="171"/>
      <c r="N52" s="171"/>
      <c r="O52" s="172"/>
      <c r="P52" s="171"/>
      <c r="Q52" s="171"/>
      <c r="R52" s="171"/>
      <c r="S52" s="172"/>
      <c r="T52" s="171"/>
      <c r="U52" s="172"/>
      <c r="V52" s="171"/>
      <c r="W52" s="172"/>
      <c r="X52" s="53"/>
      <c r="Y52" s="151"/>
      <c r="Z52" s="151"/>
      <c r="AA52" s="151"/>
      <c r="AB52" s="151"/>
    </row>
    <row r="53" spans="1:28" s="178" customFormat="1" ht="13">
      <c r="A53" s="170"/>
      <c r="B53" s="175"/>
      <c r="C53" s="176"/>
      <c r="D53" s="176"/>
      <c r="E53" s="176"/>
      <c r="F53" s="176"/>
      <c r="G53" s="176"/>
      <c r="H53" s="176"/>
      <c r="I53" s="177"/>
      <c r="J53" s="176"/>
      <c r="K53" s="176"/>
      <c r="L53" s="176"/>
      <c r="M53" s="176"/>
      <c r="N53" s="176"/>
      <c r="O53" s="177"/>
      <c r="P53" s="176"/>
      <c r="Q53" s="176"/>
      <c r="R53" s="176"/>
      <c r="S53" s="177"/>
      <c r="T53" s="176"/>
      <c r="U53" s="177"/>
      <c r="V53" s="176"/>
      <c r="W53" s="177"/>
      <c r="X53" s="53"/>
      <c r="Y53" s="151"/>
      <c r="Z53" s="151"/>
      <c r="AA53" s="151"/>
      <c r="AB53" s="151"/>
    </row>
    <row r="54" spans="1:28" ht="13">
      <c r="A54" s="170"/>
      <c r="B54" s="59"/>
      <c r="C54" s="179"/>
      <c r="D54" s="179"/>
      <c r="E54" s="179"/>
      <c r="F54" s="179"/>
      <c r="G54" s="179"/>
      <c r="H54" s="179"/>
      <c r="I54" s="180"/>
      <c r="J54" s="179"/>
      <c r="K54" s="179"/>
      <c r="L54" s="179"/>
      <c r="M54" s="179"/>
      <c r="N54" s="179"/>
      <c r="O54" s="180"/>
      <c r="P54" s="179"/>
      <c r="Q54" s="179"/>
      <c r="R54" s="179"/>
      <c r="S54" s="180"/>
      <c r="T54" s="179"/>
      <c r="U54" s="180"/>
      <c r="V54" s="179"/>
      <c r="W54" s="180"/>
      <c r="X54" s="53"/>
      <c r="Y54" s="151"/>
      <c r="Z54" s="151"/>
      <c r="AA54" s="151"/>
      <c r="AB54" s="151"/>
    </row>
    <row r="55" spans="1:28" s="173" customFormat="1" ht="13">
      <c r="A55" s="170"/>
      <c r="B55" s="94"/>
      <c r="C55" s="171"/>
      <c r="D55" s="171"/>
      <c r="E55" s="171"/>
      <c r="F55" s="171"/>
      <c r="G55" s="171"/>
      <c r="H55" s="171"/>
      <c r="I55" s="172"/>
      <c r="J55" s="171"/>
      <c r="K55" s="171"/>
      <c r="L55" s="171"/>
      <c r="M55" s="171"/>
      <c r="N55" s="171"/>
      <c r="O55" s="172"/>
      <c r="P55" s="171"/>
      <c r="Q55" s="171"/>
      <c r="R55" s="171"/>
      <c r="S55" s="172"/>
      <c r="T55" s="171"/>
      <c r="U55" s="172"/>
      <c r="V55" s="171"/>
      <c r="W55" s="172"/>
      <c r="X55" s="53"/>
      <c r="Y55" s="151"/>
      <c r="Z55" s="151"/>
      <c r="AA55" s="151"/>
      <c r="AB55" s="151"/>
    </row>
    <row r="56" spans="1:28" s="178" customFormat="1" ht="13">
      <c r="A56" s="170"/>
      <c r="B56" s="175"/>
      <c r="C56" s="176"/>
      <c r="D56" s="176"/>
      <c r="E56" s="176"/>
      <c r="F56" s="176"/>
      <c r="G56" s="176"/>
      <c r="H56" s="176"/>
      <c r="I56" s="177"/>
      <c r="J56" s="176"/>
      <c r="K56" s="176"/>
      <c r="L56" s="176"/>
      <c r="M56" s="176"/>
      <c r="N56" s="176"/>
      <c r="O56" s="177"/>
      <c r="P56" s="176"/>
      <c r="Q56" s="176"/>
      <c r="R56" s="176"/>
      <c r="S56" s="177"/>
      <c r="T56" s="176"/>
      <c r="U56" s="177"/>
      <c r="V56" s="176"/>
      <c r="W56" s="177"/>
      <c r="X56" s="53"/>
      <c r="Y56" s="151"/>
      <c r="Z56" s="151"/>
      <c r="AA56" s="151"/>
      <c r="AB56" s="151"/>
    </row>
    <row r="57" spans="1:28" ht="13">
      <c r="A57" s="170"/>
      <c r="B57" s="59"/>
      <c r="C57" s="179"/>
      <c r="D57" s="179"/>
      <c r="E57" s="179"/>
      <c r="F57" s="179"/>
      <c r="G57" s="179"/>
      <c r="H57" s="179"/>
      <c r="I57" s="180"/>
      <c r="J57" s="179"/>
      <c r="K57" s="179"/>
      <c r="L57" s="179"/>
      <c r="M57" s="179"/>
      <c r="N57" s="179"/>
      <c r="O57" s="180"/>
      <c r="P57" s="179"/>
      <c r="Q57" s="179"/>
      <c r="R57" s="179"/>
      <c r="S57" s="180"/>
      <c r="T57" s="179"/>
      <c r="U57" s="180"/>
      <c r="V57" s="179"/>
      <c r="W57" s="180"/>
      <c r="X57" s="53"/>
      <c r="Y57" s="151"/>
      <c r="Z57" s="151"/>
      <c r="AA57" s="151"/>
      <c r="AB57" s="151"/>
    </row>
    <row r="58" spans="1:28" s="173" customFormat="1" ht="13">
      <c r="A58" s="170"/>
      <c r="B58" s="94"/>
      <c r="C58" s="171"/>
      <c r="D58" s="171"/>
      <c r="E58" s="171"/>
      <c r="F58" s="171"/>
      <c r="G58" s="171"/>
      <c r="H58" s="171"/>
      <c r="I58" s="172"/>
      <c r="J58" s="171"/>
      <c r="K58" s="171"/>
      <c r="L58" s="171"/>
      <c r="M58" s="171"/>
      <c r="N58" s="171"/>
      <c r="O58" s="172"/>
      <c r="P58" s="171"/>
      <c r="Q58" s="171"/>
      <c r="R58" s="171"/>
      <c r="S58" s="172"/>
      <c r="T58" s="171"/>
      <c r="U58" s="172"/>
      <c r="V58" s="171"/>
      <c r="W58" s="172"/>
      <c r="X58" s="53"/>
      <c r="Y58" s="151"/>
      <c r="Z58" s="151"/>
      <c r="AA58" s="151"/>
      <c r="AB58" s="151"/>
    </row>
    <row r="59" spans="1:28" s="178" customFormat="1" ht="13">
      <c r="A59" s="170"/>
      <c r="B59" s="175"/>
      <c r="C59" s="176"/>
      <c r="D59" s="176"/>
      <c r="E59" s="176"/>
      <c r="F59" s="176"/>
      <c r="G59" s="176"/>
      <c r="H59" s="176"/>
      <c r="I59" s="177"/>
      <c r="J59" s="176"/>
      <c r="K59" s="176"/>
      <c r="L59" s="176"/>
      <c r="M59" s="176"/>
      <c r="N59" s="176"/>
      <c r="O59" s="177"/>
      <c r="P59" s="176"/>
      <c r="Q59" s="176"/>
      <c r="R59" s="176"/>
      <c r="S59" s="177"/>
      <c r="T59" s="176"/>
      <c r="U59" s="177"/>
      <c r="V59" s="176"/>
      <c r="W59" s="177"/>
      <c r="X59" s="53"/>
      <c r="Y59" s="151"/>
      <c r="Z59" s="151"/>
      <c r="AA59" s="151"/>
      <c r="AB59" s="151"/>
    </row>
    <row r="60" spans="1:28" ht="13">
      <c r="A60" s="170"/>
      <c r="B60" s="183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53"/>
      <c r="Y60" s="151"/>
      <c r="Z60" s="151"/>
      <c r="AA60" s="151"/>
      <c r="AB60" s="151"/>
    </row>
    <row r="61" spans="1:28" s="173" customFormat="1" ht="13">
      <c r="A61" s="170"/>
      <c r="B61" s="184"/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53"/>
      <c r="Y61" s="151"/>
      <c r="Z61" s="151"/>
      <c r="AA61" s="151"/>
      <c r="AB61" s="151"/>
    </row>
    <row r="62" spans="1:28" s="178" customFormat="1" ht="13">
      <c r="A62" s="170"/>
      <c r="B62" s="185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53"/>
      <c r="Y62" s="151"/>
      <c r="Z62" s="151"/>
      <c r="AA62" s="151"/>
      <c r="AB62" s="151"/>
    </row>
    <row r="63" spans="1:28" ht="13">
      <c r="A63" s="170"/>
      <c r="B63" s="59"/>
      <c r="C63" s="179"/>
      <c r="D63" s="179"/>
      <c r="E63" s="179"/>
      <c r="F63" s="179"/>
      <c r="G63" s="179"/>
      <c r="H63" s="179"/>
      <c r="I63" s="180"/>
      <c r="J63" s="179"/>
      <c r="K63" s="179"/>
      <c r="L63" s="179"/>
      <c r="M63" s="179"/>
      <c r="N63" s="179"/>
      <c r="O63" s="180"/>
      <c r="P63" s="179"/>
      <c r="Q63" s="179"/>
      <c r="R63" s="179"/>
      <c r="S63" s="180"/>
      <c r="T63" s="179"/>
      <c r="U63" s="180"/>
      <c r="V63" s="179"/>
      <c r="W63" s="180"/>
      <c r="X63" s="53"/>
      <c r="Y63" s="151"/>
      <c r="Z63" s="151"/>
      <c r="AA63" s="151"/>
      <c r="AB63" s="151"/>
    </row>
    <row r="64" spans="1:28" s="173" customFormat="1" ht="13">
      <c r="A64" s="170"/>
      <c r="B64" s="94"/>
      <c r="C64" s="171"/>
      <c r="D64" s="171"/>
      <c r="E64" s="171"/>
      <c r="F64" s="171"/>
      <c r="G64" s="171"/>
      <c r="H64" s="171"/>
      <c r="I64" s="172"/>
      <c r="J64" s="171"/>
      <c r="K64" s="171"/>
      <c r="L64" s="171"/>
      <c r="M64" s="171"/>
      <c r="N64" s="171"/>
      <c r="O64" s="172"/>
      <c r="P64" s="171"/>
      <c r="Q64" s="171"/>
      <c r="R64" s="171"/>
      <c r="S64" s="172"/>
      <c r="T64" s="171"/>
      <c r="U64" s="172"/>
      <c r="V64" s="171"/>
      <c r="W64" s="172"/>
      <c r="X64" s="53"/>
      <c r="Y64" s="151"/>
      <c r="Z64" s="151"/>
      <c r="AA64" s="151"/>
      <c r="AB64" s="151"/>
    </row>
    <row r="65" spans="1:28" s="178" customFormat="1" ht="13">
      <c r="A65" s="170"/>
      <c r="B65" s="175"/>
      <c r="C65" s="176"/>
      <c r="D65" s="176"/>
      <c r="E65" s="176"/>
      <c r="F65" s="176"/>
      <c r="G65" s="176"/>
      <c r="H65" s="176"/>
      <c r="I65" s="177"/>
      <c r="J65" s="176"/>
      <c r="K65" s="176"/>
      <c r="L65" s="176"/>
      <c r="M65" s="176"/>
      <c r="N65" s="176"/>
      <c r="O65" s="177"/>
      <c r="P65" s="176"/>
      <c r="Q65" s="176"/>
      <c r="R65" s="176"/>
      <c r="S65" s="177"/>
      <c r="T65" s="176"/>
      <c r="U65" s="177"/>
      <c r="V65" s="176"/>
      <c r="W65" s="177"/>
      <c r="X65" s="53"/>
      <c r="Y65" s="151"/>
      <c r="Z65" s="151"/>
      <c r="AA65" s="151"/>
      <c r="AB65" s="151"/>
    </row>
    <row r="66" spans="1:28" ht="13">
      <c r="A66" s="170"/>
      <c r="B66" s="59"/>
      <c r="C66" s="179"/>
      <c r="D66" s="179"/>
      <c r="E66" s="179"/>
      <c r="F66" s="179"/>
      <c r="G66" s="179"/>
      <c r="H66" s="179"/>
      <c r="I66" s="180"/>
      <c r="J66" s="179"/>
      <c r="K66" s="179"/>
      <c r="L66" s="179"/>
      <c r="M66" s="179"/>
      <c r="N66" s="179"/>
      <c r="O66" s="180"/>
      <c r="P66" s="179"/>
      <c r="Q66" s="179"/>
      <c r="R66" s="179"/>
      <c r="S66" s="180"/>
      <c r="T66" s="179"/>
      <c r="U66" s="180"/>
      <c r="V66" s="179"/>
      <c r="W66" s="180"/>
      <c r="X66" s="53"/>
      <c r="Y66" s="151"/>
      <c r="Z66" s="151"/>
      <c r="AA66" s="151"/>
      <c r="AB66" s="151"/>
    </row>
    <row r="67" spans="1:28" s="173" customFormat="1" ht="13">
      <c r="A67" s="170"/>
      <c r="B67" s="94"/>
      <c r="C67" s="171"/>
      <c r="D67" s="171"/>
      <c r="E67" s="171"/>
      <c r="F67" s="171"/>
      <c r="G67" s="171"/>
      <c r="H67" s="171"/>
      <c r="I67" s="172"/>
      <c r="J67" s="171"/>
      <c r="K67" s="171"/>
      <c r="L67" s="171"/>
      <c r="M67" s="171"/>
      <c r="N67" s="171"/>
      <c r="O67" s="172"/>
      <c r="P67" s="171"/>
      <c r="Q67" s="171"/>
      <c r="R67" s="171"/>
      <c r="S67" s="172"/>
      <c r="T67" s="171"/>
      <c r="U67" s="172"/>
      <c r="V67" s="171"/>
      <c r="W67" s="172"/>
      <c r="X67" s="53"/>
      <c r="Y67" s="151"/>
      <c r="Z67" s="151"/>
      <c r="AA67" s="151"/>
      <c r="AB67" s="151"/>
    </row>
    <row r="68" spans="1:28" s="178" customFormat="1" ht="13">
      <c r="A68" s="170"/>
      <c r="B68" s="175"/>
      <c r="C68" s="176"/>
      <c r="D68" s="176"/>
      <c r="E68" s="176"/>
      <c r="F68" s="176"/>
      <c r="G68" s="176"/>
      <c r="H68" s="176"/>
      <c r="I68" s="177"/>
      <c r="J68" s="176"/>
      <c r="K68" s="176"/>
      <c r="L68" s="176"/>
      <c r="M68" s="176"/>
      <c r="N68" s="176"/>
      <c r="O68" s="177"/>
      <c r="P68" s="176"/>
      <c r="Q68" s="176"/>
      <c r="R68" s="176"/>
      <c r="S68" s="177"/>
      <c r="T68" s="176"/>
      <c r="U68" s="177"/>
      <c r="V68" s="176"/>
      <c r="W68" s="177"/>
      <c r="X68" s="53"/>
      <c r="Y68" s="151"/>
      <c r="Z68" s="151"/>
      <c r="AA68" s="151"/>
      <c r="AB68" s="151"/>
    </row>
    <row r="69" spans="1:28" ht="13">
      <c r="A69" s="170"/>
      <c r="B69" s="59"/>
      <c r="C69" s="179"/>
      <c r="D69" s="179"/>
      <c r="E69" s="179"/>
      <c r="F69" s="179"/>
      <c r="G69" s="179"/>
      <c r="H69" s="179"/>
      <c r="I69" s="180"/>
      <c r="J69" s="179"/>
      <c r="K69" s="179"/>
      <c r="L69" s="179"/>
      <c r="M69" s="179"/>
      <c r="N69" s="179"/>
      <c r="O69" s="180"/>
      <c r="P69" s="179"/>
      <c r="Q69" s="179"/>
      <c r="R69" s="179"/>
      <c r="S69" s="180"/>
      <c r="T69" s="179"/>
      <c r="U69" s="180"/>
      <c r="V69" s="179"/>
      <c r="W69" s="180"/>
      <c r="X69" s="53"/>
      <c r="Y69" s="151"/>
      <c r="Z69" s="151"/>
      <c r="AA69" s="151"/>
      <c r="AB69" s="151"/>
    </row>
    <row r="70" spans="1:28" s="173" customFormat="1" ht="13">
      <c r="A70" s="170"/>
      <c r="B70" s="94"/>
      <c r="C70" s="171"/>
      <c r="D70" s="171"/>
      <c r="E70" s="171"/>
      <c r="F70" s="171"/>
      <c r="G70" s="171"/>
      <c r="H70" s="171"/>
      <c r="I70" s="172"/>
      <c r="J70" s="171"/>
      <c r="K70" s="171"/>
      <c r="L70" s="171"/>
      <c r="M70" s="171"/>
      <c r="N70" s="171"/>
      <c r="O70" s="172"/>
      <c r="P70" s="171"/>
      <c r="Q70" s="171"/>
      <c r="R70" s="171"/>
      <c r="S70" s="172"/>
      <c r="T70" s="171"/>
      <c r="U70" s="172"/>
      <c r="V70" s="171"/>
      <c r="W70" s="172"/>
      <c r="X70" s="53"/>
      <c r="Y70" s="151"/>
      <c r="Z70" s="151"/>
      <c r="AA70" s="151"/>
      <c r="AB70" s="151"/>
    </row>
    <row r="71" spans="1:28" s="178" customFormat="1" ht="13">
      <c r="A71" s="170"/>
      <c r="B71" s="175"/>
      <c r="C71" s="176"/>
      <c r="D71" s="176"/>
      <c r="E71" s="176"/>
      <c r="F71" s="176"/>
      <c r="G71" s="176"/>
      <c r="H71" s="176"/>
      <c r="I71" s="177"/>
      <c r="J71" s="176"/>
      <c r="K71" s="176"/>
      <c r="L71" s="176"/>
      <c r="M71" s="176"/>
      <c r="N71" s="176"/>
      <c r="O71" s="177"/>
      <c r="P71" s="176"/>
      <c r="Q71" s="176"/>
      <c r="R71" s="176"/>
      <c r="S71" s="177"/>
      <c r="T71" s="176"/>
      <c r="U71" s="177"/>
      <c r="V71" s="176"/>
      <c r="W71" s="177"/>
      <c r="X71" s="53"/>
      <c r="Y71" s="151"/>
      <c r="Z71" s="151"/>
      <c r="AA71" s="151"/>
      <c r="AB71" s="151"/>
    </row>
    <row r="72" spans="1:28" ht="13">
      <c r="A72" s="170"/>
      <c r="B72" s="59"/>
      <c r="C72" s="179"/>
      <c r="D72" s="179"/>
      <c r="E72" s="179"/>
      <c r="F72" s="179"/>
      <c r="G72" s="179"/>
      <c r="H72" s="179"/>
      <c r="I72" s="180"/>
      <c r="J72" s="179"/>
      <c r="K72" s="179"/>
      <c r="L72" s="179"/>
      <c r="M72" s="179"/>
      <c r="N72" s="179"/>
      <c r="O72" s="180"/>
      <c r="P72" s="179"/>
      <c r="Q72" s="179"/>
      <c r="R72" s="179"/>
      <c r="S72" s="180"/>
      <c r="T72" s="179"/>
      <c r="U72" s="180"/>
      <c r="V72" s="179"/>
      <c r="W72" s="180"/>
      <c r="X72" s="53"/>
      <c r="Y72" s="151"/>
      <c r="Z72" s="151"/>
      <c r="AA72" s="151"/>
      <c r="AB72" s="151"/>
    </row>
    <row r="73" spans="1:28" s="173" customFormat="1" ht="13">
      <c r="A73" s="170"/>
      <c r="B73" s="94"/>
      <c r="C73" s="171"/>
      <c r="D73" s="171"/>
      <c r="E73" s="171"/>
      <c r="F73" s="171"/>
      <c r="G73" s="171"/>
      <c r="H73" s="171"/>
      <c r="I73" s="172"/>
      <c r="J73" s="171"/>
      <c r="K73" s="171"/>
      <c r="L73" s="171"/>
      <c r="M73" s="171"/>
      <c r="N73" s="171"/>
      <c r="O73" s="172"/>
      <c r="P73" s="171"/>
      <c r="Q73" s="171"/>
      <c r="R73" s="171"/>
      <c r="S73" s="172"/>
      <c r="T73" s="171"/>
      <c r="U73" s="172"/>
      <c r="V73" s="171"/>
      <c r="W73" s="172"/>
      <c r="X73" s="53"/>
      <c r="Y73" s="151"/>
      <c r="Z73" s="151"/>
      <c r="AA73" s="151"/>
      <c r="AB73" s="151"/>
    </row>
    <row r="74" spans="1:28" s="178" customFormat="1" ht="13">
      <c r="A74" s="170"/>
      <c r="B74" s="175"/>
      <c r="C74" s="176"/>
      <c r="D74" s="176"/>
      <c r="E74" s="176"/>
      <c r="F74" s="176"/>
      <c r="G74" s="176"/>
      <c r="H74" s="176"/>
      <c r="I74" s="177"/>
      <c r="J74" s="176"/>
      <c r="K74" s="176"/>
      <c r="L74" s="176"/>
      <c r="M74" s="176"/>
      <c r="N74" s="176"/>
      <c r="O74" s="177"/>
      <c r="P74" s="176"/>
      <c r="Q74" s="176"/>
      <c r="R74" s="176"/>
      <c r="S74" s="177"/>
      <c r="T74" s="176"/>
      <c r="U74" s="177"/>
      <c r="V74" s="176"/>
      <c r="W74" s="177"/>
      <c r="X74" s="53"/>
      <c r="Y74" s="151"/>
      <c r="Z74" s="151"/>
      <c r="AA74" s="151"/>
      <c r="AB74" s="151"/>
    </row>
    <row r="75" spans="1:28" ht="13">
      <c r="A75" s="170"/>
      <c r="B75" s="59"/>
      <c r="C75" s="179"/>
      <c r="D75" s="179"/>
      <c r="E75" s="179"/>
      <c r="F75" s="179"/>
      <c r="G75" s="179"/>
      <c r="H75" s="179"/>
      <c r="I75" s="180"/>
      <c r="J75" s="179"/>
      <c r="K75" s="179"/>
      <c r="L75" s="179"/>
      <c r="M75" s="179"/>
      <c r="N75" s="179"/>
      <c r="O75" s="180"/>
      <c r="P75" s="179"/>
      <c r="Q75" s="179"/>
      <c r="R75" s="179"/>
      <c r="S75" s="180"/>
      <c r="T75" s="179"/>
      <c r="U75" s="180"/>
      <c r="V75" s="179"/>
      <c r="W75" s="180"/>
      <c r="X75" s="53"/>
      <c r="Y75" s="151"/>
      <c r="Z75" s="151"/>
      <c r="AA75" s="151"/>
      <c r="AB75" s="151"/>
    </row>
    <row r="76" spans="1:28" s="173" customFormat="1" ht="13">
      <c r="A76" s="170"/>
      <c r="B76" s="94"/>
      <c r="C76" s="171"/>
      <c r="D76" s="171"/>
      <c r="E76" s="171"/>
      <c r="F76" s="171"/>
      <c r="G76" s="171"/>
      <c r="H76" s="171"/>
      <c r="I76" s="172"/>
      <c r="J76" s="171"/>
      <c r="K76" s="171"/>
      <c r="L76" s="171"/>
      <c r="M76" s="171"/>
      <c r="N76" s="171"/>
      <c r="O76" s="172"/>
      <c r="P76" s="171"/>
      <c r="Q76" s="171"/>
      <c r="R76" s="171"/>
      <c r="S76" s="172"/>
      <c r="T76" s="171"/>
      <c r="U76" s="172"/>
      <c r="V76" s="171"/>
      <c r="W76" s="172"/>
      <c r="X76" s="53"/>
      <c r="Y76" s="151"/>
      <c r="Z76" s="151"/>
      <c r="AA76" s="151"/>
      <c r="AB76" s="151"/>
    </row>
    <row r="77" spans="1:28" s="178" customFormat="1" ht="13">
      <c r="A77" s="170"/>
      <c r="B77" s="175"/>
      <c r="C77" s="176"/>
      <c r="D77" s="176"/>
      <c r="E77" s="176"/>
      <c r="F77" s="176"/>
      <c r="G77" s="176"/>
      <c r="H77" s="176"/>
      <c r="I77" s="177"/>
      <c r="J77" s="176"/>
      <c r="K77" s="176"/>
      <c r="L77" s="176"/>
      <c r="M77" s="176"/>
      <c r="N77" s="176"/>
      <c r="O77" s="177"/>
      <c r="P77" s="176"/>
      <c r="Q77" s="176"/>
      <c r="R77" s="176"/>
      <c r="S77" s="177"/>
      <c r="T77" s="176"/>
      <c r="U77" s="177"/>
      <c r="V77" s="176"/>
      <c r="W77" s="177"/>
      <c r="X77" s="53"/>
      <c r="Y77" s="151"/>
      <c r="Z77" s="151"/>
      <c r="AA77" s="151"/>
      <c r="AB77" s="151"/>
    </row>
    <row r="78" spans="1:28" ht="13">
      <c r="A78" s="170"/>
      <c r="B78" s="59"/>
      <c r="C78" s="179"/>
      <c r="D78" s="179"/>
      <c r="E78" s="179"/>
      <c r="F78" s="179"/>
      <c r="G78" s="179"/>
      <c r="H78" s="179"/>
      <c r="I78" s="180"/>
      <c r="J78" s="179"/>
      <c r="K78" s="179"/>
      <c r="L78" s="179"/>
      <c r="M78" s="179"/>
      <c r="N78" s="179"/>
      <c r="O78" s="180"/>
      <c r="P78" s="179"/>
      <c r="Q78" s="179"/>
      <c r="R78" s="179"/>
      <c r="S78" s="180"/>
      <c r="T78" s="179"/>
      <c r="U78" s="180"/>
      <c r="V78" s="179"/>
      <c r="W78" s="180"/>
      <c r="X78" s="53"/>
      <c r="Y78" s="151"/>
      <c r="Z78" s="151"/>
      <c r="AA78" s="151"/>
      <c r="AB78" s="151"/>
    </row>
    <row r="79" spans="1:28" s="173" customFormat="1" ht="13">
      <c r="A79" s="170"/>
      <c r="B79" s="94"/>
      <c r="C79" s="171"/>
      <c r="D79" s="171"/>
      <c r="E79" s="171"/>
      <c r="F79" s="171"/>
      <c r="G79" s="171"/>
      <c r="H79" s="171"/>
      <c r="I79" s="172"/>
      <c r="J79" s="171"/>
      <c r="K79" s="171"/>
      <c r="L79" s="171"/>
      <c r="M79" s="171"/>
      <c r="N79" s="171"/>
      <c r="O79" s="172"/>
      <c r="P79" s="171"/>
      <c r="Q79" s="171"/>
      <c r="R79" s="171"/>
      <c r="S79" s="172"/>
      <c r="T79" s="171"/>
      <c r="U79" s="172"/>
      <c r="V79" s="171"/>
      <c r="W79" s="172"/>
      <c r="X79" s="53"/>
      <c r="Y79" s="151"/>
      <c r="Z79" s="151"/>
      <c r="AA79" s="151"/>
      <c r="AB79" s="151"/>
    </row>
    <row r="80" spans="1:28" s="178" customFormat="1" ht="13">
      <c r="A80" s="170"/>
      <c r="B80" s="175"/>
      <c r="C80" s="176"/>
      <c r="D80" s="176"/>
      <c r="E80" s="176"/>
      <c r="F80" s="176"/>
      <c r="G80" s="176"/>
      <c r="H80" s="176"/>
      <c r="I80" s="177"/>
      <c r="J80" s="176"/>
      <c r="K80" s="176"/>
      <c r="L80" s="176"/>
      <c r="M80" s="176"/>
      <c r="N80" s="176"/>
      <c r="O80" s="177"/>
      <c r="P80" s="176"/>
      <c r="Q80" s="176"/>
      <c r="R80" s="176"/>
      <c r="S80" s="177"/>
      <c r="T80" s="181"/>
      <c r="U80" s="177"/>
      <c r="V80" s="176"/>
      <c r="W80" s="177"/>
      <c r="X80" s="53"/>
      <c r="Y80" s="151"/>
      <c r="Z80" s="151"/>
      <c r="AA80" s="151"/>
      <c r="AB80" s="151"/>
    </row>
    <row r="81" spans="1:28" ht="13">
      <c r="A81" s="170"/>
      <c r="B81" s="59"/>
      <c r="C81" s="179"/>
      <c r="D81" s="179"/>
      <c r="E81" s="179"/>
      <c r="F81" s="179"/>
      <c r="G81" s="179"/>
      <c r="H81" s="179"/>
      <c r="I81" s="180"/>
      <c r="J81" s="179"/>
      <c r="K81" s="179"/>
      <c r="L81" s="179"/>
      <c r="M81" s="179"/>
      <c r="N81" s="179"/>
      <c r="O81" s="180"/>
      <c r="P81" s="179"/>
      <c r="Q81" s="179"/>
      <c r="R81" s="179"/>
      <c r="S81" s="180"/>
      <c r="T81" s="179"/>
      <c r="U81" s="180"/>
      <c r="V81" s="179"/>
      <c r="W81" s="180"/>
      <c r="X81" s="53"/>
      <c r="Y81" s="151"/>
      <c r="Z81" s="151"/>
      <c r="AA81" s="151"/>
      <c r="AB81" s="151"/>
    </row>
    <row r="82" spans="1:28" s="173" customFormat="1" ht="13">
      <c r="A82" s="170"/>
      <c r="B82" s="94"/>
      <c r="C82" s="171"/>
      <c r="D82" s="171"/>
      <c r="E82" s="171"/>
      <c r="F82" s="171"/>
      <c r="G82" s="171"/>
      <c r="H82" s="171"/>
      <c r="I82" s="172"/>
      <c r="J82" s="171"/>
      <c r="K82" s="171"/>
      <c r="L82" s="171"/>
      <c r="M82" s="171"/>
      <c r="N82" s="171"/>
      <c r="O82" s="172"/>
      <c r="P82" s="171"/>
      <c r="Q82" s="171"/>
      <c r="R82" s="171"/>
      <c r="S82" s="172"/>
      <c r="T82" s="171"/>
      <c r="U82" s="172"/>
      <c r="V82" s="171"/>
      <c r="W82" s="172"/>
      <c r="X82" s="53"/>
      <c r="Y82" s="151"/>
      <c r="Z82" s="151"/>
      <c r="AA82" s="151"/>
      <c r="AB82" s="151"/>
    </row>
    <row r="83" spans="1:28" s="192" customFormat="1" ht="13.5" thickBot="1">
      <c r="A83" s="186"/>
      <c r="B83" s="187"/>
      <c r="C83" s="188"/>
      <c r="D83" s="188"/>
      <c r="E83" s="188"/>
      <c r="F83" s="188"/>
      <c r="G83" s="188"/>
      <c r="H83" s="188"/>
      <c r="I83" s="189"/>
      <c r="J83" s="188"/>
      <c r="K83" s="188"/>
      <c r="L83" s="188"/>
      <c r="M83" s="188"/>
      <c r="N83" s="188"/>
      <c r="O83" s="189"/>
      <c r="P83" s="188"/>
      <c r="Q83" s="188"/>
      <c r="R83" s="188"/>
      <c r="S83" s="189"/>
      <c r="T83" s="188"/>
      <c r="U83" s="189"/>
      <c r="V83" s="188"/>
      <c r="W83" s="189"/>
      <c r="X83" s="53"/>
      <c r="Y83" s="151"/>
      <c r="Z83" s="151"/>
      <c r="AA83" s="151"/>
      <c r="AB83" s="151"/>
    </row>
    <row r="84" spans="1:28" ht="13.5" thickTop="1">
      <c r="A84" s="147"/>
      <c r="B84" s="167"/>
      <c r="C84" s="168"/>
      <c r="D84" s="168"/>
      <c r="E84" s="168"/>
      <c r="F84" s="168"/>
      <c r="G84" s="168"/>
      <c r="H84" s="168"/>
      <c r="I84" s="169"/>
      <c r="J84" s="168"/>
      <c r="K84" s="168"/>
      <c r="L84" s="168"/>
      <c r="M84" s="168"/>
      <c r="N84" s="168"/>
      <c r="O84" s="169"/>
      <c r="P84" s="168"/>
      <c r="Q84" s="168"/>
      <c r="R84" s="168"/>
      <c r="S84" s="169"/>
      <c r="T84" s="168"/>
      <c r="U84" s="169"/>
      <c r="V84" s="168"/>
      <c r="W84" s="169"/>
      <c r="X84" s="53"/>
      <c r="Y84" s="151"/>
      <c r="Z84" s="151"/>
      <c r="AA84" s="151"/>
      <c r="AB84" s="151"/>
    </row>
    <row r="85" spans="1:28" s="173" customFormat="1" ht="13">
      <c r="A85" s="170"/>
      <c r="B85" s="94"/>
      <c r="C85" s="171"/>
      <c r="D85" s="171"/>
      <c r="E85" s="171"/>
      <c r="F85" s="171"/>
      <c r="G85" s="171"/>
      <c r="H85" s="171"/>
      <c r="I85" s="172"/>
      <c r="J85" s="171"/>
      <c r="K85" s="171"/>
      <c r="L85" s="171"/>
      <c r="M85" s="171"/>
      <c r="N85" s="171"/>
      <c r="O85" s="172"/>
      <c r="P85" s="171"/>
      <c r="Q85" s="171"/>
      <c r="R85" s="171"/>
      <c r="S85" s="172"/>
      <c r="T85" s="171"/>
      <c r="U85" s="172"/>
      <c r="V85" s="171"/>
      <c r="W85" s="172"/>
      <c r="X85" s="53"/>
      <c r="Y85" s="151"/>
      <c r="Z85" s="151"/>
      <c r="AA85" s="151"/>
      <c r="AB85" s="151"/>
    </row>
    <row r="86" spans="1:28" s="178" customFormat="1" ht="13">
      <c r="A86" s="174"/>
      <c r="B86" s="175"/>
      <c r="C86" s="176"/>
      <c r="D86" s="176"/>
      <c r="E86" s="176"/>
      <c r="F86" s="176"/>
      <c r="G86" s="176"/>
      <c r="H86" s="176"/>
      <c r="I86" s="177"/>
      <c r="J86" s="176"/>
      <c r="K86" s="176"/>
      <c r="L86" s="176"/>
      <c r="M86" s="176"/>
      <c r="N86" s="176"/>
      <c r="O86" s="177"/>
      <c r="P86" s="176"/>
      <c r="Q86" s="176"/>
      <c r="R86" s="176"/>
      <c r="S86" s="177"/>
      <c r="T86" s="176"/>
      <c r="U86" s="177"/>
      <c r="V86" s="176"/>
      <c r="W86" s="177"/>
      <c r="X86" s="53"/>
      <c r="Y86" s="151"/>
      <c r="Z86" s="151"/>
      <c r="AA86" s="151"/>
      <c r="AB86" s="151"/>
    </row>
    <row r="87" spans="1:28" ht="13">
      <c r="A87" s="170"/>
      <c r="B87" s="59"/>
      <c r="C87" s="179"/>
      <c r="D87" s="179"/>
      <c r="E87" s="179"/>
      <c r="F87" s="179"/>
      <c r="G87" s="179"/>
      <c r="H87" s="179"/>
      <c r="I87" s="180"/>
      <c r="J87" s="179"/>
      <c r="K87" s="179"/>
      <c r="L87" s="179"/>
      <c r="M87" s="179"/>
      <c r="N87" s="179"/>
      <c r="O87" s="180"/>
      <c r="P87" s="179"/>
      <c r="Q87" s="179"/>
      <c r="R87" s="179"/>
      <c r="S87" s="180"/>
      <c r="T87" s="179"/>
      <c r="U87" s="180"/>
      <c r="V87" s="179"/>
      <c r="W87" s="180"/>
      <c r="X87" s="53"/>
      <c r="Y87" s="151"/>
      <c r="Z87" s="151"/>
      <c r="AA87" s="151"/>
      <c r="AB87" s="151"/>
    </row>
    <row r="88" spans="1:28" s="173" customFormat="1" ht="13">
      <c r="A88" s="170"/>
      <c r="B88" s="94"/>
      <c r="C88" s="171"/>
      <c r="D88" s="171"/>
      <c r="E88" s="171"/>
      <c r="F88" s="171"/>
      <c r="G88" s="171"/>
      <c r="H88" s="171"/>
      <c r="I88" s="172"/>
      <c r="J88" s="171"/>
      <c r="K88" s="171"/>
      <c r="L88" s="171"/>
      <c r="M88" s="171"/>
      <c r="N88" s="171"/>
      <c r="O88" s="172"/>
      <c r="P88" s="171"/>
      <c r="Q88" s="171"/>
      <c r="R88" s="171"/>
      <c r="S88" s="172"/>
      <c r="T88" s="171"/>
      <c r="U88" s="172"/>
      <c r="V88" s="171"/>
      <c r="W88" s="172"/>
      <c r="X88" s="53"/>
      <c r="Y88" s="151"/>
      <c r="Z88" s="151"/>
      <c r="AA88" s="151"/>
      <c r="AB88" s="151"/>
    </row>
    <row r="89" spans="1:28" s="178" customFormat="1" ht="13">
      <c r="A89" s="170"/>
      <c r="B89" s="175"/>
      <c r="C89" s="176"/>
      <c r="D89" s="176"/>
      <c r="E89" s="176"/>
      <c r="F89" s="176"/>
      <c r="G89" s="176"/>
      <c r="H89" s="176"/>
      <c r="I89" s="177"/>
      <c r="J89" s="176"/>
      <c r="K89" s="176"/>
      <c r="L89" s="176"/>
      <c r="M89" s="176"/>
      <c r="N89" s="176"/>
      <c r="O89" s="177"/>
      <c r="P89" s="176"/>
      <c r="Q89" s="176"/>
      <c r="R89" s="176"/>
      <c r="S89" s="177"/>
      <c r="T89" s="176"/>
      <c r="U89" s="177"/>
      <c r="V89" s="176"/>
      <c r="W89" s="177"/>
      <c r="X89" s="53"/>
      <c r="Y89" s="151"/>
      <c r="Z89" s="151"/>
      <c r="AA89" s="151"/>
      <c r="AB89" s="151"/>
    </row>
    <row r="90" spans="1:28" ht="13">
      <c r="A90" s="170"/>
      <c r="B90" s="59"/>
      <c r="C90" s="179"/>
      <c r="D90" s="179"/>
      <c r="E90" s="179"/>
      <c r="F90" s="179"/>
      <c r="G90" s="179"/>
      <c r="H90" s="179"/>
      <c r="I90" s="180"/>
      <c r="J90" s="179"/>
      <c r="K90" s="179"/>
      <c r="L90" s="179"/>
      <c r="M90" s="179"/>
      <c r="N90" s="179"/>
      <c r="O90" s="180"/>
      <c r="P90" s="179"/>
      <c r="Q90" s="179"/>
      <c r="R90" s="179"/>
      <c r="S90" s="180"/>
      <c r="T90" s="179"/>
      <c r="U90" s="180"/>
      <c r="V90" s="179"/>
      <c r="W90" s="180"/>
      <c r="X90" s="53"/>
      <c r="Y90" s="151"/>
      <c r="Z90" s="151"/>
      <c r="AA90" s="151"/>
      <c r="AB90" s="151"/>
    </row>
    <row r="91" spans="1:28" s="173" customFormat="1" ht="13">
      <c r="A91" s="170"/>
      <c r="B91" s="94"/>
      <c r="C91" s="171"/>
      <c r="D91" s="171"/>
      <c r="E91" s="171"/>
      <c r="F91" s="171"/>
      <c r="G91" s="171"/>
      <c r="H91" s="171"/>
      <c r="I91" s="172"/>
      <c r="J91" s="171"/>
      <c r="K91" s="171"/>
      <c r="L91" s="171"/>
      <c r="M91" s="171"/>
      <c r="N91" s="171"/>
      <c r="O91" s="172"/>
      <c r="P91" s="171"/>
      <c r="Q91" s="171"/>
      <c r="R91" s="171"/>
      <c r="S91" s="172"/>
      <c r="T91" s="171"/>
      <c r="U91" s="172"/>
      <c r="V91" s="171"/>
      <c r="W91" s="172"/>
      <c r="X91" s="53"/>
      <c r="Y91" s="151"/>
      <c r="Z91" s="151"/>
      <c r="AA91" s="151"/>
      <c r="AB91" s="151"/>
    </row>
    <row r="92" spans="1:28" s="178" customFormat="1" ht="13">
      <c r="A92" s="170"/>
      <c r="B92" s="175"/>
      <c r="C92" s="176"/>
      <c r="D92" s="176"/>
      <c r="E92" s="176"/>
      <c r="F92" s="176"/>
      <c r="G92" s="176"/>
      <c r="H92" s="176"/>
      <c r="I92" s="177"/>
      <c r="J92" s="176"/>
      <c r="K92" s="176"/>
      <c r="L92" s="176"/>
      <c r="M92" s="176"/>
      <c r="N92" s="176"/>
      <c r="O92" s="177"/>
      <c r="P92" s="176"/>
      <c r="Q92" s="176"/>
      <c r="R92" s="176"/>
      <c r="S92" s="177"/>
      <c r="T92" s="176"/>
      <c r="U92" s="177"/>
      <c r="V92" s="176"/>
      <c r="W92" s="177"/>
      <c r="X92" s="53"/>
      <c r="Y92" s="151"/>
      <c r="Z92" s="151"/>
      <c r="AA92" s="151"/>
      <c r="AB92" s="151"/>
    </row>
    <row r="93" spans="1:28" ht="13">
      <c r="A93" s="170"/>
      <c r="B93" s="59"/>
      <c r="C93" s="179"/>
      <c r="D93" s="179"/>
      <c r="E93" s="179"/>
      <c r="F93" s="179"/>
      <c r="G93" s="179"/>
      <c r="H93" s="179"/>
      <c r="I93" s="180"/>
      <c r="J93" s="179"/>
      <c r="K93" s="179"/>
      <c r="L93" s="179"/>
      <c r="M93" s="179"/>
      <c r="N93" s="179"/>
      <c r="O93" s="180"/>
      <c r="P93" s="179"/>
      <c r="Q93" s="179"/>
      <c r="R93" s="179"/>
      <c r="S93" s="180"/>
      <c r="T93" s="179"/>
      <c r="U93" s="180"/>
      <c r="V93" s="179"/>
      <c r="W93" s="180"/>
      <c r="X93" s="53"/>
      <c r="Y93" s="151"/>
      <c r="Z93" s="151"/>
      <c r="AA93" s="151"/>
      <c r="AB93" s="151"/>
    </row>
    <row r="94" spans="1:28" s="173" customFormat="1" ht="13">
      <c r="A94" s="170"/>
      <c r="B94" s="94"/>
      <c r="C94" s="171"/>
      <c r="D94" s="171"/>
      <c r="E94" s="171"/>
      <c r="F94" s="171"/>
      <c r="G94" s="171"/>
      <c r="H94" s="171"/>
      <c r="I94" s="172"/>
      <c r="J94" s="171"/>
      <c r="K94" s="171"/>
      <c r="L94" s="171"/>
      <c r="M94" s="171"/>
      <c r="N94" s="171"/>
      <c r="O94" s="172"/>
      <c r="P94" s="171"/>
      <c r="Q94" s="171"/>
      <c r="R94" s="171"/>
      <c r="S94" s="172"/>
      <c r="T94" s="171"/>
      <c r="U94" s="172"/>
      <c r="V94" s="171"/>
      <c r="W94" s="172"/>
      <c r="X94" s="53"/>
      <c r="Y94" s="151"/>
      <c r="Z94" s="151"/>
      <c r="AA94" s="151"/>
      <c r="AB94" s="151"/>
    </row>
    <row r="95" spans="1:28" s="178" customFormat="1" ht="13">
      <c r="A95" s="170"/>
      <c r="B95" s="175"/>
      <c r="C95" s="176"/>
      <c r="D95" s="176"/>
      <c r="E95" s="176"/>
      <c r="F95" s="176"/>
      <c r="G95" s="176"/>
      <c r="H95" s="176"/>
      <c r="I95" s="177"/>
      <c r="J95" s="176"/>
      <c r="K95" s="176"/>
      <c r="L95" s="176"/>
      <c r="M95" s="176"/>
      <c r="N95" s="176"/>
      <c r="O95" s="177"/>
      <c r="P95" s="176"/>
      <c r="Q95" s="176"/>
      <c r="R95" s="176"/>
      <c r="S95" s="177"/>
      <c r="T95" s="176"/>
      <c r="U95" s="177"/>
      <c r="V95" s="176"/>
      <c r="W95" s="177"/>
      <c r="X95" s="53"/>
      <c r="Y95" s="151"/>
      <c r="Z95" s="151"/>
      <c r="AA95" s="151"/>
      <c r="AB95" s="151"/>
    </row>
    <row r="96" spans="1:28" ht="13">
      <c r="A96" s="170"/>
      <c r="B96" s="59"/>
      <c r="C96" s="179"/>
      <c r="D96" s="179"/>
      <c r="E96" s="179"/>
      <c r="F96" s="179"/>
      <c r="G96" s="179"/>
      <c r="H96" s="179"/>
      <c r="I96" s="180"/>
      <c r="J96" s="179"/>
      <c r="K96" s="179"/>
      <c r="L96" s="179"/>
      <c r="M96" s="179"/>
      <c r="N96" s="179"/>
      <c r="O96" s="180"/>
      <c r="P96" s="179"/>
      <c r="Q96" s="179"/>
      <c r="R96" s="179"/>
      <c r="S96" s="180"/>
      <c r="T96" s="179"/>
      <c r="U96" s="180"/>
      <c r="V96" s="179"/>
      <c r="W96" s="180"/>
      <c r="X96" s="53"/>
      <c r="Y96" s="151"/>
      <c r="Z96" s="151"/>
      <c r="AA96" s="151"/>
      <c r="AB96" s="151"/>
    </row>
    <row r="97" spans="1:28" s="173" customFormat="1" ht="13">
      <c r="A97" s="170"/>
      <c r="B97" s="94"/>
      <c r="C97" s="171"/>
      <c r="D97" s="171"/>
      <c r="E97" s="171"/>
      <c r="F97" s="171"/>
      <c r="G97" s="171"/>
      <c r="H97" s="171"/>
      <c r="I97" s="172"/>
      <c r="J97" s="171"/>
      <c r="K97" s="171"/>
      <c r="L97" s="171"/>
      <c r="M97" s="171"/>
      <c r="N97" s="171"/>
      <c r="O97" s="172"/>
      <c r="P97" s="171"/>
      <c r="Q97" s="171"/>
      <c r="R97" s="171"/>
      <c r="S97" s="172"/>
      <c r="T97" s="171"/>
      <c r="U97" s="172"/>
      <c r="V97" s="171"/>
      <c r="W97" s="172"/>
      <c r="X97" s="53"/>
      <c r="Y97" s="151"/>
      <c r="Z97" s="151"/>
      <c r="AA97" s="151"/>
      <c r="AB97" s="151"/>
    </row>
    <row r="98" spans="1:28" s="178" customFormat="1" ht="13">
      <c r="A98" s="170"/>
      <c r="B98" s="175"/>
      <c r="C98" s="176"/>
      <c r="D98" s="176"/>
      <c r="E98" s="176"/>
      <c r="F98" s="176"/>
      <c r="G98" s="176"/>
      <c r="H98" s="176"/>
      <c r="I98" s="177"/>
      <c r="J98" s="176"/>
      <c r="K98" s="176"/>
      <c r="L98" s="176"/>
      <c r="M98" s="176"/>
      <c r="N98" s="176"/>
      <c r="O98" s="177"/>
      <c r="P98" s="176"/>
      <c r="Q98" s="176"/>
      <c r="R98" s="176"/>
      <c r="S98" s="177"/>
      <c r="T98" s="176"/>
      <c r="U98" s="177"/>
      <c r="V98" s="176"/>
      <c r="W98" s="177"/>
      <c r="X98" s="53"/>
      <c r="Y98" s="151"/>
      <c r="Z98" s="151"/>
      <c r="AA98" s="151"/>
      <c r="AB98" s="151"/>
    </row>
    <row r="99" spans="1:28" ht="13">
      <c r="A99" s="170"/>
      <c r="B99" s="183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53"/>
      <c r="Y99" s="151"/>
      <c r="Z99" s="151"/>
      <c r="AA99" s="151"/>
      <c r="AB99" s="151"/>
    </row>
    <row r="100" spans="1:28" s="173" customFormat="1" ht="13">
      <c r="A100" s="170"/>
      <c r="B100" s="184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53"/>
      <c r="Y100" s="151"/>
      <c r="Z100" s="151"/>
      <c r="AA100" s="151"/>
      <c r="AB100" s="151"/>
    </row>
    <row r="101" spans="1:28" s="178" customFormat="1" ht="13">
      <c r="A101" s="170"/>
      <c r="B101" s="185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53"/>
      <c r="Y101" s="151"/>
      <c r="Z101" s="151"/>
      <c r="AA101" s="151"/>
      <c r="AB101" s="151"/>
    </row>
    <row r="102" spans="1:28" ht="13">
      <c r="A102" s="170"/>
      <c r="B102" s="59"/>
      <c r="C102" s="179"/>
      <c r="D102" s="179"/>
      <c r="E102" s="179"/>
      <c r="F102" s="179"/>
      <c r="G102" s="179"/>
      <c r="H102" s="179"/>
      <c r="I102" s="180"/>
      <c r="J102" s="179"/>
      <c r="K102" s="179"/>
      <c r="L102" s="179"/>
      <c r="M102" s="179"/>
      <c r="N102" s="179"/>
      <c r="O102" s="180"/>
      <c r="P102" s="179"/>
      <c r="Q102" s="179"/>
      <c r="R102" s="179"/>
      <c r="S102" s="180"/>
      <c r="T102" s="179"/>
      <c r="U102" s="180"/>
      <c r="V102" s="179"/>
      <c r="W102" s="180"/>
      <c r="X102" s="53"/>
      <c r="Y102" s="151"/>
      <c r="Z102" s="151"/>
      <c r="AA102" s="151"/>
      <c r="AB102" s="151"/>
    </row>
    <row r="103" spans="1:28" s="173" customFormat="1" ht="13">
      <c r="A103" s="170"/>
      <c r="B103" s="94"/>
      <c r="C103" s="171"/>
      <c r="D103" s="171"/>
      <c r="E103" s="171"/>
      <c r="F103" s="171"/>
      <c r="G103" s="171"/>
      <c r="H103" s="171"/>
      <c r="I103" s="172"/>
      <c r="J103" s="171"/>
      <c r="K103" s="171"/>
      <c r="L103" s="171"/>
      <c r="M103" s="171"/>
      <c r="N103" s="171"/>
      <c r="O103" s="172"/>
      <c r="P103" s="171"/>
      <c r="Q103" s="171"/>
      <c r="R103" s="171"/>
      <c r="S103" s="172"/>
      <c r="T103" s="171"/>
      <c r="U103" s="172"/>
      <c r="V103" s="171"/>
      <c r="W103" s="172"/>
      <c r="X103" s="53"/>
      <c r="Y103" s="151"/>
      <c r="Z103" s="151"/>
      <c r="AA103" s="151"/>
      <c r="AB103" s="151"/>
    </row>
    <row r="104" spans="1:28" s="178" customFormat="1" ht="13">
      <c r="A104" s="170"/>
      <c r="B104" s="175"/>
      <c r="C104" s="176"/>
      <c r="D104" s="176"/>
      <c r="E104" s="176"/>
      <c r="F104" s="176"/>
      <c r="G104" s="176"/>
      <c r="H104" s="176"/>
      <c r="I104" s="177"/>
      <c r="J104" s="176"/>
      <c r="K104" s="176"/>
      <c r="L104" s="176"/>
      <c r="M104" s="176"/>
      <c r="N104" s="176"/>
      <c r="O104" s="177"/>
      <c r="P104" s="176"/>
      <c r="Q104" s="176"/>
      <c r="R104" s="176"/>
      <c r="S104" s="177"/>
      <c r="T104" s="176"/>
      <c r="U104" s="177"/>
      <c r="V104" s="176"/>
      <c r="W104" s="177"/>
      <c r="X104" s="53"/>
      <c r="Y104" s="151"/>
      <c r="Z104" s="151"/>
      <c r="AA104" s="151"/>
      <c r="AB104" s="151"/>
    </row>
    <row r="105" spans="1:28" ht="13">
      <c r="A105" s="170"/>
      <c r="B105" s="59"/>
      <c r="C105" s="179"/>
      <c r="D105" s="179"/>
      <c r="E105" s="179"/>
      <c r="F105" s="179"/>
      <c r="G105" s="179"/>
      <c r="H105" s="179"/>
      <c r="I105" s="180"/>
      <c r="J105" s="179"/>
      <c r="K105" s="179"/>
      <c r="L105" s="179"/>
      <c r="M105" s="179"/>
      <c r="N105" s="179"/>
      <c r="O105" s="180"/>
      <c r="P105" s="179"/>
      <c r="Q105" s="179"/>
      <c r="R105" s="179"/>
      <c r="S105" s="180"/>
      <c r="T105" s="179"/>
      <c r="U105" s="180"/>
      <c r="V105" s="179"/>
      <c r="W105" s="180"/>
      <c r="X105" s="53"/>
      <c r="Y105" s="151"/>
      <c r="Z105" s="151"/>
      <c r="AA105" s="151"/>
      <c r="AB105" s="151"/>
    </row>
    <row r="106" spans="1:28" s="173" customFormat="1" ht="13">
      <c r="A106" s="170"/>
      <c r="B106" s="94"/>
      <c r="C106" s="171"/>
      <c r="D106" s="171"/>
      <c r="E106" s="171"/>
      <c r="F106" s="171"/>
      <c r="G106" s="171"/>
      <c r="H106" s="171"/>
      <c r="I106" s="172"/>
      <c r="J106" s="171"/>
      <c r="K106" s="171"/>
      <c r="L106" s="171"/>
      <c r="M106" s="171"/>
      <c r="N106" s="171"/>
      <c r="O106" s="172"/>
      <c r="P106" s="171"/>
      <c r="Q106" s="171"/>
      <c r="R106" s="171"/>
      <c r="S106" s="172"/>
      <c r="T106" s="171"/>
      <c r="U106" s="172"/>
      <c r="V106" s="171"/>
      <c r="W106" s="172"/>
      <c r="X106" s="53"/>
      <c r="Y106" s="151"/>
      <c r="Z106" s="151"/>
      <c r="AA106" s="151"/>
      <c r="AB106" s="151"/>
    </row>
    <row r="107" spans="1:28" s="178" customFormat="1" ht="13">
      <c r="A107" s="170"/>
      <c r="B107" s="175"/>
      <c r="C107" s="176"/>
      <c r="D107" s="176"/>
      <c r="E107" s="176"/>
      <c r="F107" s="176"/>
      <c r="G107" s="176"/>
      <c r="H107" s="176"/>
      <c r="I107" s="177"/>
      <c r="J107" s="176"/>
      <c r="K107" s="176"/>
      <c r="L107" s="176"/>
      <c r="M107" s="176"/>
      <c r="N107" s="176"/>
      <c r="O107" s="177"/>
      <c r="P107" s="176"/>
      <c r="Q107" s="176"/>
      <c r="R107" s="176"/>
      <c r="S107" s="177"/>
      <c r="T107" s="176"/>
      <c r="U107" s="177"/>
      <c r="V107" s="176"/>
      <c r="W107" s="177"/>
      <c r="X107" s="53"/>
      <c r="Y107" s="151"/>
      <c r="Z107" s="151"/>
      <c r="AA107" s="151"/>
      <c r="AB107" s="151"/>
    </row>
    <row r="108" spans="1:28" ht="13">
      <c r="A108" s="170"/>
      <c r="B108" s="59"/>
      <c r="C108" s="179"/>
      <c r="D108" s="179"/>
      <c r="E108" s="179"/>
      <c r="F108" s="179"/>
      <c r="G108" s="179"/>
      <c r="H108" s="179"/>
      <c r="I108" s="180"/>
      <c r="J108" s="179"/>
      <c r="K108" s="179"/>
      <c r="L108" s="179"/>
      <c r="M108" s="179"/>
      <c r="N108" s="179"/>
      <c r="O108" s="180"/>
      <c r="P108" s="179"/>
      <c r="Q108" s="179"/>
      <c r="R108" s="179"/>
      <c r="S108" s="180"/>
      <c r="T108" s="179"/>
      <c r="U108" s="180"/>
      <c r="V108" s="179"/>
      <c r="W108" s="180"/>
      <c r="X108" s="53"/>
      <c r="Y108" s="151"/>
      <c r="Z108" s="151"/>
      <c r="AA108" s="151"/>
      <c r="AB108" s="151"/>
    </row>
    <row r="109" spans="1:28" s="173" customFormat="1" ht="13">
      <c r="A109" s="170"/>
      <c r="B109" s="94"/>
      <c r="C109" s="171"/>
      <c r="D109" s="171"/>
      <c r="E109" s="171"/>
      <c r="F109" s="171"/>
      <c r="G109" s="171"/>
      <c r="H109" s="171"/>
      <c r="I109" s="172"/>
      <c r="J109" s="171"/>
      <c r="K109" s="171"/>
      <c r="L109" s="171"/>
      <c r="M109" s="171"/>
      <c r="N109" s="171"/>
      <c r="O109" s="172"/>
      <c r="P109" s="171"/>
      <c r="Q109" s="171"/>
      <c r="R109" s="171"/>
      <c r="S109" s="172"/>
      <c r="T109" s="171"/>
      <c r="U109" s="172"/>
      <c r="V109" s="171"/>
      <c r="W109" s="172"/>
      <c r="X109" s="53"/>
      <c r="Y109" s="151"/>
      <c r="Z109" s="151"/>
      <c r="AA109" s="151"/>
      <c r="AB109" s="151"/>
    </row>
    <row r="110" spans="1:28" s="178" customFormat="1" ht="13">
      <c r="A110" s="170"/>
      <c r="B110" s="175"/>
      <c r="C110" s="176"/>
      <c r="D110" s="176"/>
      <c r="E110" s="176"/>
      <c r="F110" s="176"/>
      <c r="G110" s="176"/>
      <c r="H110" s="176"/>
      <c r="I110" s="177"/>
      <c r="J110" s="176"/>
      <c r="K110" s="176"/>
      <c r="L110" s="176"/>
      <c r="M110" s="176"/>
      <c r="N110" s="176"/>
      <c r="O110" s="177"/>
      <c r="P110" s="176"/>
      <c r="Q110" s="176"/>
      <c r="R110" s="176"/>
      <c r="S110" s="177"/>
      <c r="T110" s="176"/>
      <c r="U110" s="177"/>
      <c r="V110" s="176"/>
      <c r="W110" s="177"/>
      <c r="X110" s="53"/>
      <c r="Y110" s="151"/>
      <c r="Z110" s="151"/>
      <c r="AA110" s="151"/>
      <c r="AB110" s="151"/>
    </row>
    <row r="111" spans="1:28" ht="13">
      <c r="A111" s="170"/>
      <c r="B111" s="59"/>
      <c r="C111" s="179"/>
      <c r="D111" s="179"/>
      <c r="E111" s="179"/>
      <c r="F111" s="179"/>
      <c r="G111" s="179"/>
      <c r="H111" s="179"/>
      <c r="I111" s="180"/>
      <c r="J111" s="179"/>
      <c r="K111" s="179"/>
      <c r="L111" s="179"/>
      <c r="M111" s="179"/>
      <c r="N111" s="179"/>
      <c r="O111" s="180"/>
      <c r="P111" s="179"/>
      <c r="Q111" s="179"/>
      <c r="R111" s="179"/>
      <c r="S111" s="180"/>
      <c r="T111" s="179"/>
      <c r="U111" s="180"/>
      <c r="V111" s="179"/>
      <c r="W111" s="180"/>
      <c r="X111" s="53"/>
      <c r="Y111" s="151"/>
      <c r="Z111" s="151"/>
      <c r="AA111" s="151"/>
      <c r="AB111" s="151"/>
    </row>
    <row r="112" spans="1:28" s="173" customFormat="1" ht="13">
      <c r="A112" s="170"/>
      <c r="B112" s="94"/>
      <c r="C112" s="171"/>
      <c r="D112" s="171"/>
      <c r="E112" s="171"/>
      <c r="F112" s="171"/>
      <c r="G112" s="171"/>
      <c r="H112" s="171"/>
      <c r="I112" s="172"/>
      <c r="J112" s="171"/>
      <c r="K112" s="171"/>
      <c r="L112" s="171"/>
      <c r="M112" s="171"/>
      <c r="N112" s="171"/>
      <c r="O112" s="172"/>
      <c r="P112" s="171"/>
      <c r="Q112" s="171"/>
      <c r="R112" s="171"/>
      <c r="S112" s="172"/>
      <c r="T112" s="171"/>
      <c r="U112" s="172"/>
      <c r="V112" s="171"/>
      <c r="W112" s="172"/>
      <c r="X112" s="53"/>
      <c r="Y112" s="151"/>
      <c r="Z112" s="151"/>
      <c r="AA112" s="151"/>
      <c r="AB112" s="151"/>
    </row>
    <row r="113" spans="1:28" s="178" customFormat="1" ht="13">
      <c r="A113" s="170"/>
      <c r="B113" s="175"/>
      <c r="C113" s="176"/>
      <c r="D113" s="176"/>
      <c r="E113" s="176"/>
      <c r="F113" s="176"/>
      <c r="G113" s="176"/>
      <c r="H113" s="176"/>
      <c r="I113" s="177"/>
      <c r="J113" s="176"/>
      <c r="K113" s="176"/>
      <c r="L113" s="176"/>
      <c r="M113" s="176"/>
      <c r="N113" s="176"/>
      <c r="O113" s="177"/>
      <c r="P113" s="176"/>
      <c r="Q113" s="176"/>
      <c r="R113" s="176"/>
      <c r="S113" s="177"/>
      <c r="T113" s="176"/>
      <c r="U113" s="177"/>
      <c r="V113" s="176"/>
      <c r="W113" s="177"/>
      <c r="X113" s="53"/>
      <c r="Y113" s="151"/>
      <c r="Z113" s="151"/>
      <c r="AA113" s="151"/>
      <c r="AB113" s="151"/>
    </row>
    <row r="114" spans="1:28" ht="13">
      <c r="A114" s="170"/>
      <c r="B114" s="59"/>
      <c r="C114" s="179"/>
      <c r="D114" s="179"/>
      <c r="E114" s="179"/>
      <c r="F114" s="179"/>
      <c r="G114" s="179"/>
      <c r="H114" s="179"/>
      <c r="I114" s="180"/>
      <c r="J114" s="179"/>
      <c r="K114" s="179"/>
      <c r="L114" s="179"/>
      <c r="M114" s="179"/>
      <c r="N114" s="179"/>
      <c r="O114" s="180"/>
      <c r="P114" s="179"/>
      <c r="Q114" s="179"/>
      <c r="R114" s="179"/>
      <c r="S114" s="180"/>
      <c r="T114" s="179"/>
      <c r="U114" s="180"/>
      <c r="V114" s="179"/>
      <c r="W114" s="180"/>
      <c r="X114" s="53"/>
      <c r="Y114" s="151"/>
      <c r="Z114" s="151"/>
      <c r="AA114" s="151"/>
      <c r="AB114" s="151"/>
    </row>
    <row r="115" spans="1:28" s="173" customFormat="1" ht="13">
      <c r="A115" s="170"/>
      <c r="B115" s="94"/>
      <c r="C115" s="171"/>
      <c r="D115" s="171"/>
      <c r="E115" s="171"/>
      <c r="F115" s="171"/>
      <c r="G115" s="171"/>
      <c r="H115" s="171"/>
      <c r="I115" s="172"/>
      <c r="J115" s="171"/>
      <c r="K115" s="171"/>
      <c r="L115" s="171"/>
      <c r="M115" s="171"/>
      <c r="N115" s="171"/>
      <c r="O115" s="172"/>
      <c r="P115" s="171"/>
      <c r="Q115" s="171"/>
      <c r="R115" s="171"/>
      <c r="S115" s="172"/>
      <c r="T115" s="171"/>
      <c r="U115" s="172"/>
      <c r="V115" s="171"/>
      <c r="W115" s="172"/>
      <c r="X115" s="53"/>
      <c r="Y115" s="151"/>
      <c r="Z115" s="151"/>
      <c r="AA115" s="151"/>
      <c r="AB115" s="151"/>
    </row>
    <row r="116" spans="1:28" s="178" customFormat="1" ht="13">
      <c r="A116" s="170"/>
      <c r="B116" s="175"/>
      <c r="C116" s="176"/>
      <c r="D116" s="176"/>
      <c r="E116" s="176"/>
      <c r="F116" s="176"/>
      <c r="G116" s="176"/>
      <c r="H116" s="176"/>
      <c r="I116" s="177"/>
      <c r="J116" s="176"/>
      <c r="K116" s="176"/>
      <c r="L116" s="176"/>
      <c r="M116" s="176"/>
      <c r="N116" s="176"/>
      <c r="O116" s="177"/>
      <c r="P116" s="176"/>
      <c r="Q116" s="176"/>
      <c r="R116" s="176"/>
      <c r="S116" s="177"/>
      <c r="T116" s="176"/>
      <c r="U116" s="177"/>
      <c r="V116" s="176"/>
      <c r="W116" s="177"/>
      <c r="X116" s="53"/>
      <c r="Y116" s="151"/>
      <c r="Z116" s="151"/>
      <c r="AA116" s="151"/>
      <c r="AB116" s="151"/>
    </row>
    <row r="117" spans="1:28" ht="13">
      <c r="A117" s="170"/>
      <c r="B117" s="59"/>
      <c r="C117" s="179"/>
      <c r="D117" s="179"/>
      <c r="E117" s="179"/>
      <c r="F117" s="179"/>
      <c r="G117" s="179"/>
      <c r="H117" s="179"/>
      <c r="I117" s="180"/>
      <c r="J117" s="179"/>
      <c r="K117" s="179"/>
      <c r="L117" s="179"/>
      <c r="M117" s="179"/>
      <c r="N117" s="179"/>
      <c r="O117" s="180"/>
      <c r="P117" s="179"/>
      <c r="Q117" s="179"/>
      <c r="R117" s="179"/>
      <c r="S117" s="180"/>
      <c r="T117" s="179"/>
      <c r="U117" s="180"/>
      <c r="V117" s="179"/>
      <c r="W117" s="180"/>
      <c r="X117" s="53"/>
      <c r="Y117" s="151"/>
      <c r="Z117" s="151"/>
      <c r="AA117" s="151"/>
      <c r="AB117" s="151"/>
    </row>
    <row r="118" spans="1:28" s="173" customFormat="1" ht="13">
      <c r="A118" s="170"/>
      <c r="B118" s="94"/>
      <c r="C118" s="171"/>
      <c r="D118" s="171"/>
      <c r="E118" s="171"/>
      <c r="F118" s="171"/>
      <c r="G118" s="171"/>
      <c r="H118" s="171"/>
      <c r="I118" s="172"/>
      <c r="J118" s="171"/>
      <c r="K118" s="171"/>
      <c r="L118" s="171"/>
      <c r="M118" s="171"/>
      <c r="N118" s="171"/>
      <c r="O118" s="172"/>
      <c r="P118" s="171"/>
      <c r="Q118" s="171"/>
      <c r="R118" s="171"/>
      <c r="S118" s="172"/>
      <c r="T118" s="171"/>
      <c r="U118" s="172"/>
      <c r="V118" s="171"/>
      <c r="W118" s="172"/>
      <c r="X118" s="53"/>
      <c r="Y118" s="151"/>
      <c r="Z118" s="151"/>
      <c r="AA118" s="151"/>
      <c r="AB118" s="151"/>
    </row>
    <row r="119" spans="1:28" s="178" customFormat="1" ht="13">
      <c r="A119" s="170"/>
      <c r="B119" s="175"/>
      <c r="C119" s="176"/>
      <c r="D119" s="176"/>
      <c r="E119" s="176"/>
      <c r="F119" s="176"/>
      <c r="G119" s="176"/>
      <c r="H119" s="176"/>
      <c r="I119" s="177"/>
      <c r="J119" s="176"/>
      <c r="K119" s="176"/>
      <c r="L119" s="176"/>
      <c r="M119" s="176"/>
      <c r="N119" s="176"/>
      <c r="O119" s="177"/>
      <c r="P119" s="176"/>
      <c r="Q119" s="176"/>
      <c r="R119" s="176"/>
      <c r="S119" s="177"/>
      <c r="T119" s="176"/>
      <c r="U119" s="177"/>
      <c r="V119" s="176"/>
      <c r="W119" s="177"/>
      <c r="X119" s="53"/>
      <c r="Y119" s="151"/>
      <c r="Z119" s="151"/>
      <c r="AA119" s="151"/>
      <c r="AB119" s="151"/>
    </row>
    <row r="120" spans="1:28" ht="13">
      <c r="A120" s="170"/>
      <c r="B120" s="59"/>
      <c r="C120" s="179"/>
      <c r="D120" s="179"/>
      <c r="E120" s="179"/>
      <c r="F120" s="179"/>
      <c r="G120" s="179"/>
      <c r="H120" s="179"/>
      <c r="I120" s="180"/>
      <c r="J120" s="179"/>
      <c r="K120" s="179"/>
      <c r="L120" s="179"/>
      <c r="M120" s="179"/>
      <c r="N120" s="179"/>
      <c r="O120" s="180"/>
      <c r="P120" s="179"/>
      <c r="Q120" s="179"/>
      <c r="R120" s="179"/>
      <c r="S120" s="180"/>
      <c r="T120" s="179"/>
      <c r="U120" s="180"/>
      <c r="V120" s="179"/>
      <c r="W120" s="180"/>
      <c r="X120" s="53"/>
      <c r="Y120" s="151"/>
      <c r="Z120" s="151"/>
      <c r="AA120" s="151"/>
      <c r="AB120" s="151"/>
    </row>
    <row r="121" spans="1:28" s="173" customFormat="1" ht="13">
      <c r="A121" s="170"/>
      <c r="B121" s="94"/>
      <c r="C121" s="171"/>
      <c r="D121" s="171"/>
      <c r="E121" s="171"/>
      <c r="F121" s="171"/>
      <c r="G121" s="171"/>
      <c r="H121" s="171"/>
      <c r="I121" s="172"/>
      <c r="J121" s="171"/>
      <c r="K121" s="171"/>
      <c r="L121" s="171"/>
      <c r="M121" s="171"/>
      <c r="N121" s="171"/>
      <c r="O121" s="172"/>
      <c r="P121" s="171"/>
      <c r="Q121" s="171"/>
      <c r="R121" s="171"/>
      <c r="S121" s="172"/>
      <c r="T121" s="171"/>
      <c r="U121" s="172"/>
      <c r="V121" s="171"/>
      <c r="W121" s="172"/>
      <c r="X121" s="53"/>
      <c r="Y121" s="151"/>
      <c r="Z121" s="151"/>
      <c r="AA121" s="151"/>
      <c r="AB121" s="151"/>
    </row>
    <row r="122" spans="1:28" s="192" customFormat="1" ht="13.5" thickBot="1">
      <c r="A122" s="186"/>
      <c r="B122" s="187"/>
      <c r="C122" s="188"/>
      <c r="D122" s="188"/>
      <c r="E122" s="188"/>
      <c r="F122" s="188"/>
      <c r="G122" s="188"/>
      <c r="H122" s="188"/>
      <c r="I122" s="189"/>
      <c r="J122" s="188"/>
      <c r="K122" s="188"/>
      <c r="L122" s="188"/>
      <c r="M122" s="188"/>
      <c r="N122" s="188"/>
      <c r="O122" s="189"/>
      <c r="P122" s="188"/>
      <c r="Q122" s="188"/>
      <c r="R122" s="188"/>
      <c r="S122" s="189"/>
      <c r="T122" s="188"/>
      <c r="U122" s="189"/>
      <c r="V122" s="188"/>
      <c r="W122" s="189"/>
      <c r="X122" s="53"/>
      <c r="Y122" s="151"/>
      <c r="Z122" s="151"/>
      <c r="AA122" s="151"/>
      <c r="AB122" s="151"/>
    </row>
    <row r="123" spans="1:28" ht="13.5" thickTop="1">
      <c r="A123" s="147"/>
      <c r="B123" s="167"/>
      <c r="C123" s="168"/>
      <c r="D123" s="168"/>
      <c r="E123" s="168"/>
      <c r="F123" s="168"/>
      <c r="G123" s="168"/>
      <c r="H123" s="168"/>
      <c r="I123" s="169"/>
      <c r="J123" s="168"/>
      <c r="K123" s="168"/>
      <c r="L123" s="168"/>
      <c r="M123" s="168"/>
      <c r="N123" s="168"/>
      <c r="O123" s="169"/>
      <c r="P123" s="168"/>
      <c r="Q123" s="168"/>
      <c r="R123" s="168"/>
      <c r="S123" s="169"/>
      <c r="T123" s="168"/>
      <c r="U123" s="169"/>
      <c r="V123" s="168"/>
      <c r="W123" s="169"/>
      <c r="X123" s="53"/>
      <c r="Y123" s="151"/>
      <c r="Z123" s="151"/>
      <c r="AA123" s="151"/>
      <c r="AB123" s="151"/>
    </row>
    <row r="124" spans="1:28" s="173" customFormat="1" ht="13">
      <c r="A124" s="170"/>
      <c r="B124" s="94"/>
      <c r="C124" s="171"/>
      <c r="D124" s="171"/>
      <c r="E124" s="171"/>
      <c r="F124" s="171"/>
      <c r="G124" s="171"/>
      <c r="H124" s="171"/>
      <c r="I124" s="172"/>
      <c r="J124" s="171"/>
      <c r="K124" s="171"/>
      <c r="L124" s="171"/>
      <c r="M124" s="171"/>
      <c r="N124" s="171"/>
      <c r="O124" s="172"/>
      <c r="P124" s="171"/>
      <c r="Q124" s="171"/>
      <c r="R124" s="171"/>
      <c r="S124" s="172"/>
      <c r="T124" s="171"/>
      <c r="U124" s="172"/>
      <c r="V124" s="171"/>
      <c r="W124" s="172"/>
      <c r="X124" s="53"/>
      <c r="Y124" s="151"/>
      <c r="Z124" s="151"/>
      <c r="AA124" s="151"/>
      <c r="AB124" s="151"/>
    </row>
    <row r="125" spans="1:28" s="178" customFormat="1" ht="13">
      <c r="A125" s="174"/>
      <c r="B125" s="175"/>
      <c r="C125" s="176"/>
      <c r="D125" s="176"/>
      <c r="E125" s="176"/>
      <c r="F125" s="176"/>
      <c r="G125" s="176"/>
      <c r="H125" s="176"/>
      <c r="I125" s="177"/>
      <c r="J125" s="176"/>
      <c r="K125" s="176"/>
      <c r="L125" s="176"/>
      <c r="M125" s="176"/>
      <c r="N125" s="176"/>
      <c r="O125" s="177"/>
      <c r="P125" s="176"/>
      <c r="Q125" s="176"/>
      <c r="R125" s="176"/>
      <c r="S125" s="177"/>
      <c r="T125" s="176"/>
      <c r="U125" s="177"/>
      <c r="V125" s="176"/>
      <c r="W125" s="177"/>
      <c r="X125" s="53"/>
      <c r="Y125" s="151"/>
      <c r="Z125" s="151"/>
      <c r="AA125" s="151"/>
      <c r="AB125" s="151"/>
    </row>
    <row r="126" spans="1:28" ht="13">
      <c r="A126" s="170"/>
      <c r="B126" s="59"/>
      <c r="C126" s="179"/>
      <c r="D126" s="179"/>
      <c r="E126" s="179"/>
      <c r="F126" s="179"/>
      <c r="G126" s="179"/>
      <c r="H126" s="179"/>
      <c r="I126" s="180"/>
      <c r="J126" s="179"/>
      <c r="K126" s="179"/>
      <c r="L126" s="179"/>
      <c r="M126" s="179"/>
      <c r="N126" s="179"/>
      <c r="O126" s="180"/>
      <c r="P126" s="179"/>
      <c r="Q126" s="179"/>
      <c r="R126" s="179"/>
      <c r="S126" s="180"/>
      <c r="T126" s="179"/>
      <c r="U126" s="180"/>
      <c r="V126" s="179"/>
      <c r="W126" s="180"/>
      <c r="X126" s="53"/>
      <c r="Y126" s="151"/>
      <c r="Z126" s="151"/>
      <c r="AA126" s="151"/>
      <c r="AB126" s="151"/>
    </row>
    <row r="127" spans="1:28" s="173" customFormat="1" ht="13">
      <c r="A127" s="170"/>
      <c r="B127" s="94"/>
      <c r="C127" s="171"/>
      <c r="D127" s="171"/>
      <c r="E127" s="171"/>
      <c r="F127" s="171"/>
      <c r="G127" s="171"/>
      <c r="H127" s="171"/>
      <c r="I127" s="172"/>
      <c r="J127" s="171"/>
      <c r="K127" s="171"/>
      <c r="L127" s="171"/>
      <c r="M127" s="171"/>
      <c r="N127" s="171"/>
      <c r="O127" s="172"/>
      <c r="P127" s="171"/>
      <c r="Q127" s="171"/>
      <c r="R127" s="171"/>
      <c r="S127" s="172"/>
      <c r="T127" s="171"/>
      <c r="U127" s="172"/>
      <c r="V127" s="171"/>
      <c r="W127" s="172"/>
      <c r="X127" s="53"/>
      <c r="Y127" s="151"/>
      <c r="Z127" s="151"/>
      <c r="AA127" s="151"/>
      <c r="AB127" s="151"/>
    </row>
    <row r="128" spans="1:28" s="178" customFormat="1" ht="13">
      <c r="A128" s="170"/>
      <c r="B128" s="175"/>
      <c r="C128" s="176"/>
      <c r="D128" s="176"/>
      <c r="E128" s="176"/>
      <c r="F128" s="176"/>
      <c r="G128" s="176"/>
      <c r="H128" s="176"/>
      <c r="I128" s="177"/>
      <c r="J128" s="176"/>
      <c r="K128" s="176"/>
      <c r="L128" s="176"/>
      <c r="M128" s="176"/>
      <c r="N128" s="176"/>
      <c r="O128" s="177"/>
      <c r="P128" s="176"/>
      <c r="Q128" s="176"/>
      <c r="R128" s="176"/>
      <c r="S128" s="177"/>
      <c r="T128" s="176"/>
      <c r="U128" s="177"/>
      <c r="V128" s="181"/>
      <c r="W128" s="177"/>
      <c r="X128" s="53"/>
      <c r="Y128" s="151"/>
      <c r="Z128" s="151"/>
      <c r="AA128" s="151"/>
      <c r="AB128" s="151"/>
    </row>
    <row r="129" spans="1:28" ht="13">
      <c r="A129" s="170"/>
      <c r="B129" s="59"/>
      <c r="C129" s="179"/>
      <c r="D129" s="179"/>
      <c r="E129" s="179"/>
      <c r="F129" s="179"/>
      <c r="G129" s="179"/>
      <c r="H129" s="179"/>
      <c r="I129" s="180"/>
      <c r="J129" s="179"/>
      <c r="K129" s="179"/>
      <c r="L129" s="179"/>
      <c r="M129" s="179"/>
      <c r="N129" s="179"/>
      <c r="O129" s="180"/>
      <c r="P129" s="179"/>
      <c r="Q129" s="179"/>
      <c r="R129" s="179"/>
      <c r="S129" s="180"/>
      <c r="T129" s="179"/>
      <c r="U129" s="180"/>
      <c r="V129" s="179"/>
      <c r="W129" s="180"/>
      <c r="X129" s="53"/>
      <c r="Y129" s="151"/>
      <c r="Z129" s="151"/>
      <c r="AA129" s="151"/>
      <c r="AB129" s="151"/>
    </row>
    <row r="130" spans="1:28" s="173" customFormat="1" ht="13">
      <c r="A130" s="170"/>
      <c r="B130" s="94"/>
      <c r="C130" s="171"/>
      <c r="D130" s="171"/>
      <c r="E130" s="171"/>
      <c r="F130" s="171"/>
      <c r="G130" s="171"/>
      <c r="H130" s="171"/>
      <c r="I130" s="172"/>
      <c r="J130" s="171"/>
      <c r="K130" s="171"/>
      <c r="L130" s="171"/>
      <c r="M130" s="171"/>
      <c r="N130" s="171"/>
      <c r="O130" s="172"/>
      <c r="P130" s="171"/>
      <c r="Q130" s="171"/>
      <c r="R130" s="171"/>
      <c r="S130" s="172"/>
      <c r="T130" s="171"/>
      <c r="U130" s="172"/>
      <c r="V130" s="171"/>
      <c r="W130" s="172"/>
      <c r="X130" s="53"/>
      <c r="Y130" s="151"/>
      <c r="Z130" s="151"/>
      <c r="AA130" s="151"/>
      <c r="AB130" s="151"/>
    </row>
    <row r="131" spans="1:28" s="178" customFormat="1" ht="13">
      <c r="A131" s="170"/>
      <c r="B131" s="175"/>
      <c r="C131" s="176"/>
      <c r="D131" s="176"/>
      <c r="E131" s="176"/>
      <c r="F131" s="176"/>
      <c r="G131" s="176"/>
      <c r="H131" s="176"/>
      <c r="I131" s="177"/>
      <c r="J131" s="176"/>
      <c r="K131" s="176"/>
      <c r="L131" s="176"/>
      <c r="M131" s="176"/>
      <c r="N131" s="176"/>
      <c r="O131" s="177"/>
      <c r="P131" s="176"/>
      <c r="Q131" s="176"/>
      <c r="R131" s="176"/>
      <c r="S131" s="177"/>
      <c r="T131" s="176"/>
      <c r="U131" s="177"/>
      <c r="V131" s="176"/>
      <c r="W131" s="177"/>
      <c r="X131" s="53"/>
      <c r="Y131" s="151"/>
      <c r="Z131" s="151"/>
      <c r="AA131" s="151"/>
      <c r="AB131" s="151"/>
    </row>
    <row r="132" spans="1:28" ht="13">
      <c r="A132" s="170"/>
      <c r="B132" s="59"/>
      <c r="C132" s="179"/>
      <c r="D132" s="179"/>
      <c r="E132" s="179"/>
      <c r="F132" s="179"/>
      <c r="G132" s="179"/>
      <c r="H132" s="179"/>
      <c r="I132" s="180"/>
      <c r="J132" s="179"/>
      <c r="K132" s="179"/>
      <c r="L132" s="179"/>
      <c r="M132" s="179"/>
      <c r="N132" s="179"/>
      <c r="O132" s="180"/>
      <c r="P132" s="179"/>
      <c r="Q132" s="179"/>
      <c r="R132" s="179"/>
      <c r="S132" s="180"/>
      <c r="T132" s="179"/>
      <c r="U132" s="180"/>
      <c r="V132" s="179"/>
      <c r="W132" s="180"/>
      <c r="X132" s="53"/>
      <c r="Y132" s="151"/>
      <c r="Z132" s="151"/>
      <c r="AA132" s="151"/>
      <c r="AB132" s="151"/>
    </row>
    <row r="133" spans="1:28" s="173" customFormat="1" ht="13">
      <c r="A133" s="170"/>
      <c r="B133" s="94"/>
      <c r="C133" s="171"/>
      <c r="D133" s="171"/>
      <c r="E133" s="171"/>
      <c r="F133" s="171"/>
      <c r="G133" s="171"/>
      <c r="H133" s="171"/>
      <c r="I133" s="172"/>
      <c r="J133" s="171"/>
      <c r="K133" s="171"/>
      <c r="L133" s="171"/>
      <c r="M133" s="171"/>
      <c r="N133" s="171"/>
      <c r="O133" s="172"/>
      <c r="P133" s="171"/>
      <c r="Q133" s="171"/>
      <c r="R133" s="171"/>
      <c r="S133" s="172"/>
      <c r="T133" s="171"/>
      <c r="U133" s="172"/>
      <c r="V133" s="171"/>
      <c r="W133" s="172"/>
      <c r="X133" s="53"/>
      <c r="Y133" s="151"/>
      <c r="Z133" s="151"/>
      <c r="AA133" s="151"/>
      <c r="AB133" s="151"/>
    </row>
    <row r="134" spans="1:28" s="178" customFormat="1" ht="13">
      <c r="A134" s="170"/>
      <c r="B134" s="175"/>
      <c r="C134" s="176"/>
      <c r="D134" s="176"/>
      <c r="E134" s="176"/>
      <c r="F134" s="176"/>
      <c r="G134" s="176"/>
      <c r="H134" s="176"/>
      <c r="I134" s="177"/>
      <c r="J134" s="176"/>
      <c r="K134" s="176"/>
      <c r="L134" s="176"/>
      <c r="M134" s="176"/>
      <c r="N134" s="176"/>
      <c r="O134" s="177"/>
      <c r="P134" s="176"/>
      <c r="Q134" s="176"/>
      <c r="R134" s="176"/>
      <c r="S134" s="177"/>
      <c r="T134" s="176"/>
      <c r="U134" s="177"/>
      <c r="V134" s="176"/>
      <c r="W134" s="177"/>
      <c r="X134" s="53"/>
      <c r="Y134" s="151"/>
      <c r="Z134" s="151"/>
      <c r="AA134" s="151"/>
      <c r="AB134" s="151"/>
    </row>
    <row r="135" spans="1:28" ht="13">
      <c r="A135" s="170"/>
      <c r="B135" s="59"/>
      <c r="C135" s="179"/>
      <c r="D135" s="179"/>
      <c r="E135" s="179"/>
      <c r="F135" s="179"/>
      <c r="G135" s="179"/>
      <c r="H135" s="179"/>
      <c r="I135" s="180"/>
      <c r="J135" s="179"/>
      <c r="K135" s="179"/>
      <c r="L135" s="179"/>
      <c r="M135" s="179"/>
      <c r="N135" s="179"/>
      <c r="O135" s="180"/>
      <c r="P135" s="179"/>
      <c r="Q135" s="179"/>
      <c r="R135" s="179"/>
      <c r="S135" s="180"/>
      <c r="T135" s="179"/>
      <c r="U135" s="180"/>
      <c r="V135" s="179"/>
      <c r="W135" s="180"/>
      <c r="X135" s="53"/>
      <c r="Y135" s="151"/>
      <c r="Z135" s="151"/>
      <c r="AA135" s="151"/>
      <c r="AB135" s="151"/>
    </row>
    <row r="136" spans="1:28" s="173" customFormat="1" ht="13">
      <c r="A136" s="170"/>
      <c r="B136" s="94"/>
      <c r="C136" s="171"/>
      <c r="D136" s="171"/>
      <c r="E136" s="171"/>
      <c r="F136" s="171"/>
      <c r="G136" s="171"/>
      <c r="H136" s="171"/>
      <c r="I136" s="172"/>
      <c r="J136" s="171"/>
      <c r="K136" s="171"/>
      <c r="L136" s="171"/>
      <c r="M136" s="171"/>
      <c r="N136" s="171"/>
      <c r="O136" s="172"/>
      <c r="P136" s="171"/>
      <c r="Q136" s="171"/>
      <c r="R136" s="171"/>
      <c r="S136" s="172"/>
      <c r="T136" s="171"/>
      <c r="U136" s="172"/>
      <c r="V136" s="171"/>
      <c r="W136" s="172"/>
      <c r="X136" s="53"/>
      <c r="Y136" s="151"/>
      <c r="Z136" s="151"/>
      <c r="AA136" s="151"/>
      <c r="AB136" s="151"/>
    </row>
    <row r="137" spans="1:28" s="178" customFormat="1" ht="13">
      <c r="A137" s="170"/>
      <c r="B137" s="175"/>
      <c r="C137" s="176"/>
      <c r="D137" s="176"/>
      <c r="E137" s="176"/>
      <c r="F137" s="176"/>
      <c r="G137" s="176"/>
      <c r="H137" s="176"/>
      <c r="I137" s="177"/>
      <c r="J137" s="176"/>
      <c r="K137" s="176"/>
      <c r="L137" s="176"/>
      <c r="M137" s="176"/>
      <c r="N137" s="176"/>
      <c r="O137" s="177"/>
      <c r="P137" s="176"/>
      <c r="Q137" s="176"/>
      <c r="R137" s="176"/>
      <c r="S137" s="177"/>
      <c r="T137" s="176"/>
      <c r="U137" s="177"/>
      <c r="V137" s="176"/>
      <c r="W137" s="177"/>
      <c r="X137" s="53"/>
      <c r="Y137" s="151"/>
      <c r="Z137" s="151"/>
      <c r="AA137" s="151"/>
      <c r="AB137" s="151"/>
    </row>
    <row r="138" spans="1:28" ht="13">
      <c r="A138" s="170"/>
      <c r="B138" s="183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53"/>
      <c r="Y138" s="151"/>
      <c r="Z138" s="151"/>
      <c r="AA138" s="151"/>
      <c r="AB138" s="151"/>
    </row>
    <row r="139" spans="1:28" s="173" customFormat="1" ht="13">
      <c r="A139" s="170"/>
      <c r="B139" s="184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53"/>
      <c r="Y139" s="151"/>
      <c r="Z139" s="151"/>
      <c r="AA139" s="151"/>
      <c r="AB139" s="151"/>
    </row>
    <row r="140" spans="1:28" s="178" customFormat="1" ht="13">
      <c r="A140" s="170"/>
      <c r="B140" s="185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53"/>
      <c r="Y140" s="151"/>
      <c r="Z140" s="151"/>
      <c r="AA140" s="151"/>
      <c r="AB140" s="151"/>
    </row>
    <row r="141" spans="1:28" ht="13">
      <c r="A141" s="170"/>
      <c r="B141" s="59"/>
      <c r="C141" s="179"/>
      <c r="D141" s="179"/>
      <c r="E141" s="179"/>
      <c r="F141" s="179"/>
      <c r="G141" s="179"/>
      <c r="H141" s="179"/>
      <c r="I141" s="180"/>
      <c r="J141" s="179"/>
      <c r="K141" s="179"/>
      <c r="L141" s="179"/>
      <c r="M141" s="179"/>
      <c r="N141" s="179"/>
      <c r="O141" s="180"/>
      <c r="P141" s="179"/>
      <c r="Q141" s="179"/>
      <c r="R141" s="179"/>
      <c r="S141" s="180"/>
      <c r="T141" s="179"/>
      <c r="U141" s="180"/>
      <c r="V141" s="179"/>
      <c r="W141" s="180"/>
      <c r="X141" s="53"/>
      <c r="Y141" s="151"/>
      <c r="Z141" s="151"/>
      <c r="AA141" s="151"/>
      <c r="AB141" s="151"/>
    </row>
    <row r="142" spans="1:28" s="173" customFormat="1" ht="13">
      <c r="A142" s="170"/>
      <c r="B142" s="94"/>
      <c r="C142" s="171"/>
      <c r="D142" s="171"/>
      <c r="E142" s="171"/>
      <c r="F142" s="171"/>
      <c r="G142" s="171"/>
      <c r="H142" s="171"/>
      <c r="I142" s="172"/>
      <c r="J142" s="171"/>
      <c r="K142" s="171"/>
      <c r="L142" s="171"/>
      <c r="M142" s="171"/>
      <c r="N142" s="171"/>
      <c r="O142" s="172"/>
      <c r="P142" s="171"/>
      <c r="Q142" s="171"/>
      <c r="R142" s="171"/>
      <c r="S142" s="172"/>
      <c r="T142" s="171"/>
      <c r="U142" s="172"/>
      <c r="V142" s="171"/>
      <c r="W142" s="172"/>
      <c r="X142" s="53"/>
      <c r="Y142" s="151"/>
      <c r="Z142" s="151"/>
      <c r="AA142" s="151"/>
      <c r="AB142" s="151"/>
    </row>
    <row r="143" spans="1:28" s="178" customFormat="1" ht="13">
      <c r="A143" s="170"/>
      <c r="B143" s="175"/>
      <c r="C143" s="176"/>
      <c r="D143" s="176"/>
      <c r="E143" s="176"/>
      <c r="F143" s="176"/>
      <c r="G143" s="176"/>
      <c r="H143" s="176"/>
      <c r="I143" s="177"/>
      <c r="J143" s="176"/>
      <c r="K143" s="176"/>
      <c r="L143" s="176"/>
      <c r="M143" s="176"/>
      <c r="N143" s="176"/>
      <c r="O143" s="177"/>
      <c r="P143" s="176"/>
      <c r="Q143" s="176"/>
      <c r="R143" s="176"/>
      <c r="S143" s="177"/>
      <c r="T143" s="176"/>
      <c r="U143" s="177"/>
      <c r="V143" s="176"/>
      <c r="W143" s="177"/>
      <c r="X143" s="53"/>
      <c r="Y143" s="151"/>
      <c r="Z143" s="151"/>
      <c r="AA143" s="151"/>
      <c r="AB143" s="151"/>
    </row>
    <row r="144" spans="1:28" ht="13">
      <c r="A144" s="170"/>
      <c r="B144" s="59"/>
      <c r="C144" s="179"/>
      <c r="D144" s="179"/>
      <c r="E144" s="179"/>
      <c r="F144" s="179"/>
      <c r="G144" s="179"/>
      <c r="H144" s="179"/>
      <c r="I144" s="180"/>
      <c r="J144" s="179"/>
      <c r="K144" s="179"/>
      <c r="L144" s="179"/>
      <c r="M144" s="179"/>
      <c r="N144" s="179"/>
      <c r="O144" s="180"/>
      <c r="P144" s="179"/>
      <c r="Q144" s="179"/>
      <c r="R144" s="179"/>
      <c r="S144" s="180"/>
      <c r="T144" s="179"/>
      <c r="U144" s="180"/>
      <c r="V144" s="179"/>
      <c r="W144" s="180"/>
      <c r="X144" s="53"/>
      <c r="Y144" s="151"/>
      <c r="Z144" s="151"/>
      <c r="AA144" s="151"/>
      <c r="AB144" s="151"/>
    </row>
    <row r="145" spans="1:28" s="173" customFormat="1" ht="13">
      <c r="A145" s="170"/>
      <c r="B145" s="94"/>
      <c r="C145" s="171"/>
      <c r="D145" s="171"/>
      <c r="E145" s="171"/>
      <c r="F145" s="171"/>
      <c r="G145" s="171"/>
      <c r="H145" s="171"/>
      <c r="I145" s="172"/>
      <c r="J145" s="171"/>
      <c r="K145" s="171"/>
      <c r="L145" s="171"/>
      <c r="M145" s="171"/>
      <c r="N145" s="171"/>
      <c r="O145" s="172"/>
      <c r="P145" s="171"/>
      <c r="Q145" s="171"/>
      <c r="R145" s="171"/>
      <c r="S145" s="172"/>
      <c r="T145" s="171"/>
      <c r="U145" s="172"/>
      <c r="V145" s="171"/>
      <c r="W145" s="172"/>
      <c r="X145" s="53"/>
      <c r="Y145" s="151"/>
      <c r="Z145" s="151"/>
      <c r="AA145" s="151"/>
      <c r="AB145" s="151"/>
    </row>
    <row r="146" spans="1:28" s="178" customFormat="1" ht="13">
      <c r="A146" s="170"/>
      <c r="B146" s="175"/>
      <c r="C146" s="176"/>
      <c r="D146" s="176"/>
      <c r="E146" s="176"/>
      <c r="F146" s="176"/>
      <c r="G146" s="176"/>
      <c r="H146" s="176"/>
      <c r="I146" s="177"/>
      <c r="J146" s="176"/>
      <c r="K146" s="176"/>
      <c r="L146" s="176"/>
      <c r="M146" s="176"/>
      <c r="N146" s="176"/>
      <c r="O146" s="177"/>
      <c r="P146" s="176"/>
      <c r="Q146" s="176"/>
      <c r="R146" s="176"/>
      <c r="S146" s="177"/>
      <c r="T146" s="176"/>
      <c r="U146" s="177"/>
      <c r="V146" s="176"/>
      <c r="W146" s="177"/>
      <c r="X146" s="53"/>
      <c r="Y146" s="151"/>
      <c r="Z146" s="151"/>
      <c r="AA146" s="151"/>
      <c r="AB146" s="151"/>
    </row>
    <row r="147" spans="1:28" ht="13">
      <c r="A147" s="170"/>
      <c r="B147" s="59"/>
      <c r="C147" s="179"/>
      <c r="D147" s="179"/>
      <c r="E147" s="179"/>
      <c r="F147" s="179"/>
      <c r="G147" s="179"/>
      <c r="H147" s="179"/>
      <c r="I147" s="180"/>
      <c r="J147" s="179"/>
      <c r="K147" s="179"/>
      <c r="L147" s="179"/>
      <c r="M147" s="179"/>
      <c r="N147" s="179"/>
      <c r="O147" s="180"/>
      <c r="P147" s="179"/>
      <c r="Q147" s="179"/>
      <c r="R147" s="179"/>
      <c r="S147" s="180"/>
      <c r="T147" s="179"/>
      <c r="U147" s="180"/>
      <c r="V147" s="179"/>
      <c r="W147" s="180"/>
      <c r="X147" s="53"/>
      <c r="Y147" s="151"/>
      <c r="Z147" s="151"/>
      <c r="AA147" s="151"/>
      <c r="AB147" s="151"/>
    </row>
    <row r="148" spans="1:28" s="173" customFormat="1" ht="13">
      <c r="A148" s="170"/>
      <c r="B148" s="94"/>
      <c r="C148" s="171"/>
      <c r="D148" s="171"/>
      <c r="E148" s="171"/>
      <c r="F148" s="171"/>
      <c r="G148" s="171"/>
      <c r="H148" s="171"/>
      <c r="I148" s="172"/>
      <c r="J148" s="171"/>
      <c r="K148" s="171"/>
      <c r="L148" s="171"/>
      <c r="M148" s="171"/>
      <c r="N148" s="171"/>
      <c r="O148" s="172"/>
      <c r="P148" s="171"/>
      <c r="Q148" s="171"/>
      <c r="R148" s="171"/>
      <c r="S148" s="172"/>
      <c r="T148" s="171"/>
      <c r="U148" s="172"/>
      <c r="V148" s="171"/>
      <c r="W148" s="172"/>
      <c r="X148" s="53"/>
      <c r="Y148" s="151"/>
      <c r="Z148" s="151"/>
      <c r="AA148" s="151"/>
      <c r="AB148" s="151"/>
    </row>
    <row r="149" spans="1:28" s="178" customFormat="1" ht="13">
      <c r="A149" s="170"/>
      <c r="B149" s="175"/>
      <c r="C149" s="176"/>
      <c r="D149" s="176"/>
      <c r="E149" s="176"/>
      <c r="F149" s="176"/>
      <c r="G149" s="176"/>
      <c r="H149" s="176"/>
      <c r="I149" s="177"/>
      <c r="J149" s="176"/>
      <c r="K149" s="176"/>
      <c r="L149" s="176"/>
      <c r="M149" s="176"/>
      <c r="N149" s="176"/>
      <c r="O149" s="177"/>
      <c r="P149" s="176"/>
      <c r="Q149" s="176"/>
      <c r="R149" s="176"/>
      <c r="S149" s="177"/>
      <c r="T149" s="176"/>
      <c r="U149" s="177"/>
      <c r="V149" s="176"/>
      <c r="W149" s="177"/>
      <c r="X149" s="53"/>
      <c r="Y149" s="151"/>
      <c r="Z149" s="151"/>
      <c r="AA149" s="151"/>
      <c r="AB149" s="151"/>
    </row>
    <row r="150" spans="1:28" ht="13">
      <c r="A150" s="170"/>
      <c r="B150" s="59"/>
      <c r="C150" s="179"/>
      <c r="D150" s="179"/>
      <c r="E150" s="179"/>
      <c r="F150" s="179"/>
      <c r="G150" s="179"/>
      <c r="H150" s="179"/>
      <c r="I150" s="180"/>
      <c r="J150" s="179"/>
      <c r="K150" s="179"/>
      <c r="L150" s="179"/>
      <c r="M150" s="179"/>
      <c r="N150" s="179"/>
      <c r="O150" s="180"/>
      <c r="P150" s="179"/>
      <c r="Q150" s="179"/>
      <c r="R150" s="179"/>
      <c r="S150" s="180"/>
      <c r="T150" s="179"/>
      <c r="U150" s="180"/>
      <c r="V150" s="179"/>
      <c r="W150" s="180"/>
      <c r="X150" s="53"/>
      <c r="Y150" s="151"/>
      <c r="Z150" s="151"/>
      <c r="AA150" s="151"/>
      <c r="AB150" s="151"/>
    </row>
    <row r="151" spans="1:28" s="173" customFormat="1" ht="13">
      <c r="A151" s="170"/>
      <c r="B151" s="94"/>
      <c r="C151" s="171"/>
      <c r="D151" s="171"/>
      <c r="E151" s="171"/>
      <c r="F151" s="171"/>
      <c r="G151" s="171"/>
      <c r="H151" s="171"/>
      <c r="I151" s="172"/>
      <c r="J151" s="171"/>
      <c r="K151" s="171"/>
      <c r="L151" s="171"/>
      <c r="M151" s="171"/>
      <c r="N151" s="171"/>
      <c r="O151" s="172"/>
      <c r="P151" s="171"/>
      <c r="Q151" s="171"/>
      <c r="R151" s="171"/>
      <c r="S151" s="172"/>
      <c r="T151" s="171"/>
      <c r="U151" s="172"/>
      <c r="V151" s="171"/>
      <c r="W151" s="172"/>
      <c r="X151" s="53"/>
      <c r="Y151" s="151"/>
      <c r="Z151" s="151"/>
      <c r="AA151" s="151"/>
      <c r="AB151" s="151"/>
    </row>
    <row r="152" spans="1:28" s="178" customFormat="1" ht="13">
      <c r="A152" s="170"/>
      <c r="B152" s="175"/>
      <c r="C152" s="176"/>
      <c r="D152" s="176"/>
      <c r="E152" s="176"/>
      <c r="F152" s="176"/>
      <c r="G152" s="176"/>
      <c r="H152" s="176"/>
      <c r="I152" s="177"/>
      <c r="J152" s="176"/>
      <c r="K152" s="176"/>
      <c r="L152" s="176"/>
      <c r="M152" s="176"/>
      <c r="N152" s="176"/>
      <c r="O152" s="177"/>
      <c r="P152" s="176"/>
      <c r="Q152" s="176"/>
      <c r="R152" s="176"/>
      <c r="S152" s="177"/>
      <c r="T152" s="176"/>
      <c r="U152" s="177"/>
      <c r="V152" s="176"/>
      <c r="W152" s="177"/>
      <c r="X152" s="53"/>
      <c r="Y152" s="151"/>
      <c r="Z152" s="151"/>
      <c r="AA152" s="151"/>
      <c r="AB152" s="151"/>
    </row>
    <row r="153" spans="1:28" ht="13">
      <c r="A153" s="170"/>
      <c r="B153" s="59"/>
      <c r="C153" s="179"/>
      <c r="D153" s="179"/>
      <c r="E153" s="179"/>
      <c r="F153" s="179"/>
      <c r="G153" s="179"/>
      <c r="H153" s="179"/>
      <c r="I153" s="180"/>
      <c r="J153" s="179"/>
      <c r="K153" s="179"/>
      <c r="L153" s="179"/>
      <c r="M153" s="179"/>
      <c r="N153" s="179"/>
      <c r="O153" s="180"/>
      <c r="P153" s="179"/>
      <c r="Q153" s="179"/>
      <c r="R153" s="179"/>
      <c r="S153" s="180"/>
      <c r="T153" s="179"/>
      <c r="U153" s="180"/>
      <c r="V153" s="179"/>
      <c r="W153" s="180"/>
      <c r="X153" s="53"/>
      <c r="Y153" s="151"/>
      <c r="Z153" s="151"/>
      <c r="AA153" s="151"/>
      <c r="AB153" s="151"/>
    </row>
    <row r="154" spans="1:28" s="173" customFormat="1" ht="13">
      <c r="A154" s="170"/>
      <c r="B154" s="94"/>
      <c r="C154" s="171"/>
      <c r="D154" s="171"/>
      <c r="E154" s="171"/>
      <c r="F154" s="171"/>
      <c r="G154" s="171"/>
      <c r="H154" s="171"/>
      <c r="I154" s="172"/>
      <c r="J154" s="171"/>
      <c r="K154" s="171"/>
      <c r="L154" s="171"/>
      <c r="M154" s="171"/>
      <c r="N154" s="171"/>
      <c r="O154" s="172"/>
      <c r="P154" s="171"/>
      <c r="Q154" s="171"/>
      <c r="R154" s="171"/>
      <c r="S154" s="172"/>
      <c r="T154" s="171"/>
      <c r="U154" s="172"/>
      <c r="V154" s="171"/>
      <c r="W154" s="172"/>
      <c r="X154" s="53"/>
      <c r="Y154" s="151"/>
      <c r="Z154" s="151"/>
      <c r="AA154" s="151"/>
      <c r="AB154" s="151"/>
    </row>
    <row r="155" spans="1:28" s="178" customFormat="1" ht="13">
      <c r="A155" s="170"/>
      <c r="B155" s="175"/>
      <c r="C155" s="176"/>
      <c r="D155" s="176"/>
      <c r="E155" s="176"/>
      <c r="F155" s="176"/>
      <c r="G155" s="176"/>
      <c r="H155" s="176"/>
      <c r="I155" s="177"/>
      <c r="J155" s="176"/>
      <c r="K155" s="176"/>
      <c r="L155" s="176"/>
      <c r="M155" s="176"/>
      <c r="N155" s="176"/>
      <c r="O155" s="177"/>
      <c r="P155" s="176"/>
      <c r="Q155" s="176"/>
      <c r="R155" s="176"/>
      <c r="S155" s="177"/>
      <c r="T155" s="176"/>
      <c r="U155" s="177"/>
      <c r="V155" s="176"/>
      <c r="W155" s="177"/>
      <c r="X155" s="53"/>
      <c r="Y155" s="151"/>
      <c r="Z155" s="151"/>
      <c r="AA155" s="151"/>
      <c r="AB155" s="151"/>
    </row>
    <row r="156" spans="1:28" ht="13">
      <c r="A156" s="170"/>
      <c r="B156" s="59"/>
      <c r="C156" s="179"/>
      <c r="D156" s="179"/>
      <c r="E156" s="179"/>
      <c r="F156" s="179"/>
      <c r="G156" s="179"/>
      <c r="H156" s="179"/>
      <c r="I156" s="180"/>
      <c r="J156" s="179"/>
      <c r="K156" s="179"/>
      <c r="L156" s="179"/>
      <c r="M156" s="179"/>
      <c r="N156" s="179"/>
      <c r="O156" s="180"/>
      <c r="P156" s="179"/>
      <c r="Q156" s="179"/>
      <c r="R156" s="179"/>
      <c r="S156" s="180"/>
      <c r="T156" s="179"/>
      <c r="U156" s="180"/>
      <c r="V156" s="179"/>
      <c r="W156" s="180"/>
      <c r="X156" s="53"/>
      <c r="Y156" s="151"/>
      <c r="Z156" s="151"/>
      <c r="AA156" s="151"/>
      <c r="AB156" s="151"/>
    </row>
    <row r="157" spans="1:28" s="173" customFormat="1" ht="13">
      <c r="A157" s="170"/>
      <c r="B157" s="94"/>
      <c r="C157" s="171"/>
      <c r="D157" s="171"/>
      <c r="E157" s="171"/>
      <c r="F157" s="171"/>
      <c r="G157" s="171"/>
      <c r="H157" s="171"/>
      <c r="I157" s="172"/>
      <c r="J157" s="171"/>
      <c r="K157" s="171"/>
      <c r="L157" s="171"/>
      <c r="M157" s="171"/>
      <c r="N157" s="171"/>
      <c r="O157" s="172"/>
      <c r="P157" s="171"/>
      <c r="Q157" s="171"/>
      <c r="R157" s="171"/>
      <c r="S157" s="172"/>
      <c r="T157" s="171"/>
      <c r="U157" s="172"/>
      <c r="V157" s="171"/>
      <c r="W157" s="172"/>
      <c r="X157" s="53"/>
      <c r="Y157" s="151"/>
      <c r="Z157" s="151"/>
      <c r="AA157" s="151"/>
      <c r="AB157" s="151"/>
    </row>
    <row r="158" spans="1:28" s="178" customFormat="1" ht="13">
      <c r="A158" s="170"/>
      <c r="B158" s="175"/>
      <c r="C158" s="176"/>
      <c r="D158" s="176"/>
      <c r="E158" s="176"/>
      <c r="F158" s="176"/>
      <c r="G158" s="176"/>
      <c r="H158" s="176"/>
      <c r="I158" s="177"/>
      <c r="J158" s="176"/>
      <c r="K158" s="176"/>
      <c r="L158" s="176"/>
      <c r="M158" s="176"/>
      <c r="N158" s="176"/>
      <c r="O158" s="177"/>
      <c r="P158" s="176"/>
      <c r="Q158" s="176"/>
      <c r="R158" s="176"/>
      <c r="S158" s="177"/>
      <c r="T158" s="176"/>
      <c r="U158" s="177"/>
      <c r="V158" s="176"/>
      <c r="W158" s="177"/>
      <c r="X158" s="53"/>
      <c r="Y158" s="151"/>
      <c r="Z158" s="151"/>
      <c r="AA158" s="151"/>
      <c r="AB158" s="151"/>
    </row>
    <row r="159" spans="1:28" ht="13">
      <c r="A159" s="170"/>
      <c r="B159" s="59"/>
      <c r="C159" s="179"/>
      <c r="D159" s="179"/>
      <c r="E159" s="179"/>
      <c r="F159" s="179"/>
      <c r="G159" s="179"/>
      <c r="H159" s="179"/>
      <c r="I159" s="180"/>
      <c r="J159" s="179"/>
      <c r="K159" s="179"/>
      <c r="L159" s="179"/>
      <c r="M159" s="179"/>
      <c r="N159" s="179"/>
      <c r="O159" s="180"/>
      <c r="P159" s="179"/>
      <c r="Q159" s="179"/>
      <c r="R159" s="179"/>
      <c r="S159" s="180"/>
      <c r="T159" s="179"/>
      <c r="U159" s="180"/>
      <c r="V159" s="179"/>
      <c r="W159" s="180"/>
      <c r="X159" s="53"/>
      <c r="Y159" s="151"/>
      <c r="Z159" s="151"/>
      <c r="AA159" s="151"/>
      <c r="AB159" s="151"/>
    </row>
    <row r="160" spans="1:28" s="173" customFormat="1" ht="13">
      <c r="A160" s="170"/>
      <c r="B160" s="94"/>
      <c r="C160" s="171"/>
      <c r="D160" s="171"/>
      <c r="E160" s="171"/>
      <c r="F160" s="171"/>
      <c r="G160" s="171"/>
      <c r="H160" s="171"/>
      <c r="I160" s="172"/>
      <c r="J160" s="171"/>
      <c r="K160" s="171"/>
      <c r="L160" s="171"/>
      <c r="M160" s="171"/>
      <c r="N160" s="171"/>
      <c r="O160" s="172"/>
      <c r="P160" s="171"/>
      <c r="Q160" s="171"/>
      <c r="R160" s="171"/>
      <c r="S160" s="172"/>
      <c r="T160" s="171"/>
      <c r="U160" s="172"/>
      <c r="V160" s="171"/>
      <c r="W160" s="172"/>
      <c r="X160" s="53"/>
      <c r="Y160" s="151"/>
      <c r="Z160" s="151"/>
      <c r="AA160" s="151"/>
      <c r="AB160" s="151"/>
    </row>
    <row r="161" spans="1:28" s="192" customFormat="1" ht="13.5" thickBot="1">
      <c r="A161" s="186"/>
      <c r="B161" s="187"/>
      <c r="C161" s="188"/>
      <c r="D161" s="188"/>
      <c r="E161" s="188"/>
      <c r="F161" s="188"/>
      <c r="G161" s="188"/>
      <c r="H161" s="188"/>
      <c r="I161" s="189"/>
      <c r="J161" s="188"/>
      <c r="K161" s="188"/>
      <c r="L161" s="188"/>
      <c r="M161" s="188"/>
      <c r="N161" s="188"/>
      <c r="O161" s="189"/>
      <c r="P161" s="188"/>
      <c r="Q161" s="188"/>
      <c r="R161" s="188"/>
      <c r="S161" s="189"/>
      <c r="T161" s="188"/>
      <c r="U161" s="189"/>
      <c r="V161" s="188"/>
      <c r="W161" s="189"/>
      <c r="X161" s="53"/>
      <c r="Y161" s="151"/>
      <c r="Z161" s="151"/>
      <c r="AA161" s="151"/>
      <c r="AB161" s="151"/>
    </row>
    <row r="162" spans="1:28" ht="13.5" thickTop="1">
      <c r="A162" s="147"/>
      <c r="B162" s="167"/>
      <c r="C162" s="168"/>
      <c r="D162" s="168"/>
      <c r="E162" s="168"/>
      <c r="F162" s="168"/>
      <c r="G162" s="168"/>
      <c r="H162" s="168"/>
      <c r="I162" s="169"/>
      <c r="J162" s="168"/>
      <c r="K162" s="168"/>
      <c r="L162" s="168"/>
      <c r="M162" s="168"/>
      <c r="N162" s="168"/>
      <c r="O162" s="169"/>
      <c r="P162" s="168"/>
      <c r="Q162" s="168"/>
      <c r="R162" s="168"/>
      <c r="S162" s="169"/>
      <c r="T162" s="168"/>
      <c r="U162" s="169"/>
      <c r="V162" s="168"/>
      <c r="W162" s="169"/>
      <c r="X162" s="53"/>
      <c r="Y162" s="151"/>
      <c r="Z162" s="151"/>
      <c r="AA162" s="151"/>
      <c r="AB162" s="151"/>
    </row>
    <row r="163" spans="1:28" s="173" customFormat="1" ht="13">
      <c r="A163" s="170"/>
      <c r="B163" s="94"/>
      <c r="C163" s="171"/>
      <c r="D163" s="171"/>
      <c r="E163" s="171"/>
      <c r="F163" s="171"/>
      <c r="G163" s="171"/>
      <c r="H163" s="171"/>
      <c r="I163" s="172"/>
      <c r="J163" s="171"/>
      <c r="K163" s="171"/>
      <c r="L163" s="171"/>
      <c r="M163" s="171"/>
      <c r="N163" s="171"/>
      <c r="O163" s="172"/>
      <c r="P163" s="171"/>
      <c r="Q163" s="171"/>
      <c r="R163" s="171"/>
      <c r="S163" s="172"/>
      <c r="T163" s="171"/>
      <c r="U163" s="172"/>
      <c r="V163" s="171"/>
      <c r="W163" s="172"/>
      <c r="X163" s="53"/>
      <c r="Y163" s="151"/>
      <c r="Z163" s="151"/>
      <c r="AA163" s="151"/>
      <c r="AB163" s="151"/>
    </row>
    <row r="164" spans="1:28" s="178" customFormat="1" ht="13">
      <c r="A164" s="174"/>
      <c r="B164" s="175"/>
      <c r="C164" s="176"/>
      <c r="D164" s="176"/>
      <c r="E164" s="176"/>
      <c r="F164" s="176"/>
      <c r="G164" s="176"/>
      <c r="H164" s="176"/>
      <c r="I164" s="177"/>
      <c r="J164" s="176"/>
      <c r="K164" s="176"/>
      <c r="L164" s="176"/>
      <c r="M164" s="176"/>
      <c r="N164" s="176"/>
      <c r="O164" s="177"/>
      <c r="P164" s="176"/>
      <c r="Q164" s="176"/>
      <c r="R164" s="176"/>
      <c r="S164" s="177"/>
      <c r="T164" s="176"/>
      <c r="U164" s="177"/>
      <c r="V164" s="176"/>
      <c r="W164" s="177"/>
      <c r="X164" s="53"/>
      <c r="Y164" s="151"/>
      <c r="Z164" s="151"/>
      <c r="AA164" s="151"/>
      <c r="AB164" s="151"/>
    </row>
    <row r="165" spans="1:28" ht="13">
      <c r="A165" s="170"/>
      <c r="B165" s="59"/>
      <c r="C165" s="179"/>
      <c r="D165" s="179"/>
      <c r="E165" s="179"/>
      <c r="F165" s="179"/>
      <c r="G165" s="179"/>
      <c r="H165" s="179"/>
      <c r="I165" s="180"/>
      <c r="J165" s="179"/>
      <c r="K165" s="179"/>
      <c r="L165" s="179"/>
      <c r="M165" s="179"/>
      <c r="N165" s="179"/>
      <c r="O165" s="180"/>
      <c r="P165" s="179"/>
      <c r="Q165" s="179"/>
      <c r="R165" s="179"/>
      <c r="S165" s="180"/>
      <c r="T165" s="179"/>
      <c r="U165" s="180"/>
      <c r="V165" s="179"/>
      <c r="W165" s="180"/>
      <c r="X165" s="53"/>
      <c r="Y165" s="151"/>
      <c r="Z165" s="151"/>
      <c r="AA165" s="151"/>
      <c r="AB165" s="151"/>
    </row>
    <row r="166" spans="1:28" s="173" customFormat="1" ht="13">
      <c r="A166" s="170"/>
      <c r="B166" s="94"/>
      <c r="C166" s="171"/>
      <c r="D166" s="171"/>
      <c r="E166" s="171"/>
      <c r="F166" s="171"/>
      <c r="G166" s="171"/>
      <c r="H166" s="171"/>
      <c r="I166" s="172"/>
      <c r="J166" s="171"/>
      <c r="K166" s="171"/>
      <c r="L166" s="171"/>
      <c r="M166" s="171"/>
      <c r="N166" s="171"/>
      <c r="O166" s="172"/>
      <c r="P166" s="171"/>
      <c r="Q166" s="171"/>
      <c r="R166" s="171"/>
      <c r="S166" s="172"/>
      <c r="T166" s="171"/>
      <c r="U166" s="172"/>
      <c r="V166" s="171"/>
      <c r="W166" s="172"/>
      <c r="X166" s="53"/>
      <c r="Y166" s="151"/>
      <c r="Z166" s="151"/>
      <c r="AA166" s="151"/>
      <c r="AB166" s="151"/>
    </row>
    <row r="167" spans="1:28" s="178" customFormat="1" ht="13">
      <c r="A167" s="170"/>
      <c r="B167" s="175"/>
      <c r="C167" s="176"/>
      <c r="D167" s="176"/>
      <c r="E167" s="176"/>
      <c r="F167" s="176"/>
      <c r="G167" s="176"/>
      <c r="H167" s="176"/>
      <c r="I167" s="177"/>
      <c r="J167" s="176"/>
      <c r="K167" s="176"/>
      <c r="L167" s="176"/>
      <c r="M167" s="176"/>
      <c r="N167" s="176"/>
      <c r="O167" s="177"/>
      <c r="P167" s="176"/>
      <c r="Q167" s="176"/>
      <c r="R167" s="176"/>
      <c r="S167" s="177"/>
      <c r="T167" s="176"/>
      <c r="U167" s="177"/>
      <c r="V167" s="176"/>
      <c r="W167" s="177"/>
      <c r="X167" s="53"/>
      <c r="Y167" s="151"/>
      <c r="Z167" s="151"/>
      <c r="AA167" s="151"/>
      <c r="AB167" s="151"/>
    </row>
    <row r="168" spans="1:28" ht="13">
      <c r="A168" s="170"/>
      <c r="B168" s="59"/>
      <c r="C168" s="179"/>
      <c r="D168" s="179"/>
      <c r="E168" s="179"/>
      <c r="F168" s="179"/>
      <c r="G168" s="179"/>
      <c r="H168" s="179"/>
      <c r="I168" s="180"/>
      <c r="J168" s="179"/>
      <c r="K168" s="179"/>
      <c r="L168" s="179"/>
      <c r="M168" s="179"/>
      <c r="N168" s="179"/>
      <c r="O168" s="180"/>
      <c r="P168" s="179"/>
      <c r="Q168" s="179"/>
      <c r="R168" s="179"/>
      <c r="S168" s="180"/>
      <c r="T168" s="179"/>
      <c r="U168" s="180"/>
      <c r="V168" s="179"/>
      <c r="W168" s="180"/>
      <c r="X168" s="53"/>
      <c r="Y168" s="151"/>
      <c r="Z168" s="151"/>
      <c r="AA168" s="151"/>
      <c r="AB168" s="151"/>
    </row>
    <row r="169" spans="1:28" s="173" customFormat="1" ht="13">
      <c r="A169" s="170"/>
      <c r="B169" s="94"/>
      <c r="C169" s="171"/>
      <c r="D169" s="171"/>
      <c r="E169" s="171"/>
      <c r="F169" s="171"/>
      <c r="G169" s="171"/>
      <c r="H169" s="171"/>
      <c r="I169" s="172"/>
      <c r="J169" s="171"/>
      <c r="K169" s="171"/>
      <c r="L169" s="171"/>
      <c r="M169" s="171"/>
      <c r="N169" s="171"/>
      <c r="O169" s="172"/>
      <c r="P169" s="171"/>
      <c r="Q169" s="171"/>
      <c r="R169" s="171"/>
      <c r="S169" s="172"/>
      <c r="T169" s="171"/>
      <c r="U169" s="172"/>
      <c r="V169" s="171"/>
      <c r="W169" s="172"/>
      <c r="X169" s="53"/>
      <c r="Y169" s="151"/>
      <c r="Z169" s="151"/>
      <c r="AA169" s="151"/>
      <c r="AB169" s="151"/>
    </row>
    <row r="170" spans="1:28" s="178" customFormat="1" ht="13">
      <c r="A170" s="170"/>
      <c r="B170" s="175"/>
      <c r="C170" s="176"/>
      <c r="D170" s="176"/>
      <c r="E170" s="176"/>
      <c r="F170" s="176"/>
      <c r="G170" s="176"/>
      <c r="H170" s="176"/>
      <c r="I170" s="177"/>
      <c r="J170" s="176"/>
      <c r="K170" s="176"/>
      <c r="L170" s="176"/>
      <c r="M170" s="176"/>
      <c r="N170" s="176"/>
      <c r="O170" s="177"/>
      <c r="P170" s="176"/>
      <c r="Q170" s="176"/>
      <c r="R170" s="176"/>
      <c r="S170" s="177"/>
      <c r="T170" s="176"/>
      <c r="U170" s="177"/>
      <c r="V170" s="176"/>
      <c r="W170" s="177"/>
      <c r="X170" s="53"/>
      <c r="Y170" s="151"/>
      <c r="Z170" s="151"/>
      <c r="AA170" s="151"/>
      <c r="AB170" s="151"/>
    </row>
    <row r="171" spans="1:28" ht="13">
      <c r="A171" s="170"/>
      <c r="B171" s="59"/>
      <c r="C171" s="179"/>
      <c r="D171" s="179"/>
      <c r="E171" s="179"/>
      <c r="F171" s="179"/>
      <c r="G171" s="179"/>
      <c r="H171" s="179"/>
      <c r="I171" s="180"/>
      <c r="J171" s="179"/>
      <c r="K171" s="179"/>
      <c r="L171" s="179"/>
      <c r="M171" s="179"/>
      <c r="N171" s="179"/>
      <c r="O171" s="180"/>
      <c r="P171" s="179"/>
      <c r="Q171" s="179"/>
      <c r="R171" s="179"/>
      <c r="S171" s="180"/>
      <c r="T171" s="179"/>
      <c r="U171" s="180"/>
      <c r="V171" s="179"/>
      <c r="W171" s="180"/>
      <c r="X171" s="53"/>
      <c r="Y171" s="151"/>
      <c r="Z171" s="151"/>
      <c r="AA171" s="151"/>
      <c r="AB171" s="151"/>
    </row>
    <row r="172" spans="1:28" s="173" customFormat="1" ht="13">
      <c r="A172" s="170"/>
      <c r="B172" s="94"/>
      <c r="C172" s="171"/>
      <c r="D172" s="171"/>
      <c r="E172" s="171"/>
      <c r="F172" s="171"/>
      <c r="G172" s="171"/>
      <c r="H172" s="171"/>
      <c r="I172" s="172"/>
      <c r="J172" s="171"/>
      <c r="K172" s="171"/>
      <c r="L172" s="171"/>
      <c r="M172" s="171"/>
      <c r="N172" s="171"/>
      <c r="O172" s="172"/>
      <c r="P172" s="171"/>
      <c r="Q172" s="171"/>
      <c r="R172" s="171"/>
      <c r="S172" s="172"/>
      <c r="T172" s="171"/>
      <c r="U172" s="172"/>
      <c r="V172" s="171"/>
      <c r="W172" s="172"/>
      <c r="X172" s="53"/>
      <c r="Y172" s="151"/>
      <c r="Z172" s="151"/>
      <c r="AA172" s="151"/>
      <c r="AB172" s="151"/>
    </row>
    <row r="173" spans="1:28" s="178" customFormat="1" ht="13">
      <c r="A173" s="170"/>
      <c r="B173" s="175"/>
      <c r="C173" s="176"/>
      <c r="D173" s="176"/>
      <c r="E173" s="176"/>
      <c r="F173" s="176"/>
      <c r="G173" s="176"/>
      <c r="H173" s="176"/>
      <c r="I173" s="177"/>
      <c r="J173" s="176"/>
      <c r="K173" s="176"/>
      <c r="L173" s="176"/>
      <c r="M173" s="176"/>
      <c r="N173" s="176"/>
      <c r="O173" s="177"/>
      <c r="P173" s="176"/>
      <c r="Q173" s="176"/>
      <c r="R173" s="176"/>
      <c r="S173" s="177"/>
      <c r="T173" s="176"/>
      <c r="U173" s="177"/>
      <c r="V173" s="176"/>
      <c r="W173" s="177"/>
      <c r="X173" s="53"/>
      <c r="Y173" s="151"/>
      <c r="Z173" s="151"/>
      <c r="AA173" s="151"/>
      <c r="AB173" s="151"/>
    </row>
    <row r="174" spans="1:28" ht="13">
      <c r="A174" s="170"/>
      <c r="B174" s="59"/>
      <c r="C174" s="179"/>
      <c r="D174" s="179"/>
      <c r="E174" s="179"/>
      <c r="F174" s="179"/>
      <c r="G174" s="179"/>
      <c r="H174" s="179"/>
      <c r="I174" s="180"/>
      <c r="J174" s="179"/>
      <c r="K174" s="179"/>
      <c r="L174" s="179"/>
      <c r="M174" s="179"/>
      <c r="N174" s="179"/>
      <c r="O174" s="180"/>
      <c r="P174" s="179"/>
      <c r="Q174" s="179"/>
      <c r="R174" s="179"/>
      <c r="S174" s="180"/>
      <c r="T174" s="179"/>
      <c r="U174" s="180"/>
      <c r="V174" s="179"/>
      <c r="W174" s="180"/>
      <c r="X174" s="53"/>
      <c r="Y174" s="151"/>
      <c r="Z174" s="151"/>
      <c r="AA174" s="151"/>
      <c r="AB174" s="151"/>
    </row>
    <row r="175" spans="1:28" s="173" customFormat="1" ht="13">
      <c r="A175" s="170"/>
      <c r="B175" s="94"/>
      <c r="C175" s="171"/>
      <c r="D175" s="171"/>
      <c r="E175" s="171"/>
      <c r="F175" s="171"/>
      <c r="G175" s="171"/>
      <c r="H175" s="171"/>
      <c r="I175" s="172"/>
      <c r="J175" s="171"/>
      <c r="K175" s="171"/>
      <c r="L175" s="171"/>
      <c r="M175" s="171"/>
      <c r="N175" s="171"/>
      <c r="O175" s="172"/>
      <c r="P175" s="171"/>
      <c r="Q175" s="171"/>
      <c r="R175" s="171"/>
      <c r="S175" s="172"/>
      <c r="T175" s="171"/>
      <c r="U175" s="172"/>
      <c r="V175" s="171"/>
      <c r="W175" s="172"/>
      <c r="X175" s="53"/>
      <c r="Y175" s="151"/>
      <c r="Z175" s="151"/>
      <c r="AA175" s="151"/>
      <c r="AB175" s="151"/>
    </row>
    <row r="176" spans="1:28" s="178" customFormat="1" ht="13">
      <c r="A176" s="170"/>
      <c r="B176" s="175"/>
      <c r="C176" s="176"/>
      <c r="D176" s="176"/>
      <c r="E176" s="176"/>
      <c r="F176" s="176"/>
      <c r="G176" s="176"/>
      <c r="H176" s="176"/>
      <c r="I176" s="177"/>
      <c r="J176" s="176"/>
      <c r="K176" s="176"/>
      <c r="L176" s="176"/>
      <c r="M176" s="176"/>
      <c r="N176" s="176"/>
      <c r="O176" s="177"/>
      <c r="P176" s="176"/>
      <c r="Q176" s="176"/>
      <c r="R176" s="176"/>
      <c r="S176" s="177"/>
      <c r="T176" s="176"/>
      <c r="U176" s="177"/>
      <c r="V176" s="176"/>
      <c r="W176" s="177"/>
      <c r="X176" s="53"/>
      <c r="Y176" s="151"/>
      <c r="Z176" s="151"/>
      <c r="AA176" s="151"/>
      <c r="AB176" s="151"/>
    </row>
    <row r="177" spans="1:28" ht="13">
      <c r="A177" s="170"/>
      <c r="B177" s="183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53"/>
      <c r="Y177" s="151"/>
      <c r="Z177" s="151"/>
      <c r="AA177" s="151"/>
      <c r="AB177" s="151"/>
    </row>
    <row r="178" spans="1:28" s="173" customFormat="1" ht="13">
      <c r="A178" s="170"/>
      <c r="B178" s="184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53"/>
      <c r="Y178" s="151"/>
      <c r="Z178" s="151"/>
      <c r="AA178" s="151"/>
      <c r="AB178" s="151"/>
    </row>
    <row r="179" spans="1:28" s="178" customFormat="1" ht="13">
      <c r="A179" s="170"/>
      <c r="B179" s="185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53"/>
      <c r="Y179" s="151"/>
      <c r="Z179" s="151"/>
      <c r="AA179" s="151"/>
      <c r="AB179" s="151"/>
    </row>
    <row r="180" spans="1:28" ht="13">
      <c r="A180" s="170"/>
      <c r="B180" s="59"/>
      <c r="C180" s="179"/>
      <c r="D180" s="179"/>
      <c r="E180" s="179"/>
      <c r="F180" s="179"/>
      <c r="G180" s="179"/>
      <c r="H180" s="179"/>
      <c r="I180" s="180"/>
      <c r="J180" s="179"/>
      <c r="K180" s="179"/>
      <c r="L180" s="179"/>
      <c r="M180" s="179"/>
      <c r="N180" s="179"/>
      <c r="O180" s="180"/>
      <c r="P180" s="179"/>
      <c r="Q180" s="179"/>
      <c r="R180" s="179"/>
      <c r="S180" s="180"/>
      <c r="T180" s="179"/>
      <c r="U180" s="180"/>
      <c r="V180" s="179"/>
      <c r="W180" s="180"/>
      <c r="X180" s="53"/>
      <c r="Y180" s="151"/>
      <c r="Z180" s="151"/>
      <c r="AA180" s="151"/>
      <c r="AB180" s="151"/>
    </row>
    <row r="181" spans="1:28" s="173" customFormat="1" ht="13">
      <c r="A181" s="170"/>
      <c r="B181" s="94"/>
      <c r="C181" s="171"/>
      <c r="D181" s="171"/>
      <c r="E181" s="171"/>
      <c r="F181" s="171"/>
      <c r="G181" s="171"/>
      <c r="H181" s="171"/>
      <c r="I181" s="172"/>
      <c r="J181" s="171"/>
      <c r="K181" s="171"/>
      <c r="L181" s="171"/>
      <c r="M181" s="171"/>
      <c r="N181" s="171"/>
      <c r="O181" s="172"/>
      <c r="P181" s="171"/>
      <c r="Q181" s="171"/>
      <c r="R181" s="171"/>
      <c r="S181" s="172"/>
      <c r="T181" s="171"/>
      <c r="U181" s="172"/>
      <c r="V181" s="171"/>
      <c r="W181" s="172"/>
      <c r="X181" s="53"/>
      <c r="Y181" s="151"/>
      <c r="Z181" s="151"/>
      <c r="AA181" s="151"/>
      <c r="AB181" s="151"/>
    </row>
    <row r="182" spans="1:28" s="178" customFormat="1" ht="13">
      <c r="A182" s="170"/>
      <c r="B182" s="175"/>
      <c r="C182" s="176"/>
      <c r="D182" s="176"/>
      <c r="E182" s="176"/>
      <c r="F182" s="176"/>
      <c r="G182" s="176"/>
      <c r="H182" s="176"/>
      <c r="I182" s="177"/>
      <c r="J182" s="176"/>
      <c r="K182" s="176"/>
      <c r="L182" s="176"/>
      <c r="M182" s="176"/>
      <c r="N182" s="176"/>
      <c r="O182" s="177"/>
      <c r="P182" s="176"/>
      <c r="Q182" s="176"/>
      <c r="R182" s="176"/>
      <c r="S182" s="177"/>
      <c r="T182" s="176"/>
      <c r="U182" s="177"/>
      <c r="V182" s="176"/>
      <c r="W182" s="177"/>
      <c r="X182" s="53"/>
      <c r="Y182" s="151"/>
      <c r="Z182" s="151"/>
      <c r="AA182" s="151"/>
      <c r="AB182" s="151"/>
    </row>
    <row r="183" spans="1:28" ht="13">
      <c r="A183" s="170"/>
      <c r="B183" s="59"/>
      <c r="C183" s="179"/>
      <c r="D183" s="179"/>
      <c r="E183" s="179"/>
      <c r="F183" s="179"/>
      <c r="G183" s="179"/>
      <c r="H183" s="179"/>
      <c r="I183" s="180"/>
      <c r="J183" s="179"/>
      <c r="K183" s="179"/>
      <c r="L183" s="179"/>
      <c r="M183" s="179"/>
      <c r="N183" s="179"/>
      <c r="O183" s="180"/>
      <c r="P183" s="179"/>
      <c r="Q183" s="179"/>
      <c r="R183" s="179"/>
      <c r="S183" s="180"/>
      <c r="T183" s="179"/>
      <c r="U183" s="180"/>
      <c r="V183" s="179"/>
      <c r="W183" s="180"/>
      <c r="X183" s="53"/>
      <c r="Y183" s="151"/>
      <c r="Z183" s="151"/>
      <c r="AA183" s="151"/>
      <c r="AB183" s="151"/>
    </row>
    <row r="184" spans="1:28" s="173" customFormat="1" ht="13">
      <c r="A184" s="170"/>
      <c r="B184" s="94"/>
      <c r="C184" s="171"/>
      <c r="D184" s="171"/>
      <c r="E184" s="171"/>
      <c r="F184" s="171"/>
      <c r="G184" s="171"/>
      <c r="H184" s="171"/>
      <c r="I184" s="172"/>
      <c r="J184" s="171"/>
      <c r="K184" s="171"/>
      <c r="L184" s="171"/>
      <c r="M184" s="171"/>
      <c r="N184" s="171"/>
      <c r="O184" s="172"/>
      <c r="P184" s="171"/>
      <c r="Q184" s="171"/>
      <c r="R184" s="171"/>
      <c r="S184" s="172"/>
      <c r="T184" s="171"/>
      <c r="U184" s="172"/>
      <c r="V184" s="171"/>
      <c r="W184" s="172"/>
      <c r="X184" s="53"/>
      <c r="Y184" s="151"/>
      <c r="Z184" s="151"/>
      <c r="AA184" s="151"/>
      <c r="AB184" s="151"/>
    </row>
    <row r="185" spans="1:28" s="178" customFormat="1" ht="13">
      <c r="A185" s="170"/>
      <c r="B185" s="175"/>
      <c r="C185" s="176"/>
      <c r="D185" s="176"/>
      <c r="E185" s="176"/>
      <c r="F185" s="176"/>
      <c r="G185" s="176"/>
      <c r="H185" s="176"/>
      <c r="I185" s="177"/>
      <c r="J185" s="176"/>
      <c r="K185" s="176"/>
      <c r="L185" s="176"/>
      <c r="M185" s="176"/>
      <c r="N185" s="176"/>
      <c r="O185" s="177"/>
      <c r="P185" s="176"/>
      <c r="Q185" s="176"/>
      <c r="R185" s="176"/>
      <c r="S185" s="177"/>
      <c r="T185" s="176"/>
      <c r="U185" s="177"/>
      <c r="V185" s="176"/>
      <c r="W185" s="177"/>
      <c r="X185" s="53"/>
      <c r="Y185" s="151"/>
      <c r="Z185" s="151"/>
      <c r="AA185" s="151"/>
      <c r="AB185" s="151"/>
    </row>
    <row r="186" spans="1:28" ht="13">
      <c r="A186" s="170"/>
      <c r="B186" s="59"/>
      <c r="C186" s="179"/>
      <c r="D186" s="179"/>
      <c r="E186" s="179"/>
      <c r="F186" s="179"/>
      <c r="G186" s="179"/>
      <c r="H186" s="179"/>
      <c r="I186" s="180"/>
      <c r="J186" s="179"/>
      <c r="K186" s="179"/>
      <c r="L186" s="179"/>
      <c r="M186" s="179"/>
      <c r="N186" s="179"/>
      <c r="O186" s="180"/>
      <c r="P186" s="179"/>
      <c r="Q186" s="179"/>
      <c r="R186" s="179"/>
      <c r="S186" s="180"/>
      <c r="T186" s="179"/>
      <c r="U186" s="180"/>
      <c r="V186" s="179"/>
      <c r="W186" s="180"/>
      <c r="X186" s="53"/>
      <c r="Y186" s="151"/>
      <c r="Z186" s="151"/>
      <c r="AA186" s="151"/>
      <c r="AB186" s="151"/>
    </row>
    <row r="187" spans="1:28" s="173" customFormat="1" ht="13">
      <c r="A187" s="170"/>
      <c r="B187" s="94"/>
      <c r="C187" s="171"/>
      <c r="D187" s="171"/>
      <c r="E187" s="171"/>
      <c r="F187" s="171"/>
      <c r="G187" s="171"/>
      <c r="H187" s="171"/>
      <c r="I187" s="172"/>
      <c r="J187" s="171"/>
      <c r="K187" s="171"/>
      <c r="L187" s="171"/>
      <c r="M187" s="171"/>
      <c r="N187" s="171"/>
      <c r="O187" s="172"/>
      <c r="P187" s="171"/>
      <c r="Q187" s="171"/>
      <c r="R187" s="171"/>
      <c r="S187" s="172"/>
      <c r="T187" s="171"/>
      <c r="U187" s="172"/>
      <c r="V187" s="171"/>
      <c r="W187" s="172"/>
      <c r="X187" s="53"/>
      <c r="Y187" s="151"/>
      <c r="Z187" s="151"/>
      <c r="AA187" s="151"/>
      <c r="AB187" s="151"/>
    </row>
    <row r="188" spans="1:28" s="178" customFormat="1" ht="13">
      <c r="A188" s="170"/>
      <c r="B188" s="175"/>
      <c r="C188" s="176"/>
      <c r="D188" s="176"/>
      <c r="E188" s="176"/>
      <c r="F188" s="176"/>
      <c r="G188" s="176"/>
      <c r="H188" s="176"/>
      <c r="I188" s="177"/>
      <c r="J188" s="176"/>
      <c r="K188" s="176"/>
      <c r="L188" s="176"/>
      <c r="M188" s="176"/>
      <c r="N188" s="176"/>
      <c r="O188" s="177"/>
      <c r="P188" s="176"/>
      <c r="Q188" s="176"/>
      <c r="R188" s="176"/>
      <c r="S188" s="177"/>
      <c r="T188" s="176"/>
      <c r="U188" s="177"/>
      <c r="V188" s="176"/>
      <c r="W188" s="177"/>
      <c r="X188" s="53"/>
      <c r="Y188" s="151"/>
      <c r="Z188" s="151"/>
      <c r="AA188" s="151"/>
      <c r="AB188" s="151"/>
    </row>
    <row r="189" spans="1:28" ht="13">
      <c r="A189" s="170"/>
      <c r="B189" s="59"/>
      <c r="C189" s="179"/>
      <c r="D189" s="179"/>
      <c r="E189" s="179"/>
      <c r="F189" s="179"/>
      <c r="G189" s="179"/>
      <c r="H189" s="179"/>
      <c r="I189" s="180"/>
      <c r="J189" s="179"/>
      <c r="K189" s="179"/>
      <c r="L189" s="179"/>
      <c r="M189" s="179"/>
      <c r="N189" s="179"/>
      <c r="O189" s="180"/>
      <c r="P189" s="179"/>
      <c r="Q189" s="179"/>
      <c r="R189" s="179"/>
      <c r="S189" s="180"/>
      <c r="T189" s="179"/>
      <c r="U189" s="180"/>
      <c r="V189" s="179"/>
      <c r="W189" s="180"/>
      <c r="X189" s="53"/>
      <c r="Y189" s="151"/>
      <c r="Z189" s="151"/>
      <c r="AA189" s="151"/>
      <c r="AB189" s="151"/>
    </row>
    <row r="190" spans="1:28" s="173" customFormat="1" ht="13">
      <c r="A190" s="170"/>
      <c r="B190" s="94"/>
      <c r="C190" s="171"/>
      <c r="D190" s="171"/>
      <c r="E190" s="171"/>
      <c r="F190" s="171"/>
      <c r="G190" s="171"/>
      <c r="H190" s="171"/>
      <c r="I190" s="172"/>
      <c r="J190" s="171"/>
      <c r="K190" s="171"/>
      <c r="L190" s="171"/>
      <c r="M190" s="171"/>
      <c r="N190" s="171"/>
      <c r="O190" s="172"/>
      <c r="P190" s="171"/>
      <c r="Q190" s="171"/>
      <c r="R190" s="171"/>
      <c r="S190" s="172"/>
      <c r="T190" s="171"/>
      <c r="U190" s="172"/>
      <c r="V190" s="171"/>
      <c r="W190" s="172"/>
      <c r="X190" s="53"/>
      <c r="Y190" s="151"/>
      <c r="Z190" s="151"/>
      <c r="AA190" s="151"/>
      <c r="AB190" s="151"/>
    </row>
    <row r="191" spans="1:28" s="178" customFormat="1" ht="13">
      <c r="A191" s="170"/>
      <c r="B191" s="175"/>
      <c r="C191" s="176"/>
      <c r="D191" s="176"/>
      <c r="E191" s="176"/>
      <c r="F191" s="176"/>
      <c r="G191" s="176"/>
      <c r="H191" s="176"/>
      <c r="I191" s="177"/>
      <c r="J191" s="176"/>
      <c r="K191" s="176"/>
      <c r="L191" s="176"/>
      <c r="M191" s="176"/>
      <c r="N191" s="176"/>
      <c r="O191" s="177"/>
      <c r="P191" s="176"/>
      <c r="Q191" s="176"/>
      <c r="R191" s="176"/>
      <c r="S191" s="177"/>
      <c r="T191" s="176"/>
      <c r="U191" s="177"/>
      <c r="V191" s="176"/>
      <c r="W191" s="177"/>
      <c r="X191" s="53"/>
      <c r="Y191" s="151"/>
      <c r="Z191" s="151"/>
      <c r="AA191" s="151"/>
      <c r="AB191" s="151"/>
    </row>
    <row r="192" spans="1:28" ht="13">
      <c r="A192" s="170"/>
      <c r="B192" s="59"/>
      <c r="C192" s="179"/>
      <c r="D192" s="179"/>
      <c r="E192" s="179"/>
      <c r="F192" s="179"/>
      <c r="G192" s="179"/>
      <c r="H192" s="179"/>
      <c r="I192" s="180"/>
      <c r="J192" s="179"/>
      <c r="K192" s="179"/>
      <c r="L192" s="179"/>
      <c r="M192" s="179"/>
      <c r="N192" s="179"/>
      <c r="O192" s="180"/>
      <c r="P192" s="179"/>
      <c r="Q192" s="179"/>
      <c r="R192" s="179"/>
      <c r="S192" s="180"/>
      <c r="T192" s="179"/>
      <c r="U192" s="180"/>
      <c r="V192" s="179"/>
      <c r="W192" s="180"/>
      <c r="X192" s="53"/>
      <c r="Y192" s="151"/>
      <c r="Z192" s="151"/>
      <c r="AA192" s="151"/>
      <c r="AB192" s="151"/>
    </row>
    <row r="193" spans="1:28" s="173" customFormat="1" ht="13">
      <c r="A193" s="170"/>
      <c r="B193" s="94"/>
      <c r="C193" s="171"/>
      <c r="D193" s="171"/>
      <c r="E193" s="171"/>
      <c r="F193" s="171"/>
      <c r="G193" s="171"/>
      <c r="H193" s="171"/>
      <c r="I193" s="172"/>
      <c r="J193" s="171"/>
      <c r="K193" s="171"/>
      <c r="L193" s="171"/>
      <c r="M193" s="171"/>
      <c r="N193" s="171"/>
      <c r="O193" s="172"/>
      <c r="P193" s="171"/>
      <c r="Q193" s="171"/>
      <c r="R193" s="171"/>
      <c r="S193" s="172"/>
      <c r="T193" s="171"/>
      <c r="U193" s="172"/>
      <c r="V193" s="171"/>
      <c r="W193" s="172"/>
      <c r="X193" s="53"/>
      <c r="Y193" s="151"/>
      <c r="Z193" s="151"/>
      <c r="AA193" s="151"/>
      <c r="AB193" s="151"/>
    </row>
    <row r="194" spans="1:28" s="178" customFormat="1" ht="13">
      <c r="A194" s="170"/>
      <c r="B194" s="175"/>
      <c r="C194" s="176"/>
      <c r="D194" s="176"/>
      <c r="E194" s="176"/>
      <c r="F194" s="176"/>
      <c r="G194" s="176"/>
      <c r="H194" s="176"/>
      <c r="I194" s="177"/>
      <c r="J194" s="176"/>
      <c r="K194" s="176"/>
      <c r="L194" s="176"/>
      <c r="M194" s="176"/>
      <c r="N194" s="176"/>
      <c r="O194" s="177"/>
      <c r="P194" s="176"/>
      <c r="Q194" s="176"/>
      <c r="R194" s="176"/>
      <c r="S194" s="177"/>
      <c r="T194" s="176"/>
      <c r="U194" s="177"/>
      <c r="V194" s="176"/>
      <c r="W194" s="177"/>
      <c r="X194" s="53"/>
      <c r="Y194" s="151"/>
      <c r="Z194" s="151"/>
      <c r="AA194" s="151"/>
      <c r="AB194" s="151"/>
    </row>
    <row r="195" spans="1:28" ht="13">
      <c r="A195" s="170"/>
      <c r="B195" s="59"/>
      <c r="C195" s="179"/>
      <c r="D195" s="179"/>
      <c r="E195" s="179"/>
      <c r="F195" s="179"/>
      <c r="G195" s="179"/>
      <c r="H195" s="179"/>
      <c r="I195" s="180"/>
      <c r="J195" s="179"/>
      <c r="K195" s="179"/>
      <c r="L195" s="179"/>
      <c r="M195" s="179"/>
      <c r="N195" s="179"/>
      <c r="O195" s="180"/>
      <c r="P195" s="179"/>
      <c r="Q195" s="179"/>
      <c r="R195" s="179"/>
      <c r="S195" s="180"/>
      <c r="T195" s="179"/>
      <c r="U195" s="180"/>
      <c r="V195" s="179"/>
      <c r="W195" s="180"/>
      <c r="X195" s="53"/>
      <c r="Y195" s="151"/>
      <c r="Z195" s="151"/>
      <c r="AA195" s="151"/>
      <c r="AB195" s="151"/>
    </row>
    <row r="196" spans="1:28" s="173" customFormat="1" ht="13">
      <c r="A196" s="170"/>
      <c r="B196" s="94"/>
      <c r="C196" s="171"/>
      <c r="D196" s="171"/>
      <c r="E196" s="171"/>
      <c r="F196" s="171"/>
      <c r="G196" s="171"/>
      <c r="H196" s="171"/>
      <c r="I196" s="172"/>
      <c r="J196" s="171"/>
      <c r="K196" s="171"/>
      <c r="L196" s="171"/>
      <c r="M196" s="171"/>
      <c r="N196" s="171"/>
      <c r="O196" s="172"/>
      <c r="P196" s="171"/>
      <c r="Q196" s="171"/>
      <c r="R196" s="171"/>
      <c r="S196" s="172"/>
      <c r="T196" s="171"/>
      <c r="U196" s="172"/>
      <c r="V196" s="171"/>
      <c r="W196" s="172"/>
      <c r="X196" s="53"/>
      <c r="Y196" s="151"/>
      <c r="Z196" s="151"/>
      <c r="AA196" s="151"/>
      <c r="AB196" s="151"/>
    </row>
    <row r="197" spans="1:28" s="178" customFormat="1" ht="13">
      <c r="A197" s="170"/>
      <c r="B197" s="175"/>
      <c r="C197" s="176"/>
      <c r="D197" s="176"/>
      <c r="E197" s="176"/>
      <c r="F197" s="176"/>
      <c r="G197" s="176"/>
      <c r="H197" s="176"/>
      <c r="I197" s="177"/>
      <c r="J197" s="176"/>
      <c r="K197" s="176"/>
      <c r="L197" s="176"/>
      <c r="M197" s="176"/>
      <c r="N197" s="176"/>
      <c r="O197" s="177"/>
      <c r="P197" s="176"/>
      <c r="Q197" s="176"/>
      <c r="R197" s="176"/>
      <c r="S197" s="177"/>
      <c r="T197" s="176"/>
      <c r="U197" s="177"/>
      <c r="V197" s="176"/>
      <c r="W197" s="177"/>
      <c r="X197" s="53"/>
      <c r="Y197" s="151"/>
      <c r="Z197" s="151"/>
      <c r="AA197" s="151"/>
      <c r="AB197" s="151"/>
    </row>
    <row r="198" spans="1:28" ht="13">
      <c r="A198" s="170"/>
      <c r="B198" s="59"/>
      <c r="C198" s="179"/>
      <c r="D198" s="179"/>
      <c r="E198" s="179"/>
      <c r="F198" s="179"/>
      <c r="G198" s="179"/>
      <c r="H198" s="179"/>
      <c r="I198" s="180"/>
      <c r="J198" s="179"/>
      <c r="K198" s="179"/>
      <c r="L198" s="179"/>
      <c r="M198" s="179"/>
      <c r="N198" s="179"/>
      <c r="O198" s="180"/>
      <c r="P198" s="179"/>
      <c r="Q198" s="179"/>
      <c r="R198" s="179"/>
      <c r="S198" s="180"/>
      <c r="T198" s="179"/>
      <c r="U198" s="180"/>
      <c r="V198" s="179"/>
      <c r="W198" s="180"/>
      <c r="X198" s="53"/>
      <c r="Y198" s="151"/>
      <c r="Z198" s="151"/>
      <c r="AA198" s="151"/>
      <c r="AB198" s="151"/>
    </row>
    <row r="199" spans="1:28" s="173" customFormat="1" ht="13">
      <c r="A199" s="170"/>
      <c r="B199" s="94"/>
      <c r="C199" s="171"/>
      <c r="D199" s="171"/>
      <c r="E199" s="171"/>
      <c r="F199" s="171"/>
      <c r="G199" s="171"/>
      <c r="H199" s="171"/>
      <c r="I199" s="172"/>
      <c r="J199" s="171"/>
      <c r="K199" s="171"/>
      <c r="L199" s="171"/>
      <c r="M199" s="171"/>
      <c r="N199" s="171"/>
      <c r="O199" s="172"/>
      <c r="P199" s="171"/>
      <c r="Q199" s="171"/>
      <c r="R199" s="171"/>
      <c r="S199" s="172"/>
      <c r="T199" s="171"/>
      <c r="U199" s="172"/>
      <c r="V199" s="171"/>
      <c r="W199" s="172"/>
      <c r="X199" s="53"/>
      <c r="Y199" s="151"/>
      <c r="Z199" s="151"/>
      <c r="AA199" s="151"/>
      <c r="AB199" s="151"/>
    </row>
    <row r="200" spans="1:28" s="192" customFormat="1" ht="13.5" thickBot="1">
      <c r="A200" s="186"/>
      <c r="B200" s="187"/>
      <c r="C200" s="188"/>
      <c r="D200" s="188"/>
      <c r="E200" s="188"/>
      <c r="F200" s="188"/>
      <c r="G200" s="188"/>
      <c r="H200" s="188"/>
      <c r="I200" s="189"/>
      <c r="J200" s="188"/>
      <c r="K200" s="188"/>
      <c r="L200" s="188"/>
      <c r="M200" s="188"/>
      <c r="N200" s="188"/>
      <c r="O200" s="189"/>
      <c r="P200" s="188"/>
      <c r="Q200" s="188"/>
      <c r="R200" s="188"/>
      <c r="S200" s="189"/>
      <c r="T200" s="188"/>
      <c r="U200" s="189"/>
      <c r="V200" s="188"/>
      <c r="W200" s="189"/>
      <c r="X200" s="53"/>
      <c r="Y200" s="151"/>
      <c r="Z200" s="151"/>
      <c r="AA200" s="151"/>
      <c r="AB200" s="151"/>
    </row>
    <row r="201" spans="1:28" ht="13.5" thickTop="1">
      <c r="A201" s="147"/>
      <c r="B201" s="167"/>
      <c r="C201" s="168"/>
      <c r="D201" s="168"/>
      <c r="E201" s="168"/>
      <c r="F201" s="168"/>
      <c r="G201" s="168"/>
      <c r="H201" s="168"/>
      <c r="I201" s="169"/>
      <c r="J201" s="168"/>
      <c r="K201" s="168"/>
      <c r="L201" s="168"/>
      <c r="M201" s="168"/>
      <c r="N201" s="168"/>
      <c r="O201" s="169"/>
      <c r="P201" s="168"/>
      <c r="Q201" s="168"/>
      <c r="R201" s="168"/>
      <c r="S201" s="169"/>
      <c r="T201" s="168"/>
      <c r="U201" s="169"/>
      <c r="V201" s="168"/>
      <c r="W201" s="169"/>
      <c r="X201" s="53"/>
      <c r="Y201" s="151"/>
      <c r="Z201" s="151"/>
      <c r="AA201" s="151"/>
      <c r="AB201" s="151"/>
    </row>
    <row r="202" spans="1:28" s="173" customFormat="1" ht="13">
      <c r="A202" s="170"/>
      <c r="B202" s="94"/>
      <c r="C202" s="171"/>
      <c r="D202" s="171"/>
      <c r="E202" s="171"/>
      <c r="F202" s="171"/>
      <c r="G202" s="171"/>
      <c r="H202" s="171"/>
      <c r="I202" s="172"/>
      <c r="J202" s="171"/>
      <c r="K202" s="171"/>
      <c r="L202" s="171"/>
      <c r="M202" s="171"/>
      <c r="N202" s="171"/>
      <c r="O202" s="172"/>
      <c r="P202" s="171"/>
      <c r="Q202" s="171"/>
      <c r="R202" s="171"/>
      <c r="S202" s="172"/>
      <c r="T202" s="171"/>
      <c r="U202" s="172"/>
      <c r="V202" s="171"/>
      <c r="W202" s="172"/>
      <c r="X202" s="53"/>
      <c r="Y202" s="151"/>
      <c r="Z202" s="151"/>
      <c r="AA202" s="151"/>
      <c r="AB202" s="151"/>
    </row>
    <row r="203" spans="1:28" s="178" customFormat="1" ht="13">
      <c r="A203" s="174"/>
      <c r="B203" s="175"/>
      <c r="C203" s="176"/>
      <c r="D203" s="176"/>
      <c r="E203" s="176"/>
      <c r="F203" s="176"/>
      <c r="G203" s="176"/>
      <c r="H203" s="176"/>
      <c r="I203" s="177"/>
      <c r="J203" s="176"/>
      <c r="K203" s="176"/>
      <c r="L203" s="176"/>
      <c r="M203" s="176"/>
      <c r="N203" s="176"/>
      <c r="O203" s="177"/>
      <c r="P203" s="176"/>
      <c r="Q203" s="176"/>
      <c r="R203" s="176"/>
      <c r="S203" s="177"/>
      <c r="T203" s="176"/>
      <c r="U203" s="177"/>
      <c r="V203" s="176"/>
      <c r="W203" s="177"/>
      <c r="X203" s="53"/>
      <c r="Y203" s="151"/>
      <c r="Z203" s="151"/>
      <c r="AA203" s="151"/>
      <c r="AB203" s="151"/>
    </row>
    <row r="204" spans="1:28" ht="13">
      <c r="A204" s="170"/>
      <c r="B204" s="59"/>
      <c r="C204" s="179"/>
      <c r="D204" s="179"/>
      <c r="E204" s="179"/>
      <c r="F204" s="179"/>
      <c r="G204" s="179"/>
      <c r="H204" s="179"/>
      <c r="I204" s="180"/>
      <c r="J204" s="179"/>
      <c r="K204" s="179"/>
      <c r="L204" s="179"/>
      <c r="M204" s="179"/>
      <c r="N204" s="179"/>
      <c r="O204" s="180"/>
      <c r="P204" s="179"/>
      <c r="Q204" s="179"/>
      <c r="R204" s="179"/>
      <c r="S204" s="180"/>
      <c r="T204" s="179"/>
      <c r="U204" s="180"/>
      <c r="V204" s="179"/>
      <c r="W204" s="180"/>
      <c r="X204" s="53"/>
      <c r="Y204" s="151"/>
      <c r="Z204" s="151"/>
      <c r="AA204" s="151"/>
      <c r="AB204" s="151"/>
    </row>
    <row r="205" spans="1:28" s="173" customFormat="1" ht="13">
      <c r="A205" s="170"/>
      <c r="B205" s="94"/>
      <c r="C205" s="171"/>
      <c r="D205" s="171"/>
      <c r="E205" s="171"/>
      <c r="F205" s="171"/>
      <c r="G205" s="171"/>
      <c r="H205" s="171"/>
      <c r="I205" s="172"/>
      <c r="J205" s="171"/>
      <c r="K205" s="171"/>
      <c r="L205" s="171"/>
      <c r="M205" s="171"/>
      <c r="N205" s="171"/>
      <c r="O205" s="172"/>
      <c r="P205" s="171"/>
      <c r="Q205" s="171"/>
      <c r="R205" s="171"/>
      <c r="S205" s="172"/>
      <c r="T205" s="171"/>
      <c r="U205" s="172"/>
      <c r="V205" s="171"/>
      <c r="W205" s="172"/>
      <c r="X205" s="53"/>
      <c r="Y205" s="151"/>
      <c r="Z205" s="151"/>
      <c r="AA205" s="151"/>
      <c r="AB205" s="151"/>
    </row>
    <row r="206" spans="1:28" s="178" customFormat="1" ht="13">
      <c r="A206" s="170"/>
      <c r="B206" s="175"/>
      <c r="C206" s="176"/>
      <c r="D206" s="176"/>
      <c r="E206" s="176"/>
      <c r="F206" s="176"/>
      <c r="G206" s="176"/>
      <c r="H206" s="176"/>
      <c r="I206" s="177"/>
      <c r="J206" s="176"/>
      <c r="K206" s="176"/>
      <c r="L206" s="176"/>
      <c r="M206" s="176"/>
      <c r="N206" s="176"/>
      <c r="O206" s="177"/>
      <c r="P206" s="176"/>
      <c r="Q206" s="176"/>
      <c r="R206" s="176"/>
      <c r="S206" s="177"/>
      <c r="T206" s="176"/>
      <c r="U206" s="177"/>
      <c r="V206" s="176"/>
      <c r="W206" s="177"/>
      <c r="X206" s="53"/>
      <c r="Y206" s="151"/>
      <c r="Z206" s="151"/>
      <c r="AA206" s="151"/>
      <c r="AB206" s="151"/>
    </row>
    <row r="207" spans="1:28" ht="13">
      <c r="A207" s="170"/>
      <c r="B207" s="59"/>
      <c r="C207" s="179"/>
      <c r="D207" s="179"/>
      <c r="E207" s="179"/>
      <c r="F207" s="179"/>
      <c r="G207" s="179"/>
      <c r="H207" s="179"/>
      <c r="I207" s="180"/>
      <c r="J207" s="179"/>
      <c r="K207" s="179"/>
      <c r="L207" s="179"/>
      <c r="M207" s="179"/>
      <c r="N207" s="179"/>
      <c r="O207" s="180"/>
      <c r="P207" s="179"/>
      <c r="Q207" s="179"/>
      <c r="R207" s="179"/>
      <c r="S207" s="180"/>
      <c r="T207" s="179"/>
      <c r="U207" s="180"/>
      <c r="V207" s="179"/>
      <c r="W207" s="180"/>
      <c r="X207" s="53"/>
      <c r="Y207" s="151"/>
      <c r="Z207" s="151"/>
      <c r="AA207" s="151"/>
      <c r="AB207" s="151"/>
    </row>
    <row r="208" spans="1:28" s="173" customFormat="1" ht="13">
      <c r="A208" s="170"/>
      <c r="B208" s="94"/>
      <c r="C208" s="171"/>
      <c r="D208" s="171"/>
      <c r="E208" s="171"/>
      <c r="F208" s="171"/>
      <c r="G208" s="171"/>
      <c r="H208" s="171"/>
      <c r="I208" s="172"/>
      <c r="J208" s="171"/>
      <c r="K208" s="171"/>
      <c r="L208" s="171"/>
      <c r="M208" s="171"/>
      <c r="N208" s="171"/>
      <c r="O208" s="172"/>
      <c r="P208" s="171"/>
      <c r="Q208" s="171"/>
      <c r="R208" s="171"/>
      <c r="S208" s="172"/>
      <c r="T208" s="171"/>
      <c r="U208" s="172"/>
      <c r="V208" s="171"/>
      <c r="W208" s="172"/>
      <c r="X208" s="53"/>
      <c r="Y208" s="151"/>
      <c r="Z208" s="151"/>
      <c r="AA208" s="151"/>
      <c r="AB208" s="151"/>
    </row>
    <row r="209" spans="1:28" s="178" customFormat="1" ht="13">
      <c r="A209" s="170"/>
      <c r="B209" s="175"/>
      <c r="C209" s="176"/>
      <c r="D209" s="176"/>
      <c r="E209" s="176"/>
      <c r="F209" s="176"/>
      <c r="G209" s="176"/>
      <c r="H209" s="176"/>
      <c r="I209" s="177"/>
      <c r="J209" s="176"/>
      <c r="K209" s="176"/>
      <c r="L209" s="176"/>
      <c r="M209" s="176"/>
      <c r="N209" s="176"/>
      <c r="O209" s="177"/>
      <c r="P209" s="176"/>
      <c r="Q209" s="176"/>
      <c r="R209" s="176"/>
      <c r="S209" s="177"/>
      <c r="T209" s="176"/>
      <c r="U209" s="177"/>
      <c r="V209" s="176"/>
      <c r="W209" s="177"/>
      <c r="X209" s="53"/>
      <c r="Y209" s="151"/>
      <c r="Z209" s="151"/>
      <c r="AA209" s="151"/>
      <c r="AB209" s="151"/>
    </row>
    <row r="210" spans="1:28" ht="13">
      <c r="A210" s="170"/>
      <c r="B210" s="59"/>
      <c r="C210" s="179"/>
      <c r="D210" s="179"/>
      <c r="E210" s="179"/>
      <c r="F210" s="179"/>
      <c r="G210" s="179"/>
      <c r="H210" s="179"/>
      <c r="I210" s="180"/>
      <c r="J210" s="179"/>
      <c r="K210" s="179"/>
      <c r="L210" s="179"/>
      <c r="M210" s="179"/>
      <c r="N210" s="179"/>
      <c r="O210" s="180"/>
      <c r="P210" s="179"/>
      <c r="Q210" s="179"/>
      <c r="R210" s="179"/>
      <c r="S210" s="180"/>
      <c r="T210" s="179"/>
      <c r="U210" s="180"/>
      <c r="V210" s="179"/>
      <c r="W210" s="180"/>
      <c r="X210" s="53"/>
      <c r="Y210" s="151"/>
      <c r="Z210" s="151"/>
      <c r="AA210" s="151"/>
      <c r="AB210" s="151"/>
    </row>
    <row r="211" spans="1:28" s="173" customFormat="1" ht="13">
      <c r="A211" s="170"/>
      <c r="B211" s="94"/>
      <c r="C211" s="171"/>
      <c r="D211" s="171"/>
      <c r="E211" s="171"/>
      <c r="F211" s="171"/>
      <c r="G211" s="171"/>
      <c r="H211" s="171"/>
      <c r="I211" s="172"/>
      <c r="J211" s="171"/>
      <c r="K211" s="171"/>
      <c r="L211" s="171"/>
      <c r="M211" s="171"/>
      <c r="N211" s="171"/>
      <c r="O211" s="172"/>
      <c r="P211" s="171"/>
      <c r="Q211" s="171"/>
      <c r="R211" s="171"/>
      <c r="S211" s="172"/>
      <c r="T211" s="171"/>
      <c r="U211" s="172"/>
      <c r="V211" s="171"/>
      <c r="W211" s="172"/>
      <c r="X211" s="53"/>
      <c r="Y211" s="151"/>
      <c r="Z211" s="151"/>
      <c r="AA211" s="151"/>
      <c r="AB211" s="151"/>
    </row>
    <row r="212" spans="1:28" s="178" customFormat="1" ht="13">
      <c r="A212" s="170"/>
      <c r="B212" s="175"/>
      <c r="C212" s="176"/>
      <c r="D212" s="176"/>
      <c r="E212" s="176"/>
      <c r="F212" s="176"/>
      <c r="G212" s="176"/>
      <c r="H212" s="176"/>
      <c r="I212" s="177"/>
      <c r="J212" s="176"/>
      <c r="K212" s="176"/>
      <c r="L212" s="176"/>
      <c r="M212" s="176"/>
      <c r="N212" s="176"/>
      <c r="O212" s="177"/>
      <c r="P212" s="176"/>
      <c r="Q212" s="176"/>
      <c r="R212" s="176"/>
      <c r="S212" s="177"/>
      <c r="T212" s="176"/>
      <c r="U212" s="177"/>
      <c r="V212" s="176"/>
      <c r="W212" s="177"/>
      <c r="X212" s="53"/>
      <c r="Y212" s="151"/>
      <c r="Z212" s="151"/>
      <c r="AA212" s="151"/>
      <c r="AB212" s="151"/>
    </row>
    <row r="213" spans="1:28" ht="13">
      <c r="A213" s="170"/>
      <c r="B213" s="59"/>
      <c r="C213" s="179"/>
      <c r="D213" s="179"/>
      <c r="E213" s="179"/>
      <c r="F213" s="179"/>
      <c r="G213" s="179"/>
      <c r="H213" s="179"/>
      <c r="I213" s="180"/>
      <c r="J213" s="179"/>
      <c r="K213" s="179"/>
      <c r="L213" s="179"/>
      <c r="M213" s="179"/>
      <c r="N213" s="179"/>
      <c r="O213" s="180"/>
      <c r="P213" s="179"/>
      <c r="Q213" s="179"/>
      <c r="R213" s="179"/>
      <c r="S213" s="180"/>
      <c r="T213" s="179"/>
      <c r="U213" s="180"/>
      <c r="V213" s="179"/>
      <c r="W213" s="180"/>
      <c r="X213" s="53"/>
      <c r="Y213" s="151"/>
      <c r="Z213" s="151"/>
      <c r="AA213" s="151"/>
      <c r="AB213" s="151"/>
    </row>
    <row r="214" spans="1:28" s="173" customFormat="1" ht="13">
      <c r="A214" s="170"/>
      <c r="B214" s="94"/>
      <c r="C214" s="171"/>
      <c r="D214" s="171"/>
      <c r="E214" s="171"/>
      <c r="F214" s="171"/>
      <c r="G214" s="171"/>
      <c r="H214" s="171"/>
      <c r="I214" s="172"/>
      <c r="J214" s="171"/>
      <c r="K214" s="171"/>
      <c r="L214" s="171"/>
      <c r="M214" s="171"/>
      <c r="N214" s="171"/>
      <c r="O214" s="172"/>
      <c r="P214" s="171"/>
      <c r="Q214" s="171"/>
      <c r="R214" s="171"/>
      <c r="S214" s="172"/>
      <c r="T214" s="171"/>
      <c r="U214" s="172"/>
      <c r="V214" s="171"/>
      <c r="W214" s="172"/>
      <c r="X214" s="53"/>
      <c r="Y214" s="151"/>
      <c r="Z214" s="151"/>
      <c r="AA214" s="151"/>
      <c r="AB214" s="151"/>
    </row>
    <row r="215" spans="1:28" s="178" customFormat="1" ht="13">
      <c r="A215" s="170"/>
      <c r="B215" s="175"/>
      <c r="C215" s="176"/>
      <c r="D215" s="176"/>
      <c r="E215" s="176"/>
      <c r="F215" s="176"/>
      <c r="G215" s="176"/>
      <c r="H215" s="176"/>
      <c r="I215" s="177"/>
      <c r="J215" s="176"/>
      <c r="K215" s="176"/>
      <c r="L215" s="176"/>
      <c r="M215" s="176"/>
      <c r="N215" s="176"/>
      <c r="O215" s="177"/>
      <c r="P215" s="176"/>
      <c r="Q215" s="176"/>
      <c r="R215" s="176"/>
      <c r="S215" s="177"/>
      <c r="T215" s="176"/>
      <c r="U215" s="177"/>
      <c r="V215" s="176"/>
      <c r="W215" s="177"/>
      <c r="X215" s="53"/>
      <c r="Y215" s="151"/>
      <c r="Z215" s="151"/>
      <c r="AA215" s="151"/>
      <c r="AB215" s="151"/>
    </row>
    <row r="216" spans="1:28" ht="13">
      <c r="A216" s="170"/>
      <c r="B216" s="183"/>
      <c r="C216" s="180"/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53"/>
      <c r="Y216" s="151"/>
      <c r="Z216" s="151"/>
      <c r="AA216" s="151"/>
      <c r="AB216" s="151"/>
    </row>
    <row r="217" spans="1:28" s="173" customFormat="1" ht="13">
      <c r="A217" s="170"/>
      <c r="B217" s="184"/>
      <c r="C217" s="172"/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53"/>
      <c r="Y217" s="151"/>
      <c r="Z217" s="151"/>
      <c r="AA217" s="151"/>
      <c r="AB217" s="151"/>
    </row>
    <row r="218" spans="1:28" s="178" customFormat="1" ht="13">
      <c r="A218" s="170"/>
      <c r="B218" s="185"/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53"/>
      <c r="Y218" s="151"/>
      <c r="Z218" s="151"/>
      <c r="AA218" s="151"/>
      <c r="AB218" s="151"/>
    </row>
    <row r="219" spans="1:28" ht="13">
      <c r="A219" s="170"/>
      <c r="B219" s="59"/>
      <c r="C219" s="179"/>
      <c r="D219" s="179"/>
      <c r="E219" s="179"/>
      <c r="F219" s="179"/>
      <c r="G219" s="179"/>
      <c r="H219" s="179"/>
      <c r="I219" s="180"/>
      <c r="J219" s="179"/>
      <c r="K219" s="179"/>
      <c r="L219" s="179"/>
      <c r="M219" s="179"/>
      <c r="N219" s="179"/>
      <c r="O219" s="180"/>
      <c r="P219" s="179"/>
      <c r="Q219" s="179"/>
      <c r="R219" s="179"/>
      <c r="S219" s="180"/>
      <c r="T219" s="179"/>
      <c r="U219" s="180"/>
      <c r="V219" s="179"/>
      <c r="W219" s="180"/>
      <c r="X219" s="53"/>
      <c r="Y219" s="151"/>
      <c r="Z219" s="151"/>
      <c r="AA219" s="151"/>
      <c r="AB219" s="151"/>
    </row>
    <row r="220" spans="1:28" s="173" customFormat="1" ht="13">
      <c r="A220" s="170"/>
      <c r="B220" s="94"/>
      <c r="C220" s="171"/>
      <c r="D220" s="171"/>
      <c r="E220" s="171"/>
      <c r="F220" s="171"/>
      <c r="G220" s="171"/>
      <c r="H220" s="171"/>
      <c r="I220" s="172"/>
      <c r="J220" s="171"/>
      <c r="K220" s="171"/>
      <c r="L220" s="171"/>
      <c r="M220" s="171"/>
      <c r="N220" s="171"/>
      <c r="O220" s="172"/>
      <c r="P220" s="171"/>
      <c r="Q220" s="171"/>
      <c r="R220" s="171"/>
      <c r="S220" s="172"/>
      <c r="T220" s="171"/>
      <c r="U220" s="172"/>
      <c r="V220" s="171"/>
      <c r="W220" s="172"/>
      <c r="X220" s="53"/>
      <c r="Y220" s="151"/>
      <c r="Z220" s="151"/>
      <c r="AA220" s="151"/>
      <c r="AB220" s="151"/>
    </row>
    <row r="221" spans="1:28" s="178" customFormat="1" ht="13">
      <c r="A221" s="170"/>
      <c r="B221" s="175"/>
      <c r="C221" s="176"/>
      <c r="D221" s="176"/>
      <c r="E221" s="176"/>
      <c r="F221" s="176"/>
      <c r="G221" s="176"/>
      <c r="H221" s="176"/>
      <c r="I221" s="177"/>
      <c r="J221" s="176"/>
      <c r="K221" s="176"/>
      <c r="L221" s="176"/>
      <c r="M221" s="176"/>
      <c r="N221" s="176"/>
      <c r="O221" s="177"/>
      <c r="P221" s="176"/>
      <c r="Q221" s="176"/>
      <c r="R221" s="176"/>
      <c r="S221" s="177"/>
      <c r="T221" s="176"/>
      <c r="U221" s="177"/>
      <c r="V221" s="176"/>
      <c r="W221" s="177"/>
      <c r="X221" s="53"/>
      <c r="Y221" s="151"/>
      <c r="Z221" s="151"/>
      <c r="AA221" s="151"/>
      <c r="AB221" s="151"/>
    </row>
    <row r="222" spans="1:28" ht="13">
      <c r="A222" s="170"/>
      <c r="B222" s="59"/>
      <c r="C222" s="179"/>
      <c r="D222" s="179"/>
      <c r="E222" s="179"/>
      <c r="F222" s="179"/>
      <c r="G222" s="179"/>
      <c r="H222" s="179"/>
      <c r="I222" s="180"/>
      <c r="J222" s="179"/>
      <c r="K222" s="179"/>
      <c r="L222" s="179"/>
      <c r="M222" s="179"/>
      <c r="N222" s="179"/>
      <c r="O222" s="180"/>
      <c r="P222" s="179"/>
      <c r="Q222" s="179"/>
      <c r="R222" s="179"/>
      <c r="S222" s="180"/>
      <c r="T222" s="179"/>
      <c r="U222" s="180"/>
      <c r="V222" s="179"/>
      <c r="W222" s="180"/>
      <c r="X222" s="53"/>
      <c r="Y222" s="151"/>
      <c r="Z222" s="151"/>
      <c r="AA222" s="151"/>
      <c r="AB222" s="151"/>
    </row>
    <row r="223" spans="1:28" s="173" customFormat="1" ht="13">
      <c r="A223" s="170"/>
      <c r="B223" s="94"/>
      <c r="C223" s="171"/>
      <c r="D223" s="171"/>
      <c r="E223" s="171"/>
      <c r="F223" s="171"/>
      <c r="G223" s="171"/>
      <c r="H223" s="171"/>
      <c r="I223" s="172"/>
      <c r="J223" s="171"/>
      <c r="K223" s="171"/>
      <c r="L223" s="171"/>
      <c r="M223" s="171"/>
      <c r="N223" s="171"/>
      <c r="O223" s="172"/>
      <c r="P223" s="171"/>
      <c r="Q223" s="171"/>
      <c r="R223" s="171"/>
      <c r="S223" s="172"/>
      <c r="T223" s="171"/>
      <c r="U223" s="172"/>
      <c r="V223" s="171"/>
      <c r="W223" s="172"/>
      <c r="X223" s="53"/>
      <c r="Y223" s="151"/>
      <c r="Z223" s="151"/>
      <c r="AA223" s="151"/>
      <c r="AB223" s="151"/>
    </row>
    <row r="224" spans="1:28" s="178" customFormat="1" ht="13">
      <c r="A224" s="170"/>
      <c r="B224" s="175"/>
      <c r="C224" s="176"/>
      <c r="D224" s="176"/>
      <c r="E224" s="176"/>
      <c r="F224" s="176"/>
      <c r="G224" s="176"/>
      <c r="H224" s="176"/>
      <c r="I224" s="177"/>
      <c r="J224" s="176"/>
      <c r="K224" s="176"/>
      <c r="L224" s="176"/>
      <c r="M224" s="176"/>
      <c r="N224" s="176"/>
      <c r="O224" s="177"/>
      <c r="P224" s="176"/>
      <c r="Q224" s="176"/>
      <c r="R224" s="176"/>
      <c r="S224" s="177"/>
      <c r="T224" s="176"/>
      <c r="U224" s="177"/>
      <c r="V224" s="176"/>
      <c r="W224" s="177"/>
      <c r="X224" s="53"/>
      <c r="Y224" s="151"/>
      <c r="Z224" s="151"/>
      <c r="AA224" s="151"/>
      <c r="AB224" s="151"/>
    </row>
    <row r="225" spans="1:28" ht="13">
      <c r="A225" s="170"/>
      <c r="B225" s="59"/>
      <c r="C225" s="179"/>
      <c r="D225" s="179"/>
      <c r="E225" s="179"/>
      <c r="F225" s="179"/>
      <c r="G225" s="179"/>
      <c r="H225" s="179"/>
      <c r="I225" s="180"/>
      <c r="J225" s="179"/>
      <c r="K225" s="179"/>
      <c r="L225" s="179"/>
      <c r="M225" s="179"/>
      <c r="N225" s="179"/>
      <c r="O225" s="180"/>
      <c r="P225" s="179"/>
      <c r="Q225" s="179"/>
      <c r="R225" s="179"/>
      <c r="S225" s="180"/>
      <c r="T225" s="179"/>
      <c r="U225" s="180"/>
      <c r="V225" s="179"/>
      <c r="W225" s="180"/>
      <c r="X225" s="53"/>
      <c r="Y225" s="151"/>
      <c r="Z225" s="151"/>
      <c r="AA225" s="151"/>
      <c r="AB225" s="151"/>
    </row>
    <row r="226" spans="1:28" s="173" customFormat="1" ht="13">
      <c r="A226" s="170"/>
      <c r="B226" s="94"/>
      <c r="C226" s="171"/>
      <c r="D226" s="171"/>
      <c r="E226" s="171"/>
      <c r="F226" s="171"/>
      <c r="G226" s="171"/>
      <c r="H226" s="171"/>
      <c r="I226" s="172"/>
      <c r="J226" s="171"/>
      <c r="K226" s="171"/>
      <c r="L226" s="171"/>
      <c r="M226" s="171"/>
      <c r="N226" s="171"/>
      <c r="O226" s="172"/>
      <c r="P226" s="171"/>
      <c r="Q226" s="171"/>
      <c r="R226" s="171"/>
      <c r="S226" s="172"/>
      <c r="T226" s="171"/>
      <c r="U226" s="172"/>
      <c r="V226" s="171"/>
      <c r="W226" s="172"/>
      <c r="X226" s="53"/>
      <c r="Y226" s="151"/>
      <c r="Z226" s="151"/>
      <c r="AA226" s="151"/>
      <c r="AB226" s="151"/>
    </row>
    <row r="227" spans="1:28" s="178" customFormat="1" ht="13">
      <c r="A227" s="170"/>
      <c r="B227" s="175"/>
      <c r="C227" s="176"/>
      <c r="D227" s="176"/>
      <c r="E227" s="176"/>
      <c r="F227" s="176"/>
      <c r="G227" s="176"/>
      <c r="H227" s="176"/>
      <c r="I227" s="177"/>
      <c r="J227" s="176"/>
      <c r="K227" s="176"/>
      <c r="L227" s="176"/>
      <c r="M227" s="176"/>
      <c r="N227" s="176"/>
      <c r="O227" s="177"/>
      <c r="P227" s="176"/>
      <c r="Q227" s="176"/>
      <c r="R227" s="176"/>
      <c r="S227" s="177"/>
      <c r="T227" s="176"/>
      <c r="U227" s="177"/>
      <c r="V227" s="176"/>
      <c r="W227" s="177"/>
      <c r="X227" s="53"/>
      <c r="Y227" s="151"/>
      <c r="Z227" s="151"/>
      <c r="AA227" s="151"/>
      <c r="AB227" s="151"/>
    </row>
    <row r="228" spans="1:28" ht="13">
      <c r="A228" s="170"/>
      <c r="B228" s="59"/>
      <c r="C228" s="179"/>
      <c r="D228" s="179"/>
      <c r="E228" s="179"/>
      <c r="F228" s="179"/>
      <c r="G228" s="179"/>
      <c r="H228" s="179"/>
      <c r="I228" s="180"/>
      <c r="J228" s="179"/>
      <c r="K228" s="179"/>
      <c r="L228" s="179"/>
      <c r="M228" s="179"/>
      <c r="N228" s="179"/>
      <c r="O228" s="180"/>
      <c r="P228" s="179"/>
      <c r="Q228" s="179"/>
      <c r="R228" s="179"/>
      <c r="S228" s="180"/>
      <c r="T228" s="179"/>
      <c r="U228" s="180"/>
      <c r="V228" s="179"/>
      <c r="W228" s="180"/>
      <c r="X228" s="53"/>
      <c r="Y228" s="151"/>
      <c r="Z228" s="151"/>
      <c r="AA228" s="151"/>
      <c r="AB228" s="151"/>
    </row>
    <row r="229" spans="1:28" s="173" customFormat="1" ht="13">
      <c r="A229" s="170"/>
      <c r="B229" s="94"/>
      <c r="C229" s="171"/>
      <c r="D229" s="171"/>
      <c r="E229" s="171"/>
      <c r="F229" s="171"/>
      <c r="G229" s="171"/>
      <c r="H229" s="171"/>
      <c r="I229" s="172"/>
      <c r="J229" s="171"/>
      <c r="K229" s="171"/>
      <c r="L229" s="171"/>
      <c r="M229" s="171"/>
      <c r="N229" s="171"/>
      <c r="O229" s="172"/>
      <c r="P229" s="171"/>
      <c r="Q229" s="171"/>
      <c r="R229" s="171"/>
      <c r="S229" s="172"/>
      <c r="T229" s="171"/>
      <c r="U229" s="172"/>
      <c r="V229" s="171"/>
      <c r="W229" s="172"/>
      <c r="X229" s="53"/>
      <c r="Y229" s="151"/>
      <c r="Z229" s="151"/>
      <c r="AA229" s="151"/>
      <c r="AB229" s="151"/>
    </row>
    <row r="230" spans="1:28" s="178" customFormat="1" ht="13">
      <c r="A230" s="170"/>
      <c r="B230" s="175"/>
      <c r="C230" s="176"/>
      <c r="D230" s="176"/>
      <c r="E230" s="176"/>
      <c r="F230" s="176"/>
      <c r="G230" s="176"/>
      <c r="H230" s="176"/>
      <c r="I230" s="177"/>
      <c r="J230" s="176"/>
      <c r="K230" s="176"/>
      <c r="L230" s="176"/>
      <c r="M230" s="176"/>
      <c r="N230" s="176"/>
      <c r="O230" s="177"/>
      <c r="P230" s="176"/>
      <c r="Q230" s="176"/>
      <c r="R230" s="176"/>
      <c r="S230" s="177"/>
      <c r="T230" s="176"/>
      <c r="U230" s="177"/>
      <c r="V230" s="176"/>
      <c r="W230" s="177"/>
      <c r="X230" s="53"/>
      <c r="Y230" s="151"/>
      <c r="Z230" s="151"/>
      <c r="AA230" s="151"/>
      <c r="AB230" s="151"/>
    </row>
    <row r="231" spans="1:28" ht="13">
      <c r="A231" s="170"/>
      <c r="B231" s="59"/>
      <c r="C231" s="179"/>
      <c r="D231" s="179"/>
      <c r="E231" s="179"/>
      <c r="F231" s="179"/>
      <c r="G231" s="179"/>
      <c r="H231" s="179"/>
      <c r="I231" s="180"/>
      <c r="J231" s="179"/>
      <c r="K231" s="179"/>
      <c r="L231" s="179"/>
      <c r="M231" s="179"/>
      <c r="N231" s="179"/>
      <c r="O231" s="180"/>
      <c r="P231" s="179"/>
      <c r="Q231" s="179"/>
      <c r="R231" s="179"/>
      <c r="S231" s="180"/>
      <c r="T231" s="179"/>
      <c r="U231" s="180"/>
      <c r="V231" s="179"/>
      <c r="W231" s="180"/>
      <c r="X231" s="53"/>
      <c r="Y231" s="151"/>
      <c r="Z231" s="151"/>
      <c r="AA231" s="151"/>
      <c r="AB231" s="151"/>
    </row>
    <row r="232" spans="1:28" s="173" customFormat="1" ht="13">
      <c r="A232" s="170"/>
      <c r="B232" s="94"/>
      <c r="C232" s="171"/>
      <c r="D232" s="171"/>
      <c r="E232" s="171"/>
      <c r="F232" s="171"/>
      <c r="G232" s="171"/>
      <c r="H232" s="171"/>
      <c r="I232" s="172"/>
      <c r="J232" s="171"/>
      <c r="K232" s="171"/>
      <c r="L232" s="171"/>
      <c r="M232" s="171"/>
      <c r="N232" s="171"/>
      <c r="O232" s="172"/>
      <c r="P232" s="171"/>
      <c r="Q232" s="171"/>
      <c r="R232" s="171"/>
      <c r="S232" s="172"/>
      <c r="T232" s="171"/>
      <c r="U232" s="172"/>
      <c r="V232" s="171"/>
      <c r="W232" s="172"/>
      <c r="X232" s="53"/>
      <c r="Y232" s="151"/>
      <c r="Z232" s="151"/>
      <c r="AA232" s="151"/>
      <c r="AB232" s="151"/>
    </row>
    <row r="233" spans="1:28" s="178" customFormat="1" ht="13">
      <c r="A233" s="170"/>
      <c r="B233" s="175"/>
      <c r="C233" s="176"/>
      <c r="D233" s="176"/>
      <c r="E233" s="176"/>
      <c r="F233" s="176"/>
      <c r="G233" s="176"/>
      <c r="H233" s="176"/>
      <c r="I233" s="177"/>
      <c r="J233" s="176"/>
      <c r="K233" s="176"/>
      <c r="L233" s="176"/>
      <c r="M233" s="176"/>
      <c r="N233" s="176"/>
      <c r="O233" s="177"/>
      <c r="P233" s="176"/>
      <c r="Q233" s="176"/>
      <c r="R233" s="176"/>
      <c r="S233" s="177"/>
      <c r="T233" s="176"/>
      <c r="U233" s="177"/>
      <c r="V233" s="176"/>
      <c r="W233" s="177"/>
      <c r="X233" s="53"/>
      <c r="Y233" s="151"/>
      <c r="Z233" s="151"/>
      <c r="AA233" s="151"/>
      <c r="AB233" s="151"/>
    </row>
    <row r="234" spans="1:28" ht="13">
      <c r="A234" s="170"/>
      <c r="B234" s="59"/>
      <c r="C234" s="179"/>
      <c r="D234" s="179"/>
      <c r="E234" s="179"/>
      <c r="F234" s="179"/>
      <c r="G234" s="179"/>
      <c r="H234" s="179"/>
      <c r="I234" s="180"/>
      <c r="J234" s="179"/>
      <c r="K234" s="179"/>
      <c r="L234" s="179"/>
      <c r="M234" s="179"/>
      <c r="N234" s="179"/>
      <c r="O234" s="180"/>
      <c r="P234" s="179"/>
      <c r="Q234" s="179"/>
      <c r="R234" s="179"/>
      <c r="S234" s="180"/>
      <c r="T234" s="179"/>
      <c r="U234" s="180"/>
      <c r="V234" s="179"/>
      <c r="W234" s="180"/>
      <c r="X234" s="53"/>
      <c r="Y234" s="151"/>
      <c r="Z234" s="151"/>
      <c r="AA234" s="151"/>
      <c r="AB234" s="151"/>
    </row>
    <row r="235" spans="1:28" s="173" customFormat="1" ht="13">
      <c r="A235" s="170"/>
      <c r="B235" s="94"/>
      <c r="C235" s="171"/>
      <c r="D235" s="171"/>
      <c r="E235" s="171"/>
      <c r="F235" s="171"/>
      <c r="G235" s="171"/>
      <c r="H235" s="171"/>
      <c r="I235" s="172"/>
      <c r="J235" s="171"/>
      <c r="K235" s="171"/>
      <c r="L235" s="171"/>
      <c r="M235" s="171"/>
      <c r="N235" s="171"/>
      <c r="O235" s="172"/>
      <c r="P235" s="171"/>
      <c r="Q235" s="171"/>
      <c r="R235" s="171"/>
      <c r="S235" s="172"/>
      <c r="T235" s="171"/>
      <c r="U235" s="172"/>
      <c r="V235" s="171"/>
      <c r="W235" s="172"/>
      <c r="X235" s="53"/>
      <c r="Y235" s="151"/>
      <c r="Z235" s="151"/>
      <c r="AA235" s="151"/>
      <c r="AB235" s="151"/>
    </row>
    <row r="236" spans="1:28" s="178" customFormat="1" ht="13">
      <c r="A236" s="170"/>
      <c r="B236" s="175"/>
      <c r="C236" s="176"/>
      <c r="D236" s="176"/>
      <c r="E236" s="176"/>
      <c r="F236" s="176"/>
      <c r="G236" s="176"/>
      <c r="H236" s="176"/>
      <c r="I236" s="177"/>
      <c r="J236" s="176"/>
      <c r="K236" s="176"/>
      <c r="L236" s="176"/>
      <c r="M236" s="176"/>
      <c r="N236" s="176"/>
      <c r="O236" s="177"/>
      <c r="P236" s="176"/>
      <c r="Q236" s="176"/>
      <c r="R236" s="176"/>
      <c r="S236" s="177"/>
      <c r="T236" s="176"/>
      <c r="U236" s="177"/>
      <c r="V236" s="176"/>
      <c r="W236" s="177"/>
      <c r="X236" s="53"/>
      <c r="Y236" s="151"/>
      <c r="Z236" s="151"/>
      <c r="AA236" s="151"/>
      <c r="AB236" s="151"/>
    </row>
    <row r="237" spans="1:28" ht="13">
      <c r="A237" s="170"/>
      <c r="B237" s="59"/>
      <c r="C237" s="179"/>
      <c r="D237" s="179"/>
      <c r="E237" s="179"/>
      <c r="F237" s="179"/>
      <c r="G237" s="179"/>
      <c r="H237" s="179"/>
      <c r="I237" s="180"/>
      <c r="J237" s="179"/>
      <c r="K237" s="179"/>
      <c r="L237" s="179"/>
      <c r="M237" s="179"/>
      <c r="N237" s="179"/>
      <c r="O237" s="180"/>
      <c r="P237" s="179"/>
      <c r="Q237" s="179"/>
      <c r="R237" s="179"/>
      <c r="S237" s="180"/>
      <c r="T237" s="179"/>
      <c r="U237" s="180"/>
      <c r="V237" s="179"/>
      <c r="W237" s="180"/>
      <c r="X237" s="53"/>
      <c r="Y237" s="151"/>
      <c r="Z237" s="151"/>
      <c r="AA237" s="151"/>
      <c r="AB237" s="151"/>
    </row>
    <row r="238" spans="1:28" s="173" customFormat="1" ht="13">
      <c r="A238" s="170"/>
      <c r="B238" s="94"/>
      <c r="C238" s="171"/>
      <c r="D238" s="171"/>
      <c r="E238" s="171"/>
      <c r="F238" s="171"/>
      <c r="G238" s="171"/>
      <c r="H238" s="171"/>
      <c r="I238" s="172"/>
      <c r="J238" s="171"/>
      <c r="K238" s="171"/>
      <c r="L238" s="171"/>
      <c r="M238" s="171"/>
      <c r="N238" s="171"/>
      <c r="O238" s="172"/>
      <c r="P238" s="171"/>
      <c r="Q238" s="171"/>
      <c r="R238" s="171"/>
      <c r="S238" s="172"/>
      <c r="T238" s="171"/>
      <c r="U238" s="172"/>
      <c r="V238" s="171"/>
      <c r="W238" s="172"/>
      <c r="X238" s="53"/>
      <c r="Y238" s="151"/>
      <c r="Z238" s="151"/>
      <c r="AA238" s="151"/>
      <c r="AB238" s="151"/>
    </row>
    <row r="239" spans="1:28" s="192" customFormat="1" ht="13.5" thickBot="1">
      <c r="A239" s="186"/>
      <c r="B239" s="187"/>
      <c r="C239" s="188"/>
      <c r="D239" s="188"/>
      <c r="E239" s="188"/>
      <c r="F239" s="188"/>
      <c r="G239" s="188"/>
      <c r="H239" s="188"/>
      <c r="I239" s="189"/>
      <c r="J239" s="188"/>
      <c r="K239" s="188"/>
      <c r="L239" s="188"/>
      <c r="M239" s="188"/>
      <c r="N239" s="188"/>
      <c r="O239" s="189"/>
      <c r="P239" s="188"/>
      <c r="Q239" s="188"/>
      <c r="R239" s="188"/>
      <c r="S239" s="189"/>
      <c r="T239" s="188"/>
      <c r="U239" s="189"/>
      <c r="V239" s="188"/>
      <c r="W239" s="189"/>
      <c r="X239" s="53"/>
      <c r="Y239" s="151"/>
      <c r="Z239" s="151"/>
      <c r="AA239" s="151"/>
      <c r="AB239" s="151"/>
    </row>
    <row r="240" spans="1:28" ht="13.5" thickTop="1">
      <c r="A240" s="147"/>
      <c r="B240" s="167"/>
      <c r="C240" s="168"/>
      <c r="D240" s="168"/>
      <c r="E240" s="168"/>
      <c r="F240" s="168"/>
      <c r="G240" s="168"/>
      <c r="H240" s="168"/>
      <c r="I240" s="169"/>
      <c r="J240" s="168"/>
      <c r="K240" s="168"/>
      <c r="L240" s="168"/>
      <c r="M240" s="168"/>
      <c r="N240" s="168"/>
      <c r="O240" s="169"/>
      <c r="P240" s="168"/>
      <c r="Q240" s="168"/>
      <c r="R240" s="168"/>
      <c r="S240" s="169"/>
      <c r="T240" s="168"/>
      <c r="U240" s="169"/>
      <c r="V240" s="168"/>
      <c r="W240" s="169"/>
      <c r="X240" s="53"/>
      <c r="Y240" s="151"/>
      <c r="Z240" s="151"/>
      <c r="AA240" s="151"/>
      <c r="AB240" s="151"/>
    </row>
    <row r="241" spans="1:28" s="173" customFormat="1" ht="13">
      <c r="A241" s="170"/>
      <c r="B241" s="94"/>
      <c r="C241" s="171"/>
      <c r="D241" s="171"/>
      <c r="E241" s="171"/>
      <c r="F241" s="171"/>
      <c r="G241" s="171"/>
      <c r="H241" s="171"/>
      <c r="I241" s="172"/>
      <c r="J241" s="171"/>
      <c r="K241" s="171"/>
      <c r="L241" s="171"/>
      <c r="M241" s="171"/>
      <c r="N241" s="171"/>
      <c r="O241" s="172"/>
      <c r="P241" s="171"/>
      <c r="Q241" s="171"/>
      <c r="R241" s="171"/>
      <c r="S241" s="172"/>
      <c r="T241" s="171"/>
      <c r="U241" s="172"/>
      <c r="V241" s="171"/>
      <c r="W241" s="172"/>
      <c r="X241" s="53"/>
      <c r="Y241" s="151"/>
      <c r="Z241" s="151"/>
      <c r="AA241" s="151"/>
      <c r="AB241" s="151"/>
    </row>
    <row r="242" spans="1:28" s="178" customFormat="1" ht="13">
      <c r="A242" s="174"/>
      <c r="B242" s="175"/>
      <c r="C242" s="176"/>
      <c r="D242" s="176"/>
      <c r="E242" s="176"/>
      <c r="F242" s="176"/>
      <c r="G242" s="176"/>
      <c r="H242" s="176"/>
      <c r="I242" s="177"/>
      <c r="J242" s="176"/>
      <c r="K242" s="176"/>
      <c r="L242" s="176"/>
      <c r="M242" s="176"/>
      <c r="N242" s="176"/>
      <c r="O242" s="177"/>
      <c r="P242" s="176"/>
      <c r="Q242" s="176"/>
      <c r="R242" s="176"/>
      <c r="S242" s="177"/>
      <c r="T242" s="176"/>
      <c r="U242" s="177"/>
      <c r="V242" s="176"/>
      <c r="W242" s="177"/>
      <c r="X242" s="53"/>
      <c r="Y242" s="151"/>
      <c r="Z242" s="151"/>
      <c r="AA242" s="151"/>
      <c r="AB242" s="151"/>
    </row>
    <row r="243" spans="1:28" ht="13">
      <c r="A243" s="170"/>
      <c r="B243" s="59"/>
      <c r="C243" s="179"/>
      <c r="D243" s="179"/>
      <c r="E243" s="179"/>
      <c r="F243" s="179"/>
      <c r="G243" s="179"/>
      <c r="H243" s="179"/>
      <c r="I243" s="180"/>
      <c r="J243" s="179"/>
      <c r="K243" s="179"/>
      <c r="L243" s="179"/>
      <c r="M243" s="179"/>
      <c r="N243" s="179"/>
      <c r="O243" s="180"/>
      <c r="P243" s="179"/>
      <c r="Q243" s="179"/>
      <c r="R243" s="179"/>
      <c r="S243" s="180"/>
      <c r="T243" s="179"/>
      <c r="U243" s="180"/>
      <c r="V243" s="179"/>
      <c r="W243" s="180"/>
      <c r="X243" s="53"/>
      <c r="Y243" s="151"/>
      <c r="Z243" s="151"/>
      <c r="AA243" s="151"/>
      <c r="AB243" s="151"/>
    </row>
    <row r="244" spans="1:28" s="173" customFormat="1" ht="13">
      <c r="A244" s="170"/>
      <c r="B244" s="94"/>
      <c r="C244" s="171"/>
      <c r="D244" s="171"/>
      <c r="E244" s="171"/>
      <c r="F244" s="171"/>
      <c r="G244" s="171"/>
      <c r="H244" s="171"/>
      <c r="I244" s="172"/>
      <c r="J244" s="171"/>
      <c r="K244" s="171"/>
      <c r="L244" s="171"/>
      <c r="M244" s="171"/>
      <c r="N244" s="171"/>
      <c r="O244" s="172"/>
      <c r="P244" s="171"/>
      <c r="Q244" s="171"/>
      <c r="R244" s="171"/>
      <c r="S244" s="172"/>
      <c r="T244" s="171"/>
      <c r="U244" s="172"/>
      <c r="V244" s="171"/>
      <c r="W244" s="172"/>
      <c r="X244" s="53"/>
      <c r="Y244" s="151"/>
      <c r="Z244" s="151"/>
      <c r="AA244" s="151"/>
      <c r="AB244" s="151"/>
    </row>
    <row r="245" spans="1:28" s="178" customFormat="1" ht="13">
      <c r="A245" s="170"/>
      <c r="B245" s="175"/>
      <c r="C245" s="176"/>
      <c r="D245" s="176"/>
      <c r="E245" s="176"/>
      <c r="F245" s="176"/>
      <c r="G245" s="176"/>
      <c r="H245" s="176"/>
      <c r="I245" s="177"/>
      <c r="J245" s="176"/>
      <c r="K245" s="176"/>
      <c r="L245" s="176"/>
      <c r="M245" s="176"/>
      <c r="N245" s="176"/>
      <c r="O245" s="177"/>
      <c r="P245" s="176"/>
      <c r="Q245" s="176"/>
      <c r="R245" s="176"/>
      <c r="S245" s="177"/>
      <c r="T245" s="176"/>
      <c r="U245" s="177"/>
      <c r="V245" s="176"/>
      <c r="W245" s="177"/>
      <c r="X245" s="53"/>
      <c r="Y245" s="151"/>
      <c r="Z245" s="151"/>
      <c r="AA245" s="151"/>
      <c r="AB245" s="151"/>
    </row>
    <row r="246" spans="1:28" ht="13">
      <c r="A246" s="170"/>
      <c r="B246" s="59"/>
      <c r="C246" s="179"/>
      <c r="D246" s="179"/>
      <c r="E246" s="179"/>
      <c r="F246" s="179"/>
      <c r="G246" s="179"/>
      <c r="H246" s="179"/>
      <c r="I246" s="180"/>
      <c r="J246" s="179"/>
      <c r="K246" s="179"/>
      <c r="L246" s="179"/>
      <c r="M246" s="179"/>
      <c r="N246" s="179"/>
      <c r="O246" s="180"/>
      <c r="P246" s="179"/>
      <c r="Q246" s="179"/>
      <c r="R246" s="179"/>
      <c r="S246" s="180"/>
      <c r="T246" s="179"/>
      <c r="U246" s="180"/>
      <c r="V246" s="179"/>
      <c r="W246" s="180"/>
      <c r="X246" s="53"/>
      <c r="Y246" s="151"/>
      <c r="Z246" s="151"/>
      <c r="AA246" s="151"/>
      <c r="AB246" s="151"/>
    </row>
    <row r="247" spans="1:28" s="173" customFormat="1" ht="13">
      <c r="A247" s="170"/>
      <c r="B247" s="94"/>
      <c r="C247" s="171"/>
      <c r="D247" s="171"/>
      <c r="E247" s="171"/>
      <c r="F247" s="171"/>
      <c r="G247" s="171"/>
      <c r="H247" s="171"/>
      <c r="I247" s="172"/>
      <c r="J247" s="171"/>
      <c r="K247" s="171"/>
      <c r="L247" s="171"/>
      <c r="M247" s="171"/>
      <c r="N247" s="171"/>
      <c r="O247" s="172"/>
      <c r="P247" s="171"/>
      <c r="Q247" s="171"/>
      <c r="R247" s="171"/>
      <c r="S247" s="172"/>
      <c r="T247" s="171"/>
      <c r="U247" s="172"/>
      <c r="V247" s="171"/>
      <c r="W247" s="172"/>
      <c r="X247" s="53"/>
      <c r="Y247" s="151"/>
      <c r="Z247" s="151"/>
      <c r="AA247" s="151"/>
      <c r="AB247" s="151"/>
    </row>
    <row r="248" spans="1:28" s="178" customFormat="1" ht="13">
      <c r="A248" s="170"/>
      <c r="B248" s="175"/>
      <c r="C248" s="176"/>
      <c r="D248" s="176"/>
      <c r="E248" s="176"/>
      <c r="F248" s="176"/>
      <c r="G248" s="176"/>
      <c r="H248" s="176"/>
      <c r="I248" s="177"/>
      <c r="J248" s="176"/>
      <c r="K248" s="176"/>
      <c r="L248" s="176"/>
      <c r="M248" s="176"/>
      <c r="N248" s="176"/>
      <c r="O248" s="177"/>
      <c r="P248" s="176"/>
      <c r="Q248" s="176"/>
      <c r="R248" s="176"/>
      <c r="S248" s="177"/>
      <c r="T248" s="176"/>
      <c r="U248" s="177"/>
      <c r="V248" s="176"/>
      <c r="W248" s="177"/>
      <c r="X248" s="53"/>
      <c r="Y248" s="151"/>
      <c r="Z248" s="151"/>
      <c r="AA248" s="151"/>
      <c r="AB248" s="151"/>
    </row>
    <row r="249" spans="1:28" ht="13">
      <c r="A249" s="170"/>
      <c r="B249" s="59"/>
      <c r="C249" s="179"/>
      <c r="D249" s="179"/>
      <c r="E249" s="179"/>
      <c r="F249" s="179"/>
      <c r="G249" s="179"/>
      <c r="H249" s="179"/>
      <c r="I249" s="180"/>
      <c r="J249" s="179"/>
      <c r="K249" s="179"/>
      <c r="L249" s="179"/>
      <c r="M249" s="179"/>
      <c r="N249" s="179"/>
      <c r="O249" s="180"/>
      <c r="P249" s="179"/>
      <c r="Q249" s="179"/>
      <c r="R249" s="179"/>
      <c r="S249" s="180"/>
      <c r="T249" s="179"/>
      <c r="U249" s="180"/>
      <c r="V249" s="179"/>
      <c r="W249" s="180"/>
      <c r="X249" s="53"/>
      <c r="Y249" s="151"/>
      <c r="Z249" s="151"/>
      <c r="AA249" s="151"/>
      <c r="AB249" s="151"/>
    </row>
    <row r="250" spans="1:28" s="173" customFormat="1" ht="13">
      <c r="A250" s="170"/>
      <c r="B250" s="94"/>
      <c r="C250" s="171"/>
      <c r="D250" s="171"/>
      <c r="E250" s="171"/>
      <c r="F250" s="171"/>
      <c r="G250" s="171"/>
      <c r="H250" s="171"/>
      <c r="I250" s="172"/>
      <c r="J250" s="171"/>
      <c r="K250" s="171"/>
      <c r="L250" s="171"/>
      <c r="M250" s="171"/>
      <c r="N250" s="171"/>
      <c r="O250" s="172"/>
      <c r="P250" s="171"/>
      <c r="Q250" s="171"/>
      <c r="R250" s="171"/>
      <c r="S250" s="172"/>
      <c r="T250" s="171"/>
      <c r="U250" s="172"/>
      <c r="V250" s="171"/>
      <c r="W250" s="172"/>
      <c r="X250" s="53"/>
      <c r="Y250" s="151"/>
      <c r="Z250" s="151"/>
      <c r="AA250" s="151"/>
      <c r="AB250" s="151"/>
    </row>
    <row r="251" spans="1:28" s="178" customFormat="1" ht="13">
      <c r="A251" s="170"/>
      <c r="B251" s="175"/>
      <c r="C251" s="176"/>
      <c r="D251" s="176"/>
      <c r="E251" s="176"/>
      <c r="F251" s="176"/>
      <c r="G251" s="176"/>
      <c r="H251" s="176"/>
      <c r="I251" s="177"/>
      <c r="J251" s="176"/>
      <c r="K251" s="176"/>
      <c r="L251" s="176"/>
      <c r="M251" s="176"/>
      <c r="N251" s="176"/>
      <c r="O251" s="177"/>
      <c r="P251" s="176"/>
      <c r="Q251" s="176"/>
      <c r="R251" s="176"/>
      <c r="S251" s="177"/>
      <c r="T251" s="176"/>
      <c r="U251" s="177"/>
      <c r="V251" s="176"/>
      <c r="W251" s="177"/>
      <c r="X251" s="53"/>
      <c r="Y251" s="151"/>
      <c r="Z251" s="151"/>
      <c r="AA251" s="151"/>
      <c r="AB251" s="151"/>
    </row>
    <row r="252" spans="1:28" ht="13">
      <c r="A252" s="170"/>
      <c r="B252" s="59"/>
      <c r="C252" s="179"/>
      <c r="D252" s="179"/>
      <c r="E252" s="179"/>
      <c r="F252" s="179"/>
      <c r="G252" s="179"/>
      <c r="H252" s="179"/>
      <c r="I252" s="180"/>
      <c r="J252" s="179"/>
      <c r="K252" s="179"/>
      <c r="L252" s="179"/>
      <c r="M252" s="179"/>
      <c r="N252" s="179"/>
      <c r="O252" s="180"/>
      <c r="P252" s="179"/>
      <c r="Q252" s="179"/>
      <c r="R252" s="179"/>
      <c r="S252" s="180"/>
      <c r="T252" s="179"/>
      <c r="U252" s="180"/>
      <c r="V252" s="179"/>
      <c r="W252" s="180"/>
      <c r="X252" s="53"/>
      <c r="Y252" s="151"/>
      <c r="Z252" s="151"/>
      <c r="AA252" s="151"/>
      <c r="AB252" s="151"/>
    </row>
    <row r="253" spans="1:28" s="173" customFormat="1" ht="13">
      <c r="A253" s="170"/>
      <c r="B253" s="94"/>
      <c r="C253" s="171"/>
      <c r="D253" s="171"/>
      <c r="E253" s="171"/>
      <c r="F253" s="171"/>
      <c r="G253" s="171"/>
      <c r="H253" s="171"/>
      <c r="I253" s="172"/>
      <c r="J253" s="171"/>
      <c r="K253" s="171"/>
      <c r="L253" s="171"/>
      <c r="M253" s="171"/>
      <c r="N253" s="171"/>
      <c r="O253" s="172"/>
      <c r="P253" s="171"/>
      <c r="Q253" s="171"/>
      <c r="R253" s="171"/>
      <c r="S253" s="172"/>
      <c r="T253" s="171"/>
      <c r="U253" s="172"/>
      <c r="V253" s="171"/>
      <c r="W253" s="172"/>
      <c r="X253" s="53"/>
      <c r="Y253" s="151"/>
      <c r="Z253" s="151"/>
      <c r="AA253" s="151"/>
      <c r="AB253" s="151"/>
    </row>
    <row r="254" spans="1:28" s="178" customFormat="1" ht="13">
      <c r="A254" s="170"/>
      <c r="B254" s="175"/>
      <c r="C254" s="176"/>
      <c r="D254" s="176"/>
      <c r="E254" s="176"/>
      <c r="F254" s="176"/>
      <c r="G254" s="176"/>
      <c r="H254" s="176"/>
      <c r="I254" s="177"/>
      <c r="J254" s="176"/>
      <c r="K254" s="176"/>
      <c r="L254" s="176"/>
      <c r="M254" s="176"/>
      <c r="N254" s="176"/>
      <c r="O254" s="177"/>
      <c r="P254" s="176"/>
      <c r="Q254" s="176"/>
      <c r="R254" s="176"/>
      <c r="S254" s="177"/>
      <c r="T254" s="176"/>
      <c r="U254" s="177"/>
      <c r="V254" s="176"/>
      <c r="W254" s="177"/>
      <c r="X254" s="53"/>
      <c r="Y254" s="151"/>
      <c r="Z254" s="151"/>
      <c r="AA254" s="151"/>
      <c r="AB254" s="151"/>
    </row>
    <row r="255" spans="1:28" ht="13">
      <c r="A255" s="170"/>
      <c r="B255" s="183"/>
      <c r="C255" s="180"/>
      <c r="D255" s="180"/>
      <c r="E255" s="180"/>
      <c r="F255" s="180"/>
      <c r="G255" s="180"/>
      <c r="H255" s="180"/>
      <c r="I255" s="180"/>
      <c r="J255" s="180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53"/>
      <c r="Y255" s="151"/>
      <c r="Z255" s="151"/>
      <c r="AA255" s="151"/>
      <c r="AB255" s="151"/>
    </row>
    <row r="256" spans="1:28" s="173" customFormat="1" ht="13">
      <c r="A256" s="170"/>
      <c r="B256" s="184"/>
      <c r="C256" s="172"/>
      <c r="D256" s="172"/>
      <c r="E256" s="172"/>
      <c r="F256" s="172"/>
      <c r="G256" s="172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53"/>
      <c r="Y256" s="151"/>
      <c r="Z256" s="151"/>
      <c r="AA256" s="151"/>
      <c r="AB256" s="151"/>
    </row>
    <row r="257" spans="1:28" s="178" customFormat="1" ht="13">
      <c r="A257" s="170"/>
      <c r="B257" s="185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53"/>
      <c r="Y257" s="151"/>
      <c r="Z257" s="151"/>
      <c r="AA257" s="151"/>
      <c r="AB257" s="151"/>
    </row>
    <row r="258" spans="1:28" ht="13">
      <c r="A258" s="170"/>
      <c r="B258" s="59"/>
      <c r="C258" s="179"/>
      <c r="D258" s="179"/>
      <c r="E258" s="179"/>
      <c r="F258" s="179"/>
      <c r="G258" s="179"/>
      <c r="H258" s="179"/>
      <c r="I258" s="180"/>
      <c r="J258" s="179"/>
      <c r="K258" s="179"/>
      <c r="L258" s="179"/>
      <c r="M258" s="179"/>
      <c r="N258" s="179"/>
      <c r="O258" s="180"/>
      <c r="P258" s="179"/>
      <c r="Q258" s="179"/>
      <c r="R258" s="179"/>
      <c r="S258" s="180"/>
      <c r="T258" s="179"/>
      <c r="U258" s="180"/>
      <c r="V258" s="179"/>
      <c r="W258" s="180"/>
      <c r="X258" s="53"/>
      <c r="Y258" s="151"/>
      <c r="Z258" s="151"/>
      <c r="AA258" s="151"/>
      <c r="AB258" s="151"/>
    </row>
    <row r="259" spans="1:28" s="173" customFormat="1" ht="13">
      <c r="A259" s="170"/>
      <c r="B259" s="94"/>
      <c r="C259" s="171"/>
      <c r="D259" s="171"/>
      <c r="E259" s="171"/>
      <c r="F259" s="171"/>
      <c r="G259" s="171"/>
      <c r="H259" s="171"/>
      <c r="I259" s="172"/>
      <c r="J259" s="171"/>
      <c r="K259" s="171"/>
      <c r="L259" s="171"/>
      <c r="M259" s="171"/>
      <c r="N259" s="171"/>
      <c r="O259" s="172"/>
      <c r="P259" s="171"/>
      <c r="Q259" s="171"/>
      <c r="R259" s="171"/>
      <c r="S259" s="172"/>
      <c r="T259" s="171"/>
      <c r="U259" s="172"/>
      <c r="V259" s="171"/>
      <c r="W259" s="172"/>
      <c r="X259" s="53"/>
      <c r="Y259" s="151"/>
      <c r="Z259" s="151"/>
      <c r="AA259" s="151"/>
      <c r="AB259" s="151"/>
    </row>
    <row r="260" spans="1:28" s="178" customFormat="1" ht="13">
      <c r="A260" s="170"/>
      <c r="B260" s="175"/>
      <c r="C260" s="176"/>
      <c r="D260" s="176"/>
      <c r="E260" s="176"/>
      <c r="F260" s="176"/>
      <c r="G260" s="176"/>
      <c r="H260" s="176"/>
      <c r="I260" s="177"/>
      <c r="J260" s="176"/>
      <c r="K260" s="176"/>
      <c r="L260" s="176"/>
      <c r="M260" s="176"/>
      <c r="N260" s="176"/>
      <c r="O260" s="177"/>
      <c r="P260" s="176"/>
      <c r="Q260" s="176"/>
      <c r="R260" s="176"/>
      <c r="S260" s="177"/>
      <c r="T260" s="176"/>
      <c r="U260" s="177"/>
      <c r="V260" s="176"/>
      <c r="W260" s="177"/>
      <c r="X260" s="53"/>
      <c r="Y260" s="151"/>
      <c r="Z260" s="151"/>
      <c r="AA260" s="151"/>
      <c r="AB260" s="151"/>
    </row>
    <row r="261" spans="1:28" ht="13">
      <c r="A261" s="170"/>
      <c r="B261" s="59"/>
      <c r="C261" s="179"/>
      <c r="D261" s="179"/>
      <c r="E261" s="179"/>
      <c r="F261" s="179"/>
      <c r="G261" s="179"/>
      <c r="H261" s="179"/>
      <c r="I261" s="180"/>
      <c r="J261" s="179"/>
      <c r="K261" s="179"/>
      <c r="L261" s="179"/>
      <c r="M261" s="179"/>
      <c r="N261" s="179"/>
      <c r="O261" s="180"/>
      <c r="P261" s="179"/>
      <c r="Q261" s="179"/>
      <c r="R261" s="179"/>
      <c r="S261" s="180"/>
      <c r="T261" s="179"/>
      <c r="U261" s="180"/>
      <c r="V261" s="179"/>
      <c r="W261" s="180"/>
      <c r="X261" s="53"/>
      <c r="Y261" s="151"/>
      <c r="Z261" s="151"/>
      <c r="AA261" s="151"/>
      <c r="AB261" s="151"/>
    </row>
    <row r="262" spans="1:28" s="173" customFormat="1" ht="13">
      <c r="A262" s="170"/>
      <c r="B262" s="94"/>
      <c r="C262" s="171"/>
      <c r="D262" s="171"/>
      <c r="E262" s="171"/>
      <c r="F262" s="171"/>
      <c r="G262" s="171"/>
      <c r="H262" s="171"/>
      <c r="I262" s="172"/>
      <c r="J262" s="171"/>
      <c r="K262" s="171"/>
      <c r="L262" s="171"/>
      <c r="M262" s="171"/>
      <c r="N262" s="171"/>
      <c r="O262" s="172"/>
      <c r="P262" s="171"/>
      <c r="Q262" s="171"/>
      <c r="R262" s="171"/>
      <c r="S262" s="172"/>
      <c r="T262" s="171"/>
      <c r="U262" s="172"/>
      <c r="V262" s="171"/>
      <c r="W262" s="172"/>
      <c r="X262" s="53"/>
      <c r="Y262" s="151"/>
      <c r="Z262" s="151"/>
      <c r="AA262" s="151"/>
      <c r="AB262" s="151"/>
    </row>
    <row r="263" spans="1:28" s="178" customFormat="1" ht="13">
      <c r="A263" s="170"/>
      <c r="B263" s="175"/>
      <c r="C263" s="176"/>
      <c r="D263" s="176"/>
      <c r="E263" s="176"/>
      <c r="F263" s="176"/>
      <c r="G263" s="176"/>
      <c r="H263" s="176"/>
      <c r="I263" s="177"/>
      <c r="J263" s="176"/>
      <c r="K263" s="176"/>
      <c r="L263" s="176"/>
      <c r="M263" s="176"/>
      <c r="N263" s="176"/>
      <c r="O263" s="177"/>
      <c r="P263" s="176"/>
      <c r="Q263" s="176"/>
      <c r="R263" s="176"/>
      <c r="S263" s="177"/>
      <c r="T263" s="176"/>
      <c r="U263" s="177"/>
      <c r="V263" s="176"/>
      <c r="W263" s="177"/>
      <c r="X263" s="53"/>
      <c r="Y263" s="151"/>
      <c r="Z263" s="151"/>
      <c r="AA263" s="151"/>
      <c r="AB263" s="151"/>
    </row>
    <row r="264" spans="1:28" ht="13">
      <c r="A264" s="170"/>
      <c r="B264" s="59"/>
      <c r="C264" s="179"/>
      <c r="D264" s="179"/>
      <c r="E264" s="179"/>
      <c r="F264" s="179"/>
      <c r="G264" s="179"/>
      <c r="H264" s="179"/>
      <c r="I264" s="180"/>
      <c r="J264" s="179"/>
      <c r="K264" s="179"/>
      <c r="L264" s="179"/>
      <c r="M264" s="179"/>
      <c r="N264" s="179"/>
      <c r="O264" s="180"/>
      <c r="P264" s="179"/>
      <c r="Q264" s="179"/>
      <c r="R264" s="179"/>
      <c r="S264" s="180"/>
      <c r="T264" s="179"/>
      <c r="U264" s="180"/>
      <c r="V264" s="179"/>
      <c r="W264" s="180"/>
      <c r="X264" s="53"/>
      <c r="Y264" s="151"/>
      <c r="Z264" s="151"/>
      <c r="AA264" s="151"/>
      <c r="AB264" s="151"/>
    </row>
    <row r="265" spans="1:28" s="173" customFormat="1" ht="13">
      <c r="A265" s="170"/>
      <c r="B265" s="94"/>
      <c r="C265" s="171"/>
      <c r="D265" s="171"/>
      <c r="E265" s="171"/>
      <c r="F265" s="171"/>
      <c r="G265" s="171"/>
      <c r="H265" s="171"/>
      <c r="I265" s="172"/>
      <c r="J265" s="171"/>
      <c r="K265" s="171"/>
      <c r="L265" s="171"/>
      <c r="M265" s="171"/>
      <c r="N265" s="171"/>
      <c r="O265" s="172"/>
      <c r="P265" s="171"/>
      <c r="Q265" s="171"/>
      <c r="R265" s="171"/>
      <c r="S265" s="172"/>
      <c r="T265" s="171"/>
      <c r="U265" s="172"/>
      <c r="V265" s="171"/>
      <c r="W265" s="172"/>
      <c r="X265" s="53"/>
      <c r="Y265" s="151"/>
      <c r="Z265" s="151"/>
      <c r="AA265" s="151"/>
      <c r="AB265" s="151"/>
    </row>
    <row r="266" spans="1:28" s="178" customFormat="1" ht="13">
      <c r="A266" s="170"/>
      <c r="B266" s="175"/>
      <c r="C266" s="176"/>
      <c r="D266" s="176"/>
      <c r="E266" s="176"/>
      <c r="F266" s="176"/>
      <c r="G266" s="176"/>
      <c r="H266" s="176"/>
      <c r="I266" s="177"/>
      <c r="J266" s="176"/>
      <c r="K266" s="176"/>
      <c r="L266" s="176"/>
      <c r="M266" s="176"/>
      <c r="N266" s="176"/>
      <c r="O266" s="177"/>
      <c r="P266" s="176"/>
      <c r="Q266" s="176"/>
      <c r="R266" s="176"/>
      <c r="S266" s="177"/>
      <c r="T266" s="176"/>
      <c r="U266" s="177"/>
      <c r="V266" s="176"/>
      <c r="W266" s="177"/>
      <c r="X266" s="53"/>
      <c r="Y266" s="151"/>
      <c r="Z266" s="151"/>
      <c r="AA266" s="151"/>
      <c r="AB266" s="151"/>
    </row>
    <row r="267" spans="1:28" ht="13">
      <c r="A267" s="170"/>
      <c r="B267" s="59"/>
      <c r="C267" s="179"/>
      <c r="D267" s="179"/>
      <c r="E267" s="179"/>
      <c r="F267" s="179"/>
      <c r="G267" s="179"/>
      <c r="H267" s="179"/>
      <c r="I267" s="180"/>
      <c r="J267" s="179"/>
      <c r="K267" s="179"/>
      <c r="L267" s="179"/>
      <c r="M267" s="179"/>
      <c r="N267" s="179"/>
      <c r="O267" s="180"/>
      <c r="P267" s="179"/>
      <c r="Q267" s="179"/>
      <c r="R267" s="179"/>
      <c r="S267" s="180"/>
      <c r="T267" s="179"/>
      <c r="U267" s="180"/>
      <c r="V267" s="179"/>
      <c r="W267" s="180"/>
      <c r="X267" s="53"/>
      <c r="Y267" s="151"/>
      <c r="Z267" s="151"/>
      <c r="AA267" s="151"/>
      <c r="AB267" s="151"/>
    </row>
    <row r="268" spans="1:28" s="173" customFormat="1" ht="13">
      <c r="A268" s="170"/>
      <c r="B268" s="94"/>
      <c r="C268" s="171"/>
      <c r="D268" s="171"/>
      <c r="E268" s="171"/>
      <c r="F268" s="171"/>
      <c r="G268" s="171"/>
      <c r="H268" s="171"/>
      <c r="I268" s="172"/>
      <c r="J268" s="171"/>
      <c r="K268" s="171"/>
      <c r="L268" s="171"/>
      <c r="M268" s="171"/>
      <c r="N268" s="171"/>
      <c r="O268" s="172"/>
      <c r="P268" s="171"/>
      <c r="Q268" s="171"/>
      <c r="R268" s="171"/>
      <c r="S268" s="172"/>
      <c r="T268" s="171"/>
      <c r="U268" s="172"/>
      <c r="V268" s="171"/>
      <c r="W268" s="172"/>
      <c r="X268" s="53"/>
      <c r="Y268" s="151"/>
      <c r="Z268" s="151"/>
      <c r="AA268" s="151"/>
      <c r="AB268" s="151"/>
    </row>
    <row r="269" spans="1:28" s="178" customFormat="1" ht="13">
      <c r="A269" s="170"/>
      <c r="B269" s="175"/>
      <c r="C269" s="176"/>
      <c r="D269" s="176"/>
      <c r="E269" s="176"/>
      <c r="F269" s="176"/>
      <c r="G269" s="176"/>
      <c r="H269" s="176"/>
      <c r="I269" s="177"/>
      <c r="J269" s="176"/>
      <c r="K269" s="176"/>
      <c r="L269" s="176"/>
      <c r="M269" s="176"/>
      <c r="N269" s="176"/>
      <c r="O269" s="177"/>
      <c r="P269" s="176"/>
      <c r="Q269" s="176"/>
      <c r="R269" s="176"/>
      <c r="S269" s="177"/>
      <c r="T269" s="176"/>
      <c r="U269" s="177"/>
      <c r="V269" s="176"/>
      <c r="W269" s="177"/>
      <c r="X269" s="53"/>
      <c r="Y269" s="151"/>
      <c r="Z269" s="151"/>
      <c r="AA269" s="151"/>
      <c r="AB269" s="151"/>
    </row>
    <row r="270" spans="1:28" ht="13">
      <c r="A270" s="170"/>
      <c r="B270" s="59"/>
      <c r="C270" s="179"/>
      <c r="D270" s="179"/>
      <c r="E270" s="179"/>
      <c r="F270" s="179"/>
      <c r="G270" s="179"/>
      <c r="H270" s="179"/>
      <c r="I270" s="180"/>
      <c r="J270" s="179"/>
      <c r="K270" s="179"/>
      <c r="L270" s="179"/>
      <c r="M270" s="179"/>
      <c r="N270" s="179"/>
      <c r="O270" s="180"/>
      <c r="P270" s="179"/>
      <c r="Q270" s="179"/>
      <c r="R270" s="179"/>
      <c r="S270" s="180"/>
      <c r="T270" s="179"/>
      <c r="U270" s="180"/>
      <c r="V270" s="179"/>
      <c r="W270" s="180"/>
      <c r="X270" s="53"/>
      <c r="Y270" s="151"/>
      <c r="Z270" s="151"/>
      <c r="AA270" s="151"/>
      <c r="AB270" s="151"/>
    </row>
    <row r="271" spans="1:28" s="173" customFormat="1" ht="13">
      <c r="A271" s="170"/>
      <c r="B271" s="94"/>
      <c r="C271" s="171"/>
      <c r="D271" s="171"/>
      <c r="E271" s="171"/>
      <c r="F271" s="171"/>
      <c r="G271" s="171"/>
      <c r="H271" s="171"/>
      <c r="I271" s="172"/>
      <c r="J271" s="171"/>
      <c r="K271" s="171"/>
      <c r="L271" s="171"/>
      <c r="M271" s="171"/>
      <c r="N271" s="171"/>
      <c r="O271" s="172"/>
      <c r="P271" s="171"/>
      <c r="Q271" s="171"/>
      <c r="R271" s="171"/>
      <c r="S271" s="172"/>
      <c r="T271" s="171"/>
      <c r="U271" s="172"/>
      <c r="V271" s="171"/>
      <c r="W271" s="172"/>
      <c r="X271" s="53"/>
      <c r="Y271" s="151"/>
      <c r="Z271" s="151"/>
      <c r="AA271" s="151"/>
      <c r="AB271" s="151"/>
    </row>
    <row r="272" spans="1:28" s="178" customFormat="1" ht="13">
      <c r="A272" s="170"/>
      <c r="B272" s="175"/>
      <c r="C272" s="176"/>
      <c r="D272" s="176"/>
      <c r="E272" s="176"/>
      <c r="F272" s="176"/>
      <c r="G272" s="176"/>
      <c r="H272" s="176"/>
      <c r="I272" s="177"/>
      <c r="J272" s="176"/>
      <c r="K272" s="176"/>
      <c r="L272" s="176"/>
      <c r="M272" s="176"/>
      <c r="N272" s="176"/>
      <c r="O272" s="177"/>
      <c r="P272" s="176"/>
      <c r="Q272" s="176"/>
      <c r="R272" s="176"/>
      <c r="S272" s="177"/>
      <c r="T272" s="176"/>
      <c r="U272" s="177"/>
      <c r="V272" s="176"/>
      <c r="W272" s="177"/>
      <c r="X272" s="53"/>
      <c r="Y272" s="151"/>
      <c r="Z272" s="151"/>
      <c r="AA272" s="151"/>
      <c r="AB272" s="151"/>
    </row>
    <row r="273" spans="1:28" ht="13">
      <c r="A273" s="170"/>
      <c r="B273" s="59"/>
      <c r="C273" s="179"/>
      <c r="D273" s="179"/>
      <c r="E273" s="179"/>
      <c r="F273" s="179"/>
      <c r="G273" s="179"/>
      <c r="H273" s="179"/>
      <c r="I273" s="180"/>
      <c r="J273" s="179"/>
      <c r="K273" s="179"/>
      <c r="L273" s="179"/>
      <c r="M273" s="179"/>
      <c r="N273" s="179"/>
      <c r="O273" s="180"/>
      <c r="P273" s="179"/>
      <c r="Q273" s="179"/>
      <c r="R273" s="179"/>
      <c r="S273" s="180"/>
      <c r="T273" s="179"/>
      <c r="U273" s="180"/>
      <c r="V273" s="179"/>
      <c r="W273" s="180"/>
      <c r="X273" s="53"/>
      <c r="Y273" s="151"/>
      <c r="Z273" s="151"/>
      <c r="AA273" s="151"/>
      <c r="AB273" s="151"/>
    </row>
    <row r="274" spans="1:28" s="173" customFormat="1" ht="13">
      <c r="A274" s="170"/>
      <c r="B274" s="94"/>
      <c r="C274" s="171"/>
      <c r="D274" s="171"/>
      <c r="E274" s="171"/>
      <c r="F274" s="171"/>
      <c r="G274" s="171"/>
      <c r="H274" s="171"/>
      <c r="I274" s="172"/>
      <c r="J274" s="171"/>
      <c r="K274" s="171"/>
      <c r="L274" s="171"/>
      <c r="M274" s="171"/>
      <c r="N274" s="171"/>
      <c r="O274" s="172"/>
      <c r="P274" s="171"/>
      <c r="Q274" s="171"/>
      <c r="R274" s="171"/>
      <c r="S274" s="172"/>
      <c r="T274" s="171"/>
      <c r="U274" s="172"/>
      <c r="V274" s="171"/>
      <c r="W274" s="172"/>
      <c r="X274" s="53"/>
      <c r="Y274" s="151"/>
      <c r="Z274" s="151"/>
      <c r="AA274" s="151"/>
      <c r="AB274" s="151"/>
    </row>
    <row r="275" spans="1:28" s="178" customFormat="1" ht="13">
      <c r="A275" s="170"/>
      <c r="B275" s="175"/>
      <c r="C275" s="176"/>
      <c r="D275" s="176"/>
      <c r="E275" s="176"/>
      <c r="F275" s="176"/>
      <c r="G275" s="176"/>
      <c r="H275" s="176"/>
      <c r="I275" s="177"/>
      <c r="J275" s="176"/>
      <c r="K275" s="176"/>
      <c r="L275" s="176"/>
      <c r="M275" s="176"/>
      <c r="N275" s="176"/>
      <c r="O275" s="177"/>
      <c r="P275" s="176"/>
      <c r="Q275" s="176"/>
      <c r="R275" s="176"/>
      <c r="S275" s="177"/>
      <c r="T275" s="176"/>
      <c r="U275" s="177"/>
      <c r="V275" s="176"/>
      <c r="W275" s="177"/>
      <c r="X275" s="53"/>
      <c r="Y275" s="151"/>
      <c r="Z275" s="151"/>
      <c r="AA275" s="151"/>
      <c r="AB275" s="151"/>
    </row>
    <row r="276" spans="1:28" ht="13">
      <c r="A276" s="170"/>
      <c r="B276" s="59"/>
      <c r="C276" s="179"/>
      <c r="D276" s="179"/>
      <c r="E276" s="179"/>
      <c r="F276" s="179"/>
      <c r="G276" s="179"/>
      <c r="H276" s="179"/>
      <c r="I276" s="180"/>
      <c r="J276" s="179"/>
      <c r="K276" s="179"/>
      <c r="L276" s="179"/>
      <c r="M276" s="179"/>
      <c r="N276" s="179"/>
      <c r="O276" s="180"/>
      <c r="P276" s="179"/>
      <c r="Q276" s="179"/>
      <c r="R276" s="179"/>
      <c r="S276" s="180"/>
      <c r="T276" s="179"/>
      <c r="U276" s="180"/>
      <c r="V276" s="179"/>
      <c r="W276" s="180"/>
      <c r="X276" s="53"/>
      <c r="Y276" s="151"/>
      <c r="Z276" s="151"/>
      <c r="AA276" s="151"/>
      <c r="AB276" s="151"/>
    </row>
    <row r="277" spans="1:28" s="173" customFormat="1" ht="13">
      <c r="A277" s="170"/>
      <c r="B277" s="94"/>
      <c r="C277" s="171"/>
      <c r="D277" s="171"/>
      <c r="E277" s="171"/>
      <c r="F277" s="171"/>
      <c r="G277" s="171"/>
      <c r="H277" s="171"/>
      <c r="I277" s="172"/>
      <c r="J277" s="171"/>
      <c r="K277" s="171"/>
      <c r="L277" s="171"/>
      <c r="M277" s="171"/>
      <c r="N277" s="171"/>
      <c r="O277" s="172"/>
      <c r="P277" s="171"/>
      <c r="Q277" s="171"/>
      <c r="R277" s="171"/>
      <c r="S277" s="172"/>
      <c r="T277" s="171"/>
      <c r="U277" s="172"/>
      <c r="V277" s="171"/>
      <c r="W277" s="172"/>
      <c r="X277" s="53"/>
      <c r="Y277" s="151"/>
      <c r="Z277" s="151"/>
      <c r="AA277" s="151"/>
      <c r="AB277" s="151"/>
    </row>
    <row r="278" spans="1:28" s="192" customFormat="1" ht="13.5" thickBot="1">
      <c r="A278" s="186"/>
      <c r="B278" s="187"/>
      <c r="C278" s="188"/>
      <c r="D278" s="188"/>
      <c r="E278" s="188"/>
      <c r="F278" s="188"/>
      <c r="G278" s="188"/>
      <c r="H278" s="188"/>
      <c r="I278" s="189"/>
      <c r="J278" s="188"/>
      <c r="K278" s="188"/>
      <c r="L278" s="188"/>
      <c r="M278" s="188"/>
      <c r="N278" s="188"/>
      <c r="O278" s="189"/>
      <c r="P278" s="188"/>
      <c r="Q278" s="188"/>
      <c r="R278" s="188"/>
      <c r="S278" s="189"/>
      <c r="T278" s="188"/>
      <c r="U278" s="189"/>
      <c r="V278" s="188"/>
      <c r="W278" s="189"/>
      <c r="X278" s="53"/>
      <c r="Y278" s="151"/>
      <c r="Z278" s="151"/>
      <c r="AA278" s="151"/>
      <c r="AB278" s="151"/>
    </row>
    <row r="279" spans="1:28" ht="13.5" thickTop="1">
      <c r="A279" s="147"/>
      <c r="B279" s="167"/>
      <c r="C279" s="168"/>
      <c r="D279" s="168"/>
      <c r="E279" s="168"/>
      <c r="F279" s="168"/>
      <c r="G279" s="168"/>
      <c r="H279" s="168"/>
      <c r="I279" s="169"/>
      <c r="J279" s="168"/>
      <c r="K279" s="168"/>
      <c r="L279" s="168"/>
      <c r="M279" s="168"/>
      <c r="N279" s="168"/>
      <c r="O279" s="169"/>
      <c r="P279" s="168"/>
      <c r="Q279" s="168"/>
      <c r="R279" s="168"/>
      <c r="S279" s="169"/>
      <c r="T279" s="168"/>
      <c r="U279" s="169"/>
      <c r="V279" s="168"/>
      <c r="W279" s="169"/>
      <c r="X279" s="53"/>
      <c r="Y279" s="151"/>
      <c r="Z279" s="151"/>
      <c r="AA279" s="151"/>
      <c r="AB279" s="151"/>
    </row>
    <row r="280" spans="1:28" s="173" customFormat="1" ht="13">
      <c r="A280" s="170"/>
      <c r="B280" s="94"/>
      <c r="C280" s="171"/>
      <c r="D280" s="171"/>
      <c r="E280" s="171"/>
      <c r="F280" s="171"/>
      <c r="G280" s="171"/>
      <c r="H280" s="171"/>
      <c r="I280" s="172"/>
      <c r="J280" s="171"/>
      <c r="K280" s="171"/>
      <c r="L280" s="171"/>
      <c r="M280" s="171"/>
      <c r="N280" s="171"/>
      <c r="O280" s="172"/>
      <c r="P280" s="171"/>
      <c r="Q280" s="171"/>
      <c r="R280" s="171"/>
      <c r="S280" s="172"/>
      <c r="T280" s="171"/>
      <c r="U280" s="172"/>
      <c r="V280" s="171"/>
      <c r="W280" s="172"/>
      <c r="X280" s="53"/>
      <c r="Y280" s="151"/>
      <c r="Z280" s="151"/>
      <c r="AA280" s="151"/>
      <c r="AB280" s="151"/>
    </row>
    <row r="281" spans="1:28" s="178" customFormat="1" ht="13">
      <c r="A281" s="174"/>
      <c r="B281" s="175"/>
      <c r="C281" s="176"/>
      <c r="D281" s="176"/>
      <c r="E281" s="176"/>
      <c r="F281" s="176"/>
      <c r="G281" s="176"/>
      <c r="H281" s="176"/>
      <c r="I281" s="177"/>
      <c r="J281" s="176"/>
      <c r="K281" s="176"/>
      <c r="L281" s="176"/>
      <c r="M281" s="176"/>
      <c r="N281" s="176"/>
      <c r="O281" s="177"/>
      <c r="P281" s="176"/>
      <c r="Q281" s="176"/>
      <c r="R281" s="176"/>
      <c r="S281" s="177"/>
      <c r="T281" s="176"/>
      <c r="U281" s="177"/>
      <c r="V281" s="176"/>
      <c r="W281" s="177"/>
      <c r="X281" s="53"/>
      <c r="Y281" s="151"/>
      <c r="Z281" s="151"/>
      <c r="AA281" s="151"/>
      <c r="AB281" s="151"/>
    </row>
    <row r="282" spans="1:28" ht="13">
      <c r="A282" s="170"/>
      <c r="B282" s="59"/>
      <c r="C282" s="179"/>
      <c r="D282" s="179"/>
      <c r="E282" s="179"/>
      <c r="F282" s="179"/>
      <c r="G282" s="179"/>
      <c r="H282" s="179"/>
      <c r="I282" s="180"/>
      <c r="J282" s="179"/>
      <c r="K282" s="179"/>
      <c r="L282" s="179"/>
      <c r="M282" s="179"/>
      <c r="N282" s="179"/>
      <c r="O282" s="180"/>
      <c r="P282" s="179"/>
      <c r="Q282" s="179"/>
      <c r="R282" s="179"/>
      <c r="S282" s="180"/>
      <c r="T282" s="179"/>
      <c r="U282" s="180"/>
      <c r="V282" s="179"/>
      <c r="W282" s="180"/>
      <c r="X282" s="53"/>
      <c r="Y282" s="151"/>
      <c r="Z282" s="151"/>
      <c r="AA282" s="151"/>
      <c r="AB282" s="151"/>
    </row>
    <row r="283" spans="1:28" s="173" customFormat="1" ht="13">
      <c r="A283" s="170"/>
      <c r="B283" s="94"/>
      <c r="C283" s="171"/>
      <c r="D283" s="171"/>
      <c r="E283" s="171"/>
      <c r="F283" s="171"/>
      <c r="G283" s="171"/>
      <c r="H283" s="171"/>
      <c r="I283" s="172"/>
      <c r="J283" s="171"/>
      <c r="K283" s="171"/>
      <c r="L283" s="171"/>
      <c r="M283" s="171"/>
      <c r="N283" s="171"/>
      <c r="O283" s="172"/>
      <c r="P283" s="171"/>
      <c r="Q283" s="171"/>
      <c r="R283" s="171"/>
      <c r="S283" s="172"/>
      <c r="T283" s="171"/>
      <c r="U283" s="172"/>
      <c r="V283" s="171"/>
      <c r="W283" s="172"/>
      <c r="X283" s="53"/>
      <c r="Y283" s="151"/>
      <c r="Z283" s="151"/>
      <c r="AA283" s="151"/>
      <c r="AB283" s="151"/>
    </row>
    <row r="284" spans="1:28" s="178" customFormat="1" ht="13">
      <c r="A284" s="170"/>
      <c r="B284" s="175"/>
      <c r="C284" s="176"/>
      <c r="D284" s="176"/>
      <c r="E284" s="176"/>
      <c r="F284" s="176"/>
      <c r="G284" s="176"/>
      <c r="H284" s="176"/>
      <c r="I284" s="177"/>
      <c r="J284" s="176"/>
      <c r="K284" s="176"/>
      <c r="L284" s="176"/>
      <c r="M284" s="176"/>
      <c r="N284" s="176"/>
      <c r="O284" s="177"/>
      <c r="P284" s="176"/>
      <c r="Q284" s="176"/>
      <c r="R284" s="176"/>
      <c r="S284" s="177"/>
      <c r="T284" s="176"/>
      <c r="U284" s="177"/>
      <c r="V284" s="176"/>
      <c r="W284" s="177"/>
      <c r="X284" s="53"/>
      <c r="Y284" s="151"/>
      <c r="Z284" s="151"/>
      <c r="AA284" s="151"/>
      <c r="AB284" s="151"/>
    </row>
    <row r="285" spans="1:28" ht="13">
      <c r="A285" s="170"/>
      <c r="B285" s="59"/>
      <c r="C285" s="179"/>
      <c r="D285" s="179"/>
      <c r="E285" s="179"/>
      <c r="F285" s="179"/>
      <c r="G285" s="179"/>
      <c r="H285" s="179"/>
      <c r="I285" s="180"/>
      <c r="J285" s="179"/>
      <c r="K285" s="179"/>
      <c r="L285" s="179"/>
      <c r="M285" s="179"/>
      <c r="N285" s="179"/>
      <c r="O285" s="180"/>
      <c r="P285" s="179"/>
      <c r="Q285" s="179"/>
      <c r="R285" s="179"/>
      <c r="S285" s="180"/>
      <c r="T285" s="179"/>
      <c r="U285" s="180"/>
      <c r="V285" s="179"/>
      <c r="W285" s="180"/>
      <c r="X285" s="53"/>
      <c r="Y285" s="151"/>
      <c r="Z285" s="151"/>
      <c r="AA285" s="151"/>
      <c r="AB285" s="151"/>
    </row>
    <row r="286" spans="1:28" s="173" customFormat="1" ht="13">
      <c r="A286" s="170"/>
      <c r="B286" s="94"/>
      <c r="C286" s="171"/>
      <c r="D286" s="171"/>
      <c r="E286" s="171"/>
      <c r="F286" s="171"/>
      <c r="G286" s="171"/>
      <c r="H286" s="171"/>
      <c r="I286" s="172"/>
      <c r="J286" s="171"/>
      <c r="K286" s="171"/>
      <c r="L286" s="171"/>
      <c r="M286" s="171"/>
      <c r="N286" s="171"/>
      <c r="O286" s="172"/>
      <c r="P286" s="171"/>
      <c r="Q286" s="171"/>
      <c r="R286" s="171"/>
      <c r="S286" s="172"/>
      <c r="T286" s="171"/>
      <c r="U286" s="172"/>
      <c r="V286" s="171"/>
      <c r="W286" s="172"/>
      <c r="X286" s="53"/>
      <c r="Y286" s="151"/>
      <c r="Z286" s="151"/>
      <c r="AA286" s="151"/>
      <c r="AB286" s="151"/>
    </row>
    <row r="287" spans="1:28" s="178" customFormat="1" ht="13">
      <c r="A287" s="170"/>
      <c r="B287" s="175"/>
      <c r="C287" s="176"/>
      <c r="D287" s="176"/>
      <c r="E287" s="176"/>
      <c r="F287" s="176"/>
      <c r="G287" s="176"/>
      <c r="H287" s="176"/>
      <c r="I287" s="177"/>
      <c r="J287" s="176"/>
      <c r="K287" s="176"/>
      <c r="L287" s="176"/>
      <c r="M287" s="176"/>
      <c r="N287" s="176"/>
      <c r="O287" s="177"/>
      <c r="P287" s="176"/>
      <c r="Q287" s="176"/>
      <c r="R287" s="176"/>
      <c r="S287" s="177"/>
      <c r="T287" s="176"/>
      <c r="U287" s="177"/>
      <c r="V287" s="176"/>
      <c r="W287" s="177"/>
      <c r="X287" s="53"/>
      <c r="Y287" s="151"/>
      <c r="Z287" s="151"/>
      <c r="AA287" s="151"/>
      <c r="AB287" s="151"/>
    </row>
    <row r="288" spans="1:28" ht="13">
      <c r="A288" s="170"/>
      <c r="B288" s="59"/>
      <c r="C288" s="179"/>
      <c r="D288" s="179"/>
      <c r="E288" s="179"/>
      <c r="F288" s="179"/>
      <c r="G288" s="179"/>
      <c r="H288" s="179"/>
      <c r="I288" s="180"/>
      <c r="J288" s="179"/>
      <c r="K288" s="179"/>
      <c r="L288" s="179"/>
      <c r="M288" s="179"/>
      <c r="N288" s="179"/>
      <c r="O288" s="180"/>
      <c r="P288" s="179"/>
      <c r="Q288" s="179"/>
      <c r="R288" s="179"/>
      <c r="S288" s="180"/>
      <c r="T288" s="179"/>
      <c r="U288" s="180"/>
      <c r="V288" s="179"/>
      <c r="W288" s="180"/>
      <c r="X288" s="53"/>
      <c r="Y288" s="151"/>
      <c r="Z288" s="151"/>
      <c r="AA288" s="151"/>
      <c r="AB288" s="151"/>
    </row>
    <row r="289" spans="1:28" s="173" customFormat="1" ht="13">
      <c r="A289" s="170"/>
      <c r="B289" s="94"/>
      <c r="C289" s="171"/>
      <c r="D289" s="171"/>
      <c r="E289" s="171"/>
      <c r="F289" s="171"/>
      <c r="G289" s="171"/>
      <c r="H289" s="171"/>
      <c r="I289" s="172"/>
      <c r="J289" s="171"/>
      <c r="K289" s="171"/>
      <c r="L289" s="171"/>
      <c r="M289" s="171"/>
      <c r="N289" s="171"/>
      <c r="O289" s="172"/>
      <c r="P289" s="171"/>
      <c r="Q289" s="171"/>
      <c r="R289" s="171"/>
      <c r="S289" s="172"/>
      <c r="T289" s="171"/>
      <c r="U289" s="172"/>
      <c r="V289" s="171"/>
      <c r="W289" s="172"/>
      <c r="X289" s="53"/>
      <c r="Y289" s="151"/>
      <c r="Z289" s="151"/>
      <c r="AA289" s="151"/>
      <c r="AB289" s="151"/>
    </row>
    <row r="290" spans="1:28" s="178" customFormat="1" ht="13">
      <c r="A290" s="170"/>
      <c r="B290" s="175"/>
      <c r="C290" s="176"/>
      <c r="D290" s="176"/>
      <c r="E290" s="176"/>
      <c r="F290" s="176"/>
      <c r="G290" s="176"/>
      <c r="H290" s="176"/>
      <c r="I290" s="177"/>
      <c r="J290" s="176"/>
      <c r="K290" s="176"/>
      <c r="L290" s="176"/>
      <c r="M290" s="176"/>
      <c r="N290" s="176"/>
      <c r="O290" s="177"/>
      <c r="P290" s="176"/>
      <c r="Q290" s="176"/>
      <c r="R290" s="176"/>
      <c r="S290" s="177"/>
      <c r="T290" s="176"/>
      <c r="U290" s="177"/>
      <c r="V290" s="176"/>
      <c r="W290" s="177"/>
      <c r="X290" s="53"/>
      <c r="Y290" s="151"/>
      <c r="Z290" s="151"/>
      <c r="AA290" s="151"/>
      <c r="AB290" s="151"/>
    </row>
    <row r="291" spans="1:28" ht="13">
      <c r="A291" s="170"/>
      <c r="B291" s="59"/>
      <c r="C291" s="179"/>
      <c r="D291" s="179"/>
      <c r="E291" s="179"/>
      <c r="F291" s="179"/>
      <c r="G291" s="179"/>
      <c r="H291" s="179"/>
      <c r="I291" s="180"/>
      <c r="J291" s="179"/>
      <c r="K291" s="179"/>
      <c r="L291" s="179"/>
      <c r="M291" s="179"/>
      <c r="N291" s="179"/>
      <c r="O291" s="180"/>
      <c r="P291" s="179"/>
      <c r="Q291" s="179"/>
      <c r="R291" s="179"/>
      <c r="S291" s="180"/>
      <c r="T291" s="179"/>
      <c r="U291" s="180"/>
      <c r="V291" s="179"/>
      <c r="W291" s="180"/>
      <c r="X291" s="53"/>
      <c r="Y291" s="151"/>
      <c r="Z291" s="151"/>
      <c r="AA291" s="151"/>
      <c r="AB291" s="151"/>
    </row>
    <row r="292" spans="1:28" s="173" customFormat="1" ht="13">
      <c r="A292" s="170"/>
      <c r="B292" s="94"/>
      <c r="C292" s="171"/>
      <c r="D292" s="171"/>
      <c r="E292" s="171"/>
      <c r="F292" s="171"/>
      <c r="G292" s="171"/>
      <c r="H292" s="171"/>
      <c r="I292" s="172"/>
      <c r="J292" s="171"/>
      <c r="K292" s="171"/>
      <c r="L292" s="171"/>
      <c r="M292" s="171"/>
      <c r="N292" s="171"/>
      <c r="O292" s="172"/>
      <c r="P292" s="171"/>
      <c r="Q292" s="171"/>
      <c r="R292" s="171"/>
      <c r="S292" s="172"/>
      <c r="T292" s="171"/>
      <c r="U292" s="172"/>
      <c r="V292" s="171"/>
      <c r="W292" s="172"/>
      <c r="X292" s="53"/>
      <c r="Y292" s="151"/>
      <c r="Z292" s="151"/>
      <c r="AA292" s="151"/>
      <c r="AB292" s="151"/>
    </row>
    <row r="293" spans="1:28" s="178" customFormat="1" ht="13">
      <c r="A293" s="170"/>
      <c r="B293" s="175"/>
      <c r="C293" s="176"/>
      <c r="D293" s="176"/>
      <c r="E293" s="176"/>
      <c r="F293" s="176"/>
      <c r="G293" s="176"/>
      <c r="H293" s="176"/>
      <c r="I293" s="177"/>
      <c r="J293" s="176"/>
      <c r="K293" s="176"/>
      <c r="L293" s="176"/>
      <c r="M293" s="176"/>
      <c r="N293" s="176"/>
      <c r="O293" s="177"/>
      <c r="P293" s="176"/>
      <c r="Q293" s="176"/>
      <c r="R293" s="176"/>
      <c r="S293" s="177"/>
      <c r="T293" s="176"/>
      <c r="U293" s="177"/>
      <c r="V293" s="176"/>
      <c r="W293" s="177"/>
      <c r="X293" s="53"/>
      <c r="Y293" s="151"/>
      <c r="Z293" s="151"/>
      <c r="AA293" s="151"/>
      <c r="AB293" s="151"/>
    </row>
    <row r="294" spans="1:28" ht="13">
      <c r="A294" s="170"/>
      <c r="B294" s="183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53"/>
      <c r="Y294" s="151"/>
      <c r="Z294" s="151"/>
      <c r="AA294" s="151"/>
      <c r="AB294" s="151"/>
    </row>
    <row r="295" spans="1:28" s="173" customFormat="1" ht="13">
      <c r="A295" s="170"/>
      <c r="B295" s="184"/>
      <c r="C295" s="172"/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53"/>
      <c r="Y295" s="151"/>
      <c r="Z295" s="151"/>
      <c r="AA295" s="151"/>
      <c r="AB295" s="151"/>
    </row>
    <row r="296" spans="1:28" s="178" customFormat="1" ht="13">
      <c r="A296" s="170"/>
      <c r="B296" s="185"/>
      <c r="C296" s="177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53"/>
      <c r="Y296" s="151"/>
      <c r="Z296" s="151"/>
      <c r="AA296" s="151"/>
      <c r="AB296" s="151"/>
    </row>
    <row r="297" spans="1:28" ht="13">
      <c r="A297" s="170"/>
      <c r="B297" s="59"/>
      <c r="C297" s="179"/>
      <c r="D297" s="179"/>
      <c r="E297" s="179"/>
      <c r="F297" s="179"/>
      <c r="G297" s="179"/>
      <c r="H297" s="179"/>
      <c r="I297" s="180"/>
      <c r="J297" s="179"/>
      <c r="K297" s="179"/>
      <c r="L297" s="179"/>
      <c r="M297" s="179"/>
      <c r="N297" s="179"/>
      <c r="O297" s="180"/>
      <c r="P297" s="179"/>
      <c r="Q297" s="179"/>
      <c r="R297" s="179"/>
      <c r="S297" s="180"/>
      <c r="T297" s="179"/>
      <c r="U297" s="180"/>
      <c r="V297" s="179"/>
      <c r="W297" s="180"/>
      <c r="X297" s="53"/>
      <c r="Y297" s="151"/>
      <c r="Z297" s="151"/>
      <c r="AA297" s="151"/>
      <c r="AB297" s="151"/>
    </row>
    <row r="298" spans="1:28" s="173" customFormat="1" ht="13">
      <c r="A298" s="170"/>
      <c r="B298" s="94"/>
      <c r="C298" s="171"/>
      <c r="D298" s="171"/>
      <c r="E298" s="171"/>
      <c r="F298" s="171"/>
      <c r="G298" s="171"/>
      <c r="H298" s="171"/>
      <c r="I298" s="172"/>
      <c r="J298" s="171"/>
      <c r="K298" s="171"/>
      <c r="L298" s="171"/>
      <c r="M298" s="171"/>
      <c r="N298" s="171"/>
      <c r="O298" s="172"/>
      <c r="P298" s="171"/>
      <c r="Q298" s="171"/>
      <c r="R298" s="171"/>
      <c r="S298" s="172"/>
      <c r="T298" s="171"/>
      <c r="U298" s="172"/>
      <c r="V298" s="171"/>
      <c r="W298" s="172"/>
      <c r="X298" s="53"/>
      <c r="Y298" s="151"/>
      <c r="Z298" s="151"/>
      <c r="AA298" s="151"/>
      <c r="AB298" s="151"/>
    </row>
    <row r="299" spans="1:28" s="178" customFormat="1" ht="13">
      <c r="A299" s="170"/>
      <c r="B299" s="175"/>
      <c r="C299" s="176"/>
      <c r="D299" s="176"/>
      <c r="E299" s="176"/>
      <c r="F299" s="176"/>
      <c r="G299" s="176"/>
      <c r="H299" s="176"/>
      <c r="I299" s="177"/>
      <c r="J299" s="176"/>
      <c r="K299" s="176"/>
      <c r="L299" s="176"/>
      <c r="M299" s="176"/>
      <c r="N299" s="176"/>
      <c r="O299" s="177"/>
      <c r="P299" s="176"/>
      <c r="Q299" s="176"/>
      <c r="R299" s="176"/>
      <c r="S299" s="177"/>
      <c r="T299" s="176"/>
      <c r="U299" s="177"/>
      <c r="V299" s="176"/>
      <c r="W299" s="177"/>
      <c r="X299" s="53"/>
      <c r="Y299" s="151"/>
      <c r="Z299" s="151"/>
      <c r="AA299" s="151"/>
      <c r="AB299" s="151"/>
    </row>
    <row r="300" spans="1:28" ht="13">
      <c r="A300" s="170"/>
      <c r="B300" s="59"/>
      <c r="C300" s="179"/>
      <c r="D300" s="179"/>
      <c r="E300" s="179"/>
      <c r="F300" s="179"/>
      <c r="G300" s="179"/>
      <c r="H300" s="179"/>
      <c r="I300" s="180"/>
      <c r="J300" s="179"/>
      <c r="K300" s="179"/>
      <c r="L300" s="179"/>
      <c r="M300" s="179"/>
      <c r="N300" s="179"/>
      <c r="O300" s="180"/>
      <c r="P300" s="179"/>
      <c r="Q300" s="179"/>
      <c r="R300" s="179"/>
      <c r="S300" s="180"/>
      <c r="T300" s="179"/>
      <c r="U300" s="180"/>
      <c r="V300" s="179"/>
      <c r="W300" s="180"/>
      <c r="X300" s="53"/>
      <c r="Y300" s="151"/>
      <c r="Z300" s="151"/>
      <c r="AA300" s="151"/>
      <c r="AB300" s="151"/>
    </row>
    <row r="301" spans="1:28" s="173" customFormat="1" ht="13">
      <c r="A301" s="170"/>
      <c r="B301" s="94"/>
      <c r="C301" s="171"/>
      <c r="D301" s="171"/>
      <c r="E301" s="171"/>
      <c r="F301" s="171"/>
      <c r="G301" s="171"/>
      <c r="H301" s="171"/>
      <c r="I301" s="172"/>
      <c r="J301" s="171"/>
      <c r="K301" s="171"/>
      <c r="L301" s="171"/>
      <c r="M301" s="171"/>
      <c r="N301" s="171"/>
      <c r="O301" s="172"/>
      <c r="P301" s="171"/>
      <c r="Q301" s="171"/>
      <c r="R301" s="171"/>
      <c r="S301" s="172"/>
      <c r="T301" s="171"/>
      <c r="U301" s="172"/>
      <c r="V301" s="171"/>
      <c r="W301" s="172"/>
      <c r="X301" s="53"/>
      <c r="Y301" s="151"/>
      <c r="Z301" s="151"/>
      <c r="AA301" s="151"/>
      <c r="AB301" s="151"/>
    </row>
    <row r="302" spans="1:28" s="178" customFormat="1" ht="13">
      <c r="A302" s="170"/>
      <c r="B302" s="175"/>
      <c r="C302" s="176"/>
      <c r="D302" s="176"/>
      <c r="E302" s="176"/>
      <c r="F302" s="176"/>
      <c r="G302" s="176"/>
      <c r="H302" s="176"/>
      <c r="I302" s="177"/>
      <c r="J302" s="176"/>
      <c r="K302" s="176"/>
      <c r="L302" s="176"/>
      <c r="M302" s="176"/>
      <c r="N302" s="176"/>
      <c r="O302" s="177"/>
      <c r="P302" s="176"/>
      <c r="Q302" s="176"/>
      <c r="R302" s="176"/>
      <c r="S302" s="177"/>
      <c r="T302" s="176"/>
      <c r="U302" s="177"/>
      <c r="V302" s="176"/>
      <c r="W302" s="177"/>
      <c r="X302" s="53"/>
      <c r="Y302" s="151"/>
      <c r="Z302" s="151"/>
      <c r="AA302" s="151"/>
      <c r="AB302" s="151"/>
    </row>
    <row r="303" spans="1:28" ht="13">
      <c r="A303" s="170"/>
      <c r="B303" s="59"/>
      <c r="C303" s="179"/>
      <c r="D303" s="179"/>
      <c r="E303" s="179"/>
      <c r="F303" s="179"/>
      <c r="G303" s="179"/>
      <c r="H303" s="179"/>
      <c r="I303" s="180"/>
      <c r="J303" s="179"/>
      <c r="K303" s="179"/>
      <c r="L303" s="179"/>
      <c r="M303" s="179"/>
      <c r="N303" s="179"/>
      <c r="O303" s="180"/>
      <c r="P303" s="179"/>
      <c r="Q303" s="179"/>
      <c r="R303" s="179"/>
      <c r="S303" s="180"/>
      <c r="T303" s="179"/>
      <c r="U303" s="180"/>
      <c r="V303" s="179"/>
      <c r="W303" s="180"/>
      <c r="X303" s="53"/>
      <c r="Y303" s="151"/>
      <c r="Z303" s="151"/>
      <c r="AA303" s="151"/>
      <c r="AB303" s="151"/>
    </row>
    <row r="304" spans="1:28" s="173" customFormat="1" ht="13">
      <c r="A304" s="170"/>
      <c r="B304" s="94"/>
      <c r="C304" s="171"/>
      <c r="D304" s="171"/>
      <c r="E304" s="171"/>
      <c r="F304" s="171"/>
      <c r="G304" s="171"/>
      <c r="H304" s="171"/>
      <c r="I304" s="172"/>
      <c r="J304" s="171"/>
      <c r="K304" s="171"/>
      <c r="L304" s="171"/>
      <c r="M304" s="171"/>
      <c r="N304" s="171"/>
      <c r="O304" s="172"/>
      <c r="P304" s="171"/>
      <c r="Q304" s="171"/>
      <c r="R304" s="171"/>
      <c r="S304" s="172"/>
      <c r="T304" s="171"/>
      <c r="U304" s="172"/>
      <c r="V304" s="171"/>
      <c r="W304" s="172"/>
      <c r="X304" s="53"/>
      <c r="Y304" s="151"/>
      <c r="Z304" s="151"/>
      <c r="AA304" s="151"/>
      <c r="AB304" s="151"/>
    </row>
    <row r="305" spans="1:28" s="178" customFormat="1" ht="13">
      <c r="A305" s="170"/>
      <c r="B305" s="175"/>
      <c r="C305" s="176"/>
      <c r="D305" s="176"/>
      <c r="E305" s="176"/>
      <c r="F305" s="176"/>
      <c r="G305" s="176"/>
      <c r="H305" s="176"/>
      <c r="I305" s="177"/>
      <c r="J305" s="176"/>
      <c r="K305" s="176"/>
      <c r="L305" s="176"/>
      <c r="M305" s="176"/>
      <c r="N305" s="176"/>
      <c r="O305" s="177"/>
      <c r="P305" s="176"/>
      <c r="Q305" s="176"/>
      <c r="R305" s="176"/>
      <c r="S305" s="177"/>
      <c r="T305" s="176"/>
      <c r="U305" s="177"/>
      <c r="V305" s="176"/>
      <c r="W305" s="177"/>
      <c r="X305" s="53"/>
      <c r="Y305" s="151"/>
      <c r="Z305" s="151"/>
      <c r="AA305" s="151"/>
      <c r="AB305" s="151"/>
    </row>
    <row r="306" spans="1:28" ht="13">
      <c r="A306" s="170"/>
      <c r="B306" s="59"/>
      <c r="C306" s="179"/>
      <c r="D306" s="179"/>
      <c r="E306" s="179"/>
      <c r="F306" s="179"/>
      <c r="G306" s="179"/>
      <c r="H306" s="179"/>
      <c r="I306" s="180"/>
      <c r="J306" s="179"/>
      <c r="K306" s="179"/>
      <c r="L306" s="179"/>
      <c r="M306" s="179"/>
      <c r="N306" s="179"/>
      <c r="O306" s="180"/>
      <c r="P306" s="179"/>
      <c r="Q306" s="179"/>
      <c r="R306" s="179"/>
      <c r="S306" s="180"/>
      <c r="T306" s="179"/>
      <c r="U306" s="180"/>
      <c r="V306" s="179"/>
      <c r="W306" s="180"/>
      <c r="X306" s="53"/>
      <c r="Y306" s="151"/>
      <c r="Z306" s="151"/>
      <c r="AA306" s="151"/>
      <c r="AB306" s="151"/>
    </row>
    <row r="307" spans="1:28" s="173" customFormat="1" ht="13">
      <c r="A307" s="170"/>
      <c r="B307" s="94"/>
      <c r="C307" s="171"/>
      <c r="D307" s="171"/>
      <c r="E307" s="171"/>
      <c r="F307" s="171"/>
      <c r="G307" s="171"/>
      <c r="H307" s="171"/>
      <c r="I307" s="172"/>
      <c r="J307" s="171"/>
      <c r="K307" s="171"/>
      <c r="L307" s="171"/>
      <c r="M307" s="171"/>
      <c r="N307" s="171"/>
      <c r="O307" s="172"/>
      <c r="P307" s="171"/>
      <c r="Q307" s="171"/>
      <c r="R307" s="171"/>
      <c r="S307" s="172"/>
      <c r="T307" s="171"/>
      <c r="U307" s="172"/>
      <c r="V307" s="171"/>
      <c r="W307" s="172"/>
      <c r="X307" s="53"/>
      <c r="Y307" s="151"/>
      <c r="Z307" s="151"/>
      <c r="AA307" s="151"/>
      <c r="AB307" s="151"/>
    </row>
    <row r="308" spans="1:28" s="178" customFormat="1" ht="13">
      <c r="A308" s="170"/>
      <c r="B308" s="175"/>
      <c r="C308" s="176"/>
      <c r="D308" s="176"/>
      <c r="E308" s="176"/>
      <c r="F308" s="176"/>
      <c r="G308" s="176"/>
      <c r="H308" s="176"/>
      <c r="I308" s="177"/>
      <c r="J308" s="176"/>
      <c r="K308" s="176"/>
      <c r="L308" s="176"/>
      <c r="M308" s="176"/>
      <c r="N308" s="176"/>
      <c r="O308" s="177"/>
      <c r="P308" s="176"/>
      <c r="Q308" s="176"/>
      <c r="R308" s="176"/>
      <c r="S308" s="177"/>
      <c r="T308" s="176"/>
      <c r="U308" s="177"/>
      <c r="V308" s="176"/>
      <c r="W308" s="177"/>
      <c r="X308" s="53"/>
      <c r="Y308" s="151"/>
      <c r="Z308" s="151"/>
      <c r="AA308" s="151"/>
      <c r="AB308" s="151"/>
    </row>
    <row r="309" spans="1:28" ht="13">
      <c r="A309" s="170"/>
      <c r="B309" s="59"/>
      <c r="C309" s="179"/>
      <c r="D309" s="179"/>
      <c r="E309" s="179"/>
      <c r="F309" s="179"/>
      <c r="G309" s="179"/>
      <c r="H309" s="179"/>
      <c r="I309" s="180"/>
      <c r="J309" s="179"/>
      <c r="K309" s="179"/>
      <c r="L309" s="179"/>
      <c r="M309" s="179"/>
      <c r="N309" s="179"/>
      <c r="O309" s="180"/>
      <c r="P309" s="179"/>
      <c r="Q309" s="179"/>
      <c r="R309" s="179"/>
      <c r="S309" s="180"/>
      <c r="T309" s="179"/>
      <c r="U309" s="180"/>
      <c r="V309" s="179"/>
      <c r="W309" s="180"/>
      <c r="X309" s="53"/>
      <c r="Y309" s="151"/>
      <c r="Z309" s="151"/>
      <c r="AA309" s="151"/>
      <c r="AB309" s="151"/>
    </row>
    <row r="310" spans="1:28" s="173" customFormat="1" ht="13">
      <c r="A310" s="170"/>
      <c r="B310" s="94"/>
      <c r="C310" s="171"/>
      <c r="D310" s="171"/>
      <c r="E310" s="171"/>
      <c r="F310" s="171"/>
      <c r="G310" s="171"/>
      <c r="H310" s="171"/>
      <c r="I310" s="172"/>
      <c r="J310" s="171"/>
      <c r="K310" s="171"/>
      <c r="L310" s="171"/>
      <c r="M310" s="171"/>
      <c r="N310" s="171"/>
      <c r="O310" s="172"/>
      <c r="P310" s="171"/>
      <c r="Q310" s="171"/>
      <c r="R310" s="171"/>
      <c r="S310" s="172"/>
      <c r="T310" s="171"/>
      <c r="U310" s="172"/>
      <c r="V310" s="171"/>
      <c r="W310" s="172"/>
      <c r="X310" s="53"/>
      <c r="Y310" s="151"/>
      <c r="Z310" s="151"/>
      <c r="AA310" s="151"/>
      <c r="AB310" s="151"/>
    </row>
    <row r="311" spans="1:28" s="178" customFormat="1" ht="13">
      <c r="A311" s="170"/>
      <c r="B311" s="175"/>
      <c r="C311" s="176"/>
      <c r="D311" s="176"/>
      <c r="E311" s="176"/>
      <c r="F311" s="176"/>
      <c r="G311" s="176"/>
      <c r="H311" s="176"/>
      <c r="I311" s="177"/>
      <c r="J311" s="176"/>
      <c r="K311" s="176"/>
      <c r="L311" s="176"/>
      <c r="M311" s="176"/>
      <c r="N311" s="176"/>
      <c r="O311" s="177"/>
      <c r="P311" s="176"/>
      <c r="Q311" s="176"/>
      <c r="R311" s="176"/>
      <c r="S311" s="177"/>
      <c r="T311" s="176"/>
      <c r="U311" s="177"/>
      <c r="V311" s="176"/>
      <c r="W311" s="177"/>
      <c r="X311" s="53"/>
      <c r="Y311" s="151"/>
      <c r="Z311" s="151"/>
      <c r="AA311" s="151"/>
      <c r="AB311" s="151"/>
    </row>
    <row r="312" spans="1:28" ht="13">
      <c r="A312" s="170"/>
      <c r="B312" s="59"/>
      <c r="C312" s="179"/>
      <c r="D312" s="179"/>
      <c r="E312" s="179"/>
      <c r="F312" s="179"/>
      <c r="G312" s="179"/>
      <c r="H312" s="179"/>
      <c r="I312" s="180"/>
      <c r="J312" s="179"/>
      <c r="K312" s="179"/>
      <c r="L312" s="179"/>
      <c r="M312" s="179"/>
      <c r="N312" s="179"/>
      <c r="O312" s="180"/>
      <c r="P312" s="179"/>
      <c r="Q312" s="179"/>
      <c r="R312" s="179"/>
      <c r="S312" s="180"/>
      <c r="T312" s="179"/>
      <c r="U312" s="180"/>
      <c r="V312" s="179"/>
      <c r="W312" s="180"/>
      <c r="X312" s="53"/>
      <c r="Y312" s="151"/>
      <c r="Z312" s="151"/>
      <c r="AA312" s="151"/>
      <c r="AB312" s="151"/>
    </row>
    <row r="313" spans="1:28" s="173" customFormat="1" ht="13">
      <c r="A313" s="170"/>
      <c r="B313" s="94"/>
      <c r="C313" s="171"/>
      <c r="D313" s="171"/>
      <c r="E313" s="171"/>
      <c r="F313" s="171"/>
      <c r="G313" s="171"/>
      <c r="H313" s="171"/>
      <c r="I313" s="172"/>
      <c r="J313" s="171"/>
      <c r="K313" s="171"/>
      <c r="L313" s="171"/>
      <c r="M313" s="171"/>
      <c r="N313" s="171"/>
      <c r="O313" s="172"/>
      <c r="P313" s="171"/>
      <c r="Q313" s="171"/>
      <c r="R313" s="171"/>
      <c r="S313" s="172"/>
      <c r="T313" s="171"/>
      <c r="U313" s="172"/>
      <c r="V313" s="171"/>
      <c r="W313" s="172"/>
      <c r="X313" s="53"/>
      <c r="Y313" s="151"/>
      <c r="Z313" s="151"/>
      <c r="AA313" s="151"/>
      <c r="AB313" s="151"/>
    </row>
    <row r="314" spans="1:28" s="178" customFormat="1" ht="13">
      <c r="A314" s="170"/>
      <c r="B314" s="175"/>
      <c r="C314" s="176"/>
      <c r="D314" s="176"/>
      <c r="E314" s="176"/>
      <c r="F314" s="176"/>
      <c r="G314" s="176"/>
      <c r="H314" s="176"/>
      <c r="I314" s="177"/>
      <c r="J314" s="176"/>
      <c r="K314" s="176"/>
      <c r="L314" s="176"/>
      <c r="M314" s="176"/>
      <c r="N314" s="176"/>
      <c r="O314" s="177"/>
      <c r="P314" s="176"/>
      <c r="Q314" s="176"/>
      <c r="R314" s="176"/>
      <c r="S314" s="177"/>
      <c r="T314" s="176"/>
      <c r="U314" s="177"/>
      <c r="V314" s="176"/>
      <c r="W314" s="177"/>
      <c r="X314" s="53"/>
      <c r="Y314" s="151"/>
      <c r="Z314" s="151"/>
      <c r="AA314" s="151"/>
      <c r="AB314" s="151"/>
    </row>
    <row r="315" spans="1:28" ht="13">
      <c r="A315" s="170"/>
      <c r="B315" s="59"/>
      <c r="C315" s="179"/>
      <c r="D315" s="179"/>
      <c r="E315" s="179"/>
      <c r="F315" s="179"/>
      <c r="G315" s="179"/>
      <c r="H315" s="179"/>
      <c r="I315" s="180"/>
      <c r="J315" s="179"/>
      <c r="K315" s="179"/>
      <c r="L315" s="179"/>
      <c r="M315" s="179"/>
      <c r="N315" s="179"/>
      <c r="O315" s="180"/>
      <c r="P315" s="179"/>
      <c r="Q315" s="179"/>
      <c r="R315" s="179"/>
      <c r="S315" s="180"/>
      <c r="T315" s="179"/>
      <c r="U315" s="180"/>
      <c r="V315" s="179"/>
      <c r="W315" s="180"/>
      <c r="X315" s="53"/>
      <c r="Y315" s="151"/>
      <c r="Z315" s="151"/>
      <c r="AA315" s="151"/>
      <c r="AB315" s="151"/>
    </row>
    <row r="316" spans="1:28" s="173" customFormat="1" ht="13">
      <c r="A316" s="170"/>
      <c r="B316" s="94"/>
      <c r="C316" s="171"/>
      <c r="D316" s="171"/>
      <c r="E316" s="171"/>
      <c r="F316" s="171"/>
      <c r="G316" s="171"/>
      <c r="H316" s="171"/>
      <c r="I316" s="172"/>
      <c r="J316" s="171"/>
      <c r="K316" s="171"/>
      <c r="L316" s="171"/>
      <c r="M316" s="171"/>
      <c r="N316" s="171"/>
      <c r="O316" s="172"/>
      <c r="P316" s="171"/>
      <c r="Q316" s="171"/>
      <c r="R316" s="171"/>
      <c r="S316" s="172"/>
      <c r="T316" s="171"/>
      <c r="U316" s="172"/>
      <c r="V316" s="171"/>
      <c r="W316" s="172"/>
      <c r="X316" s="53"/>
      <c r="Y316" s="151"/>
      <c r="Z316" s="151"/>
      <c r="AA316" s="151"/>
      <c r="AB316" s="151"/>
    </row>
    <row r="317" spans="1:28" s="192" customFormat="1" ht="13.5" thickBot="1">
      <c r="A317" s="186"/>
      <c r="B317" s="187"/>
      <c r="C317" s="188"/>
      <c r="D317" s="188"/>
      <c r="E317" s="188"/>
      <c r="F317" s="188"/>
      <c r="G317" s="188"/>
      <c r="H317" s="188"/>
      <c r="I317" s="189"/>
      <c r="J317" s="188"/>
      <c r="K317" s="188"/>
      <c r="L317" s="188"/>
      <c r="M317" s="188"/>
      <c r="N317" s="188"/>
      <c r="O317" s="189"/>
      <c r="P317" s="188"/>
      <c r="Q317" s="188"/>
      <c r="R317" s="188"/>
      <c r="S317" s="189"/>
      <c r="T317" s="188"/>
      <c r="U317" s="189"/>
      <c r="V317" s="188"/>
      <c r="W317" s="189"/>
      <c r="X317" s="53"/>
      <c r="Y317" s="151"/>
      <c r="Z317" s="151"/>
      <c r="AA317" s="151"/>
      <c r="AB317" s="151"/>
    </row>
    <row r="318" spans="1:28" ht="13.5" thickTop="1">
      <c r="A318" s="147"/>
      <c r="B318" s="167"/>
      <c r="C318" s="168"/>
      <c r="D318" s="168"/>
      <c r="E318" s="168"/>
      <c r="F318" s="168"/>
      <c r="G318" s="168"/>
      <c r="H318" s="168"/>
      <c r="I318" s="169"/>
      <c r="J318" s="168"/>
      <c r="K318" s="168"/>
      <c r="L318" s="168"/>
      <c r="M318" s="168"/>
      <c r="N318" s="168"/>
      <c r="O318" s="169"/>
      <c r="P318" s="168"/>
      <c r="Q318" s="168"/>
      <c r="R318" s="168"/>
      <c r="S318" s="169"/>
      <c r="T318" s="168"/>
      <c r="U318" s="169"/>
      <c r="V318" s="168"/>
      <c r="W318" s="169"/>
      <c r="X318" s="53"/>
      <c r="Y318" s="151"/>
      <c r="Z318" s="151"/>
      <c r="AA318" s="151"/>
      <c r="AB318" s="151"/>
    </row>
    <row r="319" spans="1:28" s="173" customFormat="1" ht="13">
      <c r="A319" s="170"/>
      <c r="B319" s="94"/>
      <c r="C319" s="171"/>
      <c r="D319" s="171"/>
      <c r="E319" s="171"/>
      <c r="F319" s="171"/>
      <c r="G319" s="171"/>
      <c r="H319" s="171"/>
      <c r="I319" s="172"/>
      <c r="J319" s="171"/>
      <c r="K319" s="171"/>
      <c r="L319" s="171"/>
      <c r="M319" s="171"/>
      <c r="N319" s="171"/>
      <c r="O319" s="172"/>
      <c r="P319" s="171"/>
      <c r="Q319" s="171"/>
      <c r="R319" s="171"/>
      <c r="S319" s="172"/>
      <c r="T319" s="171"/>
      <c r="U319" s="172"/>
      <c r="V319" s="171"/>
      <c r="W319" s="172"/>
      <c r="X319" s="53"/>
      <c r="Y319" s="151"/>
      <c r="Z319" s="151"/>
      <c r="AA319" s="151"/>
      <c r="AB319" s="151"/>
    </row>
    <row r="320" spans="1:28" s="178" customFormat="1" ht="13">
      <c r="A320" s="174"/>
      <c r="B320" s="175"/>
      <c r="C320" s="176"/>
      <c r="D320" s="176"/>
      <c r="E320" s="176"/>
      <c r="F320" s="176"/>
      <c r="G320" s="176"/>
      <c r="H320" s="176"/>
      <c r="I320" s="177"/>
      <c r="J320" s="176"/>
      <c r="K320" s="176"/>
      <c r="L320" s="176"/>
      <c r="M320" s="176"/>
      <c r="N320" s="176"/>
      <c r="O320" s="177"/>
      <c r="P320" s="176"/>
      <c r="Q320" s="176"/>
      <c r="R320" s="176"/>
      <c r="S320" s="177"/>
      <c r="T320" s="176"/>
      <c r="U320" s="177"/>
      <c r="V320" s="176"/>
      <c r="W320" s="177"/>
      <c r="X320" s="53"/>
      <c r="Y320" s="151"/>
      <c r="Z320" s="151"/>
      <c r="AA320" s="151"/>
      <c r="AB320" s="151"/>
    </row>
    <row r="321" spans="1:28" ht="13">
      <c r="A321" s="170"/>
      <c r="B321" s="59"/>
      <c r="C321" s="179"/>
      <c r="D321" s="179"/>
      <c r="E321" s="179"/>
      <c r="F321" s="179"/>
      <c r="G321" s="179"/>
      <c r="H321" s="179"/>
      <c r="I321" s="180"/>
      <c r="J321" s="179"/>
      <c r="K321" s="179"/>
      <c r="L321" s="179"/>
      <c r="M321" s="179"/>
      <c r="N321" s="179"/>
      <c r="O321" s="180"/>
      <c r="P321" s="179"/>
      <c r="Q321" s="179"/>
      <c r="R321" s="179"/>
      <c r="S321" s="180"/>
      <c r="T321" s="179"/>
      <c r="U321" s="180"/>
      <c r="V321" s="179"/>
      <c r="W321" s="180"/>
      <c r="X321" s="53"/>
      <c r="Y321" s="151"/>
      <c r="Z321" s="151"/>
      <c r="AA321" s="151"/>
      <c r="AB321" s="151"/>
    </row>
    <row r="322" spans="1:28" s="173" customFormat="1" ht="13">
      <c r="A322" s="170"/>
      <c r="B322" s="94"/>
      <c r="C322" s="171"/>
      <c r="D322" s="171"/>
      <c r="E322" s="171"/>
      <c r="F322" s="171"/>
      <c r="G322" s="171"/>
      <c r="H322" s="171"/>
      <c r="I322" s="172"/>
      <c r="J322" s="171"/>
      <c r="K322" s="171"/>
      <c r="L322" s="171"/>
      <c r="M322" s="171"/>
      <c r="N322" s="171"/>
      <c r="O322" s="172"/>
      <c r="P322" s="171"/>
      <c r="Q322" s="171"/>
      <c r="R322" s="171"/>
      <c r="S322" s="172"/>
      <c r="T322" s="171"/>
      <c r="U322" s="172"/>
      <c r="V322" s="171"/>
      <c r="W322" s="172"/>
      <c r="X322" s="53"/>
      <c r="Y322" s="151"/>
      <c r="Z322" s="151"/>
      <c r="AA322" s="151"/>
      <c r="AB322" s="151"/>
    </row>
    <row r="323" spans="1:28" s="178" customFormat="1" ht="13">
      <c r="A323" s="170"/>
      <c r="B323" s="175"/>
      <c r="C323" s="176"/>
      <c r="D323" s="176"/>
      <c r="E323" s="176"/>
      <c r="F323" s="176"/>
      <c r="G323" s="176"/>
      <c r="H323" s="176"/>
      <c r="I323" s="177"/>
      <c r="J323" s="176"/>
      <c r="K323" s="176"/>
      <c r="L323" s="176"/>
      <c r="M323" s="176"/>
      <c r="N323" s="176"/>
      <c r="O323" s="177"/>
      <c r="P323" s="176"/>
      <c r="Q323" s="176"/>
      <c r="R323" s="176"/>
      <c r="S323" s="177"/>
      <c r="T323" s="176"/>
      <c r="U323" s="177"/>
      <c r="V323" s="176"/>
      <c r="W323" s="177"/>
      <c r="X323" s="53"/>
      <c r="Y323" s="151"/>
      <c r="Z323" s="151"/>
      <c r="AA323" s="151"/>
      <c r="AB323" s="151"/>
    </row>
    <row r="324" spans="1:28" ht="13">
      <c r="A324" s="170"/>
      <c r="B324" s="59"/>
      <c r="C324" s="179"/>
      <c r="D324" s="179"/>
      <c r="E324" s="179"/>
      <c r="F324" s="179"/>
      <c r="G324" s="179"/>
      <c r="H324" s="179"/>
      <c r="I324" s="180"/>
      <c r="J324" s="179"/>
      <c r="K324" s="179"/>
      <c r="L324" s="179"/>
      <c r="M324" s="179"/>
      <c r="N324" s="179"/>
      <c r="O324" s="180"/>
      <c r="P324" s="179"/>
      <c r="Q324" s="179"/>
      <c r="R324" s="179"/>
      <c r="S324" s="180"/>
      <c r="T324" s="179"/>
      <c r="U324" s="180"/>
      <c r="V324" s="179"/>
      <c r="W324" s="180"/>
      <c r="X324" s="53"/>
      <c r="Y324" s="151"/>
      <c r="Z324" s="151"/>
      <c r="AA324" s="151"/>
      <c r="AB324" s="151"/>
    </row>
    <row r="325" spans="1:28" s="173" customFormat="1" ht="13">
      <c r="A325" s="170"/>
      <c r="B325" s="94"/>
      <c r="C325" s="171"/>
      <c r="D325" s="171"/>
      <c r="E325" s="171"/>
      <c r="F325" s="171"/>
      <c r="G325" s="171"/>
      <c r="H325" s="171"/>
      <c r="I325" s="172"/>
      <c r="J325" s="171"/>
      <c r="K325" s="171"/>
      <c r="L325" s="171"/>
      <c r="M325" s="171"/>
      <c r="N325" s="171"/>
      <c r="O325" s="172"/>
      <c r="P325" s="171"/>
      <c r="Q325" s="171"/>
      <c r="R325" s="171"/>
      <c r="S325" s="172"/>
      <c r="T325" s="171"/>
      <c r="U325" s="172"/>
      <c r="V325" s="171"/>
      <c r="W325" s="172"/>
      <c r="X325" s="53"/>
      <c r="Y325" s="151"/>
      <c r="Z325" s="151"/>
      <c r="AA325" s="151"/>
      <c r="AB325" s="151"/>
    </row>
    <row r="326" spans="1:28" s="178" customFormat="1" ht="13">
      <c r="A326" s="170"/>
      <c r="B326" s="175"/>
      <c r="C326" s="176"/>
      <c r="D326" s="176"/>
      <c r="E326" s="176"/>
      <c r="F326" s="176"/>
      <c r="G326" s="176"/>
      <c r="H326" s="176"/>
      <c r="I326" s="177"/>
      <c r="J326" s="176"/>
      <c r="K326" s="176"/>
      <c r="L326" s="176"/>
      <c r="M326" s="176"/>
      <c r="N326" s="176"/>
      <c r="O326" s="177"/>
      <c r="P326" s="176"/>
      <c r="Q326" s="176"/>
      <c r="R326" s="176"/>
      <c r="S326" s="177"/>
      <c r="T326" s="176"/>
      <c r="U326" s="177"/>
      <c r="V326" s="176"/>
      <c r="W326" s="177"/>
      <c r="X326" s="53"/>
      <c r="Y326" s="151"/>
      <c r="Z326" s="151"/>
      <c r="AA326" s="151"/>
      <c r="AB326" s="151"/>
    </row>
    <row r="327" spans="1:28" ht="13">
      <c r="A327" s="170"/>
      <c r="B327" s="59"/>
      <c r="C327" s="179"/>
      <c r="D327" s="179"/>
      <c r="E327" s="179"/>
      <c r="F327" s="179"/>
      <c r="G327" s="179"/>
      <c r="H327" s="179"/>
      <c r="I327" s="180"/>
      <c r="J327" s="179"/>
      <c r="K327" s="179"/>
      <c r="L327" s="179"/>
      <c r="M327" s="179"/>
      <c r="N327" s="179"/>
      <c r="O327" s="180"/>
      <c r="P327" s="179"/>
      <c r="Q327" s="179"/>
      <c r="R327" s="179"/>
      <c r="S327" s="180"/>
      <c r="T327" s="179"/>
      <c r="U327" s="180"/>
      <c r="V327" s="179"/>
      <c r="W327" s="180"/>
      <c r="X327" s="53"/>
      <c r="Y327" s="151"/>
      <c r="Z327" s="151"/>
      <c r="AA327" s="151"/>
      <c r="AB327" s="151"/>
    </row>
    <row r="328" spans="1:28" s="173" customFormat="1" ht="13">
      <c r="A328" s="170"/>
      <c r="B328" s="94"/>
      <c r="C328" s="171"/>
      <c r="D328" s="171"/>
      <c r="E328" s="171"/>
      <c r="F328" s="171"/>
      <c r="G328" s="171"/>
      <c r="H328" s="171"/>
      <c r="I328" s="172"/>
      <c r="J328" s="171"/>
      <c r="K328" s="171"/>
      <c r="L328" s="171"/>
      <c r="M328" s="171"/>
      <c r="N328" s="171"/>
      <c r="O328" s="172"/>
      <c r="P328" s="171"/>
      <c r="Q328" s="171"/>
      <c r="R328" s="171"/>
      <c r="S328" s="172"/>
      <c r="T328" s="171"/>
      <c r="U328" s="172"/>
      <c r="V328" s="171"/>
      <c r="W328" s="172"/>
      <c r="X328" s="53"/>
      <c r="Y328" s="151"/>
      <c r="Z328" s="151"/>
      <c r="AA328" s="151"/>
      <c r="AB328" s="151"/>
    </row>
    <row r="329" spans="1:28" s="178" customFormat="1" ht="13">
      <c r="A329" s="170"/>
      <c r="B329" s="175"/>
      <c r="C329" s="176"/>
      <c r="D329" s="176"/>
      <c r="E329" s="176"/>
      <c r="F329" s="176"/>
      <c r="G329" s="176"/>
      <c r="H329" s="176"/>
      <c r="I329" s="177"/>
      <c r="J329" s="176"/>
      <c r="K329" s="176"/>
      <c r="L329" s="176"/>
      <c r="M329" s="176"/>
      <c r="N329" s="176"/>
      <c r="O329" s="177"/>
      <c r="P329" s="176"/>
      <c r="Q329" s="176"/>
      <c r="R329" s="176"/>
      <c r="S329" s="177"/>
      <c r="T329" s="176"/>
      <c r="U329" s="177"/>
      <c r="V329" s="176"/>
      <c r="W329" s="177"/>
      <c r="X329" s="53"/>
      <c r="Y329" s="151"/>
      <c r="Z329" s="151"/>
      <c r="AA329" s="151"/>
      <c r="AB329" s="151"/>
    </row>
    <row r="330" spans="1:28" ht="13">
      <c r="A330" s="170"/>
      <c r="B330" s="59"/>
      <c r="C330" s="179"/>
      <c r="D330" s="179"/>
      <c r="E330" s="179"/>
      <c r="F330" s="179"/>
      <c r="G330" s="179"/>
      <c r="H330" s="179"/>
      <c r="I330" s="180"/>
      <c r="J330" s="179"/>
      <c r="K330" s="179"/>
      <c r="L330" s="179"/>
      <c r="M330" s="179"/>
      <c r="N330" s="179"/>
      <c r="O330" s="180"/>
      <c r="P330" s="179"/>
      <c r="Q330" s="179"/>
      <c r="R330" s="179"/>
      <c r="S330" s="180"/>
      <c r="T330" s="179"/>
      <c r="U330" s="180"/>
      <c r="V330" s="179"/>
      <c r="W330" s="180"/>
      <c r="X330" s="53"/>
      <c r="Y330" s="151"/>
      <c r="Z330" s="151"/>
      <c r="AA330" s="151"/>
      <c r="AB330" s="151"/>
    </row>
    <row r="331" spans="1:28" s="173" customFormat="1" ht="13">
      <c r="A331" s="170"/>
      <c r="B331" s="94"/>
      <c r="C331" s="171"/>
      <c r="D331" s="171"/>
      <c r="E331" s="171"/>
      <c r="F331" s="171"/>
      <c r="G331" s="171"/>
      <c r="H331" s="171"/>
      <c r="I331" s="172"/>
      <c r="J331" s="171"/>
      <c r="K331" s="171"/>
      <c r="L331" s="171"/>
      <c r="M331" s="171"/>
      <c r="N331" s="171"/>
      <c r="O331" s="172"/>
      <c r="P331" s="171"/>
      <c r="Q331" s="171"/>
      <c r="R331" s="171"/>
      <c r="S331" s="172"/>
      <c r="T331" s="171"/>
      <c r="U331" s="172"/>
      <c r="V331" s="171"/>
      <c r="W331" s="172"/>
      <c r="X331" s="53"/>
      <c r="Y331" s="151"/>
      <c r="Z331" s="151"/>
      <c r="AA331" s="151"/>
      <c r="AB331" s="151"/>
    </row>
    <row r="332" spans="1:28" s="178" customFormat="1" ht="13">
      <c r="A332" s="170"/>
      <c r="B332" s="175"/>
      <c r="C332" s="176"/>
      <c r="D332" s="176"/>
      <c r="E332" s="176"/>
      <c r="F332" s="176"/>
      <c r="G332" s="176"/>
      <c r="H332" s="176"/>
      <c r="I332" s="177"/>
      <c r="J332" s="176"/>
      <c r="K332" s="176"/>
      <c r="L332" s="176"/>
      <c r="M332" s="176"/>
      <c r="N332" s="176"/>
      <c r="O332" s="177"/>
      <c r="P332" s="176"/>
      <c r="Q332" s="176"/>
      <c r="R332" s="176"/>
      <c r="S332" s="177"/>
      <c r="T332" s="176"/>
      <c r="U332" s="177"/>
      <c r="V332" s="176"/>
      <c r="W332" s="177"/>
      <c r="X332" s="53"/>
      <c r="Y332" s="151"/>
      <c r="Z332" s="151"/>
      <c r="AA332" s="151"/>
      <c r="AB332" s="151"/>
    </row>
    <row r="333" spans="1:28" ht="13">
      <c r="A333" s="170"/>
      <c r="B333" s="183"/>
      <c r="C333" s="180"/>
      <c r="D333" s="180"/>
      <c r="E333" s="180"/>
      <c r="F333" s="180"/>
      <c r="G333" s="180"/>
      <c r="H333" s="180"/>
      <c r="I333" s="180"/>
      <c r="J333" s="180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53"/>
      <c r="Y333" s="151"/>
      <c r="Z333" s="151"/>
      <c r="AA333" s="151"/>
      <c r="AB333" s="151"/>
    </row>
    <row r="334" spans="1:28" s="173" customFormat="1" ht="13">
      <c r="A334" s="170"/>
      <c r="B334" s="184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  <c r="N334" s="172"/>
      <c r="O334" s="172"/>
      <c r="P334" s="172"/>
      <c r="Q334" s="172"/>
      <c r="R334" s="172"/>
      <c r="S334" s="172"/>
      <c r="T334" s="172"/>
      <c r="U334" s="172"/>
      <c r="V334" s="172"/>
      <c r="W334" s="172"/>
      <c r="X334" s="53"/>
      <c r="Y334" s="151"/>
      <c r="Z334" s="151"/>
      <c r="AA334" s="151"/>
      <c r="AB334" s="151"/>
    </row>
    <row r="335" spans="1:28" s="178" customFormat="1" ht="13">
      <c r="A335" s="170"/>
      <c r="B335" s="185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53"/>
      <c r="Y335" s="151"/>
      <c r="Z335" s="151"/>
      <c r="AA335" s="151"/>
      <c r="AB335" s="151"/>
    </row>
    <row r="336" spans="1:28" ht="13">
      <c r="A336" s="170"/>
      <c r="B336" s="59"/>
      <c r="C336" s="179"/>
      <c r="D336" s="179"/>
      <c r="E336" s="179"/>
      <c r="F336" s="179"/>
      <c r="G336" s="179"/>
      <c r="H336" s="179"/>
      <c r="I336" s="180"/>
      <c r="J336" s="179"/>
      <c r="K336" s="179"/>
      <c r="L336" s="179"/>
      <c r="M336" s="179"/>
      <c r="N336" s="179"/>
      <c r="O336" s="180"/>
      <c r="P336" s="179"/>
      <c r="Q336" s="179"/>
      <c r="R336" s="179"/>
      <c r="S336" s="180"/>
      <c r="T336" s="179"/>
      <c r="U336" s="180"/>
      <c r="V336" s="179"/>
      <c r="W336" s="180"/>
      <c r="X336" s="53"/>
      <c r="Y336" s="151"/>
      <c r="Z336" s="151"/>
      <c r="AA336" s="151"/>
      <c r="AB336" s="151"/>
    </row>
    <row r="337" spans="1:28" s="173" customFormat="1" ht="13">
      <c r="A337" s="170"/>
      <c r="B337" s="94"/>
      <c r="C337" s="171"/>
      <c r="D337" s="171"/>
      <c r="E337" s="171"/>
      <c r="F337" s="171"/>
      <c r="G337" s="171"/>
      <c r="H337" s="171"/>
      <c r="I337" s="172"/>
      <c r="J337" s="171"/>
      <c r="K337" s="171"/>
      <c r="L337" s="171"/>
      <c r="M337" s="171"/>
      <c r="N337" s="171"/>
      <c r="O337" s="172"/>
      <c r="P337" s="171"/>
      <c r="Q337" s="171"/>
      <c r="R337" s="171"/>
      <c r="S337" s="172"/>
      <c r="T337" s="171"/>
      <c r="U337" s="172"/>
      <c r="V337" s="171"/>
      <c r="W337" s="172"/>
      <c r="X337" s="53"/>
      <c r="Y337" s="151"/>
      <c r="Z337" s="151"/>
      <c r="AA337" s="151"/>
      <c r="AB337" s="151"/>
    </row>
    <row r="338" spans="1:28" s="178" customFormat="1" ht="13">
      <c r="A338" s="170"/>
      <c r="B338" s="175"/>
      <c r="C338" s="176"/>
      <c r="D338" s="176"/>
      <c r="E338" s="176"/>
      <c r="F338" s="176"/>
      <c r="G338" s="176"/>
      <c r="H338" s="176"/>
      <c r="I338" s="177"/>
      <c r="J338" s="176"/>
      <c r="K338" s="176"/>
      <c r="L338" s="176"/>
      <c r="M338" s="176"/>
      <c r="N338" s="176"/>
      <c r="O338" s="177"/>
      <c r="P338" s="176"/>
      <c r="Q338" s="176"/>
      <c r="R338" s="176"/>
      <c r="S338" s="177"/>
      <c r="T338" s="176"/>
      <c r="U338" s="177"/>
      <c r="V338" s="176"/>
      <c r="W338" s="177"/>
      <c r="X338" s="53"/>
      <c r="Y338" s="151"/>
      <c r="Z338" s="151"/>
      <c r="AA338" s="151"/>
      <c r="AB338" s="151"/>
    </row>
    <row r="339" spans="1:28" ht="13">
      <c r="A339" s="170"/>
      <c r="B339" s="59"/>
      <c r="C339" s="179"/>
      <c r="D339" s="179"/>
      <c r="E339" s="179"/>
      <c r="F339" s="179"/>
      <c r="G339" s="179"/>
      <c r="H339" s="179"/>
      <c r="I339" s="180"/>
      <c r="J339" s="179"/>
      <c r="K339" s="179"/>
      <c r="L339" s="179"/>
      <c r="M339" s="179"/>
      <c r="N339" s="179"/>
      <c r="O339" s="180"/>
      <c r="P339" s="179"/>
      <c r="Q339" s="179"/>
      <c r="R339" s="179"/>
      <c r="S339" s="180"/>
      <c r="T339" s="179"/>
      <c r="U339" s="180"/>
      <c r="V339" s="179"/>
      <c r="W339" s="180"/>
      <c r="X339" s="53"/>
      <c r="Y339" s="151"/>
      <c r="Z339" s="151"/>
      <c r="AA339" s="151"/>
      <c r="AB339" s="151"/>
    </row>
    <row r="340" spans="1:28" s="173" customFormat="1" ht="13">
      <c r="A340" s="170"/>
      <c r="B340" s="94"/>
      <c r="C340" s="171"/>
      <c r="D340" s="171"/>
      <c r="E340" s="171"/>
      <c r="F340" s="171"/>
      <c r="G340" s="171"/>
      <c r="H340" s="171"/>
      <c r="I340" s="172"/>
      <c r="J340" s="171"/>
      <c r="K340" s="171"/>
      <c r="L340" s="171"/>
      <c r="M340" s="171"/>
      <c r="N340" s="171"/>
      <c r="O340" s="172"/>
      <c r="P340" s="171"/>
      <c r="Q340" s="171"/>
      <c r="R340" s="171"/>
      <c r="S340" s="172"/>
      <c r="T340" s="171"/>
      <c r="U340" s="172"/>
      <c r="V340" s="171"/>
      <c r="W340" s="172"/>
      <c r="X340" s="53"/>
      <c r="Y340" s="151"/>
      <c r="Z340" s="151"/>
      <c r="AA340" s="151"/>
      <c r="AB340" s="151"/>
    </row>
    <row r="341" spans="1:28" s="178" customFormat="1" ht="13">
      <c r="A341" s="170"/>
      <c r="B341" s="175"/>
      <c r="C341" s="176"/>
      <c r="D341" s="176"/>
      <c r="E341" s="176"/>
      <c r="F341" s="176"/>
      <c r="G341" s="176"/>
      <c r="H341" s="176"/>
      <c r="I341" s="177"/>
      <c r="J341" s="176"/>
      <c r="K341" s="176"/>
      <c r="L341" s="176"/>
      <c r="M341" s="176"/>
      <c r="N341" s="176"/>
      <c r="O341" s="177"/>
      <c r="P341" s="176"/>
      <c r="Q341" s="176"/>
      <c r="R341" s="176"/>
      <c r="S341" s="177"/>
      <c r="T341" s="176"/>
      <c r="U341" s="177"/>
      <c r="V341" s="176"/>
      <c r="W341" s="177"/>
      <c r="X341" s="53"/>
      <c r="Y341" s="151"/>
      <c r="Z341" s="151"/>
      <c r="AA341" s="151"/>
      <c r="AB341" s="151"/>
    </row>
    <row r="342" spans="1:28" ht="13">
      <c r="A342" s="170"/>
      <c r="B342" s="59"/>
      <c r="C342" s="179"/>
      <c r="D342" s="179"/>
      <c r="E342" s="179"/>
      <c r="F342" s="179"/>
      <c r="G342" s="179"/>
      <c r="H342" s="179"/>
      <c r="I342" s="180"/>
      <c r="J342" s="179"/>
      <c r="K342" s="179"/>
      <c r="L342" s="179"/>
      <c r="M342" s="179"/>
      <c r="N342" s="179"/>
      <c r="O342" s="180"/>
      <c r="P342" s="179"/>
      <c r="Q342" s="179"/>
      <c r="R342" s="179"/>
      <c r="S342" s="180"/>
      <c r="T342" s="179"/>
      <c r="U342" s="180"/>
      <c r="V342" s="179"/>
      <c r="W342" s="180"/>
      <c r="X342" s="53"/>
      <c r="Y342" s="151"/>
      <c r="Z342" s="151"/>
      <c r="AA342" s="151"/>
      <c r="AB342" s="151"/>
    </row>
    <row r="343" spans="1:28" s="173" customFormat="1" ht="13">
      <c r="A343" s="170"/>
      <c r="B343" s="94"/>
      <c r="C343" s="171"/>
      <c r="D343" s="171"/>
      <c r="E343" s="171"/>
      <c r="F343" s="171"/>
      <c r="G343" s="171"/>
      <c r="H343" s="171"/>
      <c r="I343" s="172"/>
      <c r="J343" s="171"/>
      <c r="K343" s="171"/>
      <c r="L343" s="171"/>
      <c r="M343" s="171"/>
      <c r="N343" s="171"/>
      <c r="O343" s="172"/>
      <c r="P343" s="171"/>
      <c r="Q343" s="171"/>
      <c r="R343" s="171"/>
      <c r="S343" s="172"/>
      <c r="T343" s="171"/>
      <c r="U343" s="172"/>
      <c r="V343" s="171"/>
      <c r="W343" s="172"/>
      <c r="X343" s="53"/>
      <c r="Y343" s="151"/>
      <c r="Z343" s="151"/>
      <c r="AA343" s="151"/>
      <c r="AB343" s="151"/>
    </row>
    <row r="344" spans="1:28" s="178" customFormat="1" ht="13">
      <c r="A344" s="170"/>
      <c r="B344" s="175"/>
      <c r="C344" s="176"/>
      <c r="D344" s="176"/>
      <c r="E344" s="176"/>
      <c r="F344" s="176"/>
      <c r="G344" s="176"/>
      <c r="H344" s="176"/>
      <c r="I344" s="177"/>
      <c r="J344" s="176"/>
      <c r="K344" s="176"/>
      <c r="L344" s="176"/>
      <c r="M344" s="176"/>
      <c r="N344" s="176"/>
      <c r="O344" s="177"/>
      <c r="P344" s="176"/>
      <c r="Q344" s="176"/>
      <c r="R344" s="176"/>
      <c r="S344" s="177"/>
      <c r="T344" s="176"/>
      <c r="U344" s="177"/>
      <c r="V344" s="176"/>
      <c r="W344" s="177"/>
      <c r="X344" s="53"/>
      <c r="Y344" s="151"/>
      <c r="Z344" s="151"/>
      <c r="AA344" s="151"/>
      <c r="AB344" s="151"/>
    </row>
    <row r="345" spans="1:28" ht="13">
      <c r="A345" s="170"/>
      <c r="B345" s="59"/>
      <c r="C345" s="179"/>
      <c r="D345" s="179"/>
      <c r="E345" s="179"/>
      <c r="F345" s="179"/>
      <c r="G345" s="179"/>
      <c r="H345" s="179"/>
      <c r="I345" s="180"/>
      <c r="J345" s="179"/>
      <c r="K345" s="179"/>
      <c r="L345" s="179"/>
      <c r="M345" s="179"/>
      <c r="N345" s="179"/>
      <c r="O345" s="180"/>
      <c r="P345" s="179"/>
      <c r="Q345" s="179"/>
      <c r="R345" s="179"/>
      <c r="S345" s="180"/>
      <c r="T345" s="179"/>
      <c r="U345" s="180"/>
      <c r="V345" s="179"/>
      <c r="W345" s="180"/>
      <c r="X345" s="53"/>
      <c r="Y345" s="151"/>
      <c r="Z345" s="151"/>
      <c r="AA345" s="151"/>
      <c r="AB345" s="151"/>
    </row>
    <row r="346" spans="1:28" s="173" customFormat="1" ht="13">
      <c r="A346" s="170"/>
      <c r="B346" s="94"/>
      <c r="C346" s="171"/>
      <c r="D346" s="171"/>
      <c r="E346" s="171"/>
      <c r="F346" s="171"/>
      <c r="G346" s="171"/>
      <c r="H346" s="171"/>
      <c r="I346" s="172"/>
      <c r="J346" s="171"/>
      <c r="K346" s="171"/>
      <c r="L346" s="171"/>
      <c r="M346" s="171"/>
      <c r="N346" s="171"/>
      <c r="O346" s="172"/>
      <c r="P346" s="171"/>
      <c r="Q346" s="171"/>
      <c r="R346" s="171"/>
      <c r="S346" s="172"/>
      <c r="T346" s="171"/>
      <c r="U346" s="172"/>
      <c r="V346" s="171"/>
      <c r="W346" s="172"/>
      <c r="X346" s="53"/>
      <c r="Y346" s="151"/>
      <c r="Z346" s="151"/>
      <c r="AA346" s="151"/>
      <c r="AB346" s="151"/>
    </row>
    <row r="347" spans="1:28" s="178" customFormat="1" ht="13">
      <c r="A347" s="170"/>
      <c r="B347" s="175"/>
      <c r="C347" s="176"/>
      <c r="D347" s="176"/>
      <c r="E347" s="176"/>
      <c r="F347" s="176"/>
      <c r="G347" s="176"/>
      <c r="H347" s="176"/>
      <c r="I347" s="177"/>
      <c r="J347" s="176"/>
      <c r="K347" s="176"/>
      <c r="L347" s="176"/>
      <c r="M347" s="176"/>
      <c r="N347" s="176"/>
      <c r="O347" s="177"/>
      <c r="P347" s="176"/>
      <c r="Q347" s="176"/>
      <c r="R347" s="176"/>
      <c r="S347" s="177"/>
      <c r="T347" s="176"/>
      <c r="U347" s="177"/>
      <c r="V347" s="176"/>
      <c r="W347" s="177"/>
      <c r="X347" s="53"/>
      <c r="Y347" s="151"/>
      <c r="Z347" s="151"/>
      <c r="AA347" s="151"/>
      <c r="AB347" s="151"/>
    </row>
    <row r="348" spans="1:28" ht="13">
      <c r="A348" s="170"/>
      <c r="B348" s="59"/>
      <c r="C348" s="179"/>
      <c r="D348" s="179"/>
      <c r="E348" s="179"/>
      <c r="F348" s="179"/>
      <c r="G348" s="179"/>
      <c r="H348" s="179"/>
      <c r="I348" s="180"/>
      <c r="J348" s="179"/>
      <c r="K348" s="179"/>
      <c r="L348" s="179"/>
      <c r="M348" s="179"/>
      <c r="N348" s="179"/>
      <c r="O348" s="180"/>
      <c r="P348" s="179"/>
      <c r="Q348" s="179"/>
      <c r="R348" s="179"/>
      <c r="S348" s="180"/>
      <c r="T348" s="179"/>
      <c r="U348" s="180"/>
      <c r="V348" s="179"/>
      <c r="W348" s="180"/>
      <c r="X348" s="53"/>
      <c r="Y348" s="151"/>
      <c r="Z348" s="151"/>
      <c r="AA348" s="151"/>
      <c r="AB348" s="151"/>
    </row>
    <row r="349" spans="1:28" s="173" customFormat="1" ht="13">
      <c r="A349" s="170"/>
      <c r="B349" s="94"/>
      <c r="C349" s="171"/>
      <c r="D349" s="171"/>
      <c r="E349" s="171"/>
      <c r="F349" s="171"/>
      <c r="G349" s="171"/>
      <c r="H349" s="171"/>
      <c r="I349" s="172"/>
      <c r="J349" s="171"/>
      <c r="K349" s="171"/>
      <c r="L349" s="171"/>
      <c r="M349" s="171"/>
      <c r="N349" s="171"/>
      <c r="O349" s="172"/>
      <c r="P349" s="171"/>
      <c r="Q349" s="171"/>
      <c r="R349" s="171"/>
      <c r="S349" s="172"/>
      <c r="T349" s="171"/>
      <c r="U349" s="172"/>
      <c r="V349" s="171"/>
      <c r="W349" s="172"/>
      <c r="X349" s="53"/>
      <c r="Y349" s="151"/>
      <c r="Z349" s="151"/>
      <c r="AA349" s="151"/>
      <c r="AB349" s="151"/>
    </row>
    <row r="350" spans="1:28" s="178" customFormat="1" ht="13">
      <c r="A350" s="170"/>
      <c r="B350" s="175"/>
      <c r="C350" s="176"/>
      <c r="D350" s="176"/>
      <c r="E350" s="176"/>
      <c r="F350" s="176"/>
      <c r="G350" s="176"/>
      <c r="H350" s="176"/>
      <c r="I350" s="177"/>
      <c r="J350" s="176"/>
      <c r="K350" s="176"/>
      <c r="L350" s="176"/>
      <c r="M350" s="176"/>
      <c r="N350" s="176"/>
      <c r="O350" s="177"/>
      <c r="P350" s="176"/>
      <c r="Q350" s="176"/>
      <c r="R350" s="176"/>
      <c r="S350" s="177"/>
      <c r="T350" s="176"/>
      <c r="U350" s="177"/>
      <c r="V350" s="176"/>
      <c r="W350" s="177"/>
      <c r="X350" s="53"/>
      <c r="Y350" s="151"/>
      <c r="Z350" s="151"/>
      <c r="AA350" s="151"/>
      <c r="AB350" s="151"/>
    </row>
    <row r="351" spans="1:28" ht="13">
      <c r="A351" s="170"/>
      <c r="B351" s="59"/>
      <c r="C351" s="179"/>
      <c r="D351" s="179"/>
      <c r="E351" s="179"/>
      <c r="F351" s="179"/>
      <c r="G351" s="179"/>
      <c r="H351" s="179"/>
      <c r="I351" s="180"/>
      <c r="J351" s="179"/>
      <c r="K351" s="179"/>
      <c r="L351" s="179"/>
      <c r="M351" s="179"/>
      <c r="N351" s="179"/>
      <c r="O351" s="180"/>
      <c r="P351" s="179"/>
      <c r="Q351" s="179"/>
      <c r="R351" s="179"/>
      <c r="S351" s="180"/>
      <c r="T351" s="179"/>
      <c r="U351" s="180"/>
      <c r="V351" s="179"/>
      <c r="W351" s="180"/>
      <c r="X351" s="53"/>
      <c r="Y351" s="151"/>
      <c r="Z351" s="151"/>
      <c r="AA351" s="151"/>
      <c r="AB351" s="151"/>
    </row>
    <row r="352" spans="1:28" s="173" customFormat="1" ht="13">
      <c r="A352" s="170"/>
      <c r="B352" s="94"/>
      <c r="C352" s="171"/>
      <c r="D352" s="171"/>
      <c r="E352" s="171"/>
      <c r="F352" s="171"/>
      <c r="G352" s="171"/>
      <c r="H352" s="171"/>
      <c r="I352" s="172"/>
      <c r="J352" s="171"/>
      <c r="K352" s="171"/>
      <c r="L352" s="171"/>
      <c r="M352" s="171"/>
      <c r="N352" s="171"/>
      <c r="O352" s="172"/>
      <c r="P352" s="171"/>
      <c r="Q352" s="171"/>
      <c r="R352" s="171"/>
      <c r="S352" s="172"/>
      <c r="T352" s="171"/>
      <c r="U352" s="172"/>
      <c r="V352" s="171"/>
      <c r="W352" s="172"/>
      <c r="X352" s="53"/>
      <c r="Y352" s="151"/>
      <c r="Z352" s="151"/>
      <c r="AA352" s="151"/>
      <c r="AB352" s="151"/>
    </row>
    <row r="353" spans="1:28" s="178" customFormat="1" ht="13">
      <c r="A353" s="170"/>
      <c r="B353" s="175"/>
      <c r="C353" s="176"/>
      <c r="D353" s="176"/>
      <c r="E353" s="176"/>
      <c r="F353" s="176"/>
      <c r="G353" s="176"/>
      <c r="H353" s="176"/>
      <c r="I353" s="177"/>
      <c r="J353" s="176"/>
      <c r="K353" s="176"/>
      <c r="L353" s="176"/>
      <c r="M353" s="176"/>
      <c r="N353" s="176"/>
      <c r="O353" s="177"/>
      <c r="P353" s="176"/>
      <c r="Q353" s="176"/>
      <c r="R353" s="176"/>
      <c r="S353" s="177"/>
      <c r="T353" s="176"/>
      <c r="U353" s="177"/>
      <c r="V353" s="176"/>
      <c r="W353" s="177"/>
      <c r="X353" s="53"/>
      <c r="Y353" s="151"/>
      <c r="Z353" s="151"/>
      <c r="AA353" s="151"/>
      <c r="AB353" s="151"/>
    </row>
    <row r="354" spans="1:28" ht="13">
      <c r="A354" s="170"/>
      <c r="B354" s="59"/>
      <c r="C354" s="179"/>
      <c r="D354" s="179"/>
      <c r="E354" s="179"/>
      <c r="F354" s="179"/>
      <c r="G354" s="179"/>
      <c r="H354" s="179"/>
      <c r="I354" s="180"/>
      <c r="J354" s="179"/>
      <c r="K354" s="179"/>
      <c r="L354" s="179"/>
      <c r="M354" s="179"/>
      <c r="N354" s="179"/>
      <c r="O354" s="180"/>
      <c r="P354" s="179"/>
      <c r="Q354" s="179"/>
      <c r="R354" s="179"/>
      <c r="S354" s="180"/>
      <c r="T354" s="179"/>
      <c r="U354" s="180"/>
      <c r="V354" s="179"/>
      <c r="W354" s="180"/>
      <c r="X354" s="53"/>
      <c r="Y354" s="151"/>
      <c r="Z354" s="151"/>
      <c r="AA354" s="151"/>
      <c r="AB354" s="151"/>
    </row>
    <row r="355" spans="1:28" s="173" customFormat="1" ht="13">
      <c r="A355" s="170"/>
      <c r="B355" s="94"/>
      <c r="C355" s="171"/>
      <c r="D355" s="171"/>
      <c r="E355" s="171"/>
      <c r="F355" s="171"/>
      <c r="G355" s="171"/>
      <c r="H355" s="171"/>
      <c r="I355" s="172"/>
      <c r="J355" s="171"/>
      <c r="K355" s="171"/>
      <c r="L355" s="171"/>
      <c r="M355" s="171"/>
      <c r="N355" s="171"/>
      <c r="O355" s="172"/>
      <c r="P355" s="171"/>
      <c r="Q355" s="171"/>
      <c r="R355" s="171"/>
      <c r="S355" s="172"/>
      <c r="T355" s="171"/>
      <c r="U355" s="172"/>
      <c r="V355" s="171"/>
      <c r="W355" s="172"/>
      <c r="X355" s="53"/>
      <c r="Y355" s="151"/>
      <c r="Z355" s="151"/>
      <c r="AA355" s="151"/>
      <c r="AB355" s="151"/>
    </row>
    <row r="356" spans="1:28" s="192" customFormat="1" ht="13.5" thickBot="1">
      <c r="A356" s="186"/>
      <c r="B356" s="187"/>
      <c r="C356" s="188"/>
      <c r="D356" s="188"/>
      <c r="E356" s="188"/>
      <c r="F356" s="188"/>
      <c r="G356" s="188"/>
      <c r="H356" s="188"/>
      <c r="I356" s="189"/>
      <c r="J356" s="188"/>
      <c r="K356" s="188"/>
      <c r="L356" s="188"/>
      <c r="M356" s="188"/>
      <c r="N356" s="188"/>
      <c r="O356" s="189"/>
      <c r="P356" s="188"/>
      <c r="Q356" s="188"/>
      <c r="R356" s="188"/>
      <c r="S356" s="189"/>
      <c r="T356" s="188"/>
      <c r="U356" s="189"/>
      <c r="V356" s="188"/>
      <c r="W356" s="189"/>
      <c r="X356" s="53"/>
      <c r="Y356" s="151"/>
      <c r="Z356" s="151"/>
      <c r="AA356" s="151"/>
      <c r="AB356" s="151"/>
    </row>
    <row r="357" spans="1:28" ht="13.5" thickTop="1">
      <c r="A357" s="147"/>
      <c r="B357" s="167"/>
      <c r="C357" s="168"/>
      <c r="D357" s="168"/>
      <c r="E357" s="168"/>
      <c r="F357" s="168"/>
      <c r="G357" s="168"/>
      <c r="H357" s="168"/>
      <c r="I357" s="169"/>
      <c r="J357" s="168"/>
      <c r="K357" s="168"/>
      <c r="L357" s="168"/>
      <c r="M357" s="168"/>
      <c r="N357" s="168"/>
      <c r="O357" s="169"/>
      <c r="P357" s="168"/>
      <c r="Q357" s="168"/>
      <c r="R357" s="168"/>
      <c r="S357" s="169"/>
      <c r="T357" s="168"/>
      <c r="U357" s="169"/>
      <c r="V357" s="168"/>
      <c r="W357" s="169"/>
      <c r="X357" s="53"/>
      <c r="Y357" s="151"/>
      <c r="Z357" s="151"/>
      <c r="AA357" s="151"/>
      <c r="AB357" s="151"/>
    </row>
    <row r="358" spans="1:28" s="173" customFormat="1" ht="13">
      <c r="A358" s="170"/>
      <c r="B358" s="94"/>
      <c r="C358" s="171"/>
      <c r="D358" s="171"/>
      <c r="E358" s="171"/>
      <c r="F358" s="171"/>
      <c r="G358" s="171"/>
      <c r="H358" s="171"/>
      <c r="I358" s="172"/>
      <c r="J358" s="171"/>
      <c r="K358" s="171"/>
      <c r="L358" s="171"/>
      <c r="M358" s="171"/>
      <c r="N358" s="171"/>
      <c r="O358" s="172"/>
      <c r="P358" s="171"/>
      <c r="Q358" s="171"/>
      <c r="R358" s="171"/>
      <c r="S358" s="172"/>
      <c r="T358" s="171"/>
      <c r="U358" s="172"/>
      <c r="V358" s="171"/>
      <c r="W358" s="172"/>
      <c r="X358" s="53"/>
      <c r="Y358" s="151"/>
      <c r="Z358" s="151"/>
      <c r="AA358" s="151"/>
      <c r="AB358" s="151"/>
    </row>
    <row r="359" spans="1:28" s="178" customFormat="1" ht="13">
      <c r="A359" s="174"/>
      <c r="B359" s="175"/>
      <c r="C359" s="176"/>
      <c r="D359" s="176"/>
      <c r="E359" s="176"/>
      <c r="F359" s="176"/>
      <c r="G359" s="176"/>
      <c r="H359" s="176"/>
      <c r="I359" s="177"/>
      <c r="J359" s="176"/>
      <c r="K359" s="176"/>
      <c r="L359" s="176"/>
      <c r="M359" s="176"/>
      <c r="N359" s="176"/>
      <c r="O359" s="177"/>
      <c r="P359" s="176"/>
      <c r="Q359" s="176"/>
      <c r="R359" s="176"/>
      <c r="S359" s="177"/>
      <c r="T359" s="176"/>
      <c r="U359" s="177"/>
      <c r="V359" s="176"/>
      <c r="W359" s="177"/>
      <c r="X359" s="53"/>
      <c r="Y359" s="151"/>
      <c r="Z359" s="151"/>
      <c r="AA359" s="151"/>
      <c r="AB359" s="151"/>
    </row>
    <row r="360" spans="1:28" ht="13">
      <c r="A360" s="170"/>
      <c r="B360" s="59"/>
      <c r="C360" s="179"/>
      <c r="D360" s="179"/>
      <c r="E360" s="179"/>
      <c r="F360" s="179"/>
      <c r="G360" s="179"/>
      <c r="H360" s="179"/>
      <c r="I360" s="180"/>
      <c r="J360" s="179"/>
      <c r="K360" s="179"/>
      <c r="L360" s="179"/>
      <c r="M360" s="179"/>
      <c r="N360" s="179"/>
      <c r="O360" s="180"/>
      <c r="P360" s="179"/>
      <c r="Q360" s="179"/>
      <c r="R360" s="179"/>
      <c r="S360" s="180"/>
      <c r="T360" s="179"/>
      <c r="U360" s="180"/>
      <c r="V360" s="179"/>
      <c r="W360" s="180"/>
      <c r="X360" s="53"/>
      <c r="Y360" s="151"/>
      <c r="Z360" s="151"/>
      <c r="AA360" s="151"/>
      <c r="AB360" s="151"/>
    </row>
    <row r="361" spans="1:28" s="173" customFormat="1" ht="13">
      <c r="A361" s="170"/>
      <c r="B361" s="94"/>
      <c r="C361" s="171"/>
      <c r="D361" s="171"/>
      <c r="E361" s="171"/>
      <c r="F361" s="171"/>
      <c r="G361" s="171"/>
      <c r="H361" s="171"/>
      <c r="I361" s="172"/>
      <c r="J361" s="171"/>
      <c r="K361" s="171"/>
      <c r="L361" s="171"/>
      <c r="M361" s="171"/>
      <c r="N361" s="171"/>
      <c r="O361" s="172"/>
      <c r="P361" s="171"/>
      <c r="Q361" s="171"/>
      <c r="R361" s="171"/>
      <c r="S361" s="172"/>
      <c r="T361" s="171"/>
      <c r="U361" s="172"/>
      <c r="V361" s="171"/>
      <c r="W361" s="172"/>
      <c r="X361" s="53"/>
      <c r="Y361" s="151"/>
      <c r="Z361" s="151"/>
      <c r="AA361" s="151"/>
      <c r="AB361" s="151"/>
    </row>
    <row r="362" spans="1:28" s="178" customFormat="1" ht="13">
      <c r="A362" s="170"/>
      <c r="B362" s="175"/>
      <c r="C362" s="176"/>
      <c r="D362" s="176"/>
      <c r="E362" s="176"/>
      <c r="F362" s="176"/>
      <c r="G362" s="176"/>
      <c r="H362" s="176"/>
      <c r="I362" s="177"/>
      <c r="J362" s="176"/>
      <c r="K362" s="176"/>
      <c r="L362" s="176"/>
      <c r="M362" s="176"/>
      <c r="N362" s="176"/>
      <c r="O362" s="177"/>
      <c r="P362" s="176"/>
      <c r="Q362" s="176"/>
      <c r="R362" s="176"/>
      <c r="S362" s="177"/>
      <c r="T362" s="176"/>
      <c r="U362" s="177"/>
      <c r="V362" s="181"/>
      <c r="W362" s="177"/>
      <c r="X362" s="53"/>
      <c r="Y362" s="151"/>
      <c r="Z362" s="151"/>
      <c r="AA362" s="151"/>
      <c r="AB362" s="151"/>
    </row>
    <row r="363" spans="1:28" ht="13">
      <c r="A363" s="170"/>
      <c r="B363" s="59"/>
      <c r="C363" s="179"/>
      <c r="D363" s="179"/>
      <c r="E363" s="179"/>
      <c r="F363" s="179"/>
      <c r="G363" s="179"/>
      <c r="H363" s="179"/>
      <c r="I363" s="180"/>
      <c r="J363" s="179"/>
      <c r="K363" s="179"/>
      <c r="L363" s="179"/>
      <c r="M363" s="179"/>
      <c r="N363" s="179"/>
      <c r="O363" s="180"/>
      <c r="P363" s="179"/>
      <c r="Q363" s="179"/>
      <c r="R363" s="179"/>
      <c r="S363" s="180"/>
      <c r="T363" s="179"/>
      <c r="U363" s="180"/>
      <c r="V363" s="179"/>
      <c r="W363" s="180"/>
      <c r="X363" s="53"/>
      <c r="Y363" s="151"/>
      <c r="Z363" s="151"/>
      <c r="AA363" s="151"/>
      <c r="AB363" s="151"/>
    </row>
    <row r="364" spans="1:28" s="173" customFormat="1" ht="13">
      <c r="A364" s="170"/>
      <c r="B364" s="94"/>
      <c r="C364" s="171"/>
      <c r="D364" s="171"/>
      <c r="E364" s="171"/>
      <c r="F364" s="171"/>
      <c r="G364" s="171"/>
      <c r="H364" s="171"/>
      <c r="I364" s="172"/>
      <c r="J364" s="171"/>
      <c r="K364" s="171"/>
      <c r="L364" s="171"/>
      <c r="M364" s="171"/>
      <c r="N364" s="171"/>
      <c r="O364" s="172"/>
      <c r="P364" s="171"/>
      <c r="Q364" s="171"/>
      <c r="R364" s="171"/>
      <c r="S364" s="172"/>
      <c r="T364" s="171"/>
      <c r="U364" s="172"/>
      <c r="V364" s="171"/>
      <c r="W364" s="172"/>
      <c r="X364" s="53"/>
      <c r="Y364" s="151"/>
      <c r="Z364" s="151"/>
      <c r="AA364" s="151"/>
      <c r="AB364" s="151"/>
    </row>
    <row r="365" spans="1:28" s="178" customFormat="1" ht="13">
      <c r="A365" s="170"/>
      <c r="B365" s="175"/>
      <c r="C365" s="176"/>
      <c r="D365" s="176"/>
      <c r="E365" s="176"/>
      <c r="F365" s="176"/>
      <c r="G365" s="176"/>
      <c r="H365" s="176"/>
      <c r="I365" s="177"/>
      <c r="J365" s="176"/>
      <c r="K365" s="176"/>
      <c r="L365" s="176"/>
      <c r="M365" s="176"/>
      <c r="N365" s="176"/>
      <c r="O365" s="177"/>
      <c r="P365" s="176"/>
      <c r="Q365" s="176"/>
      <c r="R365" s="176"/>
      <c r="S365" s="177"/>
      <c r="T365" s="176"/>
      <c r="U365" s="177"/>
      <c r="V365" s="176"/>
      <c r="W365" s="177"/>
      <c r="X365" s="53"/>
      <c r="Y365" s="151"/>
      <c r="Z365" s="151"/>
      <c r="AA365" s="151"/>
      <c r="AB365" s="151"/>
    </row>
    <row r="366" spans="1:28" ht="13">
      <c r="A366" s="170"/>
      <c r="B366" s="59"/>
      <c r="C366" s="179"/>
      <c r="D366" s="179"/>
      <c r="E366" s="179"/>
      <c r="F366" s="179"/>
      <c r="G366" s="179"/>
      <c r="H366" s="179"/>
      <c r="I366" s="180"/>
      <c r="J366" s="179"/>
      <c r="K366" s="179"/>
      <c r="L366" s="179"/>
      <c r="M366" s="179"/>
      <c r="N366" s="179"/>
      <c r="O366" s="180"/>
      <c r="P366" s="179"/>
      <c r="Q366" s="179"/>
      <c r="R366" s="179"/>
      <c r="S366" s="180"/>
      <c r="T366" s="179"/>
      <c r="U366" s="180"/>
      <c r="V366" s="179"/>
      <c r="W366" s="180"/>
      <c r="X366" s="53"/>
      <c r="Y366" s="151"/>
      <c r="Z366" s="151"/>
      <c r="AA366" s="151"/>
      <c r="AB366" s="151"/>
    </row>
    <row r="367" spans="1:28" s="173" customFormat="1" ht="13">
      <c r="A367" s="170"/>
      <c r="B367" s="94"/>
      <c r="C367" s="171"/>
      <c r="D367" s="171"/>
      <c r="E367" s="171"/>
      <c r="F367" s="171"/>
      <c r="G367" s="171"/>
      <c r="H367" s="171"/>
      <c r="I367" s="172"/>
      <c r="J367" s="171"/>
      <c r="K367" s="171"/>
      <c r="L367" s="171"/>
      <c r="M367" s="171"/>
      <c r="N367" s="171"/>
      <c r="O367" s="172"/>
      <c r="P367" s="171"/>
      <c r="Q367" s="171"/>
      <c r="R367" s="171"/>
      <c r="S367" s="172"/>
      <c r="T367" s="171"/>
      <c r="U367" s="172"/>
      <c r="V367" s="171"/>
      <c r="W367" s="172"/>
      <c r="X367" s="53"/>
      <c r="Y367" s="151"/>
      <c r="Z367" s="151"/>
      <c r="AA367" s="151"/>
      <c r="AB367" s="151"/>
    </row>
    <row r="368" spans="1:28" s="178" customFormat="1" ht="13">
      <c r="A368" s="170"/>
      <c r="B368" s="175"/>
      <c r="C368" s="176"/>
      <c r="D368" s="176"/>
      <c r="E368" s="176"/>
      <c r="F368" s="176"/>
      <c r="G368" s="176"/>
      <c r="H368" s="176"/>
      <c r="I368" s="177"/>
      <c r="J368" s="176"/>
      <c r="K368" s="176"/>
      <c r="L368" s="176"/>
      <c r="M368" s="176"/>
      <c r="N368" s="176"/>
      <c r="O368" s="177"/>
      <c r="P368" s="176"/>
      <c r="Q368" s="176"/>
      <c r="R368" s="176"/>
      <c r="S368" s="177"/>
      <c r="T368" s="176"/>
      <c r="U368" s="177"/>
      <c r="V368" s="176"/>
      <c r="W368" s="177"/>
      <c r="X368" s="53"/>
      <c r="Y368" s="151"/>
      <c r="Z368" s="151"/>
      <c r="AA368" s="151"/>
      <c r="AB368" s="151"/>
    </row>
    <row r="369" spans="1:28" ht="13">
      <c r="A369" s="170"/>
      <c r="B369" s="59"/>
      <c r="C369" s="179"/>
      <c r="D369" s="179"/>
      <c r="E369" s="179"/>
      <c r="F369" s="179"/>
      <c r="G369" s="179"/>
      <c r="H369" s="179"/>
      <c r="I369" s="180"/>
      <c r="J369" s="179"/>
      <c r="K369" s="179"/>
      <c r="L369" s="179"/>
      <c r="M369" s="179"/>
      <c r="N369" s="179"/>
      <c r="O369" s="180"/>
      <c r="P369" s="179"/>
      <c r="Q369" s="179"/>
      <c r="R369" s="179"/>
      <c r="S369" s="180"/>
      <c r="T369" s="179"/>
      <c r="U369" s="180"/>
      <c r="V369" s="179"/>
      <c r="W369" s="180"/>
      <c r="X369" s="53"/>
      <c r="Y369" s="151"/>
      <c r="Z369" s="151"/>
      <c r="AA369" s="151"/>
      <c r="AB369" s="151"/>
    </row>
    <row r="370" spans="1:28" s="173" customFormat="1" ht="13">
      <c r="A370" s="170"/>
      <c r="B370" s="94"/>
      <c r="C370" s="171"/>
      <c r="D370" s="171"/>
      <c r="E370" s="171"/>
      <c r="F370" s="171"/>
      <c r="G370" s="171"/>
      <c r="H370" s="171"/>
      <c r="I370" s="172"/>
      <c r="J370" s="171"/>
      <c r="K370" s="171"/>
      <c r="L370" s="171"/>
      <c r="M370" s="171"/>
      <c r="N370" s="171"/>
      <c r="O370" s="172"/>
      <c r="P370" s="171"/>
      <c r="Q370" s="171"/>
      <c r="R370" s="171"/>
      <c r="S370" s="172"/>
      <c r="T370" s="171"/>
      <c r="U370" s="172"/>
      <c r="V370" s="171"/>
      <c r="W370" s="172"/>
      <c r="X370" s="53"/>
      <c r="Y370" s="151"/>
      <c r="Z370" s="151"/>
      <c r="AA370" s="151"/>
      <c r="AB370" s="151"/>
    </row>
    <row r="371" spans="1:28" s="178" customFormat="1" ht="13">
      <c r="A371" s="170"/>
      <c r="B371" s="175"/>
      <c r="C371" s="176"/>
      <c r="D371" s="176"/>
      <c r="E371" s="176"/>
      <c r="F371" s="176"/>
      <c r="G371" s="176"/>
      <c r="H371" s="176"/>
      <c r="I371" s="177"/>
      <c r="J371" s="176"/>
      <c r="K371" s="176"/>
      <c r="L371" s="176"/>
      <c r="M371" s="176"/>
      <c r="N371" s="176"/>
      <c r="O371" s="177"/>
      <c r="P371" s="176"/>
      <c r="Q371" s="176"/>
      <c r="R371" s="176"/>
      <c r="S371" s="177"/>
      <c r="T371" s="176"/>
      <c r="U371" s="177"/>
      <c r="V371" s="176"/>
      <c r="W371" s="177"/>
      <c r="X371" s="53"/>
      <c r="Y371" s="151"/>
      <c r="Z371" s="151"/>
      <c r="AA371" s="151"/>
      <c r="AB371" s="151"/>
    </row>
    <row r="372" spans="1:28" ht="13">
      <c r="A372" s="170"/>
      <c r="B372" s="183"/>
      <c r="C372" s="180"/>
      <c r="D372" s="180"/>
      <c r="E372" s="180"/>
      <c r="F372" s="180"/>
      <c r="G372" s="180"/>
      <c r="H372" s="180"/>
      <c r="I372" s="180"/>
      <c r="J372" s="180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53"/>
      <c r="Y372" s="151"/>
      <c r="Z372" s="151"/>
      <c r="AA372" s="151"/>
      <c r="AB372" s="151"/>
    </row>
    <row r="373" spans="1:28" s="173" customFormat="1" ht="13">
      <c r="A373" s="170"/>
      <c r="B373" s="184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  <c r="S373" s="172"/>
      <c r="T373" s="172"/>
      <c r="U373" s="172"/>
      <c r="V373" s="172"/>
      <c r="W373" s="172"/>
      <c r="X373" s="53"/>
      <c r="Y373" s="151"/>
      <c r="Z373" s="151"/>
      <c r="AA373" s="151"/>
      <c r="AB373" s="151"/>
    </row>
    <row r="374" spans="1:28" s="178" customFormat="1" ht="13">
      <c r="A374" s="170"/>
      <c r="B374" s="185"/>
      <c r="C374" s="177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53"/>
      <c r="Y374" s="151"/>
      <c r="Z374" s="151"/>
      <c r="AA374" s="151"/>
      <c r="AB374" s="151"/>
    </row>
    <row r="375" spans="1:28" ht="13">
      <c r="A375" s="170"/>
      <c r="B375" s="59"/>
      <c r="C375" s="179"/>
      <c r="D375" s="179"/>
      <c r="E375" s="179"/>
      <c r="F375" s="179"/>
      <c r="G375" s="179"/>
      <c r="H375" s="179"/>
      <c r="I375" s="180"/>
      <c r="J375" s="179"/>
      <c r="K375" s="179"/>
      <c r="L375" s="179"/>
      <c r="M375" s="179"/>
      <c r="N375" s="179"/>
      <c r="O375" s="180"/>
      <c r="P375" s="179"/>
      <c r="Q375" s="179"/>
      <c r="R375" s="179"/>
      <c r="S375" s="180"/>
      <c r="T375" s="179"/>
      <c r="U375" s="180"/>
      <c r="V375" s="179"/>
      <c r="W375" s="180"/>
      <c r="X375" s="53"/>
      <c r="Y375" s="151"/>
      <c r="Z375" s="151"/>
      <c r="AA375" s="151"/>
      <c r="AB375" s="151"/>
    </row>
    <row r="376" spans="1:28" s="173" customFormat="1" ht="13">
      <c r="A376" s="170"/>
      <c r="B376" s="94"/>
      <c r="C376" s="171"/>
      <c r="D376" s="171"/>
      <c r="E376" s="171"/>
      <c r="F376" s="171"/>
      <c r="G376" s="171"/>
      <c r="H376" s="171"/>
      <c r="I376" s="172"/>
      <c r="J376" s="171"/>
      <c r="K376" s="171"/>
      <c r="L376" s="171"/>
      <c r="M376" s="171"/>
      <c r="N376" s="171"/>
      <c r="O376" s="172"/>
      <c r="P376" s="171"/>
      <c r="Q376" s="171"/>
      <c r="R376" s="171"/>
      <c r="S376" s="172"/>
      <c r="T376" s="171"/>
      <c r="U376" s="172"/>
      <c r="V376" s="171"/>
      <c r="W376" s="172"/>
      <c r="X376" s="53"/>
      <c r="Y376" s="151"/>
      <c r="Z376" s="151"/>
      <c r="AA376" s="151"/>
      <c r="AB376" s="151"/>
    </row>
    <row r="377" spans="1:28" s="178" customFormat="1" ht="13">
      <c r="A377" s="170"/>
      <c r="B377" s="175"/>
      <c r="C377" s="176"/>
      <c r="D377" s="176"/>
      <c r="E377" s="176"/>
      <c r="F377" s="176"/>
      <c r="G377" s="176"/>
      <c r="H377" s="176"/>
      <c r="I377" s="177"/>
      <c r="J377" s="176"/>
      <c r="K377" s="176"/>
      <c r="L377" s="176"/>
      <c r="M377" s="176"/>
      <c r="N377" s="176"/>
      <c r="O377" s="177"/>
      <c r="P377" s="176"/>
      <c r="Q377" s="176"/>
      <c r="R377" s="176"/>
      <c r="S377" s="177"/>
      <c r="T377" s="176"/>
      <c r="U377" s="177"/>
      <c r="V377" s="176"/>
      <c r="W377" s="177"/>
      <c r="X377" s="53"/>
      <c r="Y377" s="151"/>
      <c r="Z377" s="151"/>
      <c r="AA377" s="151"/>
      <c r="AB377" s="151"/>
    </row>
    <row r="378" spans="1:28" ht="13">
      <c r="A378" s="170"/>
      <c r="B378" s="59"/>
      <c r="C378" s="179"/>
      <c r="D378" s="179"/>
      <c r="E378" s="179"/>
      <c r="F378" s="179"/>
      <c r="G378" s="179"/>
      <c r="H378" s="179"/>
      <c r="I378" s="180"/>
      <c r="J378" s="179"/>
      <c r="K378" s="179"/>
      <c r="L378" s="179"/>
      <c r="M378" s="179"/>
      <c r="N378" s="179"/>
      <c r="O378" s="180"/>
      <c r="P378" s="179"/>
      <c r="Q378" s="179"/>
      <c r="R378" s="179"/>
      <c r="S378" s="180"/>
      <c r="T378" s="179"/>
      <c r="U378" s="180"/>
      <c r="V378" s="179"/>
      <c r="W378" s="180"/>
      <c r="X378" s="53"/>
      <c r="Y378" s="151"/>
      <c r="Z378" s="151"/>
      <c r="AA378" s="151"/>
      <c r="AB378" s="151"/>
    </row>
    <row r="379" spans="1:28" s="173" customFormat="1" ht="13">
      <c r="A379" s="170"/>
      <c r="B379" s="94"/>
      <c r="C379" s="171"/>
      <c r="D379" s="171"/>
      <c r="E379" s="171"/>
      <c r="F379" s="171"/>
      <c r="G379" s="171"/>
      <c r="H379" s="171"/>
      <c r="I379" s="172"/>
      <c r="J379" s="171"/>
      <c r="K379" s="171"/>
      <c r="L379" s="171"/>
      <c r="M379" s="171"/>
      <c r="N379" s="171"/>
      <c r="O379" s="172"/>
      <c r="P379" s="171"/>
      <c r="Q379" s="171"/>
      <c r="R379" s="171"/>
      <c r="S379" s="172"/>
      <c r="T379" s="171"/>
      <c r="U379" s="172"/>
      <c r="V379" s="171"/>
      <c r="W379" s="172"/>
      <c r="X379" s="53"/>
      <c r="Y379" s="151"/>
      <c r="Z379" s="151"/>
      <c r="AA379" s="151"/>
      <c r="AB379" s="151"/>
    </row>
    <row r="380" spans="1:28" s="178" customFormat="1" ht="13">
      <c r="A380" s="170"/>
      <c r="B380" s="175"/>
      <c r="C380" s="176"/>
      <c r="D380" s="176"/>
      <c r="E380" s="176"/>
      <c r="F380" s="176"/>
      <c r="G380" s="176"/>
      <c r="H380" s="176"/>
      <c r="I380" s="177"/>
      <c r="J380" s="176"/>
      <c r="K380" s="176"/>
      <c r="L380" s="176"/>
      <c r="M380" s="176"/>
      <c r="N380" s="176"/>
      <c r="O380" s="177"/>
      <c r="P380" s="176"/>
      <c r="Q380" s="176"/>
      <c r="R380" s="176"/>
      <c r="S380" s="177"/>
      <c r="T380" s="176"/>
      <c r="U380" s="177"/>
      <c r="V380" s="176"/>
      <c r="W380" s="177"/>
      <c r="X380" s="53"/>
      <c r="Y380" s="151"/>
      <c r="Z380" s="151"/>
      <c r="AA380" s="151"/>
      <c r="AB380" s="151"/>
    </row>
    <row r="381" spans="1:28" ht="13">
      <c r="A381" s="170"/>
      <c r="B381" s="59"/>
      <c r="C381" s="179"/>
      <c r="D381" s="179"/>
      <c r="E381" s="179"/>
      <c r="F381" s="179"/>
      <c r="G381" s="179"/>
      <c r="H381" s="179"/>
      <c r="I381" s="180"/>
      <c r="J381" s="179"/>
      <c r="K381" s="179"/>
      <c r="L381" s="179"/>
      <c r="M381" s="179"/>
      <c r="N381" s="179"/>
      <c r="O381" s="180"/>
      <c r="P381" s="179"/>
      <c r="Q381" s="179"/>
      <c r="R381" s="179"/>
      <c r="S381" s="180"/>
      <c r="T381" s="179"/>
      <c r="U381" s="180"/>
      <c r="V381" s="179"/>
      <c r="W381" s="180"/>
      <c r="X381" s="53"/>
      <c r="Y381" s="151"/>
      <c r="Z381" s="151"/>
      <c r="AA381" s="151"/>
      <c r="AB381" s="151"/>
    </row>
    <row r="382" spans="1:28" s="173" customFormat="1" ht="13">
      <c r="A382" s="170"/>
      <c r="B382" s="94"/>
      <c r="C382" s="171"/>
      <c r="D382" s="171"/>
      <c r="E382" s="171"/>
      <c r="F382" s="171"/>
      <c r="G382" s="171"/>
      <c r="H382" s="171"/>
      <c r="I382" s="172"/>
      <c r="J382" s="171"/>
      <c r="K382" s="171"/>
      <c r="L382" s="171"/>
      <c r="M382" s="171"/>
      <c r="N382" s="171"/>
      <c r="O382" s="172"/>
      <c r="P382" s="171"/>
      <c r="Q382" s="171"/>
      <c r="R382" s="171"/>
      <c r="S382" s="172"/>
      <c r="T382" s="171"/>
      <c r="U382" s="172"/>
      <c r="V382" s="171"/>
      <c r="W382" s="172"/>
      <c r="X382" s="53"/>
      <c r="Y382" s="151"/>
      <c r="Z382" s="151"/>
      <c r="AA382" s="151"/>
      <c r="AB382" s="151"/>
    </row>
    <row r="383" spans="1:28" s="178" customFormat="1" ht="13">
      <c r="A383" s="170"/>
      <c r="B383" s="175"/>
      <c r="C383" s="176"/>
      <c r="D383" s="176"/>
      <c r="E383" s="176"/>
      <c r="F383" s="176"/>
      <c r="G383" s="176"/>
      <c r="H383" s="176"/>
      <c r="I383" s="177"/>
      <c r="J383" s="176"/>
      <c r="K383" s="176"/>
      <c r="L383" s="176"/>
      <c r="M383" s="176"/>
      <c r="N383" s="176"/>
      <c r="O383" s="177"/>
      <c r="P383" s="176"/>
      <c r="Q383" s="176"/>
      <c r="R383" s="176"/>
      <c r="S383" s="177"/>
      <c r="T383" s="176"/>
      <c r="U383" s="177"/>
      <c r="V383" s="176"/>
      <c r="W383" s="177"/>
      <c r="X383" s="53"/>
      <c r="Y383" s="151"/>
      <c r="Z383" s="151"/>
      <c r="AA383" s="151"/>
      <c r="AB383" s="151"/>
    </row>
    <row r="384" spans="1:28" ht="13">
      <c r="A384" s="170"/>
      <c r="B384" s="59"/>
      <c r="C384" s="179"/>
      <c r="D384" s="179"/>
      <c r="E384" s="179"/>
      <c r="F384" s="179"/>
      <c r="G384" s="179"/>
      <c r="H384" s="179"/>
      <c r="I384" s="180"/>
      <c r="J384" s="179"/>
      <c r="K384" s="179"/>
      <c r="L384" s="179"/>
      <c r="M384" s="179"/>
      <c r="N384" s="179"/>
      <c r="O384" s="180"/>
      <c r="P384" s="179"/>
      <c r="Q384" s="179"/>
      <c r="R384" s="179"/>
      <c r="S384" s="180"/>
      <c r="T384" s="179"/>
      <c r="U384" s="180"/>
      <c r="V384" s="179"/>
      <c r="W384" s="180"/>
      <c r="X384" s="53"/>
      <c r="Y384" s="151"/>
      <c r="Z384" s="151"/>
      <c r="AA384" s="151"/>
      <c r="AB384" s="151"/>
    </row>
    <row r="385" spans="1:28" s="173" customFormat="1" ht="13">
      <c r="A385" s="170"/>
      <c r="B385" s="94"/>
      <c r="C385" s="171"/>
      <c r="D385" s="171"/>
      <c r="E385" s="171"/>
      <c r="F385" s="171"/>
      <c r="G385" s="171"/>
      <c r="H385" s="171"/>
      <c r="I385" s="172"/>
      <c r="J385" s="171"/>
      <c r="K385" s="171"/>
      <c r="L385" s="171"/>
      <c r="M385" s="171"/>
      <c r="N385" s="171"/>
      <c r="O385" s="172"/>
      <c r="P385" s="171"/>
      <c r="Q385" s="171"/>
      <c r="R385" s="171"/>
      <c r="S385" s="172"/>
      <c r="T385" s="171"/>
      <c r="U385" s="172"/>
      <c r="V385" s="171"/>
      <c r="W385" s="172"/>
      <c r="X385" s="53"/>
      <c r="Y385" s="151"/>
      <c r="Z385" s="151"/>
      <c r="AA385" s="151"/>
      <c r="AB385" s="151"/>
    </row>
    <row r="386" spans="1:28" s="178" customFormat="1" ht="13">
      <c r="A386" s="170"/>
      <c r="B386" s="175"/>
      <c r="C386" s="176"/>
      <c r="D386" s="176"/>
      <c r="E386" s="176"/>
      <c r="F386" s="176"/>
      <c r="G386" s="176"/>
      <c r="H386" s="176"/>
      <c r="I386" s="177"/>
      <c r="J386" s="176"/>
      <c r="K386" s="176"/>
      <c r="L386" s="176"/>
      <c r="M386" s="176"/>
      <c r="N386" s="176"/>
      <c r="O386" s="177"/>
      <c r="P386" s="176"/>
      <c r="Q386" s="176"/>
      <c r="R386" s="176"/>
      <c r="S386" s="177"/>
      <c r="T386" s="176"/>
      <c r="U386" s="177"/>
      <c r="V386" s="176"/>
      <c r="W386" s="177"/>
      <c r="X386" s="53"/>
      <c r="Y386" s="151"/>
      <c r="Z386" s="151"/>
      <c r="AA386" s="151"/>
      <c r="AB386" s="151"/>
    </row>
    <row r="387" spans="1:28" ht="13">
      <c r="A387" s="170"/>
      <c r="B387" s="59"/>
      <c r="C387" s="179"/>
      <c r="D387" s="179"/>
      <c r="E387" s="179"/>
      <c r="F387" s="179"/>
      <c r="G387" s="179"/>
      <c r="H387" s="179"/>
      <c r="I387" s="180"/>
      <c r="J387" s="179"/>
      <c r="K387" s="179"/>
      <c r="L387" s="179"/>
      <c r="M387" s="179"/>
      <c r="N387" s="179"/>
      <c r="O387" s="180"/>
      <c r="P387" s="179"/>
      <c r="Q387" s="179"/>
      <c r="R387" s="179"/>
      <c r="S387" s="180"/>
      <c r="T387" s="179"/>
      <c r="U387" s="180"/>
      <c r="V387" s="179"/>
      <c r="W387" s="180"/>
      <c r="X387" s="53"/>
      <c r="Y387" s="151"/>
      <c r="Z387" s="151"/>
      <c r="AA387" s="151"/>
      <c r="AB387" s="151"/>
    </row>
    <row r="388" spans="1:28" s="173" customFormat="1" ht="13">
      <c r="A388" s="170"/>
      <c r="B388" s="94"/>
      <c r="C388" s="171"/>
      <c r="D388" s="171"/>
      <c r="E388" s="171"/>
      <c r="F388" s="171"/>
      <c r="G388" s="171"/>
      <c r="H388" s="171"/>
      <c r="I388" s="172"/>
      <c r="J388" s="171"/>
      <c r="K388" s="171"/>
      <c r="L388" s="171"/>
      <c r="M388" s="171"/>
      <c r="N388" s="171"/>
      <c r="O388" s="172"/>
      <c r="P388" s="171"/>
      <c r="Q388" s="171"/>
      <c r="R388" s="171"/>
      <c r="S388" s="172"/>
      <c r="T388" s="171"/>
      <c r="U388" s="172"/>
      <c r="V388" s="171"/>
      <c r="W388" s="172"/>
      <c r="X388" s="53"/>
      <c r="Y388" s="151"/>
      <c r="Z388" s="151"/>
      <c r="AA388" s="151"/>
      <c r="AB388" s="151"/>
    </row>
    <row r="389" spans="1:28" s="178" customFormat="1" ht="13">
      <c r="A389" s="170"/>
      <c r="B389" s="175"/>
      <c r="C389" s="176"/>
      <c r="D389" s="176"/>
      <c r="E389" s="176"/>
      <c r="F389" s="176"/>
      <c r="G389" s="176"/>
      <c r="H389" s="176"/>
      <c r="I389" s="177"/>
      <c r="J389" s="176"/>
      <c r="K389" s="176"/>
      <c r="L389" s="176"/>
      <c r="M389" s="176"/>
      <c r="N389" s="176"/>
      <c r="O389" s="177"/>
      <c r="P389" s="176"/>
      <c r="Q389" s="176"/>
      <c r="R389" s="176"/>
      <c r="S389" s="177"/>
      <c r="T389" s="176"/>
      <c r="U389" s="177"/>
      <c r="V389" s="176"/>
      <c r="W389" s="177"/>
      <c r="X389" s="53"/>
      <c r="Y389" s="151"/>
      <c r="Z389" s="151"/>
      <c r="AA389" s="151"/>
      <c r="AB389" s="151"/>
    </row>
    <row r="390" spans="1:28" ht="13">
      <c r="A390" s="170"/>
      <c r="B390" s="59"/>
      <c r="C390" s="179"/>
      <c r="D390" s="179"/>
      <c r="E390" s="179"/>
      <c r="F390" s="179"/>
      <c r="G390" s="179"/>
      <c r="H390" s="179"/>
      <c r="I390" s="180"/>
      <c r="J390" s="179"/>
      <c r="K390" s="179"/>
      <c r="L390" s="179"/>
      <c r="M390" s="179"/>
      <c r="N390" s="179"/>
      <c r="O390" s="180"/>
      <c r="P390" s="179"/>
      <c r="Q390" s="179"/>
      <c r="R390" s="179"/>
      <c r="S390" s="180"/>
      <c r="T390" s="179"/>
      <c r="U390" s="180"/>
      <c r="V390" s="179"/>
      <c r="W390" s="180"/>
      <c r="X390" s="53"/>
      <c r="Y390" s="151"/>
      <c r="Z390" s="151"/>
      <c r="AA390" s="151"/>
      <c r="AB390" s="151"/>
    </row>
    <row r="391" spans="1:28" s="173" customFormat="1" ht="13">
      <c r="A391" s="170"/>
      <c r="B391" s="94"/>
      <c r="C391" s="171"/>
      <c r="D391" s="171"/>
      <c r="E391" s="171"/>
      <c r="F391" s="171"/>
      <c r="G391" s="171"/>
      <c r="H391" s="171"/>
      <c r="I391" s="172"/>
      <c r="J391" s="171"/>
      <c r="K391" s="171"/>
      <c r="L391" s="171"/>
      <c r="M391" s="171"/>
      <c r="N391" s="171"/>
      <c r="O391" s="172"/>
      <c r="P391" s="171"/>
      <c r="Q391" s="171"/>
      <c r="R391" s="171"/>
      <c r="S391" s="172"/>
      <c r="T391" s="171"/>
      <c r="U391" s="172"/>
      <c r="V391" s="171"/>
      <c r="W391" s="172"/>
      <c r="X391" s="53"/>
      <c r="Y391" s="151"/>
      <c r="Z391" s="151"/>
      <c r="AA391" s="151"/>
      <c r="AB391" s="151"/>
    </row>
    <row r="392" spans="1:28" s="178" customFormat="1" ht="13">
      <c r="A392" s="170"/>
      <c r="B392" s="175"/>
      <c r="C392" s="176"/>
      <c r="D392" s="176"/>
      <c r="E392" s="176"/>
      <c r="F392" s="176"/>
      <c r="G392" s="176"/>
      <c r="H392" s="176"/>
      <c r="I392" s="177"/>
      <c r="J392" s="176"/>
      <c r="K392" s="176"/>
      <c r="L392" s="176"/>
      <c r="M392" s="176"/>
      <c r="N392" s="176"/>
      <c r="O392" s="177"/>
      <c r="P392" s="176"/>
      <c r="Q392" s="176"/>
      <c r="R392" s="176"/>
      <c r="S392" s="177"/>
      <c r="T392" s="176"/>
      <c r="U392" s="177"/>
      <c r="V392" s="176"/>
      <c r="W392" s="177"/>
      <c r="X392" s="53"/>
      <c r="Y392" s="151"/>
      <c r="Z392" s="151"/>
      <c r="AA392" s="151"/>
      <c r="AB392" s="151"/>
    </row>
    <row r="393" spans="1:28" ht="13">
      <c r="A393" s="170"/>
      <c r="B393" s="59"/>
      <c r="C393" s="179"/>
      <c r="D393" s="179"/>
      <c r="E393" s="179"/>
      <c r="F393" s="179"/>
      <c r="G393" s="179"/>
      <c r="H393" s="179"/>
      <c r="I393" s="180"/>
      <c r="J393" s="179"/>
      <c r="K393" s="179"/>
      <c r="L393" s="179"/>
      <c r="M393" s="179"/>
      <c r="N393" s="179"/>
      <c r="O393" s="180"/>
      <c r="P393" s="179"/>
      <c r="Q393" s="179"/>
      <c r="R393" s="179"/>
      <c r="S393" s="180"/>
      <c r="T393" s="179"/>
      <c r="U393" s="180"/>
      <c r="V393" s="179"/>
      <c r="W393" s="180"/>
      <c r="X393" s="53"/>
      <c r="Y393" s="151"/>
      <c r="Z393" s="151"/>
      <c r="AA393" s="151"/>
      <c r="AB393" s="151"/>
    </row>
    <row r="394" spans="1:28" s="173" customFormat="1" ht="13">
      <c r="A394" s="170"/>
      <c r="B394" s="94"/>
      <c r="C394" s="171"/>
      <c r="D394" s="171"/>
      <c r="E394" s="171"/>
      <c r="F394" s="171"/>
      <c r="G394" s="171"/>
      <c r="H394" s="171"/>
      <c r="I394" s="172"/>
      <c r="J394" s="171"/>
      <c r="K394" s="171"/>
      <c r="L394" s="171"/>
      <c r="M394" s="171"/>
      <c r="N394" s="171"/>
      <c r="O394" s="172"/>
      <c r="P394" s="171"/>
      <c r="Q394" s="171"/>
      <c r="R394" s="171"/>
      <c r="S394" s="172"/>
      <c r="T394" s="171"/>
      <c r="U394" s="172"/>
      <c r="V394" s="171"/>
      <c r="W394" s="172"/>
      <c r="X394" s="53"/>
      <c r="Y394" s="151"/>
      <c r="Z394" s="151"/>
      <c r="AA394" s="151"/>
      <c r="AB394" s="151"/>
    </row>
    <row r="395" spans="1:28" s="192" customFormat="1" ht="13.5" thickBot="1">
      <c r="A395" s="186"/>
      <c r="B395" s="187"/>
      <c r="C395" s="188"/>
      <c r="D395" s="188"/>
      <c r="E395" s="188"/>
      <c r="F395" s="188"/>
      <c r="G395" s="188"/>
      <c r="H395" s="188"/>
      <c r="I395" s="189"/>
      <c r="J395" s="188"/>
      <c r="K395" s="188"/>
      <c r="L395" s="188"/>
      <c r="M395" s="188"/>
      <c r="N395" s="188"/>
      <c r="O395" s="189"/>
      <c r="P395" s="188"/>
      <c r="Q395" s="188"/>
      <c r="R395" s="188"/>
      <c r="S395" s="189"/>
      <c r="T395" s="188"/>
      <c r="U395" s="189"/>
      <c r="V395" s="188"/>
      <c r="W395" s="189"/>
      <c r="X395" s="53"/>
      <c r="Y395" s="151"/>
      <c r="Z395" s="151"/>
      <c r="AA395" s="151"/>
      <c r="AB395" s="151"/>
    </row>
    <row r="396" spans="1:28" ht="13.5" thickTop="1">
      <c r="A396" s="147"/>
      <c r="B396" s="167"/>
      <c r="C396" s="168"/>
      <c r="D396" s="168"/>
      <c r="E396" s="168"/>
      <c r="F396" s="168"/>
      <c r="G396" s="168"/>
      <c r="H396" s="168"/>
      <c r="I396" s="169"/>
      <c r="J396" s="168"/>
      <c r="K396" s="168"/>
      <c r="L396" s="168"/>
      <c r="M396" s="168"/>
      <c r="N396" s="168"/>
      <c r="O396" s="169"/>
      <c r="P396" s="168"/>
      <c r="Q396" s="168"/>
      <c r="R396" s="168"/>
      <c r="S396" s="169"/>
      <c r="T396" s="168"/>
      <c r="U396" s="169"/>
      <c r="V396" s="168"/>
      <c r="W396" s="169"/>
      <c r="X396" s="53"/>
      <c r="Y396" s="151"/>
      <c r="Z396" s="151"/>
      <c r="AA396" s="151"/>
      <c r="AB396" s="151"/>
    </row>
    <row r="397" spans="1:28" s="173" customFormat="1" ht="13">
      <c r="A397" s="170"/>
      <c r="B397" s="94"/>
      <c r="C397" s="171"/>
      <c r="D397" s="171"/>
      <c r="E397" s="171"/>
      <c r="F397" s="171"/>
      <c r="G397" s="171"/>
      <c r="H397" s="171"/>
      <c r="I397" s="172"/>
      <c r="J397" s="171"/>
      <c r="K397" s="171"/>
      <c r="L397" s="171"/>
      <c r="M397" s="171"/>
      <c r="N397" s="171"/>
      <c r="O397" s="172"/>
      <c r="P397" s="171"/>
      <c r="Q397" s="171"/>
      <c r="R397" s="171"/>
      <c r="S397" s="172"/>
      <c r="T397" s="171"/>
      <c r="U397" s="172"/>
      <c r="V397" s="171"/>
      <c r="W397" s="172"/>
      <c r="X397" s="53"/>
      <c r="Y397" s="151"/>
      <c r="Z397" s="151"/>
      <c r="AA397" s="151"/>
      <c r="AB397" s="151"/>
    </row>
    <row r="398" spans="1:28" s="178" customFormat="1" ht="13">
      <c r="A398" s="174"/>
      <c r="B398" s="175"/>
      <c r="C398" s="176"/>
      <c r="D398" s="176"/>
      <c r="E398" s="176"/>
      <c r="F398" s="176"/>
      <c r="G398" s="176"/>
      <c r="H398" s="176"/>
      <c r="I398" s="177"/>
      <c r="J398" s="176"/>
      <c r="K398" s="176"/>
      <c r="L398" s="176"/>
      <c r="M398" s="176"/>
      <c r="N398" s="176"/>
      <c r="O398" s="177"/>
      <c r="P398" s="176"/>
      <c r="Q398" s="176"/>
      <c r="R398" s="176"/>
      <c r="S398" s="177"/>
      <c r="T398" s="176"/>
      <c r="U398" s="177"/>
      <c r="V398" s="176"/>
      <c r="W398" s="177"/>
      <c r="X398" s="53"/>
      <c r="Y398" s="151"/>
      <c r="Z398" s="151"/>
      <c r="AA398" s="151"/>
      <c r="AB398" s="151"/>
    </row>
    <row r="399" spans="1:28" ht="13">
      <c r="A399" s="170"/>
      <c r="B399" s="59"/>
      <c r="C399" s="179"/>
      <c r="D399" s="179"/>
      <c r="E399" s="179"/>
      <c r="F399" s="179"/>
      <c r="G399" s="179"/>
      <c r="H399" s="179"/>
      <c r="I399" s="180"/>
      <c r="J399" s="179"/>
      <c r="K399" s="179"/>
      <c r="L399" s="179"/>
      <c r="M399" s="179"/>
      <c r="N399" s="179"/>
      <c r="O399" s="180"/>
      <c r="P399" s="179"/>
      <c r="Q399" s="179"/>
      <c r="R399" s="179"/>
      <c r="S399" s="180"/>
      <c r="T399" s="179"/>
      <c r="U399" s="180"/>
      <c r="V399" s="179"/>
      <c r="W399" s="180"/>
      <c r="X399" s="53"/>
      <c r="Y399" s="151"/>
      <c r="Z399" s="151"/>
      <c r="AA399" s="151"/>
      <c r="AB399" s="151"/>
    </row>
    <row r="400" spans="1:28" s="173" customFormat="1" ht="13">
      <c r="A400" s="170"/>
      <c r="B400" s="94"/>
      <c r="C400" s="171"/>
      <c r="D400" s="171"/>
      <c r="E400" s="171"/>
      <c r="F400" s="171"/>
      <c r="G400" s="171"/>
      <c r="H400" s="171"/>
      <c r="I400" s="172"/>
      <c r="J400" s="171"/>
      <c r="K400" s="171"/>
      <c r="L400" s="171"/>
      <c r="M400" s="171"/>
      <c r="N400" s="171"/>
      <c r="O400" s="172"/>
      <c r="P400" s="171"/>
      <c r="Q400" s="171"/>
      <c r="R400" s="171"/>
      <c r="S400" s="172"/>
      <c r="T400" s="171"/>
      <c r="U400" s="172"/>
      <c r="V400" s="171"/>
      <c r="W400" s="172"/>
      <c r="X400" s="53"/>
      <c r="Y400" s="151"/>
      <c r="Z400" s="151"/>
      <c r="AA400" s="151"/>
      <c r="AB400" s="151"/>
    </row>
    <row r="401" spans="1:28" s="178" customFormat="1" ht="13">
      <c r="A401" s="170"/>
      <c r="B401" s="175"/>
      <c r="C401" s="176"/>
      <c r="D401" s="176"/>
      <c r="E401" s="176"/>
      <c r="F401" s="176"/>
      <c r="G401" s="176"/>
      <c r="H401" s="176"/>
      <c r="I401" s="177"/>
      <c r="J401" s="176"/>
      <c r="K401" s="176"/>
      <c r="L401" s="176"/>
      <c r="M401" s="176"/>
      <c r="N401" s="176"/>
      <c r="O401" s="177"/>
      <c r="P401" s="176"/>
      <c r="Q401" s="176"/>
      <c r="R401" s="176"/>
      <c r="S401" s="177"/>
      <c r="T401" s="176"/>
      <c r="U401" s="177"/>
      <c r="V401" s="176"/>
      <c r="W401" s="177"/>
      <c r="X401" s="53"/>
      <c r="Y401" s="151"/>
      <c r="Z401" s="151"/>
      <c r="AA401" s="151"/>
      <c r="AB401" s="151"/>
    </row>
    <row r="402" spans="1:28" ht="13">
      <c r="A402" s="170"/>
      <c r="B402" s="59"/>
      <c r="C402" s="179"/>
      <c r="D402" s="179"/>
      <c r="E402" s="179"/>
      <c r="F402" s="179"/>
      <c r="G402" s="179"/>
      <c r="H402" s="179"/>
      <c r="I402" s="180"/>
      <c r="J402" s="179"/>
      <c r="K402" s="179"/>
      <c r="L402" s="179"/>
      <c r="M402" s="179"/>
      <c r="N402" s="179"/>
      <c r="O402" s="180"/>
      <c r="P402" s="179"/>
      <c r="Q402" s="179"/>
      <c r="R402" s="179"/>
      <c r="S402" s="180"/>
      <c r="T402" s="179"/>
      <c r="U402" s="180"/>
      <c r="V402" s="179"/>
      <c r="W402" s="180"/>
      <c r="X402" s="53"/>
      <c r="Y402" s="151"/>
      <c r="Z402" s="151"/>
      <c r="AA402" s="151"/>
      <c r="AB402" s="151"/>
    </row>
    <row r="403" spans="1:28" s="173" customFormat="1" ht="13">
      <c r="A403" s="170"/>
      <c r="B403" s="94"/>
      <c r="C403" s="171"/>
      <c r="D403" s="171"/>
      <c r="E403" s="171"/>
      <c r="F403" s="171"/>
      <c r="G403" s="171"/>
      <c r="H403" s="171"/>
      <c r="I403" s="172"/>
      <c r="J403" s="171"/>
      <c r="K403" s="171"/>
      <c r="L403" s="171"/>
      <c r="M403" s="171"/>
      <c r="N403" s="171"/>
      <c r="O403" s="172"/>
      <c r="P403" s="171"/>
      <c r="Q403" s="171"/>
      <c r="R403" s="171"/>
      <c r="S403" s="172"/>
      <c r="T403" s="171"/>
      <c r="U403" s="172"/>
      <c r="V403" s="171"/>
      <c r="W403" s="172"/>
      <c r="X403" s="53"/>
      <c r="Y403" s="151"/>
      <c r="Z403" s="151"/>
      <c r="AA403" s="151"/>
      <c r="AB403" s="151"/>
    </row>
    <row r="404" spans="1:28" s="178" customFormat="1" ht="13">
      <c r="A404" s="170"/>
      <c r="B404" s="175"/>
      <c r="C404" s="176"/>
      <c r="D404" s="176"/>
      <c r="E404" s="176"/>
      <c r="F404" s="176"/>
      <c r="G404" s="176"/>
      <c r="H404" s="176"/>
      <c r="I404" s="177"/>
      <c r="J404" s="176"/>
      <c r="K404" s="176"/>
      <c r="L404" s="176"/>
      <c r="M404" s="176"/>
      <c r="N404" s="176"/>
      <c r="O404" s="177"/>
      <c r="P404" s="176"/>
      <c r="Q404" s="176"/>
      <c r="R404" s="176"/>
      <c r="S404" s="177"/>
      <c r="T404" s="176"/>
      <c r="U404" s="177"/>
      <c r="V404" s="176"/>
      <c r="W404" s="177"/>
      <c r="X404" s="53"/>
      <c r="Y404" s="151"/>
      <c r="Z404" s="151"/>
      <c r="AA404" s="151"/>
      <c r="AB404" s="151"/>
    </row>
    <row r="405" spans="1:28" ht="13">
      <c r="A405" s="170"/>
      <c r="B405" s="59"/>
      <c r="C405" s="179"/>
      <c r="D405" s="179"/>
      <c r="E405" s="179"/>
      <c r="F405" s="179"/>
      <c r="G405" s="179"/>
      <c r="H405" s="179"/>
      <c r="I405" s="180"/>
      <c r="J405" s="179"/>
      <c r="K405" s="179"/>
      <c r="L405" s="179"/>
      <c r="M405" s="179"/>
      <c r="N405" s="179"/>
      <c r="O405" s="180"/>
      <c r="P405" s="179"/>
      <c r="Q405" s="179"/>
      <c r="R405" s="179"/>
      <c r="S405" s="180"/>
      <c r="T405" s="179"/>
      <c r="U405" s="180"/>
      <c r="V405" s="179"/>
      <c r="W405" s="180"/>
      <c r="X405" s="53"/>
      <c r="Y405" s="151"/>
      <c r="Z405" s="151"/>
      <c r="AA405" s="151"/>
      <c r="AB405" s="151"/>
    </row>
    <row r="406" spans="1:28" s="173" customFormat="1" ht="13">
      <c r="A406" s="170"/>
      <c r="B406" s="94"/>
      <c r="C406" s="171"/>
      <c r="D406" s="171"/>
      <c r="E406" s="171"/>
      <c r="F406" s="171"/>
      <c r="G406" s="171"/>
      <c r="H406" s="171"/>
      <c r="I406" s="172"/>
      <c r="J406" s="171"/>
      <c r="K406" s="171"/>
      <c r="L406" s="171"/>
      <c r="M406" s="171"/>
      <c r="N406" s="171"/>
      <c r="O406" s="172"/>
      <c r="P406" s="171"/>
      <c r="Q406" s="171"/>
      <c r="R406" s="171"/>
      <c r="S406" s="172"/>
      <c r="T406" s="171"/>
      <c r="U406" s="172"/>
      <c r="V406" s="171"/>
      <c r="W406" s="172"/>
      <c r="X406" s="53"/>
      <c r="Y406" s="151"/>
      <c r="Z406" s="151"/>
      <c r="AA406" s="151"/>
      <c r="AB406" s="151"/>
    </row>
    <row r="407" spans="1:28" s="178" customFormat="1" ht="13">
      <c r="A407" s="170"/>
      <c r="B407" s="175"/>
      <c r="C407" s="176"/>
      <c r="D407" s="176"/>
      <c r="E407" s="176"/>
      <c r="F407" s="176"/>
      <c r="G407" s="176"/>
      <c r="H407" s="176"/>
      <c r="I407" s="177"/>
      <c r="J407" s="176"/>
      <c r="K407" s="176"/>
      <c r="L407" s="176"/>
      <c r="M407" s="176"/>
      <c r="N407" s="176"/>
      <c r="O407" s="177"/>
      <c r="P407" s="176"/>
      <c r="Q407" s="176"/>
      <c r="R407" s="176"/>
      <c r="S407" s="177"/>
      <c r="T407" s="176"/>
      <c r="U407" s="177"/>
      <c r="V407" s="176"/>
      <c r="W407" s="177"/>
      <c r="X407" s="53"/>
      <c r="Y407" s="151"/>
      <c r="Z407" s="151"/>
      <c r="AA407" s="151"/>
      <c r="AB407" s="151"/>
    </row>
    <row r="408" spans="1:28" ht="13">
      <c r="A408" s="170"/>
      <c r="B408" s="59"/>
      <c r="C408" s="179"/>
      <c r="D408" s="179"/>
      <c r="E408" s="179"/>
      <c r="F408" s="179"/>
      <c r="G408" s="179"/>
      <c r="H408" s="179"/>
      <c r="I408" s="180"/>
      <c r="J408" s="179"/>
      <c r="K408" s="179"/>
      <c r="L408" s="179"/>
      <c r="M408" s="179"/>
      <c r="N408" s="179"/>
      <c r="O408" s="180"/>
      <c r="P408" s="179"/>
      <c r="Q408" s="179"/>
      <c r="R408" s="179"/>
      <c r="S408" s="180"/>
      <c r="T408" s="179"/>
      <c r="U408" s="180"/>
      <c r="V408" s="179"/>
      <c r="W408" s="180"/>
      <c r="X408" s="53"/>
      <c r="Y408" s="151"/>
      <c r="Z408" s="151"/>
      <c r="AA408" s="151"/>
      <c r="AB408" s="151"/>
    </row>
    <row r="409" spans="1:28" s="173" customFormat="1" ht="13">
      <c r="A409" s="170"/>
      <c r="B409" s="94"/>
      <c r="C409" s="171"/>
      <c r="D409" s="171"/>
      <c r="E409" s="171"/>
      <c r="F409" s="171"/>
      <c r="G409" s="171"/>
      <c r="H409" s="171"/>
      <c r="I409" s="172"/>
      <c r="J409" s="171"/>
      <c r="K409" s="171"/>
      <c r="L409" s="171"/>
      <c r="M409" s="171"/>
      <c r="N409" s="171"/>
      <c r="O409" s="172"/>
      <c r="P409" s="171"/>
      <c r="Q409" s="171"/>
      <c r="R409" s="171"/>
      <c r="S409" s="172"/>
      <c r="T409" s="171"/>
      <c r="U409" s="172"/>
      <c r="V409" s="171"/>
      <c r="W409" s="172"/>
      <c r="X409" s="53"/>
      <c r="Y409" s="151"/>
      <c r="Z409" s="151"/>
      <c r="AA409" s="151"/>
      <c r="AB409" s="151"/>
    </row>
    <row r="410" spans="1:28" s="178" customFormat="1" ht="13">
      <c r="A410" s="170"/>
      <c r="B410" s="175"/>
      <c r="C410" s="176"/>
      <c r="D410" s="176"/>
      <c r="E410" s="176"/>
      <c r="F410" s="176"/>
      <c r="G410" s="176"/>
      <c r="H410" s="176"/>
      <c r="I410" s="177"/>
      <c r="J410" s="176"/>
      <c r="K410" s="176"/>
      <c r="L410" s="176"/>
      <c r="M410" s="176"/>
      <c r="N410" s="176"/>
      <c r="O410" s="177"/>
      <c r="P410" s="176"/>
      <c r="Q410" s="176"/>
      <c r="R410" s="176"/>
      <c r="S410" s="177"/>
      <c r="T410" s="176"/>
      <c r="U410" s="177"/>
      <c r="V410" s="176"/>
      <c r="W410" s="177"/>
      <c r="X410" s="53"/>
      <c r="Y410" s="151"/>
      <c r="Z410" s="151"/>
      <c r="AA410" s="151"/>
      <c r="AB410" s="151"/>
    </row>
    <row r="411" spans="1:28" ht="13">
      <c r="A411" s="170"/>
      <c r="B411" s="183"/>
      <c r="C411" s="180"/>
      <c r="D411" s="180"/>
      <c r="E411" s="180"/>
      <c r="F411" s="180"/>
      <c r="G411" s="180"/>
      <c r="H411" s="180"/>
      <c r="I411" s="180"/>
      <c r="J411" s="180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53"/>
      <c r="Y411" s="151"/>
      <c r="Z411" s="151"/>
      <c r="AA411" s="151"/>
      <c r="AB411" s="151"/>
    </row>
    <row r="412" spans="1:28" s="173" customFormat="1" ht="13">
      <c r="A412" s="170"/>
      <c r="B412" s="184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  <c r="N412" s="172"/>
      <c r="O412" s="172"/>
      <c r="P412" s="172"/>
      <c r="Q412" s="172"/>
      <c r="R412" s="172"/>
      <c r="S412" s="172"/>
      <c r="T412" s="172"/>
      <c r="U412" s="172"/>
      <c r="V412" s="172"/>
      <c r="W412" s="172"/>
      <c r="X412" s="53"/>
      <c r="Y412" s="151"/>
      <c r="Z412" s="151"/>
      <c r="AA412" s="151"/>
      <c r="AB412" s="151"/>
    </row>
    <row r="413" spans="1:28" s="178" customFormat="1" ht="13">
      <c r="A413" s="170"/>
      <c r="B413" s="185"/>
      <c r="C413" s="177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53"/>
      <c r="Y413" s="151"/>
      <c r="Z413" s="151"/>
      <c r="AA413" s="151"/>
      <c r="AB413" s="151"/>
    </row>
    <row r="414" spans="1:28" ht="13">
      <c r="A414" s="170"/>
      <c r="B414" s="59"/>
      <c r="C414" s="179"/>
      <c r="D414" s="179"/>
      <c r="E414" s="179"/>
      <c r="F414" s="179"/>
      <c r="G414" s="179"/>
      <c r="H414" s="179"/>
      <c r="I414" s="180"/>
      <c r="J414" s="179"/>
      <c r="K414" s="179"/>
      <c r="L414" s="179"/>
      <c r="M414" s="179"/>
      <c r="N414" s="179"/>
      <c r="O414" s="180"/>
      <c r="P414" s="179"/>
      <c r="Q414" s="179"/>
      <c r="R414" s="179"/>
      <c r="S414" s="180"/>
      <c r="T414" s="179"/>
      <c r="U414" s="180"/>
      <c r="V414" s="179"/>
      <c r="W414" s="180"/>
      <c r="X414" s="53"/>
      <c r="Y414" s="151"/>
      <c r="Z414" s="151"/>
      <c r="AA414" s="151"/>
      <c r="AB414" s="151"/>
    </row>
    <row r="415" spans="1:28" s="173" customFormat="1" ht="13">
      <c r="A415" s="170"/>
      <c r="B415" s="94"/>
      <c r="C415" s="171"/>
      <c r="D415" s="171"/>
      <c r="E415" s="171"/>
      <c r="F415" s="171"/>
      <c r="G415" s="171"/>
      <c r="H415" s="171"/>
      <c r="I415" s="172"/>
      <c r="J415" s="171"/>
      <c r="K415" s="171"/>
      <c r="L415" s="171"/>
      <c r="M415" s="171"/>
      <c r="N415" s="171"/>
      <c r="O415" s="172"/>
      <c r="P415" s="171"/>
      <c r="Q415" s="171"/>
      <c r="R415" s="171"/>
      <c r="S415" s="172"/>
      <c r="T415" s="171"/>
      <c r="U415" s="172"/>
      <c r="V415" s="171"/>
      <c r="W415" s="172"/>
      <c r="X415" s="53"/>
      <c r="Y415" s="151"/>
      <c r="Z415" s="151"/>
      <c r="AA415" s="151"/>
      <c r="AB415" s="151"/>
    </row>
    <row r="416" spans="1:28" s="178" customFormat="1" ht="13">
      <c r="A416" s="170"/>
      <c r="B416" s="175"/>
      <c r="C416" s="176"/>
      <c r="D416" s="176"/>
      <c r="E416" s="176"/>
      <c r="F416" s="176"/>
      <c r="G416" s="176"/>
      <c r="H416" s="176"/>
      <c r="I416" s="177"/>
      <c r="J416" s="176"/>
      <c r="K416" s="176"/>
      <c r="L416" s="176"/>
      <c r="M416" s="176"/>
      <c r="N416" s="176"/>
      <c r="O416" s="177"/>
      <c r="P416" s="176"/>
      <c r="Q416" s="176"/>
      <c r="R416" s="176"/>
      <c r="S416" s="177"/>
      <c r="T416" s="176"/>
      <c r="U416" s="177"/>
      <c r="V416" s="176"/>
      <c r="W416" s="177"/>
      <c r="X416" s="53"/>
      <c r="Y416" s="151"/>
      <c r="Z416" s="151"/>
      <c r="AA416" s="151"/>
      <c r="AB416" s="151"/>
    </row>
    <row r="417" spans="1:28" ht="13">
      <c r="A417" s="170"/>
      <c r="B417" s="59"/>
      <c r="C417" s="179"/>
      <c r="D417" s="179"/>
      <c r="E417" s="179"/>
      <c r="F417" s="179"/>
      <c r="G417" s="179"/>
      <c r="H417" s="179"/>
      <c r="I417" s="180"/>
      <c r="J417" s="179"/>
      <c r="K417" s="179"/>
      <c r="L417" s="179"/>
      <c r="M417" s="179"/>
      <c r="N417" s="179"/>
      <c r="O417" s="180"/>
      <c r="P417" s="179"/>
      <c r="Q417" s="179"/>
      <c r="R417" s="179"/>
      <c r="S417" s="180"/>
      <c r="T417" s="179"/>
      <c r="U417" s="180"/>
      <c r="V417" s="179"/>
      <c r="W417" s="180"/>
      <c r="X417" s="53"/>
      <c r="Y417" s="151"/>
      <c r="Z417" s="151"/>
      <c r="AA417" s="151"/>
      <c r="AB417" s="151"/>
    </row>
    <row r="418" spans="1:28" s="173" customFormat="1" ht="13">
      <c r="A418" s="170"/>
      <c r="B418" s="94"/>
      <c r="C418" s="171"/>
      <c r="D418" s="171"/>
      <c r="E418" s="171"/>
      <c r="F418" s="171"/>
      <c r="G418" s="171"/>
      <c r="H418" s="171"/>
      <c r="I418" s="172"/>
      <c r="J418" s="171"/>
      <c r="K418" s="171"/>
      <c r="L418" s="171"/>
      <c r="M418" s="171"/>
      <c r="N418" s="171"/>
      <c r="O418" s="172"/>
      <c r="P418" s="171"/>
      <c r="Q418" s="171"/>
      <c r="R418" s="171"/>
      <c r="S418" s="172"/>
      <c r="T418" s="171"/>
      <c r="U418" s="172"/>
      <c r="V418" s="171"/>
      <c r="W418" s="172"/>
      <c r="X418" s="53"/>
      <c r="Y418" s="151"/>
      <c r="Z418" s="151"/>
      <c r="AA418" s="151"/>
      <c r="AB418" s="151"/>
    </row>
    <row r="419" spans="1:28" s="178" customFormat="1" ht="13">
      <c r="A419" s="170"/>
      <c r="B419" s="175"/>
      <c r="C419" s="176"/>
      <c r="D419" s="176"/>
      <c r="E419" s="176"/>
      <c r="F419" s="176"/>
      <c r="G419" s="176"/>
      <c r="H419" s="176"/>
      <c r="I419" s="177"/>
      <c r="J419" s="176"/>
      <c r="K419" s="176"/>
      <c r="L419" s="176"/>
      <c r="M419" s="176"/>
      <c r="N419" s="176"/>
      <c r="O419" s="177"/>
      <c r="P419" s="176"/>
      <c r="Q419" s="176"/>
      <c r="R419" s="176"/>
      <c r="S419" s="177"/>
      <c r="T419" s="176"/>
      <c r="U419" s="177"/>
      <c r="V419" s="176"/>
      <c r="W419" s="177"/>
      <c r="X419" s="53"/>
      <c r="Y419" s="151"/>
      <c r="Z419" s="151"/>
      <c r="AA419" s="151"/>
      <c r="AB419" s="151"/>
    </row>
    <row r="420" spans="1:28" ht="13">
      <c r="A420" s="170"/>
      <c r="B420" s="59"/>
      <c r="C420" s="179"/>
      <c r="D420" s="179"/>
      <c r="E420" s="179"/>
      <c r="F420" s="179"/>
      <c r="G420" s="179"/>
      <c r="H420" s="179"/>
      <c r="I420" s="180"/>
      <c r="J420" s="179"/>
      <c r="K420" s="179"/>
      <c r="L420" s="179"/>
      <c r="M420" s="179"/>
      <c r="N420" s="179"/>
      <c r="O420" s="180"/>
      <c r="P420" s="179"/>
      <c r="Q420" s="179"/>
      <c r="R420" s="179"/>
      <c r="S420" s="180"/>
      <c r="T420" s="179"/>
      <c r="U420" s="180"/>
      <c r="V420" s="179"/>
      <c r="W420" s="180"/>
      <c r="X420" s="53"/>
      <c r="Y420" s="151"/>
      <c r="Z420" s="151"/>
      <c r="AA420" s="151"/>
      <c r="AB420" s="151"/>
    </row>
    <row r="421" spans="1:28" s="173" customFormat="1" ht="13">
      <c r="A421" s="170"/>
      <c r="B421" s="94"/>
      <c r="C421" s="171"/>
      <c r="D421" s="171"/>
      <c r="E421" s="171"/>
      <c r="F421" s="171"/>
      <c r="G421" s="171"/>
      <c r="H421" s="171"/>
      <c r="I421" s="172"/>
      <c r="J421" s="171"/>
      <c r="K421" s="171"/>
      <c r="L421" s="171"/>
      <c r="M421" s="171"/>
      <c r="N421" s="171"/>
      <c r="O421" s="172"/>
      <c r="P421" s="171"/>
      <c r="Q421" s="171"/>
      <c r="R421" s="171"/>
      <c r="S421" s="172"/>
      <c r="T421" s="171"/>
      <c r="U421" s="172"/>
      <c r="V421" s="171"/>
      <c r="W421" s="172"/>
      <c r="X421" s="53"/>
      <c r="Y421" s="151"/>
      <c r="Z421" s="151"/>
      <c r="AA421" s="151"/>
      <c r="AB421" s="151"/>
    </row>
    <row r="422" spans="1:28" s="178" customFormat="1" ht="13">
      <c r="A422" s="170"/>
      <c r="B422" s="175"/>
      <c r="C422" s="176"/>
      <c r="D422" s="176"/>
      <c r="E422" s="176"/>
      <c r="F422" s="176"/>
      <c r="G422" s="176"/>
      <c r="H422" s="176"/>
      <c r="I422" s="177"/>
      <c r="J422" s="176"/>
      <c r="K422" s="176"/>
      <c r="L422" s="176"/>
      <c r="M422" s="176"/>
      <c r="N422" s="176"/>
      <c r="O422" s="177"/>
      <c r="P422" s="176"/>
      <c r="Q422" s="176"/>
      <c r="R422" s="176"/>
      <c r="S422" s="177"/>
      <c r="T422" s="176"/>
      <c r="U422" s="177"/>
      <c r="V422" s="176"/>
      <c r="W422" s="177"/>
      <c r="X422" s="53"/>
      <c r="Y422" s="151"/>
      <c r="Z422" s="151"/>
      <c r="AA422" s="151"/>
      <c r="AB422" s="151"/>
    </row>
    <row r="423" spans="1:28" ht="13">
      <c r="A423" s="170"/>
      <c r="B423" s="59"/>
      <c r="C423" s="179"/>
      <c r="D423" s="179"/>
      <c r="E423" s="179"/>
      <c r="F423" s="179"/>
      <c r="G423" s="179"/>
      <c r="H423" s="179"/>
      <c r="I423" s="180"/>
      <c r="J423" s="179"/>
      <c r="K423" s="179"/>
      <c r="L423" s="179"/>
      <c r="M423" s="179"/>
      <c r="N423" s="179"/>
      <c r="O423" s="180"/>
      <c r="P423" s="179"/>
      <c r="Q423" s="179"/>
      <c r="R423" s="179"/>
      <c r="S423" s="180"/>
      <c r="T423" s="179"/>
      <c r="U423" s="180"/>
      <c r="V423" s="179"/>
      <c r="W423" s="180"/>
      <c r="X423" s="53"/>
      <c r="Y423" s="151"/>
      <c r="Z423" s="151"/>
      <c r="AA423" s="151"/>
      <c r="AB423" s="151"/>
    </row>
    <row r="424" spans="1:28" s="173" customFormat="1" ht="13">
      <c r="A424" s="170"/>
      <c r="B424" s="94"/>
      <c r="C424" s="171"/>
      <c r="D424" s="171"/>
      <c r="E424" s="171"/>
      <c r="F424" s="171"/>
      <c r="G424" s="171"/>
      <c r="H424" s="171"/>
      <c r="I424" s="172"/>
      <c r="J424" s="171"/>
      <c r="K424" s="171"/>
      <c r="L424" s="171"/>
      <c r="M424" s="171"/>
      <c r="N424" s="171"/>
      <c r="O424" s="172"/>
      <c r="P424" s="171"/>
      <c r="Q424" s="171"/>
      <c r="R424" s="171"/>
      <c r="S424" s="172"/>
      <c r="T424" s="171"/>
      <c r="U424" s="172"/>
      <c r="V424" s="171"/>
      <c r="W424" s="172"/>
      <c r="X424" s="53"/>
      <c r="Y424" s="151"/>
      <c r="Z424" s="151"/>
      <c r="AA424" s="151"/>
      <c r="AB424" s="151"/>
    </row>
    <row r="425" spans="1:28" s="178" customFormat="1" ht="13">
      <c r="A425" s="170"/>
      <c r="B425" s="175"/>
      <c r="C425" s="176"/>
      <c r="D425" s="176"/>
      <c r="E425" s="176"/>
      <c r="F425" s="176"/>
      <c r="G425" s="176"/>
      <c r="H425" s="176"/>
      <c r="I425" s="177"/>
      <c r="J425" s="176"/>
      <c r="K425" s="176"/>
      <c r="L425" s="176"/>
      <c r="M425" s="176"/>
      <c r="N425" s="176"/>
      <c r="O425" s="177"/>
      <c r="P425" s="176"/>
      <c r="Q425" s="176"/>
      <c r="R425" s="176"/>
      <c r="S425" s="177"/>
      <c r="T425" s="176"/>
      <c r="U425" s="177"/>
      <c r="V425" s="176"/>
      <c r="W425" s="177"/>
      <c r="X425" s="53"/>
      <c r="Y425" s="151"/>
      <c r="Z425" s="151"/>
      <c r="AA425" s="151"/>
      <c r="AB425" s="151"/>
    </row>
    <row r="426" spans="1:28" ht="13">
      <c r="A426" s="170"/>
      <c r="B426" s="59"/>
      <c r="C426" s="179"/>
      <c r="D426" s="179"/>
      <c r="E426" s="179"/>
      <c r="F426" s="179"/>
      <c r="G426" s="179"/>
      <c r="H426" s="179"/>
      <c r="I426" s="180"/>
      <c r="J426" s="179"/>
      <c r="K426" s="179"/>
      <c r="L426" s="179"/>
      <c r="M426" s="179"/>
      <c r="N426" s="179"/>
      <c r="O426" s="180"/>
      <c r="P426" s="179"/>
      <c r="Q426" s="179"/>
      <c r="R426" s="179"/>
      <c r="S426" s="180"/>
      <c r="T426" s="179"/>
      <c r="U426" s="180"/>
      <c r="V426" s="179"/>
      <c r="W426" s="180"/>
      <c r="X426" s="53"/>
      <c r="Y426" s="151"/>
      <c r="Z426" s="151"/>
      <c r="AA426" s="151"/>
      <c r="AB426" s="151"/>
    </row>
    <row r="427" spans="1:28" s="173" customFormat="1" ht="13">
      <c r="A427" s="170"/>
      <c r="B427" s="94"/>
      <c r="C427" s="171"/>
      <c r="D427" s="171"/>
      <c r="E427" s="171"/>
      <c r="F427" s="171"/>
      <c r="G427" s="171"/>
      <c r="H427" s="171"/>
      <c r="I427" s="172"/>
      <c r="J427" s="171"/>
      <c r="K427" s="171"/>
      <c r="L427" s="171"/>
      <c r="M427" s="171"/>
      <c r="N427" s="171"/>
      <c r="O427" s="172"/>
      <c r="P427" s="171"/>
      <c r="Q427" s="171"/>
      <c r="R427" s="171"/>
      <c r="S427" s="172"/>
      <c r="T427" s="171"/>
      <c r="U427" s="172"/>
      <c r="V427" s="171"/>
      <c r="W427" s="172"/>
      <c r="X427" s="53"/>
      <c r="Y427" s="151"/>
      <c r="Z427" s="151"/>
      <c r="AA427" s="151"/>
      <c r="AB427" s="151"/>
    </row>
    <row r="428" spans="1:28" s="178" customFormat="1" ht="13">
      <c r="A428" s="170"/>
      <c r="B428" s="175"/>
      <c r="C428" s="176"/>
      <c r="D428" s="176"/>
      <c r="E428" s="176"/>
      <c r="F428" s="176"/>
      <c r="G428" s="176"/>
      <c r="H428" s="176"/>
      <c r="I428" s="177"/>
      <c r="J428" s="176"/>
      <c r="K428" s="176"/>
      <c r="L428" s="176"/>
      <c r="M428" s="176"/>
      <c r="N428" s="176"/>
      <c r="O428" s="177"/>
      <c r="P428" s="176"/>
      <c r="Q428" s="176"/>
      <c r="R428" s="176"/>
      <c r="S428" s="177"/>
      <c r="T428" s="176"/>
      <c r="U428" s="177"/>
      <c r="V428" s="176"/>
      <c r="W428" s="177"/>
      <c r="X428" s="53"/>
      <c r="Y428" s="151"/>
      <c r="Z428" s="151"/>
      <c r="AA428" s="151"/>
      <c r="AB428" s="151"/>
    </row>
    <row r="429" spans="1:28" ht="13">
      <c r="A429" s="170"/>
      <c r="B429" s="59"/>
      <c r="C429" s="179"/>
      <c r="D429" s="179"/>
      <c r="E429" s="179"/>
      <c r="F429" s="179"/>
      <c r="G429" s="179"/>
      <c r="H429" s="179"/>
      <c r="I429" s="180"/>
      <c r="J429" s="179"/>
      <c r="K429" s="179"/>
      <c r="L429" s="179"/>
      <c r="M429" s="179"/>
      <c r="N429" s="179"/>
      <c r="O429" s="180"/>
      <c r="P429" s="179"/>
      <c r="Q429" s="179"/>
      <c r="R429" s="179"/>
      <c r="S429" s="180"/>
      <c r="T429" s="179"/>
      <c r="U429" s="180"/>
      <c r="V429" s="179"/>
      <c r="W429" s="180"/>
      <c r="X429" s="53"/>
      <c r="Y429" s="151"/>
      <c r="Z429" s="151"/>
      <c r="AA429" s="151"/>
      <c r="AB429" s="151"/>
    </row>
    <row r="430" spans="1:28" s="173" customFormat="1" ht="13">
      <c r="A430" s="170"/>
      <c r="B430" s="94"/>
      <c r="C430" s="171"/>
      <c r="D430" s="171"/>
      <c r="E430" s="171"/>
      <c r="F430" s="171"/>
      <c r="G430" s="171"/>
      <c r="H430" s="171"/>
      <c r="I430" s="172"/>
      <c r="J430" s="171"/>
      <c r="K430" s="171"/>
      <c r="L430" s="171"/>
      <c r="M430" s="171"/>
      <c r="N430" s="171"/>
      <c r="O430" s="172"/>
      <c r="P430" s="171"/>
      <c r="Q430" s="171"/>
      <c r="R430" s="171"/>
      <c r="S430" s="172"/>
      <c r="T430" s="171"/>
      <c r="U430" s="172"/>
      <c r="V430" s="171"/>
      <c r="W430" s="172"/>
      <c r="X430" s="53"/>
      <c r="Y430" s="151"/>
      <c r="Z430" s="151"/>
      <c r="AA430" s="151"/>
      <c r="AB430" s="151"/>
    </row>
    <row r="431" spans="1:28" s="178" customFormat="1" ht="13">
      <c r="A431" s="170"/>
      <c r="B431" s="175"/>
      <c r="C431" s="176"/>
      <c r="D431" s="176"/>
      <c r="E431" s="176"/>
      <c r="F431" s="176"/>
      <c r="G431" s="176"/>
      <c r="H431" s="176"/>
      <c r="I431" s="177"/>
      <c r="J431" s="176"/>
      <c r="K431" s="176"/>
      <c r="L431" s="176"/>
      <c r="M431" s="176"/>
      <c r="N431" s="176"/>
      <c r="O431" s="177"/>
      <c r="P431" s="176"/>
      <c r="Q431" s="176"/>
      <c r="R431" s="176"/>
      <c r="S431" s="177"/>
      <c r="T431" s="176"/>
      <c r="U431" s="177"/>
      <c r="V431" s="176"/>
      <c r="W431" s="177"/>
      <c r="X431" s="53"/>
      <c r="Y431" s="151"/>
      <c r="Z431" s="151"/>
      <c r="AA431" s="151"/>
      <c r="AB431" s="151"/>
    </row>
    <row r="432" spans="1:28" ht="13">
      <c r="A432" s="170"/>
      <c r="B432" s="59"/>
      <c r="C432" s="179"/>
      <c r="D432" s="179"/>
      <c r="E432" s="179"/>
      <c r="F432" s="179"/>
      <c r="G432" s="179"/>
      <c r="H432" s="179"/>
      <c r="I432" s="180"/>
      <c r="J432" s="179"/>
      <c r="K432" s="179"/>
      <c r="L432" s="179"/>
      <c r="M432" s="179"/>
      <c r="N432" s="179"/>
      <c r="O432" s="180"/>
      <c r="P432" s="179"/>
      <c r="Q432" s="179"/>
      <c r="R432" s="179"/>
      <c r="S432" s="180"/>
      <c r="T432" s="179"/>
      <c r="U432" s="180"/>
      <c r="V432" s="179"/>
      <c r="W432" s="180"/>
      <c r="X432" s="53"/>
      <c r="Y432" s="151"/>
      <c r="Z432" s="151"/>
      <c r="AA432" s="151"/>
      <c r="AB432" s="151"/>
    </row>
    <row r="433" spans="1:28" s="173" customFormat="1" ht="13">
      <c r="A433" s="170"/>
      <c r="B433" s="94"/>
      <c r="C433" s="171"/>
      <c r="D433" s="171"/>
      <c r="E433" s="171"/>
      <c r="F433" s="171"/>
      <c r="G433" s="171"/>
      <c r="H433" s="171"/>
      <c r="I433" s="172"/>
      <c r="J433" s="171"/>
      <c r="K433" s="171"/>
      <c r="L433" s="171"/>
      <c r="M433" s="171"/>
      <c r="N433" s="171"/>
      <c r="O433" s="172"/>
      <c r="P433" s="171"/>
      <c r="Q433" s="171"/>
      <c r="R433" s="171"/>
      <c r="S433" s="172"/>
      <c r="T433" s="171"/>
      <c r="U433" s="172"/>
      <c r="V433" s="171"/>
      <c r="W433" s="172"/>
      <c r="X433" s="53"/>
      <c r="Y433" s="151"/>
      <c r="Z433" s="151"/>
      <c r="AA433" s="151"/>
      <c r="AB433" s="151"/>
    </row>
    <row r="434" spans="1:28" s="192" customFormat="1" ht="13.5" thickBot="1">
      <c r="A434" s="186"/>
      <c r="B434" s="187"/>
      <c r="C434" s="188"/>
      <c r="D434" s="188"/>
      <c r="E434" s="188"/>
      <c r="F434" s="188"/>
      <c r="G434" s="188"/>
      <c r="H434" s="188"/>
      <c r="I434" s="189"/>
      <c r="J434" s="188"/>
      <c r="K434" s="188"/>
      <c r="L434" s="188"/>
      <c r="M434" s="188"/>
      <c r="N434" s="188"/>
      <c r="O434" s="189"/>
      <c r="P434" s="188"/>
      <c r="Q434" s="188"/>
      <c r="R434" s="188"/>
      <c r="S434" s="189"/>
      <c r="T434" s="188"/>
      <c r="U434" s="189"/>
      <c r="V434" s="188"/>
      <c r="W434" s="189"/>
      <c r="X434" s="53"/>
      <c r="Y434" s="151"/>
      <c r="Z434" s="151"/>
      <c r="AA434" s="151"/>
      <c r="AB434" s="151"/>
    </row>
    <row r="435" spans="1:28" ht="13.5" thickTop="1">
      <c r="A435" s="147"/>
      <c r="B435" s="167"/>
      <c r="C435" s="168"/>
      <c r="D435" s="168"/>
      <c r="E435" s="168"/>
      <c r="F435" s="168"/>
      <c r="G435" s="168"/>
      <c r="H435" s="168"/>
      <c r="I435" s="169"/>
      <c r="J435" s="168"/>
      <c r="K435" s="168"/>
      <c r="L435" s="168"/>
      <c r="M435" s="168"/>
      <c r="N435" s="168"/>
      <c r="O435" s="169"/>
      <c r="P435" s="168"/>
      <c r="Q435" s="168"/>
      <c r="R435" s="168"/>
      <c r="S435" s="169"/>
      <c r="T435" s="168"/>
      <c r="U435" s="169"/>
      <c r="V435" s="168"/>
      <c r="W435" s="169"/>
      <c r="X435" s="53"/>
      <c r="Y435" s="151"/>
      <c r="Z435" s="151"/>
      <c r="AA435" s="151"/>
      <c r="AB435" s="151"/>
    </row>
    <row r="436" spans="1:28" s="173" customFormat="1" ht="13">
      <c r="A436" s="170"/>
      <c r="B436" s="94"/>
      <c r="C436" s="171"/>
      <c r="D436" s="171"/>
      <c r="E436" s="171"/>
      <c r="F436" s="171"/>
      <c r="G436" s="171"/>
      <c r="H436" s="171"/>
      <c r="I436" s="172"/>
      <c r="J436" s="171"/>
      <c r="K436" s="171"/>
      <c r="L436" s="171"/>
      <c r="M436" s="171"/>
      <c r="N436" s="171"/>
      <c r="O436" s="172"/>
      <c r="P436" s="171"/>
      <c r="Q436" s="171"/>
      <c r="R436" s="171"/>
      <c r="S436" s="172"/>
      <c r="T436" s="171"/>
      <c r="U436" s="172"/>
      <c r="V436" s="171"/>
      <c r="W436" s="172"/>
      <c r="X436" s="53"/>
      <c r="Y436" s="151"/>
      <c r="Z436" s="151"/>
      <c r="AA436" s="151"/>
      <c r="AB436" s="151"/>
    </row>
    <row r="437" spans="1:28" s="178" customFormat="1" ht="13">
      <c r="A437" s="174"/>
      <c r="B437" s="175"/>
      <c r="C437" s="176"/>
      <c r="D437" s="176"/>
      <c r="E437" s="176"/>
      <c r="F437" s="176"/>
      <c r="G437" s="176"/>
      <c r="H437" s="176"/>
      <c r="I437" s="177"/>
      <c r="J437" s="176"/>
      <c r="K437" s="176"/>
      <c r="L437" s="176"/>
      <c r="M437" s="176"/>
      <c r="N437" s="176"/>
      <c r="O437" s="177"/>
      <c r="P437" s="176"/>
      <c r="Q437" s="176"/>
      <c r="R437" s="176"/>
      <c r="S437" s="177"/>
      <c r="T437" s="176"/>
      <c r="U437" s="177"/>
      <c r="V437" s="176"/>
      <c r="W437" s="177"/>
      <c r="X437" s="53"/>
      <c r="Y437" s="151"/>
      <c r="Z437" s="151"/>
      <c r="AA437" s="151"/>
      <c r="AB437" s="151"/>
    </row>
    <row r="438" spans="1:28" ht="13">
      <c r="A438" s="170"/>
      <c r="B438" s="59"/>
      <c r="C438" s="179"/>
      <c r="D438" s="179"/>
      <c r="E438" s="179"/>
      <c r="F438" s="179"/>
      <c r="G438" s="179"/>
      <c r="H438" s="179"/>
      <c r="I438" s="180"/>
      <c r="J438" s="179"/>
      <c r="K438" s="179"/>
      <c r="L438" s="179"/>
      <c r="M438" s="179"/>
      <c r="N438" s="179"/>
      <c r="O438" s="180"/>
      <c r="P438" s="179"/>
      <c r="Q438" s="179"/>
      <c r="R438" s="179"/>
      <c r="S438" s="180"/>
      <c r="T438" s="179"/>
      <c r="U438" s="180"/>
      <c r="V438" s="179"/>
      <c r="W438" s="180"/>
      <c r="X438" s="53"/>
      <c r="Y438" s="151"/>
      <c r="Z438" s="151"/>
      <c r="AA438" s="151"/>
      <c r="AB438" s="151"/>
    </row>
    <row r="439" spans="1:28" s="173" customFormat="1" ht="13">
      <c r="A439" s="170"/>
      <c r="B439" s="94"/>
      <c r="C439" s="171"/>
      <c r="D439" s="171"/>
      <c r="E439" s="171"/>
      <c r="F439" s="171"/>
      <c r="G439" s="171"/>
      <c r="H439" s="171"/>
      <c r="I439" s="172"/>
      <c r="J439" s="171"/>
      <c r="K439" s="171"/>
      <c r="L439" s="171"/>
      <c r="M439" s="171"/>
      <c r="N439" s="171"/>
      <c r="O439" s="172"/>
      <c r="P439" s="171"/>
      <c r="Q439" s="171"/>
      <c r="R439" s="171"/>
      <c r="S439" s="172"/>
      <c r="T439" s="171"/>
      <c r="U439" s="172"/>
      <c r="V439" s="171"/>
      <c r="W439" s="172"/>
      <c r="X439" s="53"/>
      <c r="Y439" s="151"/>
      <c r="Z439" s="151"/>
      <c r="AA439" s="151"/>
      <c r="AB439" s="151"/>
    </row>
    <row r="440" spans="1:28" s="178" customFormat="1" ht="13">
      <c r="A440" s="170"/>
      <c r="B440" s="175"/>
      <c r="C440" s="176"/>
      <c r="D440" s="176"/>
      <c r="E440" s="176"/>
      <c r="F440" s="176"/>
      <c r="G440" s="176"/>
      <c r="H440" s="176"/>
      <c r="I440" s="177"/>
      <c r="J440" s="176"/>
      <c r="K440" s="176"/>
      <c r="L440" s="176"/>
      <c r="M440" s="176"/>
      <c r="N440" s="176"/>
      <c r="O440" s="177"/>
      <c r="P440" s="176"/>
      <c r="Q440" s="176"/>
      <c r="R440" s="176"/>
      <c r="S440" s="177"/>
      <c r="T440" s="176"/>
      <c r="U440" s="177"/>
      <c r="V440" s="176"/>
      <c r="W440" s="177"/>
      <c r="X440" s="53"/>
      <c r="Y440" s="151"/>
      <c r="Z440" s="151"/>
      <c r="AA440" s="151"/>
      <c r="AB440" s="151"/>
    </row>
    <row r="441" spans="1:28" ht="13">
      <c r="A441" s="170"/>
      <c r="B441" s="59"/>
      <c r="C441" s="179"/>
      <c r="D441" s="179"/>
      <c r="E441" s="179"/>
      <c r="F441" s="179"/>
      <c r="G441" s="179"/>
      <c r="H441" s="179"/>
      <c r="I441" s="180"/>
      <c r="J441" s="179"/>
      <c r="K441" s="179"/>
      <c r="L441" s="179"/>
      <c r="M441" s="179"/>
      <c r="N441" s="179"/>
      <c r="O441" s="180"/>
      <c r="P441" s="179"/>
      <c r="Q441" s="179"/>
      <c r="R441" s="179"/>
      <c r="S441" s="180"/>
      <c r="T441" s="179"/>
      <c r="U441" s="180"/>
      <c r="V441" s="179"/>
      <c r="W441" s="180"/>
      <c r="X441" s="53"/>
      <c r="Y441" s="151"/>
      <c r="Z441" s="151"/>
      <c r="AA441" s="151"/>
      <c r="AB441" s="151"/>
    </row>
    <row r="442" spans="1:28" s="173" customFormat="1" ht="13">
      <c r="A442" s="170"/>
      <c r="B442" s="94"/>
      <c r="C442" s="171"/>
      <c r="D442" s="171"/>
      <c r="E442" s="171"/>
      <c r="F442" s="171"/>
      <c r="G442" s="171"/>
      <c r="H442" s="171"/>
      <c r="I442" s="172"/>
      <c r="J442" s="171"/>
      <c r="K442" s="171"/>
      <c r="L442" s="171"/>
      <c r="M442" s="171"/>
      <c r="N442" s="171"/>
      <c r="O442" s="172"/>
      <c r="P442" s="171"/>
      <c r="Q442" s="171"/>
      <c r="R442" s="171"/>
      <c r="S442" s="172"/>
      <c r="T442" s="171"/>
      <c r="U442" s="172"/>
      <c r="V442" s="171"/>
      <c r="W442" s="172"/>
      <c r="X442" s="53"/>
      <c r="Y442" s="151"/>
      <c r="Z442" s="151"/>
      <c r="AA442" s="151"/>
      <c r="AB442" s="151"/>
    </row>
    <row r="443" spans="1:28" s="178" customFormat="1" ht="13">
      <c r="A443" s="170"/>
      <c r="B443" s="175"/>
      <c r="C443" s="176"/>
      <c r="D443" s="176"/>
      <c r="E443" s="176"/>
      <c r="F443" s="176"/>
      <c r="G443" s="176"/>
      <c r="H443" s="176"/>
      <c r="I443" s="177"/>
      <c r="J443" s="176"/>
      <c r="K443" s="176"/>
      <c r="L443" s="176"/>
      <c r="M443" s="176"/>
      <c r="N443" s="176"/>
      <c r="O443" s="177"/>
      <c r="P443" s="176"/>
      <c r="Q443" s="176"/>
      <c r="R443" s="176"/>
      <c r="S443" s="177"/>
      <c r="T443" s="176"/>
      <c r="U443" s="177"/>
      <c r="V443" s="176"/>
      <c r="W443" s="177"/>
      <c r="X443" s="53"/>
      <c r="Y443" s="151"/>
      <c r="Z443" s="151"/>
      <c r="AA443" s="151"/>
      <c r="AB443" s="151"/>
    </row>
    <row r="444" spans="1:28" ht="13">
      <c r="A444" s="170"/>
      <c r="B444" s="59"/>
      <c r="C444" s="179"/>
      <c r="D444" s="179"/>
      <c r="E444" s="179"/>
      <c r="F444" s="179"/>
      <c r="G444" s="179"/>
      <c r="H444" s="179"/>
      <c r="I444" s="180"/>
      <c r="J444" s="179"/>
      <c r="K444" s="179"/>
      <c r="L444" s="179"/>
      <c r="M444" s="179"/>
      <c r="N444" s="179"/>
      <c r="O444" s="180"/>
      <c r="P444" s="179"/>
      <c r="Q444" s="179"/>
      <c r="R444" s="179"/>
      <c r="S444" s="180"/>
      <c r="T444" s="179"/>
      <c r="U444" s="180"/>
      <c r="V444" s="179"/>
      <c r="W444" s="180"/>
      <c r="X444" s="53"/>
      <c r="Y444" s="151"/>
      <c r="Z444" s="151"/>
      <c r="AA444" s="151"/>
      <c r="AB444" s="151"/>
    </row>
    <row r="445" spans="1:28" s="173" customFormat="1" ht="13">
      <c r="A445" s="170"/>
      <c r="B445" s="94"/>
      <c r="C445" s="171"/>
      <c r="D445" s="171"/>
      <c r="E445" s="171"/>
      <c r="F445" s="171"/>
      <c r="G445" s="171"/>
      <c r="H445" s="171"/>
      <c r="I445" s="172"/>
      <c r="J445" s="171"/>
      <c r="K445" s="171"/>
      <c r="L445" s="171"/>
      <c r="M445" s="171"/>
      <c r="N445" s="171"/>
      <c r="O445" s="172"/>
      <c r="P445" s="171"/>
      <c r="Q445" s="171"/>
      <c r="R445" s="171"/>
      <c r="S445" s="172"/>
      <c r="T445" s="171"/>
      <c r="U445" s="172"/>
      <c r="V445" s="171"/>
      <c r="W445" s="172"/>
      <c r="X445" s="53"/>
      <c r="Y445" s="151"/>
      <c r="Z445" s="151"/>
      <c r="AA445" s="151"/>
      <c r="AB445" s="151"/>
    </row>
    <row r="446" spans="1:28" s="178" customFormat="1" ht="13">
      <c r="A446" s="170"/>
      <c r="B446" s="175"/>
      <c r="C446" s="176"/>
      <c r="D446" s="176"/>
      <c r="E446" s="176"/>
      <c r="F446" s="176"/>
      <c r="G446" s="176"/>
      <c r="H446" s="176"/>
      <c r="I446" s="177"/>
      <c r="J446" s="176"/>
      <c r="K446" s="176"/>
      <c r="L446" s="176"/>
      <c r="M446" s="176"/>
      <c r="N446" s="176"/>
      <c r="O446" s="177"/>
      <c r="P446" s="176"/>
      <c r="Q446" s="176"/>
      <c r="R446" s="176"/>
      <c r="S446" s="177"/>
      <c r="T446" s="176"/>
      <c r="U446" s="177"/>
      <c r="V446" s="176"/>
      <c r="W446" s="177"/>
      <c r="X446" s="89"/>
      <c r="Y446" s="151"/>
      <c r="Z446" s="151"/>
      <c r="AA446" s="151"/>
      <c r="AB446" s="151"/>
    </row>
    <row r="447" spans="1:28" ht="13">
      <c r="A447" s="170"/>
      <c r="B447" s="59"/>
      <c r="C447" s="179"/>
      <c r="D447" s="179"/>
      <c r="E447" s="179"/>
      <c r="F447" s="179"/>
      <c r="G447" s="179"/>
      <c r="H447" s="179"/>
      <c r="I447" s="180"/>
      <c r="J447" s="179"/>
      <c r="K447" s="179"/>
      <c r="L447" s="179"/>
      <c r="M447" s="179"/>
      <c r="N447" s="179"/>
      <c r="O447" s="180"/>
      <c r="P447" s="179"/>
      <c r="Q447" s="179"/>
      <c r="R447" s="179"/>
      <c r="S447" s="180"/>
      <c r="T447" s="179"/>
      <c r="U447" s="180"/>
      <c r="V447" s="179"/>
      <c r="W447" s="180"/>
      <c r="X447" s="53"/>
      <c r="Y447" s="151"/>
      <c r="Z447" s="151"/>
      <c r="AA447" s="151"/>
      <c r="AB447" s="151"/>
    </row>
    <row r="448" spans="1:28" s="173" customFormat="1" ht="13">
      <c r="A448" s="170"/>
      <c r="B448" s="94"/>
      <c r="C448" s="171"/>
      <c r="D448" s="171"/>
      <c r="E448" s="171"/>
      <c r="F448" s="171"/>
      <c r="G448" s="171"/>
      <c r="H448" s="171"/>
      <c r="I448" s="172"/>
      <c r="J448" s="171"/>
      <c r="K448" s="171"/>
      <c r="L448" s="171"/>
      <c r="M448" s="171"/>
      <c r="N448" s="171"/>
      <c r="O448" s="172"/>
      <c r="P448" s="171"/>
      <c r="Q448" s="171"/>
      <c r="R448" s="171"/>
      <c r="S448" s="172"/>
      <c r="T448" s="171"/>
      <c r="U448" s="172"/>
      <c r="V448" s="171"/>
      <c r="W448" s="172"/>
      <c r="X448" s="53"/>
      <c r="Y448" s="151"/>
      <c r="Z448" s="151"/>
      <c r="AA448" s="151"/>
      <c r="AB448" s="151"/>
    </row>
    <row r="449" spans="1:28" s="178" customFormat="1" ht="13">
      <c r="A449" s="170"/>
      <c r="B449" s="175"/>
      <c r="C449" s="176"/>
      <c r="D449" s="176"/>
      <c r="E449" s="176"/>
      <c r="F449" s="176"/>
      <c r="G449" s="176"/>
      <c r="H449" s="176"/>
      <c r="I449" s="177"/>
      <c r="J449" s="176"/>
      <c r="K449" s="176"/>
      <c r="L449" s="176"/>
      <c r="M449" s="176"/>
      <c r="N449" s="176"/>
      <c r="O449" s="177"/>
      <c r="P449" s="176"/>
      <c r="Q449" s="176"/>
      <c r="R449" s="176"/>
      <c r="S449" s="177"/>
      <c r="T449" s="176"/>
      <c r="U449" s="177"/>
      <c r="V449" s="176"/>
      <c r="W449" s="177"/>
      <c r="X449" s="53"/>
      <c r="Y449" s="151"/>
      <c r="Z449" s="151"/>
      <c r="AA449" s="151"/>
      <c r="AB449" s="151"/>
    </row>
    <row r="450" spans="1:28" ht="13">
      <c r="A450" s="170"/>
      <c r="B450" s="183"/>
      <c r="C450" s="180"/>
      <c r="D450" s="180"/>
      <c r="E450" s="180"/>
      <c r="F450" s="180"/>
      <c r="G450" s="180"/>
      <c r="H450" s="180"/>
      <c r="I450" s="180"/>
      <c r="J450" s="180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53"/>
      <c r="Y450" s="151"/>
      <c r="Z450" s="151"/>
      <c r="AA450" s="151"/>
      <c r="AB450" s="151"/>
    </row>
    <row r="451" spans="1:28" s="173" customFormat="1" ht="13">
      <c r="A451" s="170"/>
      <c r="B451" s="184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  <c r="N451" s="172"/>
      <c r="O451" s="172"/>
      <c r="P451" s="172"/>
      <c r="Q451" s="172"/>
      <c r="R451" s="172"/>
      <c r="S451" s="172"/>
      <c r="T451" s="172"/>
      <c r="U451" s="172"/>
      <c r="V451" s="172"/>
      <c r="W451" s="172"/>
      <c r="X451" s="53"/>
      <c r="Y451" s="151"/>
      <c r="Z451" s="151"/>
      <c r="AA451" s="151"/>
      <c r="AB451" s="151"/>
    </row>
    <row r="452" spans="1:28" s="178" customFormat="1" ht="13">
      <c r="A452" s="170"/>
      <c r="B452" s="185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53"/>
      <c r="Y452" s="151"/>
      <c r="Z452" s="151"/>
      <c r="AA452" s="151"/>
      <c r="AB452" s="151"/>
    </row>
    <row r="453" spans="1:28" ht="13">
      <c r="A453" s="170"/>
      <c r="B453" s="59"/>
      <c r="C453" s="179"/>
      <c r="D453" s="179"/>
      <c r="E453" s="179"/>
      <c r="F453" s="179"/>
      <c r="G453" s="179"/>
      <c r="H453" s="179"/>
      <c r="I453" s="180"/>
      <c r="J453" s="179"/>
      <c r="K453" s="179"/>
      <c r="L453" s="179"/>
      <c r="M453" s="179"/>
      <c r="N453" s="179"/>
      <c r="O453" s="180"/>
      <c r="P453" s="179"/>
      <c r="Q453" s="179"/>
      <c r="R453" s="179"/>
      <c r="S453" s="180"/>
      <c r="T453" s="179"/>
      <c r="U453" s="180"/>
      <c r="V453" s="179"/>
      <c r="W453" s="180"/>
      <c r="X453" s="53"/>
      <c r="Y453" s="151"/>
      <c r="Z453" s="151"/>
      <c r="AA453" s="151"/>
      <c r="AB453" s="151"/>
    </row>
    <row r="454" spans="1:28" s="173" customFormat="1" ht="13">
      <c r="A454" s="170"/>
      <c r="B454" s="94"/>
      <c r="C454" s="171"/>
      <c r="D454" s="171"/>
      <c r="E454" s="171"/>
      <c r="F454" s="171"/>
      <c r="G454" s="171"/>
      <c r="H454" s="171"/>
      <c r="I454" s="172"/>
      <c r="J454" s="171"/>
      <c r="K454" s="171"/>
      <c r="L454" s="171"/>
      <c r="M454" s="171"/>
      <c r="N454" s="171"/>
      <c r="O454" s="172"/>
      <c r="P454" s="171"/>
      <c r="Q454" s="171"/>
      <c r="R454" s="171"/>
      <c r="S454" s="172"/>
      <c r="T454" s="171"/>
      <c r="U454" s="172"/>
      <c r="V454" s="171"/>
      <c r="W454" s="172"/>
      <c r="X454" s="53"/>
      <c r="Y454" s="151"/>
      <c r="Z454" s="151"/>
      <c r="AA454" s="151"/>
      <c r="AB454" s="151"/>
    </row>
    <row r="455" spans="1:28" s="178" customFormat="1" ht="13">
      <c r="A455" s="170"/>
      <c r="B455" s="175"/>
      <c r="C455" s="176"/>
      <c r="D455" s="176"/>
      <c r="E455" s="176"/>
      <c r="F455" s="176"/>
      <c r="G455" s="176"/>
      <c r="H455" s="176"/>
      <c r="I455" s="177"/>
      <c r="J455" s="176"/>
      <c r="K455" s="176"/>
      <c r="L455" s="176"/>
      <c r="M455" s="176"/>
      <c r="N455" s="176"/>
      <c r="O455" s="177"/>
      <c r="P455" s="176"/>
      <c r="Q455" s="176"/>
      <c r="R455" s="176"/>
      <c r="S455" s="177"/>
      <c r="T455" s="176"/>
      <c r="U455" s="177"/>
      <c r="V455" s="176"/>
      <c r="W455" s="177"/>
      <c r="X455" s="53"/>
      <c r="Y455" s="151"/>
      <c r="Z455" s="151"/>
      <c r="AA455" s="151"/>
      <c r="AB455" s="151"/>
    </row>
    <row r="456" spans="1:28" ht="13">
      <c r="A456" s="170"/>
      <c r="B456" s="59"/>
      <c r="C456" s="179"/>
      <c r="D456" s="179"/>
      <c r="E456" s="179"/>
      <c r="F456" s="179"/>
      <c r="G456" s="179"/>
      <c r="H456" s="179"/>
      <c r="I456" s="180"/>
      <c r="J456" s="179"/>
      <c r="K456" s="179"/>
      <c r="L456" s="179"/>
      <c r="M456" s="179"/>
      <c r="N456" s="179"/>
      <c r="O456" s="180"/>
      <c r="P456" s="179"/>
      <c r="Q456" s="179"/>
      <c r="R456" s="179"/>
      <c r="S456" s="180"/>
      <c r="T456" s="179"/>
      <c r="U456" s="180"/>
      <c r="V456" s="179"/>
      <c r="W456" s="180"/>
      <c r="X456" s="53"/>
      <c r="Y456" s="151"/>
      <c r="Z456" s="151"/>
      <c r="AA456" s="151"/>
      <c r="AB456" s="151"/>
    </row>
    <row r="457" spans="1:28" s="173" customFormat="1" ht="13">
      <c r="A457" s="170"/>
      <c r="B457" s="94"/>
      <c r="C457" s="171"/>
      <c r="D457" s="171"/>
      <c r="E457" s="171"/>
      <c r="F457" s="171"/>
      <c r="G457" s="171"/>
      <c r="H457" s="171"/>
      <c r="I457" s="172"/>
      <c r="J457" s="171"/>
      <c r="K457" s="171"/>
      <c r="L457" s="171"/>
      <c r="M457" s="171"/>
      <c r="N457" s="171"/>
      <c r="O457" s="172"/>
      <c r="P457" s="171"/>
      <c r="Q457" s="171"/>
      <c r="R457" s="171"/>
      <c r="S457" s="172"/>
      <c r="T457" s="171"/>
      <c r="U457" s="172"/>
      <c r="V457" s="171"/>
      <c r="W457" s="172"/>
      <c r="X457" s="53"/>
      <c r="Y457" s="151"/>
      <c r="Z457" s="151"/>
      <c r="AA457" s="151"/>
      <c r="AB457" s="151"/>
    </row>
    <row r="458" spans="1:28" s="178" customFormat="1" ht="13">
      <c r="A458" s="170"/>
      <c r="B458" s="175"/>
      <c r="C458" s="176"/>
      <c r="D458" s="176"/>
      <c r="E458" s="176"/>
      <c r="F458" s="176"/>
      <c r="G458" s="176"/>
      <c r="H458" s="176"/>
      <c r="I458" s="177"/>
      <c r="J458" s="176"/>
      <c r="K458" s="176"/>
      <c r="L458" s="176"/>
      <c r="M458" s="176"/>
      <c r="N458" s="176"/>
      <c r="O458" s="177"/>
      <c r="P458" s="176"/>
      <c r="Q458" s="176"/>
      <c r="R458" s="176"/>
      <c r="S458" s="177"/>
      <c r="T458" s="176"/>
      <c r="U458" s="177"/>
      <c r="V458" s="176"/>
      <c r="W458" s="177"/>
      <c r="X458" s="53"/>
      <c r="Y458" s="151"/>
      <c r="Z458" s="151"/>
      <c r="AA458" s="151"/>
      <c r="AB458" s="151"/>
    </row>
    <row r="459" spans="1:28" ht="13">
      <c r="A459" s="170"/>
      <c r="B459" s="59"/>
      <c r="C459" s="179"/>
      <c r="D459" s="179"/>
      <c r="E459" s="179"/>
      <c r="F459" s="179"/>
      <c r="G459" s="179"/>
      <c r="H459" s="179"/>
      <c r="I459" s="180"/>
      <c r="J459" s="179"/>
      <c r="K459" s="179"/>
      <c r="L459" s="179"/>
      <c r="M459" s="179"/>
      <c r="N459" s="179"/>
      <c r="O459" s="180"/>
      <c r="P459" s="179"/>
      <c r="Q459" s="179"/>
      <c r="R459" s="179"/>
      <c r="S459" s="180"/>
      <c r="T459" s="179"/>
      <c r="U459" s="180"/>
      <c r="V459" s="179"/>
      <c r="W459" s="180"/>
      <c r="X459" s="53"/>
      <c r="Y459" s="151"/>
      <c r="Z459" s="151"/>
      <c r="AA459" s="151"/>
      <c r="AB459" s="151"/>
    </row>
    <row r="460" spans="1:28" s="173" customFormat="1" ht="13">
      <c r="A460" s="170"/>
      <c r="B460" s="94"/>
      <c r="C460" s="171"/>
      <c r="D460" s="171"/>
      <c r="E460" s="171"/>
      <c r="F460" s="171"/>
      <c r="G460" s="171"/>
      <c r="H460" s="171"/>
      <c r="I460" s="172"/>
      <c r="J460" s="171"/>
      <c r="K460" s="171"/>
      <c r="L460" s="171"/>
      <c r="M460" s="171"/>
      <c r="N460" s="171"/>
      <c r="O460" s="172"/>
      <c r="P460" s="171"/>
      <c r="Q460" s="171"/>
      <c r="R460" s="171"/>
      <c r="S460" s="172"/>
      <c r="T460" s="171"/>
      <c r="U460" s="172"/>
      <c r="V460" s="171"/>
      <c r="W460" s="172"/>
      <c r="X460" s="53"/>
      <c r="Y460" s="151"/>
      <c r="Z460" s="151"/>
      <c r="AA460" s="151"/>
      <c r="AB460" s="151"/>
    </row>
    <row r="461" spans="1:28" s="178" customFormat="1" ht="13">
      <c r="A461" s="170"/>
      <c r="B461" s="175"/>
      <c r="C461" s="176"/>
      <c r="D461" s="176"/>
      <c r="E461" s="176"/>
      <c r="F461" s="176"/>
      <c r="G461" s="176"/>
      <c r="H461" s="176"/>
      <c r="I461" s="177"/>
      <c r="J461" s="176"/>
      <c r="K461" s="176"/>
      <c r="L461" s="176"/>
      <c r="M461" s="176"/>
      <c r="N461" s="176"/>
      <c r="O461" s="177"/>
      <c r="P461" s="176"/>
      <c r="Q461" s="176"/>
      <c r="R461" s="176"/>
      <c r="S461" s="177"/>
      <c r="T461" s="176"/>
      <c r="U461" s="177"/>
      <c r="V461" s="176"/>
      <c r="W461" s="177"/>
      <c r="X461" s="53"/>
      <c r="Y461" s="151"/>
      <c r="Z461" s="151"/>
      <c r="AA461" s="151"/>
      <c r="AB461" s="151"/>
    </row>
    <row r="462" spans="1:28" ht="13">
      <c r="A462" s="170"/>
      <c r="B462" s="59"/>
      <c r="C462" s="179"/>
      <c r="D462" s="179"/>
      <c r="E462" s="179"/>
      <c r="F462" s="179"/>
      <c r="G462" s="179"/>
      <c r="H462" s="179"/>
      <c r="I462" s="180"/>
      <c r="J462" s="179"/>
      <c r="K462" s="179"/>
      <c r="L462" s="179"/>
      <c r="M462" s="179"/>
      <c r="N462" s="179"/>
      <c r="O462" s="180"/>
      <c r="P462" s="179"/>
      <c r="Q462" s="179"/>
      <c r="R462" s="179"/>
      <c r="S462" s="180"/>
      <c r="T462" s="179"/>
      <c r="U462" s="180"/>
      <c r="V462" s="179"/>
      <c r="W462" s="180"/>
      <c r="X462" s="53"/>
      <c r="Y462" s="151"/>
      <c r="Z462" s="151"/>
      <c r="AA462" s="151"/>
      <c r="AB462" s="151"/>
    </row>
    <row r="463" spans="1:28" s="173" customFormat="1" ht="13">
      <c r="A463" s="170"/>
      <c r="B463" s="94"/>
      <c r="C463" s="171"/>
      <c r="D463" s="171"/>
      <c r="E463" s="171"/>
      <c r="F463" s="171"/>
      <c r="G463" s="171"/>
      <c r="H463" s="171"/>
      <c r="I463" s="172"/>
      <c r="J463" s="171"/>
      <c r="K463" s="171"/>
      <c r="L463" s="171"/>
      <c r="M463" s="171"/>
      <c r="N463" s="171"/>
      <c r="O463" s="172"/>
      <c r="P463" s="171"/>
      <c r="Q463" s="171"/>
      <c r="R463" s="171"/>
      <c r="S463" s="172"/>
      <c r="T463" s="171"/>
      <c r="U463" s="172"/>
      <c r="V463" s="171"/>
      <c r="W463" s="172"/>
      <c r="X463" s="53"/>
      <c r="Y463" s="151"/>
      <c r="Z463" s="151"/>
      <c r="AA463" s="151"/>
      <c r="AB463" s="151"/>
    </row>
    <row r="464" spans="1:28" s="178" customFormat="1" ht="13">
      <c r="A464" s="170"/>
      <c r="B464" s="175"/>
      <c r="C464" s="176"/>
      <c r="D464" s="176"/>
      <c r="E464" s="176"/>
      <c r="F464" s="176"/>
      <c r="G464" s="176"/>
      <c r="H464" s="176"/>
      <c r="I464" s="177"/>
      <c r="J464" s="176"/>
      <c r="K464" s="176"/>
      <c r="L464" s="176"/>
      <c r="M464" s="176"/>
      <c r="N464" s="176"/>
      <c r="O464" s="177"/>
      <c r="P464" s="176"/>
      <c r="Q464" s="176"/>
      <c r="R464" s="176"/>
      <c r="S464" s="177"/>
      <c r="T464" s="176"/>
      <c r="U464" s="177"/>
      <c r="V464" s="176"/>
      <c r="W464" s="177"/>
      <c r="X464" s="53"/>
      <c r="Y464" s="151"/>
      <c r="Z464" s="151"/>
      <c r="AA464" s="151"/>
      <c r="AB464" s="151"/>
    </row>
    <row r="465" spans="1:28" ht="13">
      <c r="A465" s="170"/>
      <c r="B465" s="59"/>
      <c r="C465" s="179"/>
      <c r="D465" s="179"/>
      <c r="E465" s="179"/>
      <c r="F465" s="179"/>
      <c r="G465" s="179"/>
      <c r="H465" s="179"/>
      <c r="I465" s="180"/>
      <c r="J465" s="179"/>
      <c r="K465" s="179"/>
      <c r="L465" s="179"/>
      <c r="M465" s="179"/>
      <c r="N465" s="179"/>
      <c r="O465" s="180"/>
      <c r="P465" s="179"/>
      <c r="Q465" s="179"/>
      <c r="R465" s="179"/>
      <c r="S465" s="180"/>
      <c r="T465" s="179"/>
      <c r="U465" s="180"/>
      <c r="V465" s="179"/>
      <c r="W465" s="180"/>
      <c r="X465" s="53"/>
      <c r="Y465" s="151"/>
      <c r="Z465" s="151"/>
      <c r="AA465" s="151"/>
      <c r="AB465" s="151"/>
    </row>
    <row r="466" spans="1:28" s="173" customFormat="1" ht="13">
      <c r="A466" s="170"/>
      <c r="B466" s="94"/>
      <c r="C466" s="171"/>
      <c r="D466" s="171"/>
      <c r="E466" s="171"/>
      <c r="F466" s="171"/>
      <c r="G466" s="171"/>
      <c r="H466" s="171"/>
      <c r="I466" s="172"/>
      <c r="J466" s="171"/>
      <c r="K466" s="171"/>
      <c r="L466" s="171"/>
      <c r="M466" s="171"/>
      <c r="N466" s="171"/>
      <c r="O466" s="172"/>
      <c r="P466" s="171"/>
      <c r="Q466" s="171"/>
      <c r="R466" s="171"/>
      <c r="S466" s="172"/>
      <c r="T466" s="171"/>
      <c r="U466" s="172"/>
      <c r="V466" s="171"/>
      <c r="W466" s="172"/>
      <c r="X466" s="53"/>
      <c r="Y466" s="151"/>
      <c r="Z466" s="151"/>
      <c r="AA466" s="151"/>
      <c r="AB466" s="151"/>
    </row>
    <row r="467" spans="1:28" s="178" customFormat="1" ht="13">
      <c r="A467" s="170"/>
      <c r="B467" s="175"/>
      <c r="C467" s="176"/>
      <c r="D467" s="176"/>
      <c r="E467" s="176"/>
      <c r="F467" s="176"/>
      <c r="G467" s="176"/>
      <c r="H467" s="176"/>
      <c r="I467" s="177"/>
      <c r="J467" s="176"/>
      <c r="K467" s="176"/>
      <c r="L467" s="176"/>
      <c r="M467" s="176"/>
      <c r="N467" s="176"/>
      <c r="O467" s="177"/>
      <c r="P467" s="176"/>
      <c r="Q467" s="176"/>
      <c r="R467" s="176"/>
      <c r="S467" s="177"/>
      <c r="T467" s="181"/>
      <c r="U467" s="177"/>
      <c r="V467" s="176"/>
      <c r="W467" s="177"/>
      <c r="X467" s="89"/>
      <c r="Y467" s="151"/>
      <c r="Z467" s="151"/>
      <c r="AA467" s="151"/>
      <c r="AB467" s="151"/>
    </row>
    <row r="468" spans="1:28" ht="13">
      <c r="A468" s="170"/>
      <c r="B468" s="59"/>
      <c r="C468" s="179"/>
      <c r="D468" s="179"/>
      <c r="E468" s="179"/>
      <c r="F468" s="179"/>
      <c r="G468" s="179"/>
      <c r="H468" s="179"/>
      <c r="I468" s="180"/>
      <c r="J468" s="179"/>
      <c r="K468" s="179"/>
      <c r="L468" s="179"/>
      <c r="M468" s="179"/>
      <c r="N468" s="179"/>
      <c r="O468" s="180"/>
      <c r="P468" s="179"/>
      <c r="Q468" s="179"/>
      <c r="R468" s="179"/>
      <c r="S468" s="180"/>
      <c r="T468" s="179"/>
      <c r="U468" s="180"/>
      <c r="V468" s="179"/>
      <c r="W468" s="180"/>
      <c r="X468" s="53"/>
      <c r="Y468" s="151"/>
      <c r="Z468" s="151"/>
      <c r="AA468" s="151"/>
      <c r="AB468" s="151"/>
    </row>
    <row r="469" spans="1:28" s="173" customFormat="1" ht="13">
      <c r="A469" s="170"/>
      <c r="B469" s="94"/>
      <c r="C469" s="171"/>
      <c r="D469" s="171"/>
      <c r="E469" s="171"/>
      <c r="F469" s="171"/>
      <c r="G469" s="171"/>
      <c r="H469" s="171"/>
      <c r="I469" s="172"/>
      <c r="J469" s="171"/>
      <c r="K469" s="171"/>
      <c r="L469" s="171"/>
      <c r="M469" s="171"/>
      <c r="N469" s="171"/>
      <c r="O469" s="172"/>
      <c r="P469" s="171"/>
      <c r="Q469" s="171"/>
      <c r="R469" s="171"/>
      <c r="S469" s="172"/>
      <c r="T469" s="171"/>
      <c r="U469" s="172"/>
      <c r="V469" s="171"/>
      <c r="W469" s="172"/>
      <c r="X469" s="53"/>
      <c r="Y469" s="151"/>
      <c r="Z469" s="151"/>
      <c r="AA469" s="151"/>
      <c r="AB469" s="151"/>
    </row>
    <row r="470" spans="1:28" s="178" customFormat="1" ht="13">
      <c r="A470" s="170"/>
      <c r="B470" s="175"/>
      <c r="C470" s="176"/>
      <c r="D470" s="176"/>
      <c r="E470" s="176"/>
      <c r="F470" s="176"/>
      <c r="G470" s="176"/>
      <c r="H470" s="176"/>
      <c r="I470" s="177"/>
      <c r="J470" s="176"/>
      <c r="K470" s="176"/>
      <c r="L470" s="176"/>
      <c r="M470" s="176"/>
      <c r="N470" s="176"/>
      <c r="O470" s="177"/>
      <c r="P470" s="176"/>
      <c r="Q470" s="176"/>
      <c r="R470" s="176"/>
      <c r="S470" s="177"/>
      <c r="T470" s="176"/>
      <c r="U470" s="177"/>
      <c r="V470" s="176"/>
      <c r="W470" s="177"/>
      <c r="X470" s="53"/>
      <c r="Y470" s="151"/>
      <c r="Z470" s="151"/>
      <c r="AA470" s="151"/>
      <c r="AB470" s="151"/>
    </row>
    <row r="471" spans="1:28" ht="13">
      <c r="A471" s="170"/>
      <c r="B471" s="59"/>
      <c r="C471" s="179"/>
      <c r="D471" s="179"/>
      <c r="E471" s="179"/>
      <c r="F471" s="179"/>
      <c r="G471" s="179"/>
      <c r="H471" s="179"/>
      <c r="I471" s="180"/>
      <c r="J471" s="179"/>
      <c r="K471" s="179"/>
      <c r="L471" s="179"/>
      <c r="M471" s="179"/>
      <c r="N471" s="179"/>
      <c r="O471" s="180"/>
      <c r="P471" s="179"/>
      <c r="Q471" s="179"/>
      <c r="R471" s="179"/>
      <c r="S471" s="180"/>
      <c r="T471" s="179"/>
      <c r="U471" s="180"/>
      <c r="V471" s="179"/>
      <c r="W471" s="180"/>
      <c r="X471" s="53"/>
      <c r="Y471" s="151"/>
      <c r="Z471" s="151"/>
      <c r="AA471" s="151"/>
      <c r="AB471" s="151"/>
    </row>
    <row r="472" spans="1:28" s="173" customFormat="1" ht="13">
      <c r="A472" s="170"/>
      <c r="B472" s="94"/>
      <c r="C472" s="171"/>
      <c r="D472" s="171"/>
      <c r="E472" s="171"/>
      <c r="F472" s="171"/>
      <c r="G472" s="171"/>
      <c r="H472" s="171"/>
      <c r="I472" s="172"/>
      <c r="J472" s="171"/>
      <c r="K472" s="171"/>
      <c r="L472" s="171"/>
      <c r="M472" s="171"/>
      <c r="N472" s="171"/>
      <c r="O472" s="172"/>
      <c r="P472" s="171"/>
      <c r="Q472" s="171"/>
      <c r="R472" s="171"/>
      <c r="S472" s="172"/>
      <c r="T472" s="171"/>
      <c r="U472" s="172"/>
      <c r="V472" s="171"/>
      <c r="W472" s="172"/>
      <c r="X472" s="53"/>
      <c r="Y472" s="151"/>
      <c r="Z472" s="151"/>
      <c r="AA472" s="151"/>
      <c r="AB472" s="151"/>
    </row>
    <row r="473" spans="1:28" s="192" customFormat="1" ht="13.5" thickBot="1">
      <c r="A473" s="186"/>
      <c r="B473" s="187"/>
      <c r="C473" s="188"/>
      <c r="D473" s="188"/>
      <c r="E473" s="188"/>
      <c r="F473" s="188"/>
      <c r="G473" s="188"/>
      <c r="H473" s="188"/>
      <c r="I473" s="189"/>
      <c r="J473" s="188"/>
      <c r="K473" s="188"/>
      <c r="L473" s="188"/>
      <c r="M473" s="188"/>
      <c r="N473" s="188"/>
      <c r="O473" s="189"/>
      <c r="P473" s="188"/>
      <c r="Q473" s="188"/>
      <c r="R473" s="188"/>
      <c r="S473" s="189"/>
      <c r="T473" s="188"/>
      <c r="U473" s="189"/>
      <c r="V473" s="188"/>
      <c r="W473" s="189"/>
      <c r="X473" s="53"/>
      <c r="Y473" s="151"/>
      <c r="Z473" s="151"/>
      <c r="AA473" s="151"/>
      <c r="AB473" s="151"/>
    </row>
    <row r="474" spans="1:28" ht="13.5" thickTop="1">
      <c r="A474" s="147"/>
      <c r="B474" s="167"/>
      <c r="C474" s="168"/>
      <c r="D474" s="168"/>
      <c r="E474" s="168"/>
      <c r="F474" s="168"/>
      <c r="G474" s="168"/>
      <c r="H474" s="168"/>
      <c r="I474" s="169"/>
      <c r="J474" s="168"/>
      <c r="K474" s="168"/>
      <c r="L474" s="168"/>
      <c r="M474" s="168"/>
      <c r="N474" s="168"/>
      <c r="O474" s="169"/>
      <c r="P474" s="168"/>
      <c r="Q474" s="168"/>
      <c r="R474" s="168"/>
      <c r="S474" s="169"/>
      <c r="T474" s="168"/>
      <c r="U474" s="169"/>
      <c r="V474" s="168"/>
      <c r="W474" s="169"/>
      <c r="X474" s="53"/>
      <c r="Y474" s="151"/>
      <c r="Z474" s="151"/>
      <c r="AA474" s="151"/>
      <c r="AB474" s="151"/>
    </row>
    <row r="475" spans="1:28" s="173" customFormat="1" ht="13">
      <c r="A475" s="170"/>
      <c r="B475" s="94"/>
      <c r="C475" s="171"/>
      <c r="D475" s="171"/>
      <c r="E475" s="171"/>
      <c r="F475" s="171"/>
      <c r="G475" s="171"/>
      <c r="H475" s="171"/>
      <c r="I475" s="172"/>
      <c r="J475" s="171"/>
      <c r="K475" s="171"/>
      <c r="L475" s="171"/>
      <c r="M475" s="171"/>
      <c r="N475" s="171"/>
      <c r="O475" s="172"/>
      <c r="P475" s="171"/>
      <c r="Q475" s="171"/>
      <c r="R475" s="171"/>
      <c r="S475" s="172"/>
      <c r="T475" s="171"/>
      <c r="U475" s="172"/>
      <c r="V475" s="171"/>
      <c r="W475" s="172"/>
      <c r="X475" s="53"/>
      <c r="Y475" s="151"/>
      <c r="Z475" s="151"/>
      <c r="AA475" s="151"/>
      <c r="AB475" s="151"/>
    </row>
    <row r="476" spans="1:28" s="178" customFormat="1" ht="13">
      <c r="A476" s="174"/>
      <c r="B476" s="175"/>
      <c r="C476" s="176"/>
      <c r="D476" s="176"/>
      <c r="E476" s="176"/>
      <c r="F476" s="176"/>
      <c r="G476" s="176"/>
      <c r="H476" s="176"/>
      <c r="I476" s="177"/>
      <c r="J476" s="176"/>
      <c r="K476" s="176"/>
      <c r="L476" s="176"/>
      <c r="M476" s="176"/>
      <c r="N476" s="176"/>
      <c r="O476" s="177"/>
      <c r="P476" s="176"/>
      <c r="Q476" s="176"/>
      <c r="R476" s="176"/>
      <c r="S476" s="177"/>
      <c r="T476" s="176"/>
      <c r="U476" s="177"/>
      <c r="V476" s="176"/>
      <c r="W476" s="177"/>
      <c r="X476" s="53"/>
      <c r="Y476" s="151"/>
      <c r="Z476" s="151"/>
      <c r="AA476" s="151"/>
      <c r="AB476" s="151"/>
    </row>
    <row r="477" spans="1:28" ht="13">
      <c r="A477" s="170"/>
      <c r="B477" s="59"/>
      <c r="C477" s="179"/>
      <c r="D477" s="179"/>
      <c r="E477" s="179"/>
      <c r="F477" s="179"/>
      <c r="G477" s="179"/>
      <c r="H477" s="179"/>
      <c r="I477" s="180"/>
      <c r="J477" s="179"/>
      <c r="K477" s="179"/>
      <c r="L477" s="179"/>
      <c r="M477" s="179"/>
      <c r="N477" s="179"/>
      <c r="O477" s="180"/>
      <c r="P477" s="179"/>
      <c r="Q477" s="179"/>
      <c r="R477" s="179"/>
      <c r="S477" s="180"/>
      <c r="T477" s="179"/>
      <c r="U477" s="180"/>
      <c r="V477" s="179"/>
      <c r="W477" s="180"/>
      <c r="X477" s="53"/>
      <c r="Y477" s="151"/>
      <c r="Z477" s="151"/>
      <c r="AA477" s="151"/>
      <c r="AB477" s="151"/>
    </row>
    <row r="478" spans="1:28" s="173" customFormat="1" ht="13">
      <c r="A478" s="170"/>
      <c r="B478" s="94"/>
      <c r="C478" s="171"/>
      <c r="D478" s="171"/>
      <c r="E478" s="171"/>
      <c r="F478" s="171"/>
      <c r="G478" s="171"/>
      <c r="H478" s="171"/>
      <c r="I478" s="172"/>
      <c r="J478" s="171"/>
      <c r="K478" s="171"/>
      <c r="L478" s="171"/>
      <c r="M478" s="171"/>
      <c r="N478" s="171"/>
      <c r="O478" s="172"/>
      <c r="P478" s="171"/>
      <c r="Q478" s="171"/>
      <c r="R478" s="171"/>
      <c r="S478" s="172"/>
      <c r="T478" s="171"/>
      <c r="U478" s="172"/>
      <c r="V478" s="171"/>
      <c r="W478" s="172"/>
      <c r="X478" s="53"/>
      <c r="Y478" s="151"/>
      <c r="Z478" s="151"/>
      <c r="AA478" s="151"/>
      <c r="AB478" s="151"/>
    </row>
    <row r="479" spans="1:28" s="178" customFormat="1" ht="13">
      <c r="A479" s="170"/>
      <c r="B479" s="175"/>
      <c r="C479" s="176"/>
      <c r="D479" s="176"/>
      <c r="E479" s="176"/>
      <c r="F479" s="176"/>
      <c r="G479" s="176"/>
      <c r="H479" s="176"/>
      <c r="I479" s="177"/>
      <c r="J479" s="176"/>
      <c r="K479" s="176"/>
      <c r="L479" s="176"/>
      <c r="M479" s="176"/>
      <c r="N479" s="176"/>
      <c r="O479" s="177"/>
      <c r="P479" s="176"/>
      <c r="Q479" s="176"/>
      <c r="R479" s="176"/>
      <c r="S479" s="177"/>
      <c r="T479" s="176"/>
      <c r="U479" s="177"/>
      <c r="V479" s="176"/>
      <c r="W479" s="177"/>
      <c r="X479" s="53"/>
      <c r="Y479" s="151"/>
      <c r="Z479" s="151"/>
      <c r="AA479" s="151"/>
      <c r="AB479" s="151"/>
    </row>
    <row r="480" spans="1:28" ht="13">
      <c r="A480" s="170"/>
      <c r="B480" s="59"/>
      <c r="C480" s="179"/>
      <c r="D480" s="179"/>
      <c r="E480" s="179"/>
      <c r="F480" s="179"/>
      <c r="G480" s="179"/>
      <c r="H480" s="179"/>
      <c r="I480" s="180"/>
      <c r="J480" s="179"/>
      <c r="K480" s="179"/>
      <c r="L480" s="179"/>
      <c r="M480" s="179"/>
      <c r="N480" s="179"/>
      <c r="O480" s="180"/>
      <c r="P480" s="179"/>
      <c r="Q480" s="179"/>
      <c r="R480" s="179"/>
      <c r="S480" s="180"/>
      <c r="T480" s="179"/>
      <c r="U480" s="180"/>
      <c r="V480" s="179"/>
      <c r="W480" s="180"/>
      <c r="X480" s="53"/>
      <c r="Y480" s="151"/>
      <c r="Z480" s="151"/>
      <c r="AA480" s="151"/>
      <c r="AB480" s="151"/>
    </row>
    <row r="481" spans="1:28" s="173" customFormat="1" ht="13">
      <c r="A481" s="170"/>
      <c r="B481" s="94"/>
      <c r="C481" s="171"/>
      <c r="D481" s="171"/>
      <c r="E481" s="171"/>
      <c r="F481" s="171"/>
      <c r="G481" s="171"/>
      <c r="H481" s="171"/>
      <c r="I481" s="172"/>
      <c r="J481" s="171"/>
      <c r="K481" s="171"/>
      <c r="L481" s="171"/>
      <c r="M481" s="171"/>
      <c r="N481" s="171"/>
      <c r="O481" s="172"/>
      <c r="P481" s="171"/>
      <c r="Q481" s="171"/>
      <c r="R481" s="171"/>
      <c r="S481" s="172"/>
      <c r="T481" s="171"/>
      <c r="U481" s="172"/>
      <c r="V481" s="171"/>
      <c r="W481" s="172"/>
      <c r="X481" s="53"/>
      <c r="Y481" s="151"/>
      <c r="Z481" s="151"/>
      <c r="AA481" s="151"/>
      <c r="AB481" s="151"/>
    </row>
    <row r="482" spans="1:28" s="178" customFormat="1" ht="13">
      <c r="A482" s="170"/>
      <c r="B482" s="175"/>
      <c r="C482" s="176"/>
      <c r="D482" s="176"/>
      <c r="E482" s="176"/>
      <c r="F482" s="176"/>
      <c r="G482" s="176"/>
      <c r="H482" s="176"/>
      <c r="I482" s="177"/>
      <c r="J482" s="176"/>
      <c r="K482" s="176"/>
      <c r="L482" s="176"/>
      <c r="M482" s="176"/>
      <c r="N482" s="176"/>
      <c r="O482" s="177"/>
      <c r="P482" s="176"/>
      <c r="Q482" s="176"/>
      <c r="R482" s="176"/>
      <c r="S482" s="177"/>
      <c r="T482" s="176"/>
      <c r="U482" s="177"/>
      <c r="V482" s="176"/>
      <c r="W482" s="177"/>
      <c r="X482" s="53"/>
      <c r="Y482" s="151"/>
      <c r="Z482" s="151"/>
      <c r="AA482" s="151"/>
      <c r="AB482" s="151"/>
    </row>
    <row r="483" spans="1:28" ht="13">
      <c r="A483" s="170"/>
      <c r="B483" s="59"/>
      <c r="C483" s="179"/>
      <c r="D483" s="179"/>
      <c r="E483" s="179"/>
      <c r="F483" s="179"/>
      <c r="G483" s="179"/>
      <c r="H483" s="179"/>
      <c r="I483" s="180"/>
      <c r="J483" s="179"/>
      <c r="K483" s="179"/>
      <c r="L483" s="179"/>
      <c r="M483" s="179"/>
      <c r="N483" s="179"/>
      <c r="O483" s="180"/>
      <c r="P483" s="179"/>
      <c r="Q483" s="179"/>
      <c r="R483" s="179"/>
      <c r="S483" s="180"/>
      <c r="T483" s="179"/>
      <c r="U483" s="180"/>
      <c r="V483" s="179"/>
      <c r="W483" s="180"/>
      <c r="X483" s="53"/>
      <c r="Y483" s="151"/>
      <c r="Z483" s="151"/>
      <c r="AA483" s="151"/>
      <c r="AB483" s="151"/>
    </row>
    <row r="484" spans="1:28" s="173" customFormat="1" ht="13">
      <c r="A484" s="170"/>
      <c r="B484" s="94"/>
      <c r="C484" s="171"/>
      <c r="D484" s="171"/>
      <c r="E484" s="171"/>
      <c r="F484" s="171"/>
      <c r="G484" s="171"/>
      <c r="H484" s="171"/>
      <c r="I484" s="172"/>
      <c r="J484" s="171"/>
      <c r="K484" s="171"/>
      <c r="L484" s="171"/>
      <c r="M484" s="171"/>
      <c r="N484" s="171"/>
      <c r="O484" s="172"/>
      <c r="P484" s="171"/>
      <c r="Q484" s="171"/>
      <c r="R484" s="171"/>
      <c r="S484" s="172"/>
      <c r="T484" s="171"/>
      <c r="U484" s="172"/>
      <c r="V484" s="171"/>
      <c r="W484" s="172"/>
      <c r="X484" s="53"/>
      <c r="Y484" s="151"/>
      <c r="Z484" s="151"/>
      <c r="AA484" s="151"/>
      <c r="AB484" s="151"/>
    </row>
    <row r="485" spans="1:28" s="178" customFormat="1" ht="13">
      <c r="A485" s="170"/>
      <c r="B485" s="175"/>
      <c r="C485" s="176"/>
      <c r="D485" s="176"/>
      <c r="E485" s="176"/>
      <c r="F485" s="176"/>
      <c r="G485" s="176"/>
      <c r="H485" s="176"/>
      <c r="I485" s="177"/>
      <c r="J485" s="176"/>
      <c r="K485" s="176"/>
      <c r="L485" s="176"/>
      <c r="M485" s="176"/>
      <c r="N485" s="176"/>
      <c r="O485" s="177"/>
      <c r="P485" s="176"/>
      <c r="Q485" s="176"/>
      <c r="R485" s="176"/>
      <c r="S485" s="177"/>
      <c r="T485" s="176"/>
      <c r="U485" s="177"/>
      <c r="V485" s="176"/>
      <c r="W485" s="177"/>
      <c r="X485" s="53"/>
      <c r="Y485" s="151"/>
      <c r="Z485" s="151"/>
      <c r="AA485" s="151"/>
      <c r="AB485" s="151"/>
    </row>
    <row r="486" spans="1:28" ht="13">
      <c r="A486" s="170"/>
      <c r="B486" s="59"/>
      <c r="C486" s="179"/>
      <c r="D486" s="179"/>
      <c r="E486" s="179"/>
      <c r="F486" s="179"/>
      <c r="G486" s="179"/>
      <c r="H486" s="179"/>
      <c r="I486" s="180"/>
      <c r="J486" s="179"/>
      <c r="K486" s="179"/>
      <c r="L486" s="179"/>
      <c r="M486" s="179"/>
      <c r="N486" s="179"/>
      <c r="O486" s="180"/>
      <c r="P486" s="179"/>
      <c r="Q486" s="179"/>
      <c r="R486" s="179"/>
      <c r="S486" s="180"/>
      <c r="T486" s="179"/>
      <c r="U486" s="180"/>
      <c r="V486" s="179"/>
      <c r="W486" s="180"/>
      <c r="X486" s="53"/>
      <c r="Y486" s="151"/>
      <c r="Z486" s="151"/>
      <c r="AA486" s="151"/>
      <c r="AB486" s="151"/>
    </row>
    <row r="487" spans="1:28" s="173" customFormat="1" ht="13">
      <c r="A487" s="170"/>
      <c r="B487" s="94"/>
      <c r="C487" s="171"/>
      <c r="D487" s="171"/>
      <c r="E487" s="171"/>
      <c r="F487" s="171"/>
      <c r="G487" s="171"/>
      <c r="H487" s="171"/>
      <c r="I487" s="172"/>
      <c r="J487" s="171"/>
      <c r="K487" s="171"/>
      <c r="L487" s="171"/>
      <c r="M487" s="171"/>
      <c r="N487" s="171"/>
      <c r="O487" s="172"/>
      <c r="P487" s="171"/>
      <c r="Q487" s="171"/>
      <c r="R487" s="171"/>
      <c r="S487" s="172"/>
      <c r="T487" s="171"/>
      <c r="U487" s="172"/>
      <c r="V487" s="171"/>
      <c r="W487" s="172"/>
      <c r="X487" s="53"/>
      <c r="Y487" s="151"/>
      <c r="Z487" s="151"/>
      <c r="AA487" s="151"/>
      <c r="AB487" s="151"/>
    </row>
    <row r="488" spans="1:28" s="178" customFormat="1" ht="13">
      <c r="A488" s="170"/>
      <c r="B488" s="175"/>
      <c r="C488" s="176"/>
      <c r="D488" s="176"/>
      <c r="E488" s="176"/>
      <c r="F488" s="176"/>
      <c r="G488" s="176"/>
      <c r="H488" s="176"/>
      <c r="I488" s="177"/>
      <c r="J488" s="176"/>
      <c r="K488" s="176"/>
      <c r="L488" s="176"/>
      <c r="M488" s="176"/>
      <c r="N488" s="176"/>
      <c r="O488" s="177"/>
      <c r="P488" s="176"/>
      <c r="Q488" s="176"/>
      <c r="R488" s="176"/>
      <c r="S488" s="177"/>
      <c r="T488" s="176"/>
      <c r="U488" s="177"/>
      <c r="V488" s="176"/>
      <c r="W488" s="177"/>
      <c r="X488" s="53"/>
      <c r="Y488" s="151"/>
      <c r="Z488" s="151"/>
      <c r="AA488" s="151"/>
      <c r="AB488" s="151"/>
    </row>
    <row r="489" spans="1:28" ht="13">
      <c r="A489" s="170"/>
      <c r="B489" s="183"/>
      <c r="C489" s="180"/>
      <c r="D489" s="180"/>
      <c r="E489" s="180"/>
      <c r="F489" s="180"/>
      <c r="G489" s="180"/>
      <c r="H489" s="180"/>
      <c r="I489" s="180"/>
      <c r="J489" s="180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53"/>
      <c r="Y489" s="151"/>
      <c r="Z489" s="151"/>
      <c r="AA489" s="151"/>
      <c r="AB489" s="151"/>
    </row>
    <row r="490" spans="1:28" s="173" customFormat="1" ht="13">
      <c r="A490" s="170"/>
      <c r="B490" s="184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  <c r="N490" s="172"/>
      <c r="O490" s="172"/>
      <c r="P490" s="172"/>
      <c r="Q490" s="172"/>
      <c r="R490" s="172"/>
      <c r="S490" s="172"/>
      <c r="T490" s="172"/>
      <c r="U490" s="172"/>
      <c r="V490" s="172"/>
      <c r="W490" s="172"/>
      <c r="X490" s="53"/>
      <c r="Y490" s="151"/>
      <c r="Z490" s="151"/>
      <c r="AA490" s="151"/>
      <c r="AB490" s="151"/>
    </row>
    <row r="491" spans="1:28" s="178" customFormat="1" ht="13">
      <c r="A491" s="170"/>
      <c r="B491" s="185"/>
      <c r="C491" s="177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53"/>
      <c r="Y491" s="151"/>
      <c r="Z491" s="151"/>
      <c r="AA491" s="151"/>
      <c r="AB491" s="151"/>
    </row>
    <row r="492" spans="1:28" ht="13">
      <c r="A492" s="170"/>
      <c r="B492" s="59"/>
      <c r="C492" s="179"/>
      <c r="D492" s="179"/>
      <c r="E492" s="179"/>
      <c r="F492" s="179"/>
      <c r="G492" s="179"/>
      <c r="H492" s="179"/>
      <c r="I492" s="180"/>
      <c r="J492" s="179"/>
      <c r="K492" s="179"/>
      <c r="L492" s="179"/>
      <c r="M492" s="179"/>
      <c r="N492" s="179"/>
      <c r="O492" s="180"/>
      <c r="P492" s="179"/>
      <c r="Q492" s="179"/>
      <c r="R492" s="179"/>
      <c r="S492" s="180"/>
      <c r="T492" s="179"/>
      <c r="U492" s="180"/>
      <c r="V492" s="179"/>
      <c r="W492" s="180"/>
      <c r="X492" s="53"/>
      <c r="Y492" s="151"/>
      <c r="Z492" s="151"/>
      <c r="AA492" s="151"/>
      <c r="AB492" s="151"/>
    </row>
    <row r="493" spans="1:28" s="173" customFormat="1" ht="13">
      <c r="A493" s="170"/>
      <c r="B493" s="94"/>
      <c r="C493" s="171"/>
      <c r="D493" s="171"/>
      <c r="E493" s="171"/>
      <c r="F493" s="171"/>
      <c r="G493" s="171"/>
      <c r="H493" s="171"/>
      <c r="I493" s="172"/>
      <c r="J493" s="171"/>
      <c r="K493" s="171"/>
      <c r="L493" s="171"/>
      <c r="M493" s="171"/>
      <c r="N493" s="171"/>
      <c r="O493" s="172"/>
      <c r="P493" s="171"/>
      <c r="Q493" s="171"/>
      <c r="R493" s="171"/>
      <c r="S493" s="172"/>
      <c r="T493" s="171"/>
      <c r="U493" s="172"/>
      <c r="V493" s="171"/>
      <c r="W493" s="172"/>
      <c r="X493" s="53"/>
      <c r="Y493" s="151"/>
      <c r="Z493" s="151"/>
      <c r="AA493" s="151"/>
      <c r="AB493" s="151"/>
    </row>
    <row r="494" spans="1:28" s="178" customFormat="1" ht="13">
      <c r="A494" s="170"/>
      <c r="B494" s="175"/>
      <c r="C494" s="176"/>
      <c r="D494" s="176"/>
      <c r="E494" s="176"/>
      <c r="F494" s="176"/>
      <c r="G494" s="176"/>
      <c r="H494" s="176"/>
      <c r="I494" s="177"/>
      <c r="J494" s="176"/>
      <c r="K494" s="176"/>
      <c r="L494" s="176"/>
      <c r="M494" s="176"/>
      <c r="N494" s="176"/>
      <c r="O494" s="177"/>
      <c r="P494" s="176"/>
      <c r="Q494" s="176"/>
      <c r="R494" s="176"/>
      <c r="S494" s="177"/>
      <c r="T494" s="176"/>
      <c r="U494" s="177"/>
      <c r="V494" s="176"/>
      <c r="W494" s="177"/>
      <c r="X494" s="53"/>
      <c r="Y494" s="151"/>
      <c r="Z494" s="151"/>
      <c r="AA494" s="151"/>
      <c r="AB494" s="151"/>
    </row>
    <row r="495" spans="1:28" ht="13">
      <c r="A495" s="170"/>
      <c r="B495" s="59"/>
      <c r="C495" s="179"/>
      <c r="D495" s="179"/>
      <c r="E495" s="179"/>
      <c r="F495" s="179"/>
      <c r="G495" s="179"/>
      <c r="H495" s="179"/>
      <c r="I495" s="180"/>
      <c r="J495" s="179"/>
      <c r="K495" s="179"/>
      <c r="L495" s="179"/>
      <c r="M495" s="179"/>
      <c r="N495" s="179"/>
      <c r="O495" s="180"/>
      <c r="P495" s="179"/>
      <c r="Q495" s="179"/>
      <c r="R495" s="179"/>
      <c r="S495" s="180"/>
      <c r="T495" s="179"/>
      <c r="U495" s="180"/>
      <c r="V495" s="179"/>
      <c r="W495" s="180"/>
      <c r="X495" s="53"/>
      <c r="Y495" s="151"/>
      <c r="Z495" s="151"/>
      <c r="AA495" s="151"/>
      <c r="AB495" s="151"/>
    </row>
    <row r="496" spans="1:28" s="173" customFormat="1" ht="13">
      <c r="A496" s="170"/>
      <c r="B496" s="94"/>
      <c r="C496" s="171"/>
      <c r="D496" s="171"/>
      <c r="E496" s="171"/>
      <c r="F496" s="171"/>
      <c r="G496" s="171"/>
      <c r="H496" s="171"/>
      <c r="I496" s="172"/>
      <c r="J496" s="171"/>
      <c r="K496" s="171"/>
      <c r="L496" s="171"/>
      <c r="M496" s="171"/>
      <c r="N496" s="171"/>
      <c r="O496" s="172"/>
      <c r="P496" s="171"/>
      <c r="Q496" s="171"/>
      <c r="R496" s="171"/>
      <c r="S496" s="172"/>
      <c r="T496" s="171"/>
      <c r="U496" s="172"/>
      <c r="V496" s="171"/>
      <c r="W496" s="172"/>
      <c r="X496" s="53"/>
      <c r="Y496" s="151"/>
      <c r="Z496" s="151"/>
      <c r="AA496" s="151"/>
      <c r="AB496" s="151"/>
    </row>
    <row r="497" spans="1:28" s="178" customFormat="1" ht="13">
      <c r="A497" s="170"/>
      <c r="B497" s="175"/>
      <c r="C497" s="176"/>
      <c r="D497" s="176"/>
      <c r="E497" s="176"/>
      <c r="F497" s="176"/>
      <c r="G497" s="176"/>
      <c r="H497" s="176"/>
      <c r="I497" s="177"/>
      <c r="J497" s="176"/>
      <c r="K497" s="176"/>
      <c r="L497" s="176"/>
      <c r="M497" s="176"/>
      <c r="N497" s="176"/>
      <c r="O497" s="177"/>
      <c r="P497" s="176"/>
      <c r="Q497" s="176"/>
      <c r="R497" s="176"/>
      <c r="S497" s="177"/>
      <c r="T497" s="181"/>
      <c r="U497" s="177"/>
      <c r="V497" s="176"/>
      <c r="W497" s="177"/>
      <c r="X497" s="53"/>
      <c r="Y497" s="151"/>
      <c r="Z497" s="151"/>
      <c r="AA497" s="151"/>
      <c r="AB497" s="151"/>
    </row>
    <row r="498" spans="1:28" ht="13">
      <c r="A498" s="170"/>
      <c r="B498" s="59"/>
      <c r="C498" s="179"/>
      <c r="D498" s="179"/>
      <c r="E498" s="179"/>
      <c r="F498" s="179"/>
      <c r="G498" s="179"/>
      <c r="H498" s="179"/>
      <c r="I498" s="180"/>
      <c r="J498" s="179"/>
      <c r="K498" s="179"/>
      <c r="L498" s="179"/>
      <c r="M498" s="179"/>
      <c r="N498" s="179"/>
      <c r="O498" s="180"/>
      <c r="P498" s="179"/>
      <c r="Q498" s="179"/>
      <c r="R498" s="179"/>
      <c r="S498" s="180"/>
      <c r="T498" s="179"/>
      <c r="U498" s="180"/>
      <c r="V498" s="179"/>
      <c r="W498" s="180"/>
      <c r="X498" s="53"/>
      <c r="Y498" s="151"/>
      <c r="Z498" s="151"/>
      <c r="AA498" s="151"/>
      <c r="AB498" s="151"/>
    </row>
    <row r="499" spans="1:28" s="173" customFormat="1" ht="13">
      <c r="A499" s="170"/>
      <c r="B499" s="94"/>
      <c r="C499" s="171"/>
      <c r="D499" s="171"/>
      <c r="E499" s="171"/>
      <c r="F499" s="171"/>
      <c r="G499" s="171"/>
      <c r="H499" s="171"/>
      <c r="I499" s="172"/>
      <c r="J499" s="171"/>
      <c r="K499" s="171"/>
      <c r="L499" s="171"/>
      <c r="M499" s="171"/>
      <c r="N499" s="171"/>
      <c r="O499" s="172"/>
      <c r="P499" s="171"/>
      <c r="Q499" s="171"/>
      <c r="R499" s="171"/>
      <c r="S499" s="172"/>
      <c r="T499" s="171"/>
      <c r="U499" s="172"/>
      <c r="V499" s="171"/>
      <c r="W499" s="172"/>
      <c r="X499" s="53"/>
      <c r="Y499" s="151"/>
      <c r="Z499" s="151"/>
      <c r="AA499" s="151"/>
      <c r="AB499" s="151"/>
    </row>
    <row r="500" spans="1:28" s="178" customFormat="1" ht="13">
      <c r="A500" s="170"/>
      <c r="B500" s="175"/>
      <c r="C500" s="176"/>
      <c r="D500" s="176"/>
      <c r="E500" s="176"/>
      <c r="F500" s="176"/>
      <c r="G500" s="176"/>
      <c r="H500" s="176"/>
      <c r="I500" s="177"/>
      <c r="J500" s="176"/>
      <c r="K500" s="176"/>
      <c r="L500" s="176"/>
      <c r="M500" s="176"/>
      <c r="N500" s="176"/>
      <c r="O500" s="177"/>
      <c r="P500" s="176"/>
      <c r="Q500" s="176"/>
      <c r="R500" s="176"/>
      <c r="S500" s="177"/>
      <c r="T500" s="176"/>
      <c r="U500" s="177"/>
      <c r="V500" s="176"/>
      <c r="W500" s="177"/>
      <c r="X500" s="53"/>
      <c r="Y500" s="151"/>
      <c r="Z500" s="151"/>
      <c r="AA500" s="151"/>
      <c r="AB500" s="151"/>
    </row>
    <row r="501" spans="1:28" ht="13">
      <c r="A501" s="170"/>
      <c r="B501" s="59"/>
      <c r="C501" s="179"/>
      <c r="D501" s="179"/>
      <c r="E501" s="179"/>
      <c r="F501" s="179"/>
      <c r="G501" s="179"/>
      <c r="H501" s="179"/>
      <c r="I501" s="180"/>
      <c r="J501" s="179"/>
      <c r="K501" s="179"/>
      <c r="L501" s="179"/>
      <c r="M501" s="179"/>
      <c r="N501" s="179"/>
      <c r="O501" s="180"/>
      <c r="P501" s="179"/>
      <c r="Q501" s="179"/>
      <c r="R501" s="179"/>
      <c r="S501" s="180"/>
      <c r="T501" s="179"/>
      <c r="U501" s="180"/>
      <c r="V501" s="179"/>
      <c r="W501" s="180"/>
      <c r="X501" s="53"/>
      <c r="Y501" s="151"/>
      <c r="Z501" s="151"/>
      <c r="AA501" s="151"/>
      <c r="AB501" s="151"/>
    </row>
    <row r="502" spans="1:28" s="173" customFormat="1" ht="13">
      <c r="A502" s="170"/>
      <c r="B502" s="94"/>
      <c r="C502" s="171"/>
      <c r="D502" s="171"/>
      <c r="E502" s="171"/>
      <c r="F502" s="171"/>
      <c r="G502" s="171"/>
      <c r="H502" s="171"/>
      <c r="I502" s="172"/>
      <c r="J502" s="171"/>
      <c r="K502" s="171"/>
      <c r="L502" s="171"/>
      <c r="M502" s="171"/>
      <c r="N502" s="171"/>
      <c r="O502" s="172"/>
      <c r="P502" s="171"/>
      <c r="Q502" s="171"/>
      <c r="R502" s="171"/>
      <c r="S502" s="172"/>
      <c r="T502" s="171"/>
      <c r="U502" s="172"/>
      <c r="V502" s="171"/>
      <c r="W502" s="172"/>
      <c r="X502" s="53"/>
      <c r="Y502" s="151"/>
      <c r="Z502" s="151"/>
      <c r="AA502" s="151"/>
      <c r="AB502" s="151"/>
    </row>
    <row r="503" spans="1:28" s="178" customFormat="1" ht="13">
      <c r="A503" s="170"/>
      <c r="B503" s="175"/>
      <c r="C503" s="176"/>
      <c r="D503" s="176"/>
      <c r="E503" s="176"/>
      <c r="F503" s="176"/>
      <c r="G503" s="176"/>
      <c r="H503" s="176"/>
      <c r="I503" s="177"/>
      <c r="J503" s="176"/>
      <c r="K503" s="176"/>
      <c r="L503" s="176"/>
      <c r="M503" s="176"/>
      <c r="N503" s="176"/>
      <c r="O503" s="177"/>
      <c r="P503" s="176"/>
      <c r="Q503" s="176"/>
      <c r="R503" s="176"/>
      <c r="S503" s="177"/>
      <c r="T503" s="181"/>
      <c r="U503" s="177"/>
      <c r="V503" s="176"/>
      <c r="W503" s="177"/>
      <c r="X503" s="53"/>
      <c r="Y503" s="151"/>
      <c r="Z503" s="151"/>
      <c r="AA503" s="151"/>
      <c r="AB503" s="151"/>
    </row>
    <row r="504" spans="1:28" ht="13">
      <c r="A504" s="170"/>
      <c r="B504" s="59"/>
      <c r="C504" s="179"/>
      <c r="D504" s="179"/>
      <c r="E504" s="179"/>
      <c r="F504" s="179"/>
      <c r="G504" s="179"/>
      <c r="H504" s="179"/>
      <c r="I504" s="180"/>
      <c r="J504" s="179"/>
      <c r="K504" s="179"/>
      <c r="L504" s="179"/>
      <c r="M504" s="179"/>
      <c r="N504" s="179"/>
      <c r="O504" s="180"/>
      <c r="P504" s="179"/>
      <c r="Q504" s="179"/>
      <c r="R504" s="179"/>
      <c r="S504" s="180"/>
      <c r="T504" s="179"/>
      <c r="U504" s="180"/>
      <c r="V504" s="179"/>
      <c r="W504" s="180"/>
      <c r="X504" s="53"/>
      <c r="Y504" s="151"/>
      <c r="Z504" s="151"/>
      <c r="AA504" s="151"/>
      <c r="AB504" s="151"/>
    </row>
    <row r="505" spans="1:28" s="173" customFormat="1" ht="13">
      <c r="A505" s="170"/>
      <c r="B505" s="94"/>
      <c r="C505" s="171"/>
      <c r="D505" s="171"/>
      <c r="E505" s="171"/>
      <c r="F505" s="171"/>
      <c r="G505" s="171"/>
      <c r="H505" s="171"/>
      <c r="I505" s="172"/>
      <c r="J505" s="171"/>
      <c r="K505" s="171"/>
      <c r="L505" s="171"/>
      <c r="M505" s="171"/>
      <c r="N505" s="171"/>
      <c r="O505" s="172"/>
      <c r="P505" s="171"/>
      <c r="Q505" s="171"/>
      <c r="R505" s="171"/>
      <c r="S505" s="172"/>
      <c r="T505" s="171"/>
      <c r="U505" s="172"/>
      <c r="V505" s="171"/>
      <c r="W505" s="172"/>
      <c r="X505" s="53"/>
      <c r="Y505" s="151"/>
      <c r="Z505" s="151"/>
      <c r="AA505" s="151"/>
      <c r="AB505" s="151"/>
    </row>
    <row r="506" spans="1:28" s="178" customFormat="1" ht="13">
      <c r="A506" s="170"/>
      <c r="B506" s="175"/>
      <c r="C506" s="176"/>
      <c r="D506" s="176"/>
      <c r="E506" s="176"/>
      <c r="F506" s="176"/>
      <c r="G506" s="176"/>
      <c r="H506" s="176"/>
      <c r="I506" s="177"/>
      <c r="J506" s="176"/>
      <c r="K506" s="176"/>
      <c r="L506" s="176"/>
      <c r="M506" s="176"/>
      <c r="N506" s="176"/>
      <c r="O506" s="177"/>
      <c r="P506" s="176"/>
      <c r="Q506" s="176"/>
      <c r="R506" s="176"/>
      <c r="S506" s="177"/>
      <c r="T506" s="176"/>
      <c r="U506" s="177"/>
      <c r="V506" s="176"/>
      <c r="W506" s="177"/>
      <c r="X506" s="53"/>
      <c r="Y506" s="151"/>
      <c r="Z506" s="151"/>
      <c r="AA506" s="151"/>
      <c r="AB506" s="151"/>
    </row>
    <row r="507" spans="1:28" ht="13">
      <c r="A507" s="170"/>
      <c r="B507" s="59"/>
      <c r="C507" s="179"/>
      <c r="D507" s="179"/>
      <c r="E507" s="179"/>
      <c r="F507" s="179"/>
      <c r="G507" s="179"/>
      <c r="H507" s="179"/>
      <c r="I507" s="180"/>
      <c r="J507" s="179"/>
      <c r="K507" s="179"/>
      <c r="L507" s="179"/>
      <c r="M507" s="179"/>
      <c r="N507" s="179"/>
      <c r="O507" s="180"/>
      <c r="P507" s="179"/>
      <c r="Q507" s="179"/>
      <c r="R507" s="179"/>
      <c r="S507" s="180"/>
      <c r="T507" s="179"/>
      <c r="U507" s="180"/>
      <c r="V507" s="179"/>
      <c r="W507" s="180"/>
      <c r="X507" s="53"/>
      <c r="Y507" s="151"/>
      <c r="Z507" s="151"/>
      <c r="AA507" s="151"/>
      <c r="AB507" s="151"/>
    </row>
    <row r="508" spans="1:28" s="173" customFormat="1" ht="13">
      <c r="A508" s="170"/>
      <c r="B508" s="94"/>
      <c r="C508" s="171"/>
      <c r="D508" s="171"/>
      <c r="E508" s="171"/>
      <c r="F508" s="171"/>
      <c r="G508" s="171"/>
      <c r="H508" s="171"/>
      <c r="I508" s="172"/>
      <c r="J508" s="171"/>
      <c r="K508" s="171"/>
      <c r="L508" s="171"/>
      <c r="M508" s="171"/>
      <c r="N508" s="171"/>
      <c r="O508" s="172"/>
      <c r="P508" s="171"/>
      <c r="Q508" s="171"/>
      <c r="R508" s="171"/>
      <c r="S508" s="172"/>
      <c r="T508" s="171"/>
      <c r="U508" s="172"/>
      <c r="V508" s="171"/>
      <c r="W508" s="172"/>
      <c r="X508" s="53"/>
      <c r="Y508" s="151"/>
      <c r="Z508" s="151"/>
      <c r="AA508" s="151"/>
      <c r="AB508" s="151"/>
    </row>
    <row r="509" spans="1:28" s="178" customFormat="1" ht="13">
      <c r="A509" s="170"/>
      <c r="B509" s="175"/>
      <c r="C509" s="176"/>
      <c r="D509" s="176"/>
      <c r="E509" s="176"/>
      <c r="F509" s="176"/>
      <c r="G509" s="176"/>
      <c r="H509" s="176"/>
      <c r="I509" s="177"/>
      <c r="J509" s="176"/>
      <c r="K509" s="176"/>
      <c r="L509" s="176"/>
      <c r="M509" s="176"/>
      <c r="N509" s="176"/>
      <c r="O509" s="177"/>
      <c r="P509" s="176"/>
      <c r="Q509" s="176"/>
      <c r="R509" s="176"/>
      <c r="S509" s="177"/>
      <c r="T509" s="176"/>
      <c r="U509" s="177"/>
      <c r="V509" s="176"/>
      <c r="W509" s="177"/>
      <c r="X509" s="53"/>
      <c r="Y509" s="151"/>
      <c r="Z509" s="151"/>
      <c r="AA509" s="151"/>
      <c r="AB509" s="151"/>
    </row>
    <row r="510" spans="1:28" ht="13">
      <c r="A510" s="170"/>
      <c r="B510" s="59"/>
      <c r="C510" s="179"/>
      <c r="D510" s="179"/>
      <c r="E510" s="179"/>
      <c r="F510" s="179"/>
      <c r="G510" s="179"/>
      <c r="H510" s="179"/>
      <c r="I510" s="180"/>
      <c r="J510" s="179"/>
      <c r="K510" s="179"/>
      <c r="L510" s="179"/>
      <c r="M510" s="179"/>
      <c r="N510" s="179"/>
      <c r="O510" s="180"/>
      <c r="P510" s="179"/>
      <c r="Q510" s="179"/>
      <c r="R510" s="179"/>
      <c r="S510" s="180"/>
      <c r="T510" s="179"/>
      <c r="U510" s="180"/>
      <c r="V510" s="179"/>
      <c r="W510" s="180"/>
      <c r="X510" s="53"/>
      <c r="Y510" s="151"/>
      <c r="Z510" s="151"/>
      <c r="AA510" s="151"/>
      <c r="AB510" s="151"/>
    </row>
    <row r="511" spans="1:28" s="173" customFormat="1" ht="13">
      <c r="A511" s="170"/>
      <c r="B511" s="94"/>
      <c r="C511" s="171"/>
      <c r="D511" s="171"/>
      <c r="E511" s="171"/>
      <c r="F511" s="171"/>
      <c r="G511" s="171"/>
      <c r="H511" s="171"/>
      <c r="I511" s="172"/>
      <c r="J511" s="171"/>
      <c r="K511" s="171"/>
      <c r="L511" s="171"/>
      <c r="M511" s="171"/>
      <c r="N511" s="171"/>
      <c r="O511" s="172"/>
      <c r="P511" s="171"/>
      <c r="Q511" s="171"/>
      <c r="R511" s="171"/>
      <c r="S511" s="172"/>
      <c r="T511" s="171"/>
      <c r="U511" s="172"/>
      <c r="V511" s="171"/>
      <c r="W511" s="172"/>
      <c r="X511" s="53"/>
      <c r="Y511" s="151"/>
      <c r="Z511" s="151"/>
      <c r="AA511" s="151"/>
      <c r="AB511" s="151"/>
    </row>
    <row r="512" spans="1:28" s="192" customFormat="1" ht="13.5" thickBot="1">
      <c r="A512" s="186"/>
      <c r="B512" s="187"/>
      <c r="C512" s="188"/>
      <c r="D512" s="188"/>
      <c r="E512" s="188"/>
      <c r="F512" s="188"/>
      <c r="G512" s="188"/>
      <c r="H512" s="188"/>
      <c r="I512" s="189"/>
      <c r="J512" s="188"/>
      <c r="K512" s="188"/>
      <c r="L512" s="188"/>
      <c r="M512" s="188"/>
      <c r="N512" s="188"/>
      <c r="O512" s="189"/>
      <c r="P512" s="188"/>
      <c r="Q512" s="188"/>
      <c r="R512" s="188"/>
      <c r="S512" s="189"/>
      <c r="T512" s="188"/>
      <c r="U512" s="189"/>
      <c r="V512" s="188"/>
      <c r="W512" s="189"/>
      <c r="X512" s="53"/>
      <c r="Y512" s="151"/>
      <c r="Z512" s="151"/>
      <c r="AA512" s="151"/>
      <c r="AB512" s="151"/>
    </row>
    <row r="513" spans="1:28" ht="13.5" thickTop="1">
      <c r="A513" s="147"/>
      <c r="B513" s="167"/>
      <c r="C513" s="168"/>
      <c r="D513" s="168"/>
      <c r="E513" s="168"/>
      <c r="F513" s="168"/>
      <c r="G513" s="168"/>
      <c r="H513" s="168"/>
      <c r="I513" s="169"/>
      <c r="J513" s="168"/>
      <c r="K513" s="168"/>
      <c r="L513" s="168"/>
      <c r="M513" s="168"/>
      <c r="N513" s="168"/>
      <c r="O513" s="169"/>
      <c r="P513" s="168"/>
      <c r="Q513" s="168"/>
      <c r="R513" s="168"/>
      <c r="S513" s="169"/>
      <c r="T513" s="168"/>
      <c r="U513" s="169"/>
      <c r="V513" s="168"/>
      <c r="W513" s="169"/>
      <c r="X513" s="53"/>
      <c r="Y513" s="151"/>
      <c r="Z513" s="151"/>
      <c r="AA513" s="151"/>
      <c r="AB513" s="151"/>
    </row>
    <row r="514" spans="1:28" s="173" customFormat="1" ht="13">
      <c r="A514" s="170"/>
      <c r="B514" s="94"/>
      <c r="C514" s="171"/>
      <c r="D514" s="171"/>
      <c r="E514" s="171"/>
      <c r="F514" s="171"/>
      <c r="G514" s="171"/>
      <c r="H514" s="171"/>
      <c r="I514" s="172"/>
      <c r="J514" s="171"/>
      <c r="K514" s="171"/>
      <c r="L514" s="171"/>
      <c r="M514" s="171"/>
      <c r="N514" s="171"/>
      <c r="O514" s="172"/>
      <c r="P514" s="171"/>
      <c r="Q514" s="171"/>
      <c r="R514" s="171"/>
      <c r="S514" s="172"/>
      <c r="T514" s="171"/>
      <c r="U514" s="172"/>
      <c r="V514" s="171"/>
      <c r="W514" s="172"/>
      <c r="X514" s="53"/>
      <c r="Y514" s="151"/>
      <c r="Z514" s="151"/>
      <c r="AA514" s="151"/>
      <c r="AB514" s="151"/>
    </row>
    <row r="515" spans="1:28" s="178" customFormat="1" ht="13">
      <c r="A515" s="174"/>
      <c r="B515" s="175"/>
      <c r="C515" s="176"/>
      <c r="D515" s="176"/>
      <c r="E515" s="176"/>
      <c r="F515" s="176"/>
      <c r="G515" s="176"/>
      <c r="H515" s="176"/>
      <c r="I515" s="177"/>
      <c r="J515" s="176"/>
      <c r="K515" s="176"/>
      <c r="L515" s="176"/>
      <c r="M515" s="176"/>
      <c r="N515" s="176"/>
      <c r="O515" s="177"/>
      <c r="P515" s="176"/>
      <c r="Q515" s="176"/>
      <c r="R515" s="176"/>
      <c r="S515" s="177"/>
      <c r="T515" s="176"/>
      <c r="U515" s="177"/>
      <c r="V515" s="176"/>
      <c r="W515" s="177"/>
      <c r="X515" s="53"/>
      <c r="Y515" s="151"/>
      <c r="Z515" s="151"/>
      <c r="AA515" s="151"/>
      <c r="AB515" s="151"/>
    </row>
    <row r="516" spans="1:28" ht="13">
      <c r="A516" s="170"/>
      <c r="B516" s="59"/>
      <c r="C516" s="179"/>
      <c r="D516" s="179"/>
      <c r="E516" s="179"/>
      <c r="F516" s="179"/>
      <c r="G516" s="179"/>
      <c r="H516" s="179"/>
      <c r="I516" s="180"/>
      <c r="J516" s="179"/>
      <c r="K516" s="179"/>
      <c r="L516" s="179"/>
      <c r="M516" s="179"/>
      <c r="N516" s="179"/>
      <c r="O516" s="180"/>
      <c r="P516" s="179"/>
      <c r="Q516" s="179"/>
      <c r="R516" s="179"/>
      <c r="S516" s="180"/>
      <c r="T516" s="179"/>
      <c r="U516" s="180"/>
      <c r="V516" s="179"/>
      <c r="W516" s="180"/>
      <c r="X516" s="53"/>
      <c r="Y516" s="151"/>
      <c r="Z516" s="151"/>
      <c r="AA516" s="151"/>
      <c r="AB516" s="151"/>
    </row>
    <row r="517" spans="1:28" s="173" customFormat="1" ht="13">
      <c r="A517" s="170"/>
      <c r="B517" s="94"/>
      <c r="C517" s="171"/>
      <c r="D517" s="171"/>
      <c r="E517" s="171"/>
      <c r="F517" s="171"/>
      <c r="G517" s="171"/>
      <c r="H517" s="171"/>
      <c r="I517" s="172"/>
      <c r="J517" s="171"/>
      <c r="K517" s="171"/>
      <c r="L517" s="171"/>
      <c r="M517" s="171"/>
      <c r="N517" s="171"/>
      <c r="O517" s="172"/>
      <c r="P517" s="171"/>
      <c r="Q517" s="171"/>
      <c r="R517" s="171"/>
      <c r="S517" s="172"/>
      <c r="T517" s="171"/>
      <c r="U517" s="172"/>
      <c r="V517" s="171"/>
      <c r="W517" s="172"/>
      <c r="X517" s="53"/>
      <c r="Y517" s="151"/>
      <c r="Z517" s="151"/>
      <c r="AA517" s="151"/>
      <c r="AB517" s="151"/>
    </row>
    <row r="518" spans="1:28" s="178" customFormat="1" ht="13">
      <c r="A518" s="170"/>
      <c r="B518" s="175"/>
      <c r="C518" s="176"/>
      <c r="D518" s="176"/>
      <c r="E518" s="176"/>
      <c r="F518" s="176"/>
      <c r="G518" s="176"/>
      <c r="H518" s="176"/>
      <c r="I518" s="177"/>
      <c r="J518" s="176"/>
      <c r="K518" s="176"/>
      <c r="L518" s="176"/>
      <c r="M518" s="176"/>
      <c r="N518" s="176"/>
      <c r="O518" s="177"/>
      <c r="P518" s="176"/>
      <c r="Q518" s="176"/>
      <c r="R518" s="176"/>
      <c r="S518" s="177"/>
      <c r="T518" s="176"/>
      <c r="U518" s="177"/>
      <c r="V518" s="176"/>
      <c r="W518" s="177"/>
      <c r="X518" s="53"/>
      <c r="Y518" s="151"/>
      <c r="Z518" s="151"/>
      <c r="AA518" s="151"/>
      <c r="AB518" s="151"/>
    </row>
    <row r="519" spans="1:28" ht="13">
      <c r="A519" s="170"/>
      <c r="B519" s="59"/>
      <c r="C519" s="179"/>
      <c r="D519" s="179"/>
      <c r="E519" s="179"/>
      <c r="F519" s="179"/>
      <c r="G519" s="179"/>
      <c r="H519" s="179"/>
      <c r="I519" s="180"/>
      <c r="J519" s="179"/>
      <c r="K519" s="179"/>
      <c r="L519" s="179"/>
      <c r="M519" s="179"/>
      <c r="N519" s="179"/>
      <c r="O519" s="180"/>
      <c r="P519" s="179"/>
      <c r="Q519" s="179"/>
      <c r="R519" s="179"/>
      <c r="S519" s="180"/>
      <c r="T519" s="179"/>
      <c r="U519" s="180"/>
      <c r="V519" s="179"/>
      <c r="W519" s="180"/>
      <c r="X519" s="53"/>
      <c r="Y519" s="151"/>
      <c r="Z519" s="151"/>
      <c r="AA519" s="151"/>
      <c r="AB519" s="151"/>
    </row>
    <row r="520" spans="1:28" s="173" customFormat="1" ht="13">
      <c r="A520" s="170"/>
      <c r="B520" s="94"/>
      <c r="C520" s="171"/>
      <c r="D520" s="171"/>
      <c r="E520" s="171"/>
      <c r="F520" s="171"/>
      <c r="G520" s="171"/>
      <c r="H520" s="171"/>
      <c r="I520" s="172"/>
      <c r="J520" s="171"/>
      <c r="K520" s="171"/>
      <c r="L520" s="171"/>
      <c r="M520" s="171"/>
      <c r="N520" s="171"/>
      <c r="O520" s="172"/>
      <c r="P520" s="171"/>
      <c r="Q520" s="171"/>
      <c r="R520" s="171"/>
      <c r="S520" s="172"/>
      <c r="T520" s="171"/>
      <c r="U520" s="172"/>
      <c r="V520" s="171"/>
      <c r="W520" s="172"/>
      <c r="X520" s="53"/>
      <c r="Y520" s="151"/>
      <c r="Z520" s="151"/>
      <c r="AA520" s="151"/>
      <c r="AB520" s="151"/>
    </row>
    <row r="521" spans="1:28" s="178" customFormat="1" ht="13">
      <c r="A521" s="170"/>
      <c r="B521" s="175"/>
      <c r="C521" s="176"/>
      <c r="D521" s="176"/>
      <c r="E521" s="176"/>
      <c r="F521" s="176"/>
      <c r="G521" s="176"/>
      <c r="H521" s="176"/>
      <c r="I521" s="177"/>
      <c r="J521" s="176"/>
      <c r="K521" s="176"/>
      <c r="L521" s="176"/>
      <c r="M521" s="176"/>
      <c r="N521" s="176"/>
      <c r="O521" s="177"/>
      <c r="P521" s="176"/>
      <c r="Q521" s="176"/>
      <c r="R521" s="176"/>
      <c r="S521" s="177"/>
      <c r="T521" s="176"/>
      <c r="U521" s="177"/>
      <c r="V521" s="176"/>
      <c r="W521" s="177"/>
      <c r="X521" s="53"/>
      <c r="Y521" s="151"/>
      <c r="Z521" s="151"/>
      <c r="AA521" s="151"/>
      <c r="AB521" s="151"/>
    </row>
    <row r="522" spans="1:28" ht="13">
      <c r="A522" s="170"/>
      <c r="B522" s="59"/>
      <c r="C522" s="179"/>
      <c r="D522" s="179"/>
      <c r="E522" s="179"/>
      <c r="F522" s="179"/>
      <c r="G522" s="179"/>
      <c r="H522" s="179"/>
      <c r="I522" s="180"/>
      <c r="J522" s="179"/>
      <c r="K522" s="179"/>
      <c r="L522" s="179"/>
      <c r="M522" s="179"/>
      <c r="N522" s="179"/>
      <c r="O522" s="180"/>
      <c r="P522" s="179"/>
      <c r="Q522" s="179"/>
      <c r="R522" s="179"/>
      <c r="S522" s="180"/>
      <c r="T522" s="179"/>
      <c r="U522" s="180"/>
      <c r="V522" s="179"/>
      <c r="W522" s="180"/>
      <c r="X522" s="53"/>
      <c r="Y522" s="151"/>
      <c r="Z522" s="151"/>
      <c r="AA522" s="151"/>
      <c r="AB522" s="151"/>
    </row>
    <row r="523" spans="1:28" s="173" customFormat="1" ht="13">
      <c r="A523" s="170"/>
      <c r="B523" s="94"/>
      <c r="C523" s="171"/>
      <c r="D523" s="171"/>
      <c r="E523" s="171"/>
      <c r="F523" s="171"/>
      <c r="G523" s="171"/>
      <c r="H523" s="171"/>
      <c r="I523" s="172"/>
      <c r="J523" s="171"/>
      <c r="K523" s="171"/>
      <c r="L523" s="171"/>
      <c r="M523" s="171"/>
      <c r="N523" s="171"/>
      <c r="O523" s="172"/>
      <c r="P523" s="171"/>
      <c r="Q523" s="171"/>
      <c r="R523" s="171"/>
      <c r="S523" s="172"/>
      <c r="T523" s="171"/>
      <c r="U523" s="172"/>
      <c r="V523" s="171"/>
      <c r="W523" s="172"/>
      <c r="X523" s="53"/>
      <c r="Y523" s="151"/>
      <c r="Z523" s="151"/>
      <c r="AA523" s="151"/>
      <c r="AB523" s="151"/>
    </row>
    <row r="524" spans="1:28" s="178" customFormat="1" ht="13">
      <c r="A524" s="170"/>
      <c r="B524" s="175"/>
      <c r="C524" s="176"/>
      <c r="D524" s="176"/>
      <c r="E524" s="176"/>
      <c r="F524" s="176"/>
      <c r="G524" s="176"/>
      <c r="H524" s="176"/>
      <c r="I524" s="177"/>
      <c r="J524" s="176"/>
      <c r="K524" s="176"/>
      <c r="L524" s="176"/>
      <c r="M524" s="176"/>
      <c r="N524" s="176"/>
      <c r="O524" s="177"/>
      <c r="P524" s="176"/>
      <c r="Q524" s="176"/>
      <c r="R524" s="176"/>
      <c r="S524" s="177"/>
      <c r="T524" s="176"/>
      <c r="U524" s="177"/>
      <c r="V524" s="176"/>
      <c r="W524" s="177"/>
      <c r="X524" s="53"/>
      <c r="Y524" s="151"/>
      <c r="Z524" s="151"/>
      <c r="AA524" s="151"/>
      <c r="AB524" s="151"/>
    </row>
    <row r="525" spans="1:28" ht="13">
      <c r="A525" s="170"/>
      <c r="B525" s="59"/>
      <c r="C525" s="179"/>
      <c r="D525" s="179"/>
      <c r="E525" s="179"/>
      <c r="F525" s="179"/>
      <c r="G525" s="179"/>
      <c r="H525" s="179"/>
      <c r="I525" s="180"/>
      <c r="J525" s="179"/>
      <c r="K525" s="179"/>
      <c r="L525" s="179"/>
      <c r="M525" s="179"/>
      <c r="N525" s="179"/>
      <c r="O525" s="180"/>
      <c r="P525" s="179"/>
      <c r="Q525" s="179"/>
      <c r="R525" s="179"/>
      <c r="S525" s="180"/>
      <c r="T525" s="179"/>
      <c r="U525" s="180"/>
      <c r="V525" s="179"/>
      <c r="W525" s="180"/>
      <c r="X525" s="53"/>
      <c r="Y525" s="151"/>
      <c r="Z525" s="151"/>
      <c r="AA525" s="151"/>
      <c r="AB525" s="151"/>
    </row>
    <row r="526" spans="1:28" s="173" customFormat="1" ht="13">
      <c r="A526" s="170"/>
      <c r="B526" s="94"/>
      <c r="C526" s="171"/>
      <c r="D526" s="171"/>
      <c r="E526" s="171"/>
      <c r="F526" s="171"/>
      <c r="G526" s="171"/>
      <c r="H526" s="171"/>
      <c r="I526" s="172"/>
      <c r="J526" s="171"/>
      <c r="K526" s="171"/>
      <c r="L526" s="171"/>
      <c r="M526" s="171"/>
      <c r="N526" s="171"/>
      <c r="O526" s="172"/>
      <c r="P526" s="171"/>
      <c r="Q526" s="171"/>
      <c r="R526" s="171"/>
      <c r="S526" s="172"/>
      <c r="T526" s="171"/>
      <c r="U526" s="172"/>
      <c r="V526" s="171"/>
      <c r="W526" s="172"/>
      <c r="X526" s="53"/>
      <c r="Y526" s="151"/>
      <c r="Z526" s="151"/>
      <c r="AA526" s="151"/>
      <c r="AB526" s="151"/>
    </row>
    <row r="527" spans="1:28" s="178" customFormat="1" ht="13">
      <c r="A527" s="170"/>
      <c r="B527" s="175"/>
      <c r="C527" s="176"/>
      <c r="D527" s="176"/>
      <c r="E527" s="176"/>
      <c r="F527" s="176"/>
      <c r="G527" s="176"/>
      <c r="H527" s="176"/>
      <c r="I527" s="177"/>
      <c r="J527" s="176"/>
      <c r="K527" s="176"/>
      <c r="L527" s="176"/>
      <c r="M527" s="176"/>
      <c r="N527" s="176"/>
      <c r="O527" s="177"/>
      <c r="P527" s="176"/>
      <c r="Q527" s="176"/>
      <c r="R527" s="176"/>
      <c r="S527" s="177"/>
      <c r="T527" s="176"/>
      <c r="U527" s="177"/>
      <c r="V527" s="176"/>
      <c r="W527" s="177"/>
      <c r="X527" s="53"/>
      <c r="Y527" s="151"/>
      <c r="Z527" s="151"/>
      <c r="AA527" s="151"/>
      <c r="AB527" s="151"/>
    </row>
    <row r="528" spans="1:28" ht="13">
      <c r="A528" s="170"/>
      <c r="B528" s="183"/>
      <c r="C528" s="180"/>
      <c r="D528" s="180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53"/>
      <c r="Y528" s="151"/>
      <c r="Z528" s="151"/>
      <c r="AA528" s="151"/>
      <c r="AB528" s="151"/>
    </row>
    <row r="529" spans="1:28" s="173" customFormat="1" ht="13">
      <c r="A529" s="170"/>
      <c r="B529" s="184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  <c r="N529" s="172"/>
      <c r="O529" s="172"/>
      <c r="P529" s="172"/>
      <c r="Q529" s="172"/>
      <c r="R529" s="172"/>
      <c r="S529" s="172"/>
      <c r="T529" s="172"/>
      <c r="U529" s="172"/>
      <c r="V529" s="172"/>
      <c r="W529" s="172"/>
      <c r="X529" s="53"/>
      <c r="Y529" s="151"/>
      <c r="Z529" s="151"/>
      <c r="AA529" s="151"/>
      <c r="AB529" s="151"/>
    </row>
    <row r="530" spans="1:28" s="178" customFormat="1" ht="13">
      <c r="A530" s="170"/>
      <c r="B530" s="185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53"/>
      <c r="Y530" s="151"/>
      <c r="Z530" s="151"/>
      <c r="AA530" s="151"/>
      <c r="AB530" s="151"/>
    </row>
    <row r="531" spans="1:28" ht="13">
      <c r="A531" s="170"/>
      <c r="B531" s="59"/>
      <c r="C531" s="179"/>
      <c r="D531" s="179"/>
      <c r="E531" s="179"/>
      <c r="F531" s="179"/>
      <c r="G531" s="179"/>
      <c r="H531" s="179"/>
      <c r="I531" s="180"/>
      <c r="J531" s="179"/>
      <c r="K531" s="179"/>
      <c r="L531" s="179"/>
      <c r="M531" s="179"/>
      <c r="N531" s="179"/>
      <c r="O531" s="180"/>
      <c r="P531" s="179"/>
      <c r="Q531" s="179"/>
      <c r="R531" s="179"/>
      <c r="S531" s="180"/>
      <c r="T531" s="179"/>
      <c r="U531" s="180"/>
      <c r="V531" s="179"/>
      <c r="W531" s="180"/>
      <c r="X531" s="53"/>
      <c r="Y531" s="151"/>
      <c r="Z531" s="151"/>
      <c r="AA531" s="151"/>
      <c r="AB531" s="151"/>
    </row>
    <row r="532" spans="1:28" s="173" customFormat="1" ht="13">
      <c r="A532" s="170"/>
      <c r="B532" s="94"/>
      <c r="C532" s="171"/>
      <c r="D532" s="171"/>
      <c r="E532" s="171"/>
      <c r="F532" s="171"/>
      <c r="G532" s="171"/>
      <c r="H532" s="171"/>
      <c r="I532" s="172"/>
      <c r="J532" s="171"/>
      <c r="K532" s="171"/>
      <c r="L532" s="171"/>
      <c r="M532" s="171"/>
      <c r="N532" s="171"/>
      <c r="O532" s="172"/>
      <c r="P532" s="171"/>
      <c r="Q532" s="171"/>
      <c r="R532" s="171"/>
      <c r="S532" s="172"/>
      <c r="T532" s="171"/>
      <c r="U532" s="172"/>
      <c r="V532" s="171"/>
      <c r="W532" s="172"/>
      <c r="X532" s="53"/>
      <c r="Y532" s="151"/>
      <c r="Z532" s="151"/>
      <c r="AA532" s="151"/>
      <c r="AB532" s="151"/>
    </row>
    <row r="533" spans="1:28" s="178" customFormat="1" ht="13">
      <c r="A533" s="170"/>
      <c r="B533" s="175"/>
      <c r="C533" s="176"/>
      <c r="D533" s="176"/>
      <c r="E533" s="176"/>
      <c r="F533" s="176"/>
      <c r="G533" s="176"/>
      <c r="H533" s="176"/>
      <c r="I533" s="177"/>
      <c r="J533" s="176"/>
      <c r="K533" s="176"/>
      <c r="L533" s="176"/>
      <c r="M533" s="176"/>
      <c r="N533" s="176"/>
      <c r="O533" s="177"/>
      <c r="P533" s="176"/>
      <c r="Q533" s="176"/>
      <c r="R533" s="176"/>
      <c r="S533" s="177"/>
      <c r="T533" s="176"/>
      <c r="U533" s="177"/>
      <c r="V533" s="181"/>
      <c r="W533" s="177"/>
      <c r="X533" s="53"/>
      <c r="Y533" s="151"/>
      <c r="Z533" s="151"/>
      <c r="AA533" s="151"/>
      <c r="AB533" s="151"/>
    </row>
    <row r="534" spans="1:28" ht="13">
      <c r="A534" s="170"/>
      <c r="B534" s="59"/>
      <c r="C534" s="179"/>
      <c r="D534" s="179"/>
      <c r="E534" s="179"/>
      <c r="F534" s="179"/>
      <c r="G534" s="179"/>
      <c r="H534" s="179"/>
      <c r="I534" s="180"/>
      <c r="J534" s="179"/>
      <c r="K534" s="179"/>
      <c r="L534" s="179"/>
      <c r="M534" s="179"/>
      <c r="N534" s="179"/>
      <c r="O534" s="180"/>
      <c r="P534" s="179"/>
      <c r="Q534" s="179"/>
      <c r="R534" s="179"/>
      <c r="S534" s="180"/>
      <c r="T534" s="179"/>
      <c r="U534" s="180"/>
      <c r="V534" s="179"/>
      <c r="W534" s="180"/>
      <c r="X534" s="53"/>
      <c r="Y534" s="151"/>
      <c r="Z534" s="151"/>
      <c r="AA534" s="151"/>
      <c r="AB534" s="151"/>
    </row>
    <row r="535" spans="1:28" s="173" customFormat="1" ht="13">
      <c r="A535" s="170"/>
      <c r="B535" s="94"/>
      <c r="C535" s="171"/>
      <c r="D535" s="171"/>
      <c r="E535" s="171"/>
      <c r="F535" s="171"/>
      <c r="G535" s="171"/>
      <c r="H535" s="171"/>
      <c r="I535" s="172"/>
      <c r="J535" s="171"/>
      <c r="K535" s="171"/>
      <c r="L535" s="171"/>
      <c r="M535" s="171"/>
      <c r="N535" s="171"/>
      <c r="O535" s="172"/>
      <c r="P535" s="171"/>
      <c r="Q535" s="171"/>
      <c r="R535" s="171"/>
      <c r="S535" s="172"/>
      <c r="T535" s="171"/>
      <c r="U535" s="172"/>
      <c r="V535" s="171"/>
      <c r="W535" s="172"/>
      <c r="X535" s="53"/>
      <c r="Y535" s="151"/>
      <c r="Z535" s="151"/>
      <c r="AA535" s="151"/>
      <c r="AB535" s="151"/>
    </row>
    <row r="536" spans="1:28" s="178" customFormat="1" ht="13">
      <c r="A536" s="170"/>
      <c r="B536" s="175"/>
      <c r="C536" s="176"/>
      <c r="D536" s="176"/>
      <c r="E536" s="176"/>
      <c r="F536" s="176"/>
      <c r="G536" s="176"/>
      <c r="H536" s="176"/>
      <c r="I536" s="177"/>
      <c r="J536" s="176"/>
      <c r="K536" s="176"/>
      <c r="L536" s="176"/>
      <c r="M536" s="176"/>
      <c r="N536" s="176"/>
      <c r="O536" s="177"/>
      <c r="P536" s="176"/>
      <c r="Q536" s="176"/>
      <c r="R536" s="176"/>
      <c r="S536" s="177"/>
      <c r="T536" s="176"/>
      <c r="U536" s="177"/>
      <c r="V536" s="176"/>
      <c r="W536" s="177"/>
      <c r="X536" s="53"/>
      <c r="Y536" s="151"/>
      <c r="Z536" s="151"/>
      <c r="AA536" s="151"/>
      <c r="AB536" s="151"/>
    </row>
    <row r="537" spans="1:28" ht="13">
      <c r="A537" s="170"/>
      <c r="B537" s="59"/>
      <c r="C537" s="179"/>
      <c r="D537" s="179"/>
      <c r="E537" s="179"/>
      <c r="F537" s="179"/>
      <c r="G537" s="179"/>
      <c r="H537" s="179"/>
      <c r="I537" s="180"/>
      <c r="J537" s="179"/>
      <c r="K537" s="179"/>
      <c r="L537" s="179"/>
      <c r="M537" s="179"/>
      <c r="N537" s="179"/>
      <c r="O537" s="180"/>
      <c r="P537" s="179"/>
      <c r="Q537" s="179"/>
      <c r="R537" s="179"/>
      <c r="S537" s="180"/>
      <c r="T537" s="179"/>
      <c r="U537" s="180"/>
      <c r="V537" s="179"/>
      <c r="W537" s="180"/>
      <c r="X537" s="53"/>
      <c r="Y537" s="151"/>
      <c r="Z537" s="151"/>
      <c r="AA537" s="151"/>
      <c r="AB537" s="151"/>
    </row>
    <row r="538" spans="1:28" s="173" customFormat="1" ht="13">
      <c r="A538" s="170"/>
      <c r="B538" s="94"/>
      <c r="C538" s="171"/>
      <c r="D538" s="171"/>
      <c r="E538" s="171"/>
      <c r="F538" s="171"/>
      <c r="G538" s="171"/>
      <c r="H538" s="171"/>
      <c r="I538" s="172"/>
      <c r="J538" s="171"/>
      <c r="K538" s="171"/>
      <c r="L538" s="171"/>
      <c r="M538" s="171"/>
      <c r="N538" s="171"/>
      <c r="O538" s="172"/>
      <c r="P538" s="171"/>
      <c r="Q538" s="171"/>
      <c r="R538" s="171"/>
      <c r="S538" s="172"/>
      <c r="T538" s="171"/>
      <c r="U538" s="172"/>
      <c r="V538" s="171"/>
      <c r="W538" s="172"/>
      <c r="X538" s="53"/>
      <c r="Y538" s="151"/>
      <c r="Z538" s="151"/>
      <c r="AA538" s="151"/>
      <c r="AB538" s="151"/>
    </row>
    <row r="539" spans="1:28" s="178" customFormat="1" ht="13">
      <c r="A539" s="170"/>
      <c r="B539" s="175"/>
      <c r="C539" s="176"/>
      <c r="D539" s="176"/>
      <c r="E539" s="176"/>
      <c r="F539" s="176"/>
      <c r="G539" s="176"/>
      <c r="H539" s="176"/>
      <c r="I539" s="177"/>
      <c r="J539" s="176"/>
      <c r="K539" s="176"/>
      <c r="L539" s="176"/>
      <c r="M539" s="176"/>
      <c r="N539" s="176"/>
      <c r="O539" s="177"/>
      <c r="P539" s="176"/>
      <c r="Q539" s="176"/>
      <c r="R539" s="176"/>
      <c r="S539" s="177"/>
      <c r="T539" s="176"/>
      <c r="U539" s="177"/>
      <c r="V539" s="176"/>
      <c r="W539" s="177"/>
      <c r="X539" s="53"/>
      <c r="Y539" s="151"/>
      <c r="Z539" s="151"/>
      <c r="AA539" s="151"/>
      <c r="AB539" s="151"/>
    </row>
    <row r="540" spans="1:28" ht="13">
      <c r="A540" s="170"/>
      <c r="B540" s="59"/>
      <c r="C540" s="179"/>
      <c r="D540" s="179"/>
      <c r="E540" s="179"/>
      <c r="F540" s="179"/>
      <c r="G540" s="179"/>
      <c r="H540" s="179"/>
      <c r="I540" s="180"/>
      <c r="J540" s="179"/>
      <c r="K540" s="179"/>
      <c r="L540" s="179"/>
      <c r="M540" s="179"/>
      <c r="N540" s="179"/>
      <c r="O540" s="180"/>
      <c r="P540" s="179"/>
      <c r="Q540" s="179"/>
      <c r="R540" s="179"/>
      <c r="S540" s="180"/>
      <c r="T540" s="179"/>
      <c r="U540" s="180"/>
      <c r="V540" s="179"/>
      <c r="W540" s="180"/>
      <c r="X540" s="53"/>
      <c r="Y540" s="151"/>
      <c r="Z540" s="151"/>
      <c r="AA540" s="151"/>
      <c r="AB540" s="151"/>
    </row>
    <row r="541" spans="1:28" s="173" customFormat="1" ht="13">
      <c r="A541" s="170"/>
      <c r="B541" s="94"/>
      <c r="C541" s="171"/>
      <c r="D541" s="171"/>
      <c r="E541" s="171"/>
      <c r="F541" s="171"/>
      <c r="G541" s="171"/>
      <c r="H541" s="171"/>
      <c r="I541" s="172"/>
      <c r="J541" s="171"/>
      <c r="K541" s="171"/>
      <c r="L541" s="171"/>
      <c r="M541" s="171"/>
      <c r="N541" s="171"/>
      <c r="O541" s="172"/>
      <c r="P541" s="171"/>
      <c r="Q541" s="171"/>
      <c r="R541" s="171"/>
      <c r="S541" s="172"/>
      <c r="T541" s="171"/>
      <c r="U541" s="172"/>
      <c r="V541" s="171"/>
      <c r="W541" s="172"/>
      <c r="X541" s="53"/>
      <c r="Y541" s="151"/>
      <c r="Z541" s="151"/>
      <c r="AA541" s="151"/>
      <c r="AB541" s="151"/>
    </row>
    <row r="542" spans="1:28" s="178" customFormat="1" ht="13">
      <c r="A542" s="170"/>
      <c r="B542" s="175"/>
      <c r="C542" s="176"/>
      <c r="D542" s="176"/>
      <c r="E542" s="176"/>
      <c r="F542" s="176"/>
      <c r="G542" s="176"/>
      <c r="H542" s="176"/>
      <c r="I542" s="177"/>
      <c r="J542" s="176"/>
      <c r="K542" s="176"/>
      <c r="L542" s="176"/>
      <c r="M542" s="176"/>
      <c r="N542" s="176"/>
      <c r="O542" s="177"/>
      <c r="P542" s="176"/>
      <c r="Q542" s="176"/>
      <c r="R542" s="176"/>
      <c r="S542" s="177"/>
      <c r="T542" s="176"/>
      <c r="U542" s="177"/>
      <c r="V542" s="176"/>
      <c r="W542" s="177"/>
      <c r="X542" s="53"/>
      <c r="Y542" s="151"/>
      <c r="Z542" s="151"/>
      <c r="AA542" s="151"/>
      <c r="AB542" s="151"/>
    </row>
    <row r="543" spans="1:28" ht="13">
      <c r="A543" s="170"/>
      <c r="B543" s="59"/>
      <c r="C543" s="179"/>
      <c r="D543" s="179"/>
      <c r="E543" s="179"/>
      <c r="F543" s="179"/>
      <c r="G543" s="179"/>
      <c r="H543" s="179"/>
      <c r="I543" s="180"/>
      <c r="J543" s="179"/>
      <c r="K543" s="179"/>
      <c r="L543" s="179"/>
      <c r="M543" s="179"/>
      <c r="N543" s="179"/>
      <c r="O543" s="180"/>
      <c r="P543" s="179"/>
      <c r="Q543" s="179"/>
      <c r="R543" s="179"/>
      <c r="S543" s="180"/>
      <c r="T543" s="179"/>
      <c r="U543" s="180"/>
      <c r="V543" s="179"/>
      <c r="W543" s="180"/>
      <c r="X543" s="53"/>
      <c r="Y543" s="151"/>
      <c r="Z543" s="151"/>
      <c r="AA543" s="151"/>
      <c r="AB543" s="151"/>
    </row>
    <row r="544" spans="1:28" s="173" customFormat="1" ht="13">
      <c r="A544" s="170"/>
      <c r="B544" s="94"/>
      <c r="C544" s="171"/>
      <c r="D544" s="171"/>
      <c r="E544" s="171"/>
      <c r="F544" s="171"/>
      <c r="G544" s="171"/>
      <c r="H544" s="171"/>
      <c r="I544" s="172"/>
      <c r="J544" s="171"/>
      <c r="K544" s="171"/>
      <c r="L544" s="171"/>
      <c r="M544" s="171"/>
      <c r="N544" s="171"/>
      <c r="O544" s="172"/>
      <c r="P544" s="171"/>
      <c r="Q544" s="171"/>
      <c r="R544" s="171"/>
      <c r="S544" s="172"/>
      <c r="T544" s="171"/>
      <c r="U544" s="172"/>
      <c r="V544" s="171"/>
      <c r="W544" s="172"/>
      <c r="X544" s="53"/>
      <c r="Y544" s="151"/>
      <c r="Z544" s="151"/>
      <c r="AA544" s="151"/>
      <c r="AB544" s="151"/>
    </row>
    <row r="545" spans="1:28" s="178" customFormat="1" ht="13">
      <c r="A545" s="170"/>
      <c r="B545" s="175"/>
      <c r="C545" s="176"/>
      <c r="D545" s="176"/>
      <c r="E545" s="176"/>
      <c r="F545" s="176"/>
      <c r="G545" s="176"/>
      <c r="H545" s="176"/>
      <c r="I545" s="177"/>
      <c r="J545" s="176"/>
      <c r="K545" s="176"/>
      <c r="L545" s="176"/>
      <c r="M545" s="176"/>
      <c r="N545" s="176"/>
      <c r="O545" s="177"/>
      <c r="P545" s="176"/>
      <c r="Q545" s="176"/>
      <c r="R545" s="176"/>
      <c r="S545" s="177"/>
      <c r="T545" s="176"/>
      <c r="U545" s="177"/>
      <c r="V545" s="176"/>
      <c r="W545" s="177"/>
      <c r="X545" s="53"/>
      <c r="Y545" s="151"/>
      <c r="Z545" s="151"/>
      <c r="AA545" s="151"/>
      <c r="AB545" s="151"/>
    </row>
    <row r="546" spans="1:28" ht="13">
      <c r="A546" s="170"/>
      <c r="B546" s="59"/>
      <c r="C546" s="179"/>
      <c r="D546" s="179"/>
      <c r="E546" s="179"/>
      <c r="F546" s="179"/>
      <c r="G546" s="179"/>
      <c r="H546" s="179"/>
      <c r="I546" s="180"/>
      <c r="J546" s="179"/>
      <c r="K546" s="179"/>
      <c r="L546" s="179"/>
      <c r="M546" s="179"/>
      <c r="N546" s="179"/>
      <c r="O546" s="180"/>
      <c r="P546" s="179"/>
      <c r="Q546" s="179"/>
      <c r="R546" s="179"/>
      <c r="S546" s="180"/>
      <c r="T546" s="179"/>
      <c r="U546" s="180"/>
      <c r="V546" s="179"/>
      <c r="W546" s="180"/>
      <c r="X546" s="53"/>
      <c r="Y546" s="151"/>
      <c r="Z546" s="151"/>
      <c r="AA546" s="151"/>
      <c r="AB546" s="151"/>
    </row>
    <row r="547" spans="1:28" s="173" customFormat="1" ht="13">
      <c r="A547" s="170"/>
      <c r="B547" s="94"/>
      <c r="C547" s="171"/>
      <c r="D547" s="171"/>
      <c r="E547" s="171"/>
      <c r="F547" s="171"/>
      <c r="G547" s="171"/>
      <c r="H547" s="171"/>
      <c r="I547" s="172"/>
      <c r="J547" s="171"/>
      <c r="K547" s="171"/>
      <c r="L547" s="171"/>
      <c r="M547" s="171"/>
      <c r="N547" s="171"/>
      <c r="O547" s="172"/>
      <c r="P547" s="171"/>
      <c r="Q547" s="171"/>
      <c r="R547" s="171"/>
      <c r="S547" s="172"/>
      <c r="T547" s="171"/>
      <c r="U547" s="172"/>
      <c r="V547" s="171"/>
      <c r="W547" s="172"/>
      <c r="X547" s="53"/>
      <c r="Y547" s="151"/>
      <c r="Z547" s="151"/>
      <c r="AA547" s="151"/>
      <c r="AB547" s="151"/>
    </row>
    <row r="548" spans="1:28" s="178" customFormat="1" ht="13">
      <c r="A548" s="170"/>
      <c r="B548" s="175"/>
      <c r="C548" s="176"/>
      <c r="D548" s="176"/>
      <c r="E548" s="176"/>
      <c r="F548" s="176"/>
      <c r="G548" s="176"/>
      <c r="H548" s="176"/>
      <c r="I548" s="177"/>
      <c r="J548" s="176"/>
      <c r="K548" s="176"/>
      <c r="L548" s="176"/>
      <c r="M548" s="176"/>
      <c r="N548" s="176"/>
      <c r="O548" s="177"/>
      <c r="P548" s="176"/>
      <c r="Q548" s="176"/>
      <c r="R548" s="176"/>
      <c r="S548" s="177"/>
      <c r="T548" s="176"/>
      <c r="U548" s="177"/>
      <c r="V548" s="176"/>
      <c r="W548" s="177"/>
      <c r="X548" s="53"/>
      <c r="Y548" s="151"/>
      <c r="Z548" s="151"/>
      <c r="AA548" s="151"/>
      <c r="AB548" s="151"/>
    </row>
    <row r="549" spans="1:28" ht="13">
      <c r="A549" s="170"/>
      <c r="B549" s="59"/>
      <c r="C549" s="179"/>
      <c r="D549" s="179"/>
      <c r="E549" s="179"/>
      <c r="F549" s="179"/>
      <c r="G549" s="179"/>
      <c r="H549" s="179"/>
      <c r="I549" s="180"/>
      <c r="J549" s="179"/>
      <c r="K549" s="179"/>
      <c r="L549" s="179"/>
      <c r="M549" s="179"/>
      <c r="N549" s="179"/>
      <c r="O549" s="180"/>
      <c r="P549" s="179"/>
      <c r="Q549" s="179"/>
      <c r="R549" s="179"/>
      <c r="S549" s="180"/>
      <c r="T549" s="179"/>
      <c r="U549" s="180"/>
      <c r="V549" s="179"/>
      <c r="W549" s="180"/>
      <c r="X549" s="53"/>
      <c r="Y549" s="151"/>
      <c r="Z549" s="151"/>
      <c r="AA549" s="151"/>
      <c r="AB549" s="151"/>
    </row>
    <row r="550" spans="1:28" s="173" customFormat="1" ht="13">
      <c r="A550" s="170"/>
      <c r="B550" s="94"/>
      <c r="C550" s="171"/>
      <c r="D550" s="171"/>
      <c r="E550" s="171"/>
      <c r="F550" s="171"/>
      <c r="G550" s="171"/>
      <c r="H550" s="171"/>
      <c r="I550" s="172"/>
      <c r="J550" s="171"/>
      <c r="K550" s="171"/>
      <c r="L550" s="171"/>
      <c r="M550" s="171"/>
      <c r="N550" s="171"/>
      <c r="O550" s="172"/>
      <c r="P550" s="171"/>
      <c r="Q550" s="171"/>
      <c r="R550" s="171"/>
      <c r="S550" s="172"/>
      <c r="T550" s="171"/>
      <c r="U550" s="172"/>
      <c r="V550" s="171"/>
      <c r="W550" s="172"/>
      <c r="X550" s="53"/>
      <c r="Y550" s="151"/>
      <c r="Z550" s="151"/>
      <c r="AA550" s="151"/>
      <c r="AB550" s="151"/>
    </row>
    <row r="551" spans="1:28" s="192" customFormat="1" ht="13.5" thickBot="1">
      <c r="A551" s="186"/>
      <c r="B551" s="187"/>
      <c r="C551" s="188"/>
      <c r="D551" s="188"/>
      <c r="E551" s="188"/>
      <c r="F551" s="188"/>
      <c r="G551" s="188"/>
      <c r="H551" s="188"/>
      <c r="I551" s="189"/>
      <c r="J551" s="188"/>
      <c r="K551" s="188"/>
      <c r="L551" s="188"/>
      <c r="M551" s="188"/>
      <c r="N551" s="188"/>
      <c r="O551" s="189"/>
      <c r="P551" s="188"/>
      <c r="Q551" s="188"/>
      <c r="R551" s="188"/>
      <c r="S551" s="189"/>
      <c r="T551" s="188"/>
      <c r="U551" s="189"/>
      <c r="V551" s="188"/>
      <c r="W551" s="189"/>
      <c r="X551" s="53"/>
      <c r="Y551" s="151"/>
      <c r="Z551" s="151"/>
      <c r="AA551" s="151"/>
      <c r="AB551" s="151"/>
    </row>
    <row r="552" spans="1:28" ht="13.5" thickTop="1">
      <c r="A552" s="147"/>
      <c r="B552" s="167"/>
      <c r="C552" s="168"/>
      <c r="D552" s="168"/>
      <c r="E552" s="168"/>
      <c r="F552" s="168"/>
      <c r="G552" s="168"/>
      <c r="H552" s="168"/>
      <c r="I552" s="169"/>
      <c r="J552" s="168"/>
      <c r="K552" s="168"/>
      <c r="L552" s="168"/>
      <c r="M552" s="168"/>
      <c r="N552" s="168"/>
      <c r="O552" s="169"/>
      <c r="P552" s="168"/>
      <c r="Q552" s="168"/>
      <c r="R552" s="168"/>
      <c r="S552" s="169"/>
      <c r="T552" s="168"/>
      <c r="U552" s="169"/>
      <c r="V552" s="168"/>
      <c r="W552" s="169"/>
      <c r="X552" s="53"/>
      <c r="Y552" s="151"/>
      <c r="Z552" s="151"/>
      <c r="AA552" s="151"/>
      <c r="AB552" s="151"/>
    </row>
    <row r="553" spans="1:28" s="173" customFormat="1" ht="13">
      <c r="A553" s="170"/>
      <c r="B553" s="94"/>
      <c r="C553" s="171"/>
      <c r="D553" s="171"/>
      <c r="E553" s="171"/>
      <c r="F553" s="171"/>
      <c r="G553" s="171"/>
      <c r="H553" s="171"/>
      <c r="I553" s="172"/>
      <c r="J553" s="171"/>
      <c r="K553" s="171"/>
      <c r="L553" s="171"/>
      <c r="M553" s="171"/>
      <c r="N553" s="171"/>
      <c r="O553" s="172"/>
      <c r="P553" s="171"/>
      <c r="Q553" s="171"/>
      <c r="R553" s="171"/>
      <c r="S553" s="172"/>
      <c r="T553" s="171"/>
      <c r="U553" s="172"/>
      <c r="V553" s="171"/>
      <c r="W553" s="172"/>
      <c r="X553" s="53"/>
      <c r="Y553" s="151"/>
      <c r="Z553" s="151"/>
      <c r="AA553" s="151"/>
      <c r="AB553" s="151"/>
    </row>
    <row r="554" spans="1:28" s="178" customFormat="1" ht="13">
      <c r="A554" s="174"/>
      <c r="B554" s="175"/>
      <c r="C554" s="176"/>
      <c r="D554" s="176"/>
      <c r="E554" s="176"/>
      <c r="F554" s="176"/>
      <c r="G554" s="176"/>
      <c r="H554" s="176"/>
      <c r="I554" s="177"/>
      <c r="J554" s="176"/>
      <c r="K554" s="176"/>
      <c r="L554" s="176"/>
      <c r="M554" s="176"/>
      <c r="N554" s="176"/>
      <c r="O554" s="177"/>
      <c r="P554" s="176"/>
      <c r="Q554" s="176"/>
      <c r="R554" s="176"/>
      <c r="S554" s="177"/>
      <c r="T554" s="176"/>
      <c r="U554" s="177"/>
      <c r="V554" s="176"/>
      <c r="W554" s="177"/>
      <c r="X554" s="53"/>
      <c r="Y554" s="151"/>
      <c r="Z554" s="151"/>
      <c r="AA554" s="151"/>
      <c r="AB554" s="151"/>
    </row>
    <row r="555" spans="1:28" ht="13">
      <c r="A555" s="170"/>
      <c r="B555" s="59"/>
      <c r="C555" s="179"/>
      <c r="D555" s="179"/>
      <c r="E555" s="179"/>
      <c r="F555" s="179"/>
      <c r="G555" s="179"/>
      <c r="H555" s="179"/>
      <c r="I555" s="180"/>
      <c r="J555" s="179"/>
      <c r="K555" s="179"/>
      <c r="L555" s="179"/>
      <c r="M555" s="179"/>
      <c r="N555" s="179"/>
      <c r="O555" s="180"/>
      <c r="P555" s="179"/>
      <c r="Q555" s="179"/>
      <c r="R555" s="179"/>
      <c r="S555" s="180"/>
      <c r="T555" s="179"/>
      <c r="U555" s="180"/>
      <c r="V555" s="179"/>
      <c r="W555" s="180"/>
      <c r="X555" s="53"/>
      <c r="Y555" s="151"/>
      <c r="Z555" s="151"/>
      <c r="AA555" s="151"/>
      <c r="AB555" s="151"/>
    </row>
    <row r="556" spans="1:28" s="173" customFormat="1" ht="13">
      <c r="A556" s="170"/>
      <c r="B556" s="94"/>
      <c r="C556" s="171"/>
      <c r="D556" s="171"/>
      <c r="E556" s="171"/>
      <c r="F556" s="171"/>
      <c r="G556" s="171"/>
      <c r="H556" s="171"/>
      <c r="I556" s="172"/>
      <c r="J556" s="171"/>
      <c r="K556" s="171"/>
      <c r="L556" s="171"/>
      <c r="M556" s="171"/>
      <c r="N556" s="171"/>
      <c r="O556" s="172"/>
      <c r="P556" s="171"/>
      <c r="Q556" s="171"/>
      <c r="R556" s="171"/>
      <c r="S556" s="172"/>
      <c r="T556" s="171"/>
      <c r="U556" s="172"/>
      <c r="V556" s="171"/>
      <c r="W556" s="172"/>
      <c r="X556" s="53"/>
      <c r="Y556" s="151"/>
      <c r="Z556" s="151"/>
      <c r="AA556" s="151"/>
      <c r="AB556" s="151"/>
    </row>
    <row r="557" spans="1:28" s="178" customFormat="1" ht="13">
      <c r="A557" s="170"/>
      <c r="B557" s="175"/>
      <c r="C557" s="176"/>
      <c r="D557" s="176"/>
      <c r="E557" s="176"/>
      <c r="F557" s="176"/>
      <c r="G557" s="176"/>
      <c r="H557" s="176"/>
      <c r="I557" s="177"/>
      <c r="J557" s="176"/>
      <c r="K557" s="176"/>
      <c r="L557" s="176"/>
      <c r="M557" s="176"/>
      <c r="N557" s="176"/>
      <c r="O557" s="177"/>
      <c r="P557" s="176"/>
      <c r="Q557" s="176"/>
      <c r="R557" s="176"/>
      <c r="S557" s="177"/>
      <c r="T557" s="176"/>
      <c r="U557" s="177"/>
      <c r="V557" s="176"/>
      <c r="W557" s="177"/>
      <c r="X557" s="53"/>
      <c r="Y557" s="151"/>
      <c r="Z557" s="151"/>
      <c r="AA557" s="151"/>
      <c r="AB557" s="151"/>
    </row>
    <row r="558" spans="1:28" ht="13">
      <c r="A558" s="170"/>
      <c r="B558" s="59"/>
      <c r="C558" s="179"/>
      <c r="D558" s="179"/>
      <c r="E558" s="179"/>
      <c r="F558" s="179"/>
      <c r="G558" s="179"/>
      <c r="H558" s="179"/>
      <c r="I558" s="180"/>
      <c r="J558" s="179"/>
      <c r="K558" s="179"/>
      <c r="L558" s="179"/>
      <c r="M558" s="179"/>
      <c r="N558" s="179"/>
      <c r="O558" s="180"/>
      <c r="P558" s="179"/>
      <c r="Q558" s="179"/>
      <c r="R558" s="179"/>
      <c r="S558" s="180"/>
      <c r="T558" s="179"/>
      <c r="U558" s="180"/>
      <c r="V558" s="179"/>
      <c r="W558" s="180"/>
      <c r="X558" s="53"/>
      <c r="Y558" s="151"/>
      <c r="Z558" s="151"/>
      <c r="AA558" s="151"/>
      <c r="AB558" s="151"/>
    </row>
    <row r="559" spans="1:28" s="173" customFormat="1" ht="13">
      <c r="A559" s="170"/>
      <c r="B559" s="94"/>
      <c r="C559" s="171"/>
      <c r="D559" s="171"/>
      <c r="E559" s="171"/>
      <c r="F559" s="171"/>
      <c r="G559" s="171"/>
      <c r="H559" s="171"/>
      <c r="I559" s="172"/>
      <c r="J559" s="171"/>
      <c r="K559" s="171"/>
      <c r="L559" s="171"/>
      <c r="M559" s="171"/>
      <c r="N559" s="171"/>
      <c r="O559" s="172"/>
      <c r="P559" s="171"/>
      <c r="Q559" s="171"/>
      <c r="R559" s="171"/>
      <c r="S559" s="172"/>
      <c r="T559" s="171"/>
      <c r="U559" s="172"/>
      <c r="V559" s="171"/>
      <c r="W559" s="172"/>
      <c r="X559" s="53"/>
      <c r="Y559" s="151"/>
      <c r="Z559" s="151"/>
      <c r="AA559" s="151"/>
      <c r="AB559" s="151"/>
    </row>
    <row r="560" spans="1:28" s="178" customFormat="1" ht="13">
      <c r="A560" s="170"/>
      <c r="B560" s="175"/>
      <c r="C560" s="176"/>
      <c r="D560" s="176"/>
      <c r="E560" s="176"/>
      <c r="F560" s="176"/>
      <c r="G560" s="176"/>
      <c r="H560" s="176"/>
      <c r="I560" s="177"/>
      <c r="J560" s="176"/>
      <c r="K560" s="176"/>
      <c r="L560" s="176"/>
      <c r="M560" s="176"/>
      <c r="N560" s="176"/>
      <c r="O560" s="177"/>
      <c r="P560" s="176"/>
      <c r="Q560" s="176"/>
      <c r="R560" s="176"/>
      <c r="S560" s="177"/>
      <c r="T560" s="176"/>
      <c r="U560" s="177"/>
      <c r="V560" s="176"/>
      <c r="W560" s="177"/>
      <c r="X560" s="53"/>
      <c r="Y560" s="151"/>
      <c r="Z560" s="151"/>
      <c r="AA560" s="151"/>
      <c r="AB560" s="151"/>
    </row>
    <row r="561" spans="1:28" ht="13">
      <c r="A561" s="170"/>
      <c r="B561" s="59"/>
      <c r="C561" s="179"/>
      <c r="D561" s="179"/>
      <c r="E561" s="179"/>
      <c r="F561" s="179"/>
      <c r="G561" s="179"/>
      <c r="H561" s="179"/>
      <c r="I561" s="180"/>
      <c r="J561" s="179"/>
      <c r="K561" s="179"/>
      <c r="L561" s="179"/>
      <c r="M561" s="179"/>
      <c r="N561" s="179"/>
      <c r="O561" s="180"/>
      <c r="P561" s="179"/>
      <c r="Q561" s="179"/>
      <c r="R561" s="179"/>
      <c r="S561" s="180"/>
      <c r="T561" s="179"/>
      <c r="U561" s="180"/>
      <c r="V561" s="179"/>
      <c r="W561" s="180"/>
      <c r="X561" s="53"/>
      <c r="Y561" s="151"/>
      <c r="Z561" s="151"/>
      <c r="AA561" s="151"/>
      <c r="AB561" s="151"/>
    </row>
    <row r="562" spans="1:28" s="173" customFormat="1" ht="13">
      <c r="A562" s="170"/>
      <c r="B562" s="94"/>
      <c r="C562" s="171"/>
      <c r="D562" s="171"/>
      <c r="E562" s="171"/>
      <c r="F562" s="171"/>
      <c r="G562" s="171"/>
      <c r="H562" s="171"/>
      <c r="I562" s="172"/>
      <c r="J562" s="171"/>
      <c r="K562" s="171"/>
      <c r="L562" s="171"/>
      <c r="M562" s="171"/>
      <c r="N562" s="171"/>
      <c r="O562" s="172"/>
      <c r="P562" s="171"/>
      <c r="Q562" s="171"/>
      <c r="R562" s="171"/>
      <c r="S562" s="172"/>
      <c r="T562" s="171"/>
      <c r="U562" s="172"/>
      <c r="V562" s="171"/>
      <c r="W562" s="172"/>
      <c r="X562" s="53"/>
      <c r="Y562" s="151"/>
      <c r="Z562" s="151"/>
      <c r="AA562" s="151"/>
      <c r="AB562" s="151"/>
    </row>
    <row r="563" spans="1:28" s="178" customFormat="1" ht="13">
      <c r="A563" s="170"/>
      <c r="B563" s="175"/>
      <c r="C563" s="176"/>
      <c r="D563" s="176"/>
      <c r="E563" s="176"/>
      <c r="F563" s="176"/>
      <c r="G563" s="176"/>
      <c r="H563" s="176"/>
      <c r="I563" s="177"/>
      <c r="J563" s="176"/>
      <c r="K563" s="176"/>
      <c r="L563" s="176"/>
      <c r="M563" s="176"/>
      <c r="N563" s="176"/>
      <c r="O563" s="177"/>
      <c r="P563" s="176"/>
      <c r="Q563" s="176"/>
      <c r="R563" s="176"/>
      <c r="S563" s="177"/>
      <c r="T563" s="176"/>
      <c r="U563" s="177"/>
      <c r="V563" s="176"/>
      <c r="W563" s="177"/>
      <c r="X563" s="53"/>
      <c r="Y563" s="151"/>
      <c r="Z563" s="151"/>
      <c r="AA563" s="151"/>
      <c r="AB563" s="151"/>
    </row>
    <row r="564" spans="1:28" ht="13">
      <c r="A564" s="170"/>
      <c r="B564" s="59"/>
      <c r="C564" s="179"/>
      <c r="D564" s="179"/>
      <c r="E564" s="179"/>
      <c r="F564" s="179"/>
      <c r="G564" s="179"/>
      <c r="H564" s="179"/>
      <c r="I564" s="180"/>
      <c r="J564" s="179"/>
      <c r="K564" s="179"/>
      <c r="L564" s="179"/>
      <c r="M564" s="179"/>
      <c r="N564" s="179"/>
      <c r="O564" s="180"/>
      <c r="P564" s="179"/>
      <c r="Q564" s="179"/>
      <c r="R564" s="179"/>
      <c r="S564" s="180"/>
      <c r="T564" s="179"/>
      <c r="U564" s="180"/>
      <c r="V564" s="179"/>
      <c r="W564" s="180"/>
      <c r="X564" s="53"/>
      <c r="Y564" s="151"/>
      <c r="Z564" s="151"/>
      <c r="AA564" s="151"/>
      <c r="AB564" s="151"/>
    </row>
    <row r="565" spans="1:28" s="173" customFormat="1" ht="13">
      <c r="A565" s="170"/>
      <c r="B565" s="94"/>
      <c r="C565" s="171"/>
      <c r="D565" s="171"/>
      <c r="E565" s="171"/>
      <c r="F565" s="171"/>
      <c r="G565" s="171"/>
      <c r="H565" s="171"/>
      <c r="I565" s="172"/>
      <c r="J565" s="171"/>
      <c r="K565" s="171"/>
      <c r="L565" s="171"/>
      <c r="M565" s="171"/>
      <c r="N565" s="171"/>
      <c r="O565" s="172"/>
      <c r="P565" s="171"/>
      <c r="Q565" s="171"/>
      <c r="R565" s="171"/>
      <c r="S565" s="172"/>
      <c r="T565" s="171"/>
      <c r="U565" s="172"/>
      <c r="V565" s="171"/>
      <c r="W565" s="172"/>
      <c r="X565" s="53"/>
      <c r="Y565" s="151"/>
      <c r="Z565" s="151"/>
      <c r="AA565" s="151"/>
      <c r="AB565" s="151"/>
    </row>
    <row r="566" spans="1:28" s="178" customFormat="1" ht="13">
      <c r="A566" s="170"/>
      <c r="B566" s="175"/>
      <c r="C566" s="176"/>
      <c r="D566" s="176"/>
      <c r="E566" s="176"/>
      <c r="F566" s="176"/>
      <c r="G566" s="176"/>
      <c r="H566" s="176"/>
      <c r="I566" s="177"/>
      <c r="J566" s="176"/>
      <c r="K566" s="176"/>
      <c r="L566" s="176"/>
      <c r="M566" s="176"/>
      <c r="N566" s="176"/>
      <c r="O566" s="177"/>
      <c r="P566" s="176"/>
      <c r="Q566" s="176"/>
      <c r="R566" s="176"/>
      <c r="S566" s="177"/>
      <c r="T566" s="176"/>
      <c r="U566" s="177"/>
      <c r="V566" s="176"/>
      <c r="W566" s="177"/>
      <c r="X566" s="53"/>
      <c r="Y566" s="151"/>
      <c r="Z566" s="151"/>
      <c r="AA566" s="151"/>
      <c r="AB566" s="151"/>
    </row>
    <row r="567" spans="1:28" ht="13">
      <c r="A567" s="170"/>
      <c r="B567" s="183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53"/>
      <c r="Y567" s="151"/>
      <c r="Z567" s="151"/>
      <c r="AA567" s="151"/>
      <c r="AB567" s="151"/>
    </row>
    <row r="568" spans="1:28" s="173" customFormat="1" ht="13">
      <c r="A568" s="170"/>
      <c r="B568" s="184"/>
      <c r="C568" s="172"/>
      <c r="D568" s="172"/>
      <c r="E568" s="172"/>
      <c r="F568" s="172"/>
      <c r="G568" s="172"/>
      <c r="H568" s="172"/>
      <c r="I568" s="172"/>
      <c r="J568" s="172"/>
      <c r="K568" s="172"/>
      <c r="L568" s="172"/>
      <c r="M568" s="172"/>
      <c r="N568" s="172"/>
      <c r="O568" s="172"/>
      <c r="P568" s="172"/>
      <c r="Q568" s="172"/>
      <c r="R568" s="172"/>
      <c r="S568" s="172"/>
      <c r="T568" s="172"/>
      <c r="U568" s="172"/>
      <c r="V568" s="172"/>
      <c r="W568" s="172"/>
      <c r="X568" s="53"/>
      <c r="Y568" s="151"/>
      <c r="Z568" s="151"/>
      <c r="AA568" s="151"/>
      <c r="AB568" s="151"/>
    </row>
    <row r="569" spans="1:28" s="178" customFormat="1" ht="13">
      <c r="A569" s="170"/>
      <c r="B569" s="185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53"/>
      <c r="Y569" s="151"/>
      <c r="Z569" s="151"/>
      <c r="AA569" s="151"/>
      <c r="AB569" s="151"/>
    </row>
    <row r="570" spans="1:28" ht="13">
      <c r="A570" s="170"/>
      <c r="B570" s="59"/>
      <c r="C570" s="179"/>
      <c r="D570" s="179"/>
      <c r="E570" s="179"/>
      <c r="F570" s="179"/>
      <c r="G570" s="179"/>
      <c r="H570" s="179"/>
      <c r="I570" s="180"/>
      <c r="J570" s="179"/>
      <c r="K570" s="179"/>
      <c r="L570" s="179"/>
      <c r="M570" s="179"/>
      <c r="N570" s="179"/>
      <c r="O570" s="180"/>
      <c r="P570" s="179"/>
      <c r="Q570" s="179"/>
      <c r="R570" s="179"/>
      <c r="S570" s="180"/>
      <c r="T570" s="179"/>
      <c r="U570" s="180"/>
      <c r="V570" s="179"/>
      <c r="W570" s="180"/>
      <c r="X570" s="53"/>
      <c r="Y570" s="151"/>
      <c r="Z570" s="151"/>
      <c r="AA570" s="151"/>
      <c r="AB570" s="151"/>
    </row>
    <row r="571" spans="1:28" s="173" customFormat="1" ht="13">
      <c r="A571" s="170"/>
      <c r="B571" s="94"/>
      <c r="C571" s="171"/>
      <c r="D571" s="171"/>
      <c r="E571" s="171"/>
      <c r="F571" s="171"/>
      <c r="G571" s="171"/>
      <c r="H571" s="171"/>
      <c r="I571" s="172"/>
      <c r="J571" s="171"/>
      <c r="K571" s="171"/>
      <c r="L571" s="171"/>
      <c r="M571" s="171"/>
      <c r="N571" s="171"/>
      <c r="O571" s="172"/>
      <c r="P571" s="171"/>
      <c r="Q571" s="171"/>
      <c r="R571" s="171"/>
      <c r="S571" s="172"/>
      <c r="T571" s="171"/>
      <c r="U571" s="172"/>
      <c r="V571" s="171"/>
      <c r="W571" s="172"/>
      <c r="X571" s="53"/>
      <c r="Y571" s="151"/>
      <c r="Z571" s="151"/>
      <c r="AA571" s="151"/>
      <c r="AB571" s="151"/>
    </row>
    <row r="572" spans="1:28" s="178" customFormat="1" ht="13">
      <c r="A572" s="170"/>
      <c r="B572" s="175"/>
      <c r="C572" s="176"/>
      <c r="D572" s="176"/>
      <c r="E572" s="176"/>
      <c r="F572" s="176"/>
      <c r="G572" s="176"/>
      <c r="H572" s="176"/>
      <c r="I572" s="177"/>
      <c r="J572" s="176"/>
      <c r="K572" s="176"/>
      <c r="L572" s="176"/>
      <c r="M572" s="176"/>
      <c r="N572" s="176"/>
      <c r="O572" s="177"/>
      <c r="P572" s="176"/>
      <c r="Q572" s="176"/>
      <c r="R572" s="176"/>
      <c r="S572" s="177"/>
      <c r="T572" s="176"/>
      <c r="U572" s="177"/>
      <c r="V572" s="176"/>
      <c r="W572" s="177"/>
      <c r="X572" s="53"/>
      <c r="Y572" s="151"/>
      <c r="Z572" s="151"/>
      <c r="AA572" s="151"/>
      <c r="AB572" s="151"/>
    </row>
    <row r="573" spans="1:28" ht="13">
      <c r="A573" s="170"/>
      <c r="B573" s="59"/>
      <c r="C573" s="179"/>
      <c r="D573" s="179"/>
      <c r="E573" s="179"/>
      <c r="F573" s="179"/>
      <c r="G573" s="179"/>
      <c r="H573" s="179"/>
      <c r="I573" s="180"/>
      <c r="J573" s="179"/>
      <c r="K573" s="179"/>
      <c r="L573" s="179"/>
      <c r="M573" s="179"/>
      <c r="N573" s="179"/>
      <c r="O573" s="180"/>
      <c r="P573" s="179"/>
      <c r="Q573" s="179"/>
      <c r="R573" s="179"/>
      <c r="S573" s="180"/>
      <c r="T573" s="179"/>
      <c r="U573" s="180"/>
      <c r="V573" s="179"/>
      <c r="W573" s="180"/>
      <c r="X573" s="53"/>
      <c r="Y573" s="151"/>
      <c r="Z573" s="151"/>
      <c r="AA573" s="151"/>
      <c r="AB573" s="151"/>
    </row>
    <row r="574" spans="1:28" s="173" customFormat="1" ht="13">
      <c r="A574" s="170"/>
      <c r="B574" s="94"/>
      <c r="C574" s="171"/>
      <c r="D574" s="171"/>
      <c r="E574" s="171"/>
      <c r="F574" s="171"/>
      <c r="G574" s="171"/>
      <c r="H574" s="171"/>
      <c r="I574" s="172"/>
      <c r="J574" s="171"/>
      <c r="K574" s="171"/>
      <c r="L574" s="171"/>
      <c r="M574" s="171"/>
      <c r="N574" s="171"/>
      <c r="O574" s="172"/>
      <c r="P574" s="171"/>
      <c r="Q574" s="171"/>
      <c r="R574" s="171"/>
      <c r="S574" s="172"/>
      <c r="T574" s="171"/>
      <c r="U574" s="172"/>
      <c r="V574" s="171"/>
      <c r="W574" s="172"/>
      <c r="X574" s="53"/>
      <c r="Y574" s="151"/>
      <c r="Z574" s="151"/>
      <c r="AA574" s="151"/>
      <c r="AB574" s="151"/>
    </row>
    <row r="575" spans="1:28" s="178" customFormat="1" ht="13">
      <c r="A575" s="170"/>
      <c r="B575" s="175"/>
      <c r="C575" s="176"/>
      <c r="D575" s="176"/>
      <c r="E575" s="176"/>
      <c r="F575" s="176"/>
      <c r="G575" s="176"/>
      <c r="H575" s="176"/>
      <c r="I575" s="177"/>
      <c r="J575" s="176"/>
      <c r="K575" s="176"/>
      <c r="L575" s="176"/>
      <c r="M575" s="176"/>
      <c r="N575" s="176"/>
      <c r="O575" s="177"/>
      <c r="P575" s="176"/>
      <c r="Q575" s="176"/>
      <c r="R575" s="176"/>
      <c r="S575" s="177"/>
      <c r="T575" s="176"/>
      <c r="U575" s="177"/>
      <c r="V575" s="176"/>
      <c r="W575" s="177"/>
      <c r="X575" s="53"/>
      <c r="Y575" s="151"/>
      <c r="Z575" s="151"/>
      <c r="AA575" s="151"/>
      <c r="AB575" s="151"/>
    </row>
    <row r="576" spans="1:28" ht="13">
      <c r="A576" s="170"/>
      <c r="B576" s="59"/>
      <c r="C576" s="179"/>
      <c r="D576" s="179"/>
      <c r="E576" s="179"/>
      <c r="F576" s="179"/>
      <c r="G576" s="179"/>
      <c r="H576" s="179"/>
      <c r="I576" s="180"/>
      <c r="J576" s="179"/>
      <c r="K576" s="179"/>
      <c r="L576" s="179"/>
      <c r="M576" s="179"/>
      <c r="N576" s="179"/>
      <c r="O576" s="180"/>
      <c r="P576" s="179"/>
      <c r="Q576" s="179"/>
      <c r="R576" s="179"/>
      <c r="S576" s="180"/>
      <c r="T576" s="179"/>
      <c r="U576" s="180"/>
      <c r="V576" s="179"/>
      <c r="W576" s="180"/>
      <c r="X576" s="53"/>
      <c r="Y576" s="151"/>
      <c r="Z576" s="151"/>
      <c r="AA576" s="151"/>
      <c r="AB576" s="151"/>
    </row>
    <row r="577" spans="1:28" s="173" customFormat="1" ht="13">
      <c r="A577" s="170"/>
      <c r="B577" s="94"/>
      <c r="C577" s="171"/>
      <c r="D577" s="171"/>
      <c r="E577" s="171"/>
      <c r="F577" s="171"/>
      <c r="G577" s="171"/>
      <c r="H577" s="171"/>
      <c r="I577" s="172"/>
      <c r="J577" s="171"/>
      <c r="K577" s="171"/>
      <c r="L577" s="171"/>
      <c r="M577" s="171"/>
      <c r="N577" s="171"/>
      <c r="O577" s="172"/>
      <c r="P577" s="171"/>
      <c r="Q577" s="171"/>
      <c r="R577" s="171"/>
      <c r="S577" s="172"/>
      <c r="T577" s="171"/>
      <c r="U577" s="172"/>
      <c r="V577" s="171"/>
      <c r="W577" s="172"/>
      <c r="X577" s="53"/>
      <c r="Y577" s="151"/>
      <c r="Z577" s="151"/>
      <c r="AA577" s="151"/>
      <c r="AB577" s="151"/>
    </row>
    <row r="578" spans="1:28" s="178" customFormat="1" ht="13">
      <c r="A578" s="170"/>
      <c r="B578" s="175"/>
      <c r="C578" s="176"/>
      <c r="D578" s="176"/>
      <c r="E578" s="176"/>
      <c r="F578" s="176"/>
      <c r="G578" s="176"/>
      <c r="H578" s="176"/>
      <c r="I578" s="177"/>
      <c r="J578" s="176"/>
      <c r="K578" s="176"/>
      <c r="L578" s="176"/>
      <c r="M578" s="176"/>
      <c r="N578" s="176"/>
      <c r="O578" s="177"/>
      <c r="P578" s="176"/>
      <c r="Q578" s="176"/>
      <c r="R578" s="176"/>
      <c r="S578" s="177"/>
      <c r="T578" s="176"/>
      <c r="U578" s="177"/>
      <c r="V578" s="176"/>
      <c r="W578" s="177"/>
      <c r="X578" s="53"/>
      <c r="Y578" s="151"/>
      <c r="Z578" s="151"/>
      <c r="AA578" s="151"/>
      <c r="AB578" s="151"/>
    </row>
    <row r="579" spans="1:28" ht="13">
      <c r="A579" s="170"/>
      <c r="B579" s="59"/>
      <c r="C579" s="179"/>
      <c r="D579" s="179"/>
      <c r="E579" s="179"/>
      <c r="F579" s="179"/>
      <c r="G579" s="179"/>
      <c r="H579" s="179"/>
      <c r="I579" s="180"/>
      <c r="J579" s="179"/>
      <c r="K579" s="179"/>
      <c r="L579" s="179"/>
      <c r="M579" s="179"/>
      <c r="N579" s="179"/>
      <c r="O579" s="180"/>
      <c r="P579" s="179"/>
      <c r="Q579" s="179"/>
      <c r="R579" s="179"/>
      <c r="S579" s="180"/>
      <c r="T579" s="179"/>
      <c r="U579" s="180"/>
      <c r="V579" s="179"/>
      <c r="W579" s="180"/>
      <c r="X579" s="53"/>
      <c r="Y579" s="151"/>
      <c r="Z579" s="151"/>
      <c r="AA579" s="151"/>
      <c r="AB579" s="151"/>
    </row>
    <row r="580" spans="1:28" s="173" customFormat="1" ht="13">
      <c r="A580" s="170"/>
      <c r="B580" s="94"/>
      <c r="C580" s="171"/>
      <c r="D580" s="171"/>
      <c r="E580" s="171"/>
      <c r="F580" s="171"/>
      <c r="G580" s="171"/>
      <c r="H580" s="171"/>
      <c r="I580" s="172"/>
      <c r="J580" s="171"/>
      <c r="K580" s="171"/>
      <c r="L580" s="171"/>
      <c r="M580" s="171"/>
      <c r="N580" s="171"/>
      <c r="O580" s="172"/>
      <c r="P580" s="171"/>
      <c r="Q580" s="171"/>
      <c r="R580" s="171"/>
      <c r="S580" s="172"/>
      <c r="T580" s="171"/>
      <c r="U580" s="172"/>
      <c r="V580" s="171"/>
      <c r="W580" s="172"/>
      <c r="X580" s="53"/>
      <c r="Y580" s="151"/>
      <c r="Z580" s="151"/>
      <c r="AA580" s="151"/>
      <c r="AB580" s="151"/>
    </row>
    <row r="581" spans="1:28" s="178" customFormat="1" ht="13">
      <c r="A581" s="170"/>
      <c r="B581" s="175"/>
      <c r="C581" s="176"/>
      <c r="D581" s="176"/>
      <c r="E581" s="176"/>
      <c r="F581" s="176"/>
      <c r="G581" s="176"/>
      <c r="H581" s="176"/>
      <c r="I581" s="177"/>
      <c r="J581" s="176"/>
      <c r="K581" s="176"/>
      <c r="L581" s="176"/>
      <c r="M581" s="176"/>
      <c r="N581" s="176"/>
      <c r="O581" s="177"/>
      <c r="P581" s="176"/>
      <c r="Q581" s="176"/>
      <c r="R581" s="176"/>
      <c r="S581" s="177"/>
      <c r="T581" s="176"/>
      <c r="U581" s="177"/>
      <c r="V581" s="176"/>
      <c r="W581" s="177"/>
      <c r="X581" s="53"/>
      <c r="Y581" s="151"/>
      <c r="Z581" s="151"/>
      <c r="AA581" s="151"/>
      <c r="AB581" s="151"/>
    </row>
    <row r="582" spans="1:28" ht="13">
      <c r="A582" s="170"/>
      <c r="B582" s="59"/>
      <c r="C582" s="179"/>
      <c r="D582" s="179"/>
      <c r="E582" s="179"/>
      <c r="F582" s="179"/>
      <c r="G582" s="179"/>
      <c r="H582" s="179"/>
      <c r="I582" s="180"/>
      <c r="J582" s="179"/>
      <c r="K582" s="179"/>
      <c r="L582" s="179"/>
      <c r="M582" s="179"/>
      <c r="N582" s="179"/>
      <c r="O582" s="180"/>
      <c r="P582" s="179"/>
      <c r="Q582" s="179"/>
      <c r="R582" s="179"/>
      <c r="S582" s="180"/>
      <c r="T582" s="179"/>
      <c r="U582" s="180"/>
      <c r="V582" s="179"/>
      <c r="W582" s="180"/>
      <c r="X582" s="53"/>
      <c r="Y582" s="151"/>
      <c r="Z582" s="151"/>
      <c r="AA582" s="151"/>
      <c r="AB582" s="151"/>
    </row>
    <row r="583" spans="1:28" s="173" customFormat="1" ht="13">
      <c r="A583" s="170"/>
      <c r="B583" s="94"/>
      <c r="C583" s="171"/>
      <c r="D583" s="171"/>
      <c r="E583" s="171"/>
      <c r="F583" s="171"/>
      <c r="G583" s="171"/>
      <c r="H583" s="171"/>
      <c r="I583" s="172"/>
      <c r="J583" s="171"/>
      <c r="K583" s="171"/>
      <c r="L583" s="171"/>
      <c r="M583" s="171"/>
      <c r="N583" s="171"/>
      <c r="O583" s="172"/>
      <c r="P583" s="171"/>
      <c r="Q583" s="171"/>
      <c r="R583" s="171"/>
      <c r="S583" s="172"/>
      <c r="T583" s="171"/>
      <c r="U583" s="172"/>
      <c r="V583" s="171"/>
      <c r="W583" s="172"/>
      <c r="X583" s="53"/>
      <c r="Y583" s="151"/>
      <c r="Z583" s="151"/>
      <c r="AA583" s="151"/>
      <c r="AB583" s="151"/>
    </row>
    <row r="584" spans="1:28" s="178" customFormat="1" ht="13">
      <c r="A584" s="170"/>
      <c r="B584" s="175"/>
      <c r="C584" s="176"/>
      <c r="D584" s="176"/>
      <c r="E584" s="176"/>
      <c r="F584" s="176"/>
      <c r="G584" s="176"/>
      <c r="H584" s="176"/>
      <c r="I584" s="177"/>
      <c r="J584" s="176"/>
      <c r="K584" s="176"/>
      <c r="L584" s="176"/>
      <c r="M584" s="176"/>
      <c r="N584" s="176"/>
      <c r="O584" s="177"/>
      <c r="P584" s="176"/>
      <c r="Q584" s="176"/>
      <c r="R584" s="176"/>
      <c r="S584" s="177"/>
      <c r="T584" s="176"/>
      <c r="U584" s="177"/>
      <c r="V584" s="176"/>
      <c r="W584" s="177"/>
      <c r="X584" s="53"/>
      <c r="Y584" s="151"/>
      <c r="Z584" s="151"/>
      <c r="AA584" s="151"/>
      <c r="AB584" s="151"/>
    </row>
    <row r="585" spans="1:28" ht="13">
      <c r="A585" s="170"/>
      <c r="B585" s="59"/>
      <c r="C585" s="179"/>
      <c r="D585" s="179"/>
      <c r="E585" s="179"/>
      <c r="F585" s="179"/>
      <c r="G585" s="179"/>
      <c r="H585" s="179"/>
      <c r="I585" s="180"/>
      <c r="J585" s="179"/>
      <c r="K585" s="179"/>
      <c r="L585" s="179"/>
      <c r="M585" s="179"/>
      <c r="N585" s="179"/>
      <c r="O585" s="180"/>
      <c r="P585" s="179"/>
      <c r="Q585" s="179"/>
      <c r="R585" s="179"/>
      <c r="S585" s="180"/>
      <c r="T585" s="179"/>
      <c r="U585" s="180"/>
      <c r="V585" s="179"/>
      <c r="W585" s="180"/>
      <c r="X585" s="53"/>
      <c r="Y585" s="151"/>
      <c r="Z585" s="151"/>
      <c r="AA585" s="151"/>
      <c r="AB585" s="151"/>
    </row>
    <row r="586" spans="1:28" s="173" customFormat="1" ht="13">
      <c r="A586" s="170"/>
      <c r="B586" s="94"/>
      <c r="C586" s="171"/>
      <c r="D586" s="171"/>
      <c r="E586" s="171"/>
      <c r="F586" s="171"/>
      <c r="G586" s="171"/>
      <c r="H586" s="171"/>
      <c r="I586" s="172"/>
      <c r="J586" s="171"/>
      <c r="K586" s="171"/>
      <c r="L586" s="171"/>
      <c r="M586" s="171"/>
      <c r="N586" s="171"/>
      <c r="O586" s="172"/>
      <c r="P586" s="171"/>
      <c r="Q586" s="171"/>
      <c r="R586" s="171"/>
      <c r="S586" s="172"/>
      <c r="T586" s="171"/>
      <c r="U586" s="172"/>
      <c r="V586" s="171"/>
      <c r="W586" s="172"/>
      <c r="X586" s="53"/>
      <c r="Y586" s="151"/>
      <c r="Z586" s="151"/>
      <c r="AA586" s="151"/>
      <c r="AB586" s="151"/>
    </row>
    <row r="587" spans="1:28" s="178" customFormat="1" ht="13">
      <c r="A587" s="170"/>
      <c r="B587" s="175"/>
      <c r="C587" s="176"/>
      <c r="D587" s="176"/>
      <c r="E587" s="176"/>
      <c r="F587" s="176"/>
      <c r="G587" s="176"/>
      <c r="H587" s="176"/>
      <c r="I587" s="177"/>
      <c r="J587" s="176"/>
      <c r="K587" s="176"/>
      <c r="L587" s="176"/>
      <c r="M587" s="176"/>
      <c r="N587" s="176"/>
      <c r="O587" s="177"/>
      <c r="P587" s="176"/>
      <c r="Q587" s="176"/>
      <c r="R587" s="176"/>
      <c r="S587" s="177"/>
      <c r="T587" s="176"/>
      <c r="U587" s="177"/>
      <c r="V587" s="176"/>
      <c r="W587" s="177"/>
      <c r="X587" s="53"/>
      <c r="Y587" s="151"/>
      <c r="Z587" s="151"/>
      <c r="AA587" s="151"/>
      <c r="AB587" s="151"/>
    </row>
    <row r="588" spans="1:28" ht="13">
      <c r="A588" s="170"/>
      <c r="B588" s="59"/>
      <c r="C588" s="179"/>
      <c r="D588" s="179"/>
      <c r="E588" s="179"/>
      <c r="F588" s="179"/>
      <c r="G588" s="179"/>
      <c r="H588" s="179"/>
      <c r="I588" s="180"/>
      <c r="J588" s="179"/>
      <c r="K588" s="179"/>
      <c r="L588" s="179"/>
      <c r="M588" s="179"/>
      <c r="N588" s="179"/>
      <c r="O588" s="180"/>
      <c r="P588" s="179"/>
      <c r="Q588" s="179"/>
      <c r="R588" s="179"/>
      <c r="S588" s="180"/>
      <c r="T588" s="179"/>
      <c r="U588" s="180"/>
      <c r="V588" s="179"/>
      <c r="W588" s="180"/>
      <c r="X588" s="53"/>
      <c r="Y588" s="151"/>
      <c r="Z588" s="151"/>
      <c r="AA588" s="151"/>
      <c r="AB588" s="151"/>
    </row>
    <row r="589" spans="1:28" s="173" customFormat="1" ht="13">
      <c r="A589" s="170"/>
      <c r="B589" s="94"/>
      <c r="C589" s="171"/>
      <c r="D589" s="171"/>
      <c r="E589" s="171"/>
      <c r="F589" s="171"/>
      <c r="G589" s="171"/>
      <c r="H589" s="171"/>
      <c r="I589" s="172"/>
      <c r="J589" s="171"/>
      <c r="K589" s="171"/>
      <c r="L589" s="171"/>
      <c r="M589" s="171"/>
      <c r="N589" s="171"/>
      <c r="O589" s="172"/>
      <c r="P589" s="171"/>
      <c r="Q589" s="171"/>
      <c r="R589" s="171"/>
      <c r="S589" s="172"/>
      <c r="T589" s="171"/>
      <c r="U589" s="172"/>
      <c r="V589" s="171"/>
      <c r="W589" s="172"/>
      <c r="X589" s="53"/>
      <c r="Y589" s="151"/>
      <c r="Z589" s="151"/>
      <c r="AA589" s="151"/>
      <c r="AB589" s="151"/>
    </row>
    <row r="590" spans="1:28" s="192" customFormat="1" ht="13.5" thickBot="1">
      <c r="A590" s="186"/>
      <c r="B590" s="187"/>
      <c r="C590" s="188"/>
      <c r="D590" s="188"/>
      <c r="E590" s="188"/>
      <c r="F590" s="188"/>
      <c r="G590" s="188"/>
      <c r="H590" s="188"/>
      <c r="I590" s="189"/>
      <c r="J590" s="188"/>
      <c r="K590" s="188"/>
      <c r="L590" s="188"/>
      <c r="M590" s="188"/>
      <c r="N590" s="188"/>
      <c r="O590" s="189"/>
      <c r="P590" s="188"/>
      <c r="Q590" s="188"/>
      <c r="R590" s="188"/>
      <c r="S590" s="189"/>
      <c r="T590" s="188"/>
      <c r="U590" s="189"/>
      <c r="V590" s="188"/>
      <c r="W590" s="189"/>
      <c r="X590" s="53"/>
      <c r="Y590" s="151"/>
      <c r="Z590" s="151"/>
      <c r="AA590" s="151"/>
      <c r="AB590" s="151"/>
    </row>
    <row r="591" spans="1:28" ht="13.5" thickTop="1">
      <c r="A591" s="147"/>
      <c r="B591" s="167"/>
      <c r="C591" s="168"/>
      <c r="D591" s="168"/>
      <c r="E591" s="168"/>
      <c r="F591" s="168"/>
      <c r="G591" s="168"/>
      <c r="H591" s="168"/>
      <c r="I591" s="169"/>
      <c r="J591" s="168"/>
      <c r="K591" s="168"/>
      <c r="L591" s="168"/>
      <c r="M591" s="168"/>
      <c r="N591" s="168"/>
      <c r="O591" s="169"/>
      <c r="P591" s="168"/>
      <c r="Q591" s="168"/>
      <c r="R591" s="168"/>
      <c r="S591" s="169"/>
      <c r="T591" s="168"/>
      <c r="U591" s="169"/>
      <c r="V591" s="168"/>
      <c r="W591" s="169"/>
      <c r="X591" s="53"/>
      <c r="Y591" s="151"/>
      <c r="Z591" s="151"/>
      <c r="AA591" s="151"/>
      <c r="AB591" s="151"/>
    </row>
    <row r="592" spans="1:28" s="173" customFormat="1" ht="13">
      <c r="A592" s="170"/>
      <c r="B592" s="94"/>
      <c r="C592" s="171"/>
      <c r="D592" s="171"/>
      <c r="E592" s="171"/>
      <c r="F592" s="171"/>
      <c r="G592" s="171"/>
      <c r="H592" s="171"/>
      <c r="I592" s="172"/>
      <c r="J592" s="171"/>
      <c r="K592" s="171"/>
      <c r="L592" s="171"/>
      <c r="M592" s="171"/>
      <c r="N592" s="171"/>
      <c r="O592" s="172"/>
      <c r="P592" s="171"/>
      <c r="Q592" s="171"/>
      <c r="R592" s="171"/>
      <c r="S592" s="172"/>
      <c r="T592" s="171"/>
      <c r="U592" s="172"/>
      <c r="V592" s="171"/>
      <c r="W592" s="172"/>
      <c r="X592" s="53"/>
      <c r="Y592" s="151"/>
      <c r="Z592" s="151"/>
      <c r="AA592" s="151"/>
      <c r="AB592" s="151"/>
    </row>
    <row r="593" spans="1:28" s="178" customFormat="1" ht="13">
      <c r="A593" s="174"/>
      <c r="B593" s="175"/>
      <c r="C593" s="176"/>
      <c r="D593" s="176"/>
      <c r="E593" s="176"/>
      <c r="F593" s="176"/>
      <c r="G593" s="176"/>
      <c r="H593" s="176"/>
      <c r="I593" s="177"/>
      <c r="J593" s="176"/>
      <c r="K593" s="176"/>
      <c r="L593" s="176"/>
      <c r="M593" s="176"/>
      <c r="N593" s="176"/>
      <c r="O593" s="177"/>
      <c r="P593" s="176"/>
      <c r="Q593" s="176"/>
      <c r="R593" s="176"/>
      <c r="S593" s="177"/>
      <c r="T593" s="181"/>
      <c r="U593" s="177"/>
      <c r="V593" s="176"/>
      <c r="W593" s="177"/>
      <c r="X593" s="53"/>
      <c r="Y593" s="151"/>
      <c r="Z593" s="151"/>
      <c r="AA593" s="151"/>
      <c r="AB593" s="151"/>
    </row>
    <row r="594" spans="1:28" ht="13">
      <c r="A594" s="170"/>
      <c r="B594" s="59"/>
      <c r="C594" s="179"/>
      <c r="D594" s="179"/>
      <c r="E594" s="179"/>
      <c r="F594" s="179"/>
      <c r="G594" s="179"/>
      <c r="H594" s="179"/>
      <c r="I594" s="180"/>
      <c r="J594" s="179"/>
      <c r="K594" s="179"/>
      <c r="L594" s="179"/>
      <c r="M594" s="179"/>
      <c r="N594" s="179"/>
      <c r="O594" s="180"/>
      <c r="P594" s="179"/>
      <c r="Q594" s="179"/>
      <c r="R594" s="179"/>
      <c r="S594" s="180"/>
      <c r="T594" s="179"/>
      <c r="U594" s="180"/>
      <c r="V594" s="179"/>
      <c r="W594" s="180"/>
      <c r="X594" s="53"/>
      <c r="Y594" s="151"/>
      <c r="Z594" s="151"/>
      <c r="AA594" s="151"/>
      <c r="AB594" s="151"/>
    </row>
    <row r="595" spans="1:28" s="173" customFormat="1" ht="13">
      <c r="A595" s="170"/>
      <c r="B595" s="94"/>
      <c r="C595" s="171"/>
      <c r="D595" s="171"/>
      <c r="E595" s="171"/>
      <c r="F595" s="171"/>
      <c r="G595" s="171"/>
      <c r="H595" s="171"/>
      <c r="I595" s="172"/>
      <c r="J595" s="171"/>
      <c r="K595" s="171"/>
      <c r="L595" s="171"/>
      <c r="M595" s="171"/>
      <c r="N595" s="171"/>
      <c r="O595" s="172"/>
      <c r="P595" s="171"/>
      <c r="Q595" s="171"/>
      <c r="R595" s="171"/>
      <c r="S595" s="172"/>
      <c r="T595" s="171"/>
      <c r="U595" s="172"/>
      <c r="V595" s="171"/>
      <c r="W595" s="172"/>
      <c r="X595" s="53"/>
      <c r="Y595" s="151"/>
      <c r="Z595" s="151"/>
      <c r="AA595" s="151"/>
      <c r="AB595" s="151"/>
    </row>
    <row r="596" spans="1:28" s="178" customFormat="1" ht="13">
      <c r="A596" s="170"/>
      <c r="B596" s="175"/>
      <c r="C596" s="176"/>
      <c r="D596" s="176"/>
      <c r="E596" s="176"/>
      <c r="F596" s="176"/>
      <c r="G596" s="176"/>
      <c r="H596" s="176"/>
      <c r="I596" s="177"/>
      <c r="J596" s="176"/>
      <c r="K596" s="176"/>
      <c r="L596" s="176"/>
      <c r="M596" s="176"/>
      <c r="N596" s="176"/>
      <c r="O596" s="177"/>
      <c r="P596" s="176"/>
      <c r="Q596" s="176"/>
      <c r="R596" s="176"/>
      <c r="S596" s="177"/>
      <c r="T596" s="176"/>
      <c r="U596" s="177"/>
      <c r="V596" s="176"/>
      <c r="W596" s="177"/>
      <c r="X596" s="53"/>
      <c r="Y596" s="151"/>
      <c r="Z596" s="151"/>
      <c r="AA596" s="151"/>
      <c r="AB596" s="151"/>
    </row>
    <row r="597" spans="1:28" ht="13">
      <c r="A597" s="170"/>
      <c r="B597" s="59"/>
      <c r="C597" s="179"/>
      <c r="D597" s="179"/>
      <c r="E597" s="179"/>
      <c r="F597" s="179"/>
      <c r="G597" s="179"/>
      <c r="H597" s="179"/>
      <c r="I597" s="180"/>
      <c r="J597" s="179"/>
      <c r="K597" s="179"/>
      <c r="L597" s="179"/>
      <c r="M597" s="179"/>
      <c r="N597" s="179"/>
      <c r="O597" s="180"/>
      <c r="P597" s="179"/>
      <c r="Q597" s="179"/>
      <c r="R597" s="179"/>
      <c r="S597" s="180"/>
      <c r="T597" s="179"/>
      <c r="U597" s="180"/>
      <c r="V597" s="179"/>
      <c r="W597" s="180"/>
      <c r="X597" s="53"/>
      <c r="Y597" s="151"/>
      <c r="Z597" s="151"/>
      <c r="AA597" s="151"/>
      <c r="AB597" s="151"/>
    </row>
    <row r="598" spans="1:28" s="173" customFormat="1" ht="13">
      <c r="A598" s="170"/>
      <c r="B598" s="94"/>
      <c r="C598" s="171"/>
      <c r="D598" s="171"/>
      <c r="E598" s="171"/>
      <c r="F598" s="171"/>
      <c r="G598" s="171"/>
      <c r="H598" s="171"/>
      <c r="I598" s="172"/>
      <c r="J598" s="171"/>
      <c r="K598" s="171"/>
      <c r="L598" s="171"/>
      <c r="M598" s="171"/>
      <c r="N598" s="171"/>
      <c r="O598" s="172"/>
      <c r="P598" s="171"/>
      <c r="Q598" s="171"/>
      <c r="R598" s="171"/>
      <c r="S598" s="172"/>
      <c r="T598" s="171"/>
      <c r="U598" s="172"/>
      <c r="V598" s="171"/>
      <c r="W598" s="172"/>
      <c r="X598" s="53"/>
      <c r="Y598" s="151"/>
      <c r="Z598" s="151"/>
      <c r="AA598" s="151"/>
      <c r="AB598" s="151"/>
    </row>
    <row r="599" spans="1:28" s="178" customFormat="1" ht="13">
      <c r="A599" s="170"/>
      <c r="B599" s="175"/>
      <c r="C599" s="176"/>
      <c r="D599" s="176"/>
      <c r="E599" s="176"/>
      <c r="F599" s="176"/>
      <c r="G599" s="176"/>
      <c r="H599" s="176"/>
      <c r="I599" s="177"/>
      <c r="J599" s="176"/>
      <c r="K599" s="176"/>
      <c r="L599" s="176"/>
      <c r="M599" s="176"/>
      <c r="N599" s="176"/>
      <c r="O599" s="177"/>
      <c r="P599" s="176"/>
      <c r="Q599" s="176"/>
      <c r="R599" s="176"/>
      <c r="S599" s="177"/>
      <c r="T599" s="176"/>
      <c r="U599" s="177"/>
      <c r="V599" s="176"/>
      <c r="W599" s="177"/>
      <c r="X599" s="53"/>
      <c r="Y599" s="151"/>
      <c r="Z599" s="151"/>
      <c r="AA599" s="151"/>
      <c r="AB599" s="151"/>
    </row>
    <row r="600" spans="1:28" ht="13">
      <c r="A600" s="170"/>
      <c r="B600" s="59"/>
      <c r="C600" s="179"/>
      <c r="D600" s="179"/>
      <c r="E600" s="179"/>
      <c r="F600" s="179"/>
      <c r="G600" s="179"/>
      <c r="H600" s="179"/>
      <c r="I600" s="180"/>
      <c r="J600" s="179"/>
      <c r="K600" s="179"/>
      <c r="L600" s="179"/>
      <c r="M600" s="179"/>
      <c r="N600" s="179"/>
      <c r="O600" s="180"/>
      <c r="P600" s="179"/>
      <c r="Q600" s="179"/>
      <c r="R600" s="179"/>
      <c r="S600" s="180"/>
      <c r="T600" s="179"/>
      <c r="U600" s="180"/>
      <c r="V600" s="179"/>
      <c r="W600" s="180"/>
      <c r="X600" s="53"/>
      <c r="Y600" s="151"/>
      <c r="Z600" s="151"/>
      <c r="AA600" s="151"/>
      <c r="AB600" s="151"/>
    </row>
    <row r="601" spans="1:28" s="173" customFormat="1" ht="13">
      <c r="A601" s="170"/>
      <c r="B601" s="94"/>
      <c r="C601" s="171"/>
      <c r="D601" s="171"/>
      <c r="E601" s="171"/>
      <c r="F601" s="171"/>
      <c r="G601" s="171"/>
      <c r="H601" s="171"/>
      <c r="I601" s="172"/>
      <c r="J601" s="171"/>
      <c r="K601" s="171"/>
      <c r="L601" s="171"/>
      <c r="M601" s="171"/>
      <c r="N601" s="171"/>
      <c r="O601" s="172"/>
      <c r="P601" s="171"/>
      <c r="Q601" s="171"/>
      <c r="R601" s="171"/>
      <c r="S601" s="172"/>
      <c r="T601" s="171"/>
      <c r="U601" s="172"/>
      <c r="V601" s="171"/>
      <c r="W601" s="172"/>
      <c r="X601" s="53"/>
      <c r="Y601" s="151"/>
      <c r="Z601" s="151"/>
      <c r="AA601" s="151"/>
      <c r="AB601" s="151"/>
    </row>
    <row r="602" spans="1:28" s="178" customFormat="1" ht="13">
      <c r="A602" s="170"/>
      <c r="B602" s="175"/>
      <c r="C602" s="176"/>
      <c r="D602" s="176"/>
      <c r="E602" s="176"/>
      <c r="F602" s="176"/>
      <c r="G602" s="176"/>
      <c r="H602" s="176"/>
      <c r="I602" s="177"/>
      <c r="J602" s="176"/>
      <c r="K602" s="176"/>
      <c r="L602" s="176"/>
      <c r="M602" s="176"/>
      <c r="N602" s="176"/>
      <c r="O602" s="177"/>
      <c r="P602" s="176"/>
      <c r="Q602" s="176"/>
      <c r="R602" s="176"/>
      <c r="S602" s="177"/>
      <c r="T602" s="176"/>
      <c r="U602" s="177"/>
      <c r="V602" s="176"/>
      <c r="W602" s="177"/>
      <c r="X602" s="53"/>
      <c r="Y602" s="151"/>
      <c r="Z602" s="151"/>
      <c r="AA602" s="151"/>
      <c r="AB602" s="151"/>
    </row>
    <row r="603" spans="1:28" ht="13">
      <c r="A603" s="170"/>
      <c r="B603" s="59"/>
      <c r="C603" s="179"/>
      <c r="D603" s="179"/>
      <c r="E603" s="179"/>
      <c r="F603" s="179"/>
      <c r="G603" s="179"/>
      <c r="H603" s="179"/>
      <c r="I603" s="180"/>
      <c r="J603" s="179"/>
      <c r="K603" s="179"/>
      <c r="L603" s="179"/>
      <c r="M603" s="179"/>
      <c r="N603" s="179"/>
      <c r="O603" s="180"/>
      <c r="P603" s="179"/>
      <c r="Q603" s="179"/>
      <c r="R603" s="179"/>
      <c r="S603" s="180"/>
      <c r="T603" s="179"/>
      <c r="U603" s="180"/>
      <c r="V603" s="179"/>
      <c r="W603" s="180"/>
      <c r="X603" s="53"/>
      <c r="Y603" s="151"/>
      <c r="Z603" s="151"/>
      <c r="AA603" s="151"/>
      <c r="AB603" s="151"/>
    </row>
    <row r="604" spans="1:28" s="173" customFormat="1" ht="13">
      <c r="A604" s="170"/>
      <c r="B604" s="94"/>
      <c r="C604" s="171"/>
      <c r="D604" s="171"/>
      <c r="E604" s="171"/>
      <c r="F604" s="171"/>
      <c r="G604" s="171"/>
      <c r="H604" s="171"/>
      <c r="I604" s="172"/>
      <c r="J604" s="171"/>
      <c r="K604" s="171"/>
      <c r="L604" s="171"/>
      <c r="M604" s="171"/>
      <c r="N604" s="171"/>
      <c r="O604" s="172"/>
      <c r="P604" s="171"/>
      <c r="Q604" s="171"/>
      <c r="R604" s="171"/>
      <c r="S604" s="172"/>
      <c r="T604" s="171"/>
      <c r="U604" s="172"/>
      <c r="V604" s="171"/>
      <c r="W604" s="172"/>
      <c r="X604" s="53"/>
      <c r="Y604" s="151"/>
      <c r="Z604" s="151"/>
      <c r="AA604" s="151"/>
      <c r="AB604" s="151"/>
    </row>
    <row r="605" spans="1:28" s="178" customFormat="1" ht="13">
      <c r="A605" s="170"/>
      <c r="B605" s="175"/>
      <c r="C605" s="176"/>
      <c r="D605" s="176"/>
      <c r="E605" s="176"/>
      <c r="F605" s="176"/>
      <c r="G605" s="176"/>
      <c r="H605" s="176"/>
      <c r="I605" s="177"/>
      <c r="J605" s="176"/>
      <c r="K605" s="176"/>
      <c r="L605" s="176"/>
      <c r="M605" s="176"/>
      <c r="N605" s="176"/>
      <c r="O605" s="177"/>
      <c r="P605" s="176"/>
      <c r="Q605" s="176"/>
      <c r="R605" s="176"/>
      <c r="S605" s="177"/>
      <c r="T605" s="176"/>
      <c r="U605" s="177"/>
      <c r="V605" s="176"/>
      <c r="W605" s="177"/>
      <c r="X605" s="53"/>
      <c r="Y605" s="151"/>
      <c r="Z605" s="151"/>
      <c r="AA605" s="151"/>
      <c r="AB605" s="151"/>
    </row>
    <row r="606" spans="1:28" ht="13">
      <c r="A606" s="170"/>
      <c r="B606" s="183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53"/>
      <c r="Y606" s="151"/>
      <c r="Z606" s="151"/>
      <c r="AA606" s="151"/>
      <c r="AB606" s="151"/>
    </row>
    <row r="607" spans="1:28" s="173" customFormat="1" ht="13">
      <c r="A607" s="170"/>
      <c r="B607" s="184"/>
      <c r="C607" s="172"/>
      <c r="D607" s="172"/>
      <c r="E607" s="172"/>
      <c r="F607" s="172"/>
      <c r="G607" s="172"/>
      <c r="H607" s="172"/>
      <c r="I607" s="172"/>
      <c r="J607" s="172"/>
      <c r="K607" s="172"/>
      <c r="L607" s="172"/>
      <c r="M607" s="172"/>
      <c r="N607" s="172"/>
      <c r="O607" s="172"/>
      <c r="P607" s="172"/>
      <c r="Q607" s="172"/>
      <c r="R607" s="172"/>
      <c r="S607" s="172"/>
      <c r="T607" s="172"/>
      <c r="U607" s="172"/>
      <c r="V607" s="172"/>
      <c r="W607" s="172"/>
      <c r="X607" s="53"/>
      <c r="Y607" s="151"/>
      <c r="Z607" s="151"/>
      <c r="AA607" s="151"/>
      <c r="AB607" s="151"/>
    </row>
    <row r="608" spans="1:28" s="178" customFormat="1" ht="13">
      <c r="A608" s="170"/>
      <c r="B608" s="185"/>
      <c r="C608" s="177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53"/>
      <c r="Y608" s="151"/>
      <c r="Z608" s="151"/>
      <c r="AA608" s="151"/>
      <c r="AB608" s="151"/>
    </row>
    <row r="609" spans="1:28" ht="13">
      <c r="A609" s="170"/>
      <c r="B609" s="59"/>
      <c r="C609" s="179"/>
      <c r="D609" s="179"/>
      <c r="E609" s="179"/>
      <c r="F609" s="179"/>
      <c r="G609" s="179"/>
      <c r="H609" s="179"/>
      <c r="I609" s="180"/>
      <c r="J609" s="179"/>
      <c r="K609" s="179"/>
      <c r="L609" s="179"/>
      <c r="M609" s="179"/>
      <c r="N609" s="179"/>
      <c r="O609" s="180"/>
      <c r="P609" s="179"/>
      <c r="Q609" s="179"/>
      <c r="R609" s="179"/>
      <c r="S609" s="180"/>
      <c r="T609" s="179"/>
      <c r="U609" s="180"/>
      <c r="V609" s="179"/>
      <c r="W609" s="180"/>
      <c r="X609" s="53"/>
      <c r="Y609" s="151"/>
      <c r="Z609" s="151"/>
      <c r="AA609" s="151"/>
      <c r="AB609" s="151"/>
    </row>
    <row r="610" spans="1:28" s="173" customFormat="1" ht="13">
      <c r="A610" s="170"/>
      <c r="B610" s="94"/>
      <c r="C610" s="171"/>
      <c r="D610" s="171"/>
      <c r="E610" s="171"/>
      <c r="F610" s="171"/>
      <c r="G610" s="171"/>
      <c r="H610" s="171"/>
      <c r="I610" s="172"/>
      <c r="J610" s="171"/>
      <c r="K610" s="171"/>
      <c r="L610" s="171"/>
      <c r="M610" s="171"/>
      <c r="N610" s="171"/>
      <c r="O610" s="172"/>
      <c r="P610" s="171"/>
      <c r="Q610" s="171"/>
      <c r="R610" s="171"/>
      <c r="S610" s="172"/>
      <c r="T610" s="171"/>
      <c r="U610" s="172"/>
      <c r="V610" s="171"/>
      <c r="W610" s="172"/>
      <c r="X610" s="53"/>
      <c r="Y610" s="151"/>
      <c r="Z610" s="151"/>
      <c r="AA610" s="151"/>
      <c r="AB610" s="151"/>
    </row>
    <row r="611" spans="1:28" s="178" customFormat="1" ht="13">
      <c r="A611" s="170"/>
      <c r="B611" s="175"/>
      <c r="C611" s="176"/>
      <c r="D611" s="176"/>
      <c r="E611" s="176"/>
      <c r="F611" s="176"/>
      <c r="G611" s="176"/>
      <c r="H611" s="176"/>
      <c r="I611" s="177"/>
      <c r="J611" s="176"/>
      <c r="K611" s="176"/>
      <c r="L611" s="176"/>
      <c r="M611" s="176"/>
      <c r="N611" s="176"/>
      <c r="O611" s="177"/>
      <c r="P611" s="176"/>
      <c r="Q611" s="176"/>
      <c r="R611" s="176"/>
      <c r="S611" s="177"/>
      <c r="T611" s="176"/>
      <c r="U611" s="177"/>
      <c r="V611" s="176"/>
      <c r="W611" s="177"/>
      <c r="X611" s="53"/>
      <c r="Y611" s="151"/>
      <c r="Z611" s="151"/>
      <c r="AA611" s="151"/>
      <c r="AB611" s="151"/>
    </row>
    <row r="612" spans="1:28" ht="13">
      <c r="A612" s="170"/>
      <c r="B612" s="59"/>
      <c r="C612" s="179"/>
      <c r="D612" s="179"/>
      <c r="E612" s="179"/>
      <c r="F612" s="179"/>
      <c r="G612" s="179"/>
      <c r="H612" s="179"/>
      <c r="I612" s="180"/>
      <c r="J612" s="179"/>
      <c r="K612" s="179"/>
      <c r="L612" s="179"/>
      <c r="M612" s="179"/>
      <c r="N612" s="179"/>
      <c r="O612" s="180"/>
      <c r="P612" s="179"/>
      <c r="Q612" s="179"/>
      <c r="R612" s="179"/>
      <c r="S612" s="180"/>
      <c r="T612" s="179"/>
      <c r="U612" s="180"/>
      <c r="V612" s="179"/>
      <c r="W612" s="180"/>
      <c r="X612" s="53"/>
      <c r="Y612" s="151"/>
      <c r="Z612" s="151"/>
      <c r="AA612" s="151"/>
      <c r="AB612" s="151"/>
    </row>
    <row r="613" spans="1:28" s="173" customFormat="1" ht="13">
      <c r="A613" s="170"/>
      <c r="B613" s="94"/>
      <c r="C613" s="171"/>
      <c r="D613" s="171"/>
      <c r="E613" s="171"/>
      <c r="F613" s="171"/>
      <c r="G613" s="171"/>
      <c r="H613" s="171"/>
      <c r="I613" s="172"/>
      <c r="J613" s="171"/>
      <c r="K613" s="171"/>
      <c r="L613" s="171"/>
      <c r="M613" s="171"/>
      <c r="N613" s="171"/>
      <c r="O613" s="172"/>
      <c r="P613" s="171"/>
      <c r="Q613" s="171"/>
      <c r="R613" s="171"/>
      <c r="S613" s="172"/>
      <c r="T613" s="171"/>
      <c r="U613" s="172"/>
      <c r="V613" s="171"/>
      <c r="W613" s="172"/>
      <c r="X613" s="53"/>
      <c r="Y613" s="151"/>
      <c r="Z613" s="151"/>
      <c r="AA613" s="151"/>
      <c r="AB613" s="151"/>
    </row>
    <row r="614" spans="1:28" s="178" customFormat="1" ht="13">
      <c r="A614" s="170"/>
      <c r="B614" s="175"/>
      <c r="C614" s="176"/>
      <c r="D614" s="176"/>
      <c r="E614" s="176"/>
      <c r="F614" s="176"/>
      <c r="G614" s="176"/>
      <c r="H614" s="176"/>
      <c r="I614" s="177"/>
      <c r="J614" s="176"/>
      <c r="K614" s="176"/>
      <c r="L614" s="176"/>
      <c r="M614" s="176"/>
      <c r="N614" s="176"/>
      <c r="O614" s="177"/>
      <c r="P614" s="176"/>
      <c r="Q614" s="176"/>
      <c r="R614" s="176"/>
      <c r="S614" s="177"/>
      <c r="T614" s="176"/>
      <c r="U614" s="177"/>
      <c r="V614" s="176"/>
      <c r="W614" s="177"/>
      <c r="X614" s="53"/>
      <c r="Y614" s="151"/>
      <c r="Z614" s="151"/>
      <c r="AA614" s="151"/>
      <c r="AB614" s="151"/>
    </row>
    <row r="615" spans="1:28" ht="13">
      <c r="A615" s="170"/>
      <c r="B615" s="59"/>
      <c r="C615" s="179"/>
      <c r="D615" s="179"/>
      <c r="E615" s="179"/>
      <c r="F615" s="179"/>
      <c r="G615" s="179"/>
      <c r="H615" s="179"/>
      <c r="I615" s="180"/>
      <c r="J615" s="179"/>
      <c r="K615" s="179"/>
      <c r="L615" s="179"/>
      <c r="M615" s="179"/>
      <c r="N615" s="179"/>
      <c r="O615" s="180"/>
      <c r="P615" s="179"/>
      <c r="Q615" s="179"/>
      <c r="R615" s="179"/>
      <c r="S615" s="180"/>
      <c r="T615" s="179"/>
      <c r="U615" s="180"/>
      <c r="V615" s="179"/>
      <c r="W615" s="180"/>
      <c r="X615" s="53"/>
      <c r="Y615" s="151"/>
      <c r="Z615" s="151"/>
      <c r="AA615" s="151"/>
      <c r="AB615" s="151"/>
    </row>
    <row r="616" spans="1:28" s="173" customFormat="1" ht="13">
      <c r="A616" s="170"/>
      <c r="B616" s="94"/>
      <c r="C616" s="171"/>
      <c r="D616" s="171"/>
      <c r="E616" s="171"/>
      <c r="F616" s="171"/>
      <c r="G616" s="171"/>
      <c r="H616" s="171"/>
      <c r="I616" s="172"/>
      <c r="J616" s="171"/>
      <c r="K616" s="171"/>
      <c r="L616" s="171"/>
      <c r="M616" s="171"/>
      <c r="N616" s="171"/>
      <c r="O616" s="172"/>
      <c r="P616" s="171"/>
      <c r="Q616" s="171"/>
      <c r="R616" s="171"/>
      <c r="S616" s="172"/>
      <c r="T616" s="171"/>
      <c r="U616" s="172"/>
      <c r="V616" s="171"/>
      <c r="W616" s="172"/>
      <c r="X616" s="53"/>
      <c r="Y616" s="151"/>
      <c r="Z616" s="151"/>
      <c r="AA616" s="151"/>
      <c r="AB616" s="151"/>
    </row>
    <row r="617" spans="1:28" s="178" customFormat="1" ht="13">
      <c r="A617" s="170"/>
      <c r="B617" s="175"/>
      <c r="C617" s="176"/>
      <c r="D617" s="176"/>
      <c r="E617" s="176"/>
      <c r="F617" s="176"/>
      <c r="G617" s="176"/>
      <c r="H617" s="176"/>
      <c r="I617" s="177"/>
      <c r="J617" s="176"/>
      <c r="K617" s="176"/>
      <c r="L617" s="176"/>
      <c r="M617" s="176"/>
      <c r="N617" s="176"/>
      <c r="O617" s="177"/>
      <c r="P617" s="176"/>
      <c r="Q617" s="176"/>
      <c r="R617" s="176"/>
      <c r="S617" s="177"/>
      <c r="T617" s="176"/>
      <c r="U617" s="177"/>
      <c r="V617" s="176"/>
      <c r="W617" s="177"/>
      <c r="X617" s="53"/>
      <c r="Y617" s="151"/>
      <c r="Z617" s="151"/>
      <c r="AA617" s="151"/>
      <c r="AB617" s="151"/>
    </row>
    <row r="618" spans="1:28" ht="13">
      <c r="A618" s="170"/>
      <c r="B618" s="59"/>
      <c r="C618" s="179"/>
      <c r="D618" s="179"/>
      <c r="E618" s="179"/>
      <c r="F618" s="179"/>
      <c r="G618" s="179"/>
      <c r="H618" s="179"/>
      <c r="I618" s="180"/>
      <c r="J618" s="179"/>
      <c r="K618" s="179"/>
      <c r="L618" s="179"/>
      <c r="M618" s="179"/>
      <c r="N618" s="179"/>
      <c r="O618" s="180"/>
      <c r="P618" s="179"/>
      <c r="Q618" s="179"/>
      <c r="R618" s="179"/>
      <c r="S618" s="180"/>
      <c r="T618" s="179"/>
      <c r="U618" s="180"/>
      <c r="V618" s="179"/>
      <c r="W618" s="180"/>
      <c r="X618" s="53"/>
      <c r="Y618" s="151"/>
      <c r="Z618" s="151"/>
      <c r="AA618" s="151"/>
      <c r="AB618" s="151"/>
    </row>
    <row r="619" spans="1:28" s="173" customFormat="1" ht="13">
      <c r="A619" s="170"/>
      <c r="B619" s="94"/>
      <c r="C619" s="171"/>
      <c r="D619" s="171"/>
      <c r="E619" s="171"/>
      <c r="F619" s="171"/>
      <c r="G619" s="171"/>
      <c r="H619" s="171"/>
      <c r="I619" s="172"/>
      <c r="J619" s="171"/>
      <c r="K619" s="171"/>
      <c r="L619" s="171"/>
      <c r="M619" s="171"/>
      <c r="N619" s="171"/>
      <c r="O619" s="172"/>
      <c r="P619" s="171"/>
      <c r="Q619" s="171"/>
      <c r="R619" s="171"/>
      <c r="S619" s="172"/>
      <c r="T619" s="171"/>
      <c r="U619" s="172"/>
      <c r="V619" s="171"/>
      <c r="W619" s="172"/>
      <c r="X619" s="53"/>
      <c r="Y619" s="151"/>
      <c r="Z619" s="151"/>
      <c r="AA619" s="151"/>
      <c r="AB619" s="151"/>
    </row>
    <row r="620" spans="1:28" s="178" customFormat="1" ht="13">
      <c r="A620" s="170"/>
      <c r="B620" s="175"/>
      <c r="C620" s="176"/>
      <c r="D620" s="176"/>
      <c r="E620" s="176"/>
      <c r="F620" s="176"/>
      <c r="G620" s="176"/>
      <c r="H620" s="176"/>
      <c r="I620" s="177"/>
      <c r="J620" s="176"/>
      <c r="K620" s="176"/>
      <c r="L620" s="176"/>
      <c r="M620" s="176"/>
      <c r="N620" s="176"/>
      <c r="O620" s="177"/>
      <c r="P620" s="176"/>
      <c r="Q620" s="176"/>
      <c r="R620" s="176"/>
      <c r="S620" s="177"/>
      <c r="T620" s="176"/>
      <c r="U620" s="177"/>
      <c r="V620" s="176"/>
      <c r="W620" s="177"/>
      <c r="X620" s="53"/>
      <c r="Y620" s="151"/>
      <c r="Z620" s="151"/>
      <c r="AA620" s="151"/>
      <c r="AB620" s="151"/>
    </row>
    <row r="621" spans="1:28" ht="13">
      <c r="A621" s="170"/>
      <c r="B621" s="59"/>
      <c r="C621" s="179"/>
      <c r="D621" s="179"/>
      <c r="E621" s="179"/>
      <c r="F621" s="179"/>
      <c r="G621" s="179"/>
      <c r="H621" s="179"/>
      <c r="I621" s="180"/>
      <c r="J621" s="179"/>
      <c r="K621" s="179"/>
      <c r="L621" s="179"/>
      <c r="M621" s="179"/>
      <c r="N621" s="179"/>
      <c r="O621" s="180"/>
      <c r="P621" s="179"/>
      <c r="Q621" s="179"/>
      <c r="R621" s="179"/>
      <c r="S621" s="180"/>
      <c r="T621" s="179"/>
      <c r="U621" s="180"/>
      <c r="V621" s="179"/>
      <c r="W621" s="180"/>
      <c r="X621" s="53"/>
      <c r="Y621" s="151"/>
      <c r="Z621" s="151"/>
      <c r="AA621" s="151"/>
      <c r="AB621" s="151"/>
    </row>
    <row r="622" spans="1:28" s="173" customFormat="1" ht="13">
      <c r="A622" s="170"/>
      <c r="B622" s="94"/>
      <c r="C622" s="171"/>
      <c r="D622" s="171"/>
      <c r="E622" s="171"/>
      <c r="F622" s="171"/>
      <c r="G622" s="171"/>
      <c r="H622" s="171"/>
      <c r="I622" s="172"/>
      <c r="J622" s="171"/>
      <c r="K622" s="171"/>
      <c r="L622" s="171"/>
      <c r="M622" s="171"/>
      <c r="N622" s="171"/>
      <c r="O622" s="172"/>
      <c r="P622" s="171"/>
      <c r="Q622" s="171"/>
      <c r="R622" s="171"/>
      <c r="S622" s="172"/>
      <c r="T622" s="171"/>
      <c r="U622" s="172"/>
      <c r="V622" s="171"/>
      <c r="W622" s="172"/>
      <c r="X622" s="53"/>
      <c r="Y622" s="151"/>
      <c r="Z622" s="151"/>
      <c r="AA622" s="151"/>
      <c r="AB622" s="151"/>
    </row>
    <row r="623" spans="1:28" s="178" customFormat="1" ht="13">
      <c r="A623" s="170"/>
      <c r="B623" s="175"/>
      <c r="C623" s="176"/>
      <c r="D623" s="176"/>
      <c r="E623" s="176"/>
      <c r="F623" s="176"/>
      <c r="G623" s="176"/>
      <c r="H623" s="176"/>
      <c r="I623" s="177"/>
      <c r="J623" s="176"/>
      <c r="K623" s="176"/>
      <c r="L623" s="176"/>
      <c r="M623" s="176"/>
      <c r="N623" s="176"/>
      <c r="O623" s="177"/>
      <c r="P623" s="176"/>
      <c r="Q623" s="176"/>
      <c r="R623" s="176"/>
      <c r="S623" s="177"/>
      <c r="T623" s="176"/>
      <c r="U623" s="177"/>
      <c r="V623" s="176"/>
      <c r="W623" s="177"/>
      <c r="X623" s="53"/>
      <c r="Y623" s="151"/>
      <c r="Z623" s="151"/>
      <c r="AA623" s="151"/>
      <c r="AB623" s="151"/>
    </row>
    <row r="624" spans="1:28" ht="13">
      <c r="A624" s="170"/>
      <c r="B624" s="59"/>
      <c r="C624" s="179"/>
      <c r="D624" s="179"/>
      <c r="E624" s="179"/>
      <c r="F624" s="179"/>
      <c r="G624" s="179"/>
      <c r="H624" s="179"/>
      <c r="I624" s="180"/>
      <c r="J624" s="179"/>
      <c r="K624" s="179"/>
      <c r="L624" s="179"/>
      <c r="M624" s="179"/>
      <c r="N624" s="179"/>
      <c r="O624" s="180"/>
      <c r="P624" s="179"/>
      <c r="Q624" s="179"/>
      <c r="R624" s="179"/>
      <c r="S624" s="180"/>
      <c r="T624" s="179"/>
      <c r="U624" s="180"/>
      <c r="V624" s="179"/>
      <c r="W624" s="180"/>
      <c r="X624" s="53"/>
      <c r="Y624" s="151"/>
      <c r="Z624" s="151"/>
      <c r="AA624" s="151"/>
      <c r="AB624" s="151"/>
    </row>
    <row r="625" spans="1:28" s="173" customFormat="1" ht="13">
      <c r="A625" s="170"/>
      <c r="B625" s="94"/>
      <c r="C625" s="171"/>
      <c r="D625" s="171"/>
      <c r="E625" s="171"/>
      <c r="F625" s="171"/>
      <c r="G625" s="171"/>
      <c r="H625" s="171"/>
      <c r="I625" s="172"/>
      <c r="J625" s="171"/>
      <c r="K625" s="171"/>
      <c r="L625" s="171"/>
      <c r="M625" s="171"/>
      <c r="N625" s="171"/>
      <c r="O625" s="172"/>
      <c r="P625" s="171"/>
      <c r="Q625" s="171"/>
      <c r="R625" s="171"/>
      <c r="S625" s="172"/>
      <c r="T625" s="171"/>
      <c r="U625" s="172"/>
      <c r="V625" s="171"/>
      <c r="W625" s="172"/>
      <c r="X625" s="53"/>
      <c r="Y625" s="151"/>
      <c r="Z625" s="151"/>
      <c r="AA625" s="151"/>
      <c r="AB625" s="151"/>
    </row>
    <row r="626" spans="1:28" s="178" customFormat="1" ht="13">
      <c r="A626" s="170"/>
      <c r="B626" s="175"/>
      <c r="C626" s="176"/>
      <c r="D626" s="176"/>
      <c r="E626" s="176"/>
      <c r="F626" s="176"/>
      <c r="G626" s="176"/>
      <c r="H626" s="176"/>
      <c r="I626" s="177"/>
      <c r="J626" s="176"/>
      <c r="K626" s="176"/>
      <c r="L626" s="176"/>
      <c r="M626" s="176"/>
      <c r="N626" s="176"/>
      <c r="O626" s="177"/>
      <c r="P626" s="176"/>
      <c r="Q626" s="176"/>
      <c r="R626" s="176"/>
      <c r="S626" s="177"/>
      <c r="T626" s="176"/>
      <c r="U626" s="177"/>
      <c r="V626" s="176"/>
      <c r="W626" s="177"/>
      <c r="X626" s="53"/>
      <c r="Y626" s="151"/>
      <c r="Z626" s="151"/>
      <c r="AA626" s="151"/>
      <c r="AB626" s="151"/>
    </row>
    <row r="627" spans="1:28" ht="13">
      <c r="A627" s="170"/>
      <c r="B627" s="59"/>
      <c r="C627" s="179"/>
      <c r="D627" s="179"/>
      <c r="E627" s="179"/>
      <c r="F627" s="179"/>
      <c r="G627" s="179"/>
      <c r="H627" s="179"/>
      <c r="I627" s="180"/>
      <c r="J627" s="179"/>
      <c r="K627" s="179"/>
      <c r="L627" s="179"/>
      <c r="M627" s="179"/>
      <c r="N627" s="179"/>
      <c r="O627" s="180"/>
      <c r="P627" s="179"/>
      <c r="Q627" s="179"/>
      <c r="R627" s="179"/>
      <c r="S627" s="180"/>
      <c r="T627" s="179"/>
      <c r="U627" s="180"/>
      <c r="V627" s="179"/>
      <c r="W627" s="180"/>
      <c r="X627" s="53"/>
      <c r="Y627" s="151"/>
      <c r="Z627" s="151"/>
      <c r="AA627" s="151"/>
      <c r="AB627" s="151"/>
    </row>
    <row r="628" spans="1:28" s="173" customFormat="1" ht="13">
      <c r="A628" s="170"/>
      <c r="B628" s="94"/>
      <c r="C628" s="171"/>
      <c r="D628" s="171"/>
      <c r="E628" s="171"/>
      <c r="F628" s="171"/>
      <c r="G628" s="171"/>
      <c r="H628" s="171"/>
      <c r="I628" s="172"/>
      <c r="J628" s="171"/>
      <c r="K628" s="171"/>
      <c r="L628" s="171"/>
      <c r="M628" s="171"/>
      <c r="N628" s="171"/>
      <c r="O628" s="172"/>
      <c r="P628" s="171"/>
      <c r="Q628" s="171"/>
      <c r="R628" s="171"/>
      <c r="S628" s="172"/>
      <c r="T628" s="171"/>
      <c r="U628" s="172"/>
      <c r="V628" s="171"/>
      <c r="W628" s="172"/>
      <c r="X628" s="53"/>
      <c r="Y628" s="151"/>
      <c r="Z628" s="151"/>
      <c r="AA628" s="151"/>
      <c r="AB628" s="151"/>
    </row>
    <row r="629" spans="1:28" s="192" customFormat="1" ht="13.5" thickBot="1">
      <c r="A629" s="186"/>
      <c r="B629" s="175"/>
      <c r="C629" s="188"/>
      <c r="D629" s="188"/>
      <c r="E629" s="188"/>
      <c r="F629" s="188"/>
      <c r="G629" s="188"/>
      <c r="H629" s="188"/>
      <c r="I629" s="189"/>
      <c r="J629" s="188"/>
      <c r="K629" s="188"/>
      <c r="L629" s="188"/>
      <c r="M629" s="188"/>
      <c r="N629" s="188"/>
      <c r="O629" s="189"/>
      <c r="P629" s="188"/>
      <c r="Q629" s="188"/>
      <c r="R629" s="188"/>
      <c r="S629" s="189"/>
      <c r="T629" s="190"/>
      <c r="U629" s="189"/>
      <c r="V629" s="188"/>
      <c r="W629" s="189"/>
      <c r="X629" s="53"/>
      <c r="Y629" s="151"/>
      <c r="Z629" s="151"/>
      <c r="AA629" s="151"/>
      <c r="AB629" s="151"/>
    </row>
    <row r="630" spans="1:28" ht="13.5" thickTop="1">
      <c r="A630" s="147"/>
      <c r="B630" s="59"/>
      <c r="C630" s="168"/>
      <c r="D630" s="168"/>
      <c r="E630" s="168"/>
      <c r="F630" s="168"/>
      <c r="G630" s="168"/>
      <c r="H630" s="168"/>
      <c r="I630" s="169"/>
      <c r="J630" s="168"/>
      <c r="K630" s="168"/>
      <c r="L630" s="168"/>
      <c r="M630" s="168"/>
      <c r="N630" s="168"/>
      <c r="O630" s="169"/>
      <c r="P630" s="168"/>
      <c r="Q630" s="168"/>
      <c r="R630" s="168"/>
      <c r="S630" s="169"/>
      <c r="T630" s="168"/>
      <c r="U630" s="169"/>
      <c r="V630" s="168"/>
      <c r="W630" s="169"/>
      <c r="X630" s="53"/>
      <c r="Y630" s="151"/>
      <c r="Z630" s="151"/>
      <c r="AA630" s="151"/>
      <c r="AB630" s="151"/>
    </row>
    <row r="631" spans="1:28" ht="13">
      <c r="A631" s="170"/>
      <c r="B631" s="94"/>
      <c r="C631" s="171"/>
      <c r="D631" s="171"/>
      <c r="E631" s="171"/>
      <c r="F631" s="171"/>
      <c r="G631" s="171"/>
      <c r="H631" s="171"/>
      <c r="I631" s="172"/>
      <c r="J631" s="171"/>
      <c r="K631" s="171"/>
      <c r="L631" s="171"/>
      <c r="M631" s="171"/>
      <c r="N631" s="171"/>
      <c r="O631" s="172"/>
      <c r="P631" s="171"/>
      <c r="Q631" s="171"/>
      <c r="R631" s="171"/>
      <c r="S631" s="172"/>
      <c r="T631" s="171"/>
      <c r="U631" s="172"/>
      <c r="V631" s="171"/>
      <c r="W631" s="172"/>
      <c r="X631" s="53"/>
      <c r="Y631" s="151"/>
      <c r="Z631" s="151"/>
      <c r="AA631" s="151"/>
      <c r="AB631" s="151"/>
    </row>
    <row r="632" spans="1:28" ht="13">
      <c r="A632" s="174"/>
      <c r="B632" s="175"/>
      <c r="C632" s="176"/>
      <c r="D632" s="176"/>
      <c r="E632" s="176"/>
      <c r="F632" s="176"/>
      <c r="G632" s="176"/>
      <c r="H632" s="176"/>
      <c r="I632" s="177"/>
      <c r="J632" s="176"/>
      <c r="K632" s="176"/>
      <c r="L632" s="176"/>
      <c r="M632" s="176"/>
      <c r="N632" s="176"/>
      <c r="O632" s="177"/>
      <c r="P632" s="176"/>
      <c r="Q632" s="176"/>
      <c r="R632" s="176"/>
      <c r="S632" s="177"/>
      <c r="T632" s="176"/>
      <c r="U632" s="177"/>
      <c r="V632" s="176"/>
      <c r="W632" s="177"/>
      <c r="X632" s="53"/>
      <c r="Y632" s="151"/>
      <c r="Z632" s="151"/>
      <c r="AA632" s="151"/>
      <c r="AB632" s="151"/>
    </row>
    <row r="633" spans="1:28" ht="13">
      <c r="A633" s="170"/>
      <c r="B633" s="59"/>
      <c r="C633" s="179"/>
      <c r="D633" s="179"/>
      <c r="E633" s="179"/>
      <c r="F633" s="179"/>
      <c r="G633" s="179"/>
      <c r="H633" s="179"/>
      <c r="I633" s="180"/>
      <c r="J633" s="179"/>
      <c r="K633" s="179"/>
      <c r="L633" s="179"/>
      <c r="M633" s="179"/>
      <c r="N633" s="179"/>
      <c r="O633" s="180"/>
      <c r="P633" s="179"/>
      <c r="Q633" s="179"/>
      <c r="R633" s="179"/>
      <c r="S633" s="180"/>
      <c r="T633" s="179"/>
      <c r="U633" s="180"/>
      <c r="V633" s="179"/>
      <c r="W633" s="180"/>
      <c r="X633" s="53"/>
      <c r="Y633" s="151"/>
      <c r="Z633" s="151"/>
      <c r="AA633" s="151"/>
      <c r="AB633" s="151"/>
    </row>
    <row r="634" spans="1:28" ht="13">
      <c r="A634" s="170"/>
      <c r="B634" s="94"/>
      <c r="C634" s="171"/>
      <c r="D634" s="171"/>
      <c r="E634" s="171"/>
      <c r="F634" s="171"/>
      <c r="G634" s="171"/>
      <c r="H634" s="171"/>
      <c r="I634" s="172"/>
      <c r="J634" s="171"/>
      <c r="K634" s="171"/>
      <c r="L634" s="171"/>
      <c r="M634" s="171"/>
      <c r="N634" s="171"/>
      <c r="O634" s="172"/>
      <c r="P634" s="171"/>
      <c r="Q634" s="171"/>
      <c r="R634" s="171"/>
      <c r="S634" s="172"/>
      <c r="T634" s="171"/>
      <c r="U634" s="172"/>
      <c r="V634" s="171"/>
      <c r="W634" s="172"/>
      <c r="X634" s="53"/>
      <c r="Y634" s="151"/>
      <c r="Z634" s="151"/>
      <c r="AA634" s="151"/>
      <c r="AB634" s="151"/>
    </row>
    <row r="635" spans="1:28" ht="13">
      <c r="A635" s="170"/>
      <c r="B635" s="175"/>
      <c r="C635" s="176"/>
      <c r="D635" s="176"/>
      <c r="E635" s="176"/>
      <c r="F635" s="176"/>
      <c r="G635" s="176"/>
      <c r="H635" s="176"/>
      <c r="I635" s="177"/>
      <c r="J635" s="176"/>
      <c r="K635" s="176"/>
      <c r="L635" s="176"/>
      <c r="M635" s="176"/>
      <c r="N635" s="176"/>
      <c r="O635" s="177"/>
      <c r="P635" s="176"/>
      <c r="Q635" s="176"/>
      <c r="R635" s="176"/>
      <c r="S635" s="177"/>
      <c r="T635" s="176"/>
      <c r="U635" s="177"/>
      <c r="V635" s="176"/>
      <c r="W635" s="177"/>
      <c r="X635" s="53"/>
      <c r="Y635" s="151"/>
      <c r="Z635" s="151"/>
      <c r="AA635" s="151"/>
      <c r="AB635" s="151"/>
    </row>
    <row r="636" spans="1:28" ht="13">
      <c r="A636" s="170"/>
      <c r="B636" s="59"/>
      <c r="C636" s="179"/>
      <c r="D636" s="179"/>
      <c r="E636" s="179"/>
      <c r="F636" s="179"/>
      <c r="G636" s="179"/>
      <c r="H636" s="179"/>
      <c r="I636" s="180"/>
      <c r="J636" s="179"/>
      <c r="K636" s="179"/>
      <c r="L636" s="179"/>
      <c r="M636" s="179"/>
      <c r="N636" s="179"/>
      <c r="O636" s="180"/>
      <c r="P636" s="179"/>
      <c r="Q636" s="179"/>
      <c r="R636" s="179"/>
      <c r="S636" s="180"/>
      <c r="T636" s="179"/>
      <c r="U636" s="180"/>
      <c r="V636" s="179"/>
      <c r="W636" s="180"/>
      <c r="X636" s="53"/>
      <c r="Y636" s="151"/>
      <c r="Z636" s="151"/>
      <c r="AA636" s="151"/>
      <c r="AB636" s="151"/>
    </row>
    <row r="637" spans="1:28" ht="13">
      <c r="A637" s="170"/>
      <c r="B637" s="94"/>
      <c r="C637" s="171"/>
      <c r="D637" s="171"/>
      <c r="E637" s="171"/>
      <c r="F637" s="171"/>
      <c r="G637" s="171"/>
      <c r="H637" s="171"/>
      <c r="I637" s="172"/>
      <c r="J637" s="171"/>
      <c r="K637" s="171"/>
      <c r="L637" s="171"/>
      <c r="M637" s="171"/>
      <c r="N637" s="171"/>
      <c r="O637" s="172"/>
      <c r="P637" s="171"/>
      <c r="Q637" s="171"/>
      <c r="R637" s="171"/>
      <c r="S637" s="172"/>
      <c r="T637" s="171"/>
      <c r="U637" s="172"/>
      <c r="V637" s="171"/>
      <c r="W637" s="172"/>
      <c r="X637" s="53"/>
      <c r="Y637" s="151"/>
      <c r="Z637" s="151"/>
      <c r="AA637" s="151"/>
      <c r="AB637" s="151"/>
    </row>
    <row r="638" spans="1:28" ht="13">
      <c r="A638" s="170"/>
      <c r="B638" s="175"/>
      <c r="C638" s="176"/>
      <c r="D638" s="176"/>
      <c r="E638" s="176"/>
      <c r="F638" s="176"/>
      <c r="G638" s="176"/>
      <c r="H638" s="176"/>
      <c r="I638" s="177"/>
      <c r="J638" s="176"/>
      <c r="K638" s="176"/>
      <c r="L638" s="176"/>
      <c r="M638" s="176"/>
      <c r="N638" s="176"/>
      <c r="O638" s="177"/>
      <c r="P638" s="176"/>
      <c r="Q638" s="176"/>
      <c r="R638" s="176"/>
      <c r="S638" s="177"/>
      <c r="T638" s="176"/>
      <c r="U638" s="177"/>
      <c r="V638" s="176"/>
      <c r="W638" s="177"/>
      <c r="X638" s="53"/>
      <c r="Y638" s="151"/>
      <c r="Z638" s="151"/>
      <c r="AA638" s="151"/>
      <c r="AB638" s="151"/>
    </row>
    <row r="639" spans="1:28" ht="13">
      <c r="A639" s="170"/>
      <c r="B639" s="59"/>
      <c r="C639" s="179"/>
      <c r="D639" s="179"/>
      <c r="E639" s="179"/>
      <c r="F639" s="179"/>
      <c r="G639" s="179"/>
      <c r="H639" s="179"/>
      <c r="I639" s="180"/>
      <c r="J639" s="179"/>
      <c r="K639" s="179"/>
      <c r="L639" s="179"/>
      <c r="M639" s="179"/>
      <c r="N639" s="179"/>
      <c r="O639" s="180"/>
      <c r="P639" s="179"/>
      <c r="Q639" s="179"/>
      <c r="R639" s="179"/>
      <c r="S639" s="180"/>
      <c r="T639" s="179"/>
      <c r="U639" s="180"/>
      <c r="V639" s="179"/>
      <c r="W639" s="180"/>
      <c r="X639" s="53"/>
      <c r="Y639" s="151"/>
      <c r="Z639" s="151"/>
      <c r="AA639" s="151"/>
      <c r="AB639" s="151"/>
    </row>
    <row r="640" spans="1:28" ht="13">
      <c r="A640" s="170"/>
      <c r="B640" s="94"/>
      <c r="C640" s="171"/>
      <c r="D640" s="171"/>
      <c r="E640" s="171"/>
      <c r="F640" s="171"/>
      <c r="G640" s="171"/>
      <c r="H640" s="171"/>
      <c r="I640" s="172"/>
      <c r="J640" s="171"/>
      <c r="K640" s="171"/>
      <c r="L640" s="171"/>
      <c r="M640" s="171"/>
      <c r="N640" s="171"/>
      <c r="O640" s="172"/>
      <c r="P640" s="171"/>
      <c r="Q640" s="171"/>
      <c r="R640" s="171"/>
      <c r="S640" s="172"/>
      <c r="T640" s="171"/>
      <c r="U640" s="172"/>
      <c r="V640" s="171"/>
      <c r="W640" s="172"/>
      <c r="X640" s="53"/>
      <c r="Y640" s="151"/>
      <c r="Z640" s="151"/>
      <c r="AA640" s="151"/>
      <c r="AB640" s="151"/>
    </row>
    <row r="641" spans="1:28" ht="13">
      <c r="A641" s="170"/>
      <c r="B641" s="175"/>
      <c r="C641" s="176"/>
      <c r="D641" s="176"/>
      <c r="E641" s="176"/>
      <c r="F641" s="176"/>
      <c r="G641" s="176"/>
      <c r="H641" s="176"/>
      <c r="I641" s="177"/>
      <c r="J641" s="176"/>
      <c r="K641" s="176"/>
      <c r="L641" s="176"/>
      <c r="M641" s="176"/>
      <c r="N641" s="176"/>
      <c r="O641" s="177"/>
      <c r="P641" s="176"/>
      <c r="Q641" s="176"/>
      <c r="R641" s="176"/>
      <c r="S641" s="177"/>
      <c r="T641" s="176"/>
      <c r="U641" s="177"/>
      <c r="V641" s="176"/>
      <c r="W641" s="177"/>
      <c r="X641" s="53"/>
      <c r="Y641" s="151"/>
      <c r="Z641" s="151"/>
      <c r="AA641" s="151"/>
      <c r="AB641" s="151"/>
    </row>
    <row r="642" spans="1:28" ht="13">
      <c r="A642" s="170"/>
      <c r="B642" s="59"/>
      <c r="C642" s="179"/>
      <c r="D642" s="179"/>
      <c r="E642" s="179"/>
      <c r="F642" s="179"/>
      <c r="G642" s="179"/>
      <c r="H642" s="179"/>
      <c r="I642" s="180"/>
      <c r="J642" s="179"/>
      <c r="K642" s="179"/>
      <c r="L642" s="179"/>
      <c r="M642" s="179"/>
      <c r="N642" s="179"/>
      <c r="O642" s="180"/>
      <c r="P642" s="179"/>
      <c r="Q642" s="179"/>
      <c r="R642" s="179"/>
      <c r="S642" s="180"/>
      <c r="T642" s="179"/>
      <c r="U642" s="180"/>
      <c r="V642" s="179"/>
      <c r="W642" s="180"/>
      <c r="X642" s="53"/>
      <c r="Y642" s="151"/>
      <c r="Z642" s="151"/>
      <c r="AA642" s="151"/>
      <c r="AB642" s="151"/>
    </row>
    <row r="643" spans="1:28" ht="13">
      <c r="A643" s="170"/>
      <c r="B643" s="94"/>
      <c r="C643" s="171"/>
      <c r="D643" s="171"/>
      <c r="E643" s="171"/>
      <c r="F643" s="171"/>
      <c r="G643" s="171"/>
      <c r="H643" s="171"/>
      <c r="I643" s="172"/>
      <c r="J643" s="171"/>
      <c r="K643" s="171"/>
      <c r="L643" s="171"/>
      <c r="M643" s="171"/>
      <c r="N643" s="171"/>
      <c r="O643" s="172"/>
      <c r="P643" s="171"/>
      <c r="Q643" s="171"/>
      <c r="R643" s="171"/>
      <c r="S643" s="172"/>
      <c r="T643" s="171"/>
      <c r="U643" s="172"/>
      <c r="V643" s="171"/>
      <c r="W643" s="172"/>
      <c r="X643" s="53"/>
      <c r="Y643" s="151"/>
      <c r="Z643" s="151"/>
      <c r="AA643" s="151"/>
      <c r="AB643" s="151"/>
    </row>
    <row r="644" spans="1:28" ht="13">
      <c r="A644" s="170"/>
      <c r="B644" s="175"/>
      <c r="C644" s="176"/>
      <c r="D644" s="176"/>
      <c r="E644" s="176"/>
      <c r="F644" s="176"/>
      <c r="G644" s="176"/>
      <c r="H644" s="176"/>
      <c r="I644" s="177"/>
      <c r="J644" s="176"/>
      <c r="K644" s="176"/>
      <c r="L644" s="176"/>
      <c r="M644" s="176"/>
      <c r="N644" s="176"/>
      <c r="O644" s="177"/>
      <c r="P644" s="176"/>
      <c r="Q644" s="176"/>
      <c r="R644" s="176"/>
      <c r="S644" s="177"/>
      <c r="T644" s="176"/>
      <c r="U644" s="177"/>
      <c r="V644" s="176"/>
      <c r="W644" s="177"/>
      <c r="X644" s="53"/>
      <c r="Y644" s="151"/>
      <c r="Z644" s="151"/>
      <c r="AA644" s="151"/>
      <c r="AB644" s="151"/>
    </row>
    <row r="645" spans="1:28" ht="13">
      <c r="A645" s="170"/>
      <c r="B645" s="59"/>
      <c r="C645" s="180"/>
      <c r="D645" s="180"/>
      <c r="E645" s="180"/>
      <c r="F645" s="180"/>
      <c r="G645" s="180"/>
      <c r="H645" s="180"/>
      <c r="I645" s="180"/>
      <c r="J645" s="180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53"/>
      <c r="Y645" s="151"/>
      <c r="Z645" s="151"/>
      <c r="AA645" s="151"/>
      <c r="AB645" s="151"/>
    </row>
    <row r="646" spans="1:28" ht="13">
      <c r="A646" s="170"/>
      <c r="B646" s="94"/>
      <c r="C646" s="172"/>
      <c r="D646" s="172"/>
      <c r="E646" s="172"/>
      <c r="F646" s="172"/>
      <c r="G646" s="172"/>
      <c r="H646" s="172"/>
      <c r="I646" s="172"/>
      <c r="J646" s="172"/>
      <c r="K646" s="172"/>
      <c r="L646" s="172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53"/>
      <c r="Y646" s="151"/>
      <c r="Z646" s="151"/>
      <c r="AA646" s="151"/>
      <c r="AB646" s="151"/>
    </row>
    <row r="647" spans="1:28" ht="13">
      <c r="A647" s="170"/>
      <c r="B647" s="175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53"/>
      <c r="Y647" s="151"/>
      <c r="Z647" s="151"/>
      <c r="AA647" s="151"/>
      <c r="AB647" s="151"/>
    </row>
    <row r="648" spans="1:28" ht="13">
      <c r="A648" s="170"/>
      <c r="B648" s="59"/>
      <c r="C648" s="179"/>
      <c r="D648" s="179"/>
      <c r="E648" s="179"/>
      <c r="F648" s="179"/>
      <c r="G648" s="179"/>
      <c r="H648" s="179"/>
      <c r="I648" s="180"/>
      <c r="J648" s="179"/>
      <c r="K648" s="179"/>
      <c r="L648" s="179"/>
      <c r="M648" s="179"/>
      <c r="N648" s="179"/>
      <c r="O648" s="180"/>
      <c r="P648" s="179"/>
      <c r="Q648" s="179"/>
      <c r="R648" s="179"/>
      <c r="S648" s="180"/>
      <c r="T648" s="179"/>
      <c r="U648" s="180"/>
      <c r="V648" s="179"/>
      <c r="W648" s="180"/>
      <c r="X648" s="53"/>
      <c r="Y648" s="151"/>
      <c r="Z648" s="151"/>
      <c r="AA648" s="151"/>
      <c r="AB648" s="151"/>
    </row>
    <row r="649" spans="1:28" ht="13">
      <c r="A649" s="170"/>
      <c r="B649" s="94"/>
      <c r="C649" s="171"/>
      <c r="D649" s="171"/>
      <c r="E649" s="171"/>
      <c r="F649" s="171"/>
      <c r="G649" s="171"/>
      <c r="H649" s="171"/>
      <c r="I649" s="172"/>
      <c r="J649" s="171"/>
      <c r="K649" s="171"/>
      <c r="L649" s="171"/>
      <c r="M649" s="171"/>
      <c r="N649" s="171"/>
      <c r="O649" s="172"/>
      <c r="P649" s="171"/>
      <c r="Q649" s="171"/>
      <c r="R649" s="171"/>
      <c r="S649" s="172"/>
      <c r="T649" s="171"/>
      <c r="U649" s="172"/>
      <c r="V649" s="171"/>
      <c r="W649" s="172"/>
      <c r="X649" s="53"/>
      <c r="Y649" s="151"/>
      <c r="Z649" s="151"/>
      <c r="AA649" s="151"/>
      <c r="AB649" s="151"/>
    </row>
    <row r="650" spans="1:28" ht="13">
      <c r="A650" s="170"/>
      <c r="B650" s="175"/>
      <c r="C650" s="176"/>
      <c r="D650" s="176"/>
      <c r="E650" s="176"/>
      <c r="F650" s="176"/>
      <c r="G650" s="176"/>
      <c r="H650" s="176"/>
      <c r="I650" s="177"/>
      <c r="J650" s="176"/>
      <c r="K650" s="176"/>
      <c r="L650" s="176"/>
      <c r="M650" s="176"/>
      <c r="N650" s="176"/>
      <c r="O650" s="177"/>
      <c r="P650" s="176"/>
      <c r="Q650" s="176"/>
      <c r="R650" s="176"/>
      <c r="S650" s="177"/>
      <c r="T650" s="176"/>
      <c r="U650" s="177"/>
      <c r="V650" s="176"/>
      <c r="W650" s="177"/>
      <c r="X650" s="53"/>
      <c r="Y650" s="151"/>
      <c r="Z650" s="151"/>
      <c r="AA650" s="151"/>
      <c r="AB650" s="151"/>
    </row>
    <row r="651" spans="1:28" ht="13">
      <c r="A651" s="170"/>
      <c r="B651" s="59"/>
      <c r="C651" s="179"/>
      <c r="D651" s="179"/>
      <c r="E651" s="179"/>
      <c r="F651" s="179"/>
      <c r="G651" s="179"/>
      <c r="H651" s="179"/>
      <c r="I651" s="180"/>
      <c r="J651" s="179"/>
      <c r="K651" s="179"/>
      <c r="L651" s="179"/>
      <c r="M651" s="179"/>
      <c r="N651" s="179"/>
      <c r="O651" s="180"/>
      <c r="P651" s="179"/>
      <c r="Q651" s="179"/>
      <c r="R651" s="179"/>
      <c r="S651" s="180"/>
      <c r="T651" s="179"/>
      <c r="U651" s="180"/>
      <c r="V651" s="179"/>
      <c r="W651" s="180"/>
      <c r="X651" s="53"/>
      <c r="Y651" s="151"/>
      <c r="Z651" s="151"/>
      <c r="AA651" s="151"/>
      <c r="AB651" s="151"/>
    </row>
    <row r="652" spans="1:28" ht="13">
      <c r="A652" s="170"/>
      <c r="B652" s="94"/>
      <c r="C652" s="171"/>
      <c r="D652" s="171"/>
      <c r="E652" s="171"/>
      <c r="F652" s="171"/>
      <c r="G652" s="171"/>
      <c r="H652" s="171"/>
      <c r="I652" s="172"/>
      <c r="J652" s="171"/>
      <c r="K652" s="171"/>
      <c r="L652" s="171"/>
      <c r="M652" s="171"/>
      <c r="N652" s="171"/>
      <c r="O652" s="172"/>
      <c r="P652" s="171"/>
      <c r="Q652" s="171"/>
      <c r="R652" s="171"/>
      <c r="S652" s="172"/>
      <c r="T652" s="171"/>
      <c r="U652" s="172"/>
      <c r="V652" s="171"/>
      <c r="W652" s="172"/>
      <c r="X652" s="53"/>
      <c r="Y652" s="151"/>
      <c r="Z652" s="151"/>
      <c r="AA652" s="151"/>
      <c r="AB652" s="151"/>
    </row>
    <row r="653" spans="1:28" ht="13">
      <c r="A653" s="170"/>
      <c r="B653" s="175"/>
      <c r="C653" s="176"/>
      <c r="D653" s="176"/>
      <c r="E653" s="176"/>
      <c r="F653" s="176"/>
      <c r="G653" s="176"/>
      <c r="H653" s="176"/>
      <c r="I653" s="177"/>
      <c r="J653" s="176"/>
      <c r="K653" s="176"/>
      <c r="L653" s="176"/>
      <c r="M653" s="176"/>
      <c r="N653" s="176"/>
      <c r="O653" s="177"/>
      <c r="P653" s="176"/>
      <c r="Q653" s="176"/>
      <c r="R653" s="176"/>
      <c r="S653" s="177"/>
      <c r="T653" s="176"/>
      <c r="U653" s="177"/>
      <c r="V653" s="176"/>
      <c r="W653" s="177"/>
      <c r="X653" s="53"/>
      <c r="Y653" s="151"/>
      <c r="Z653" s="151"/>
      <c r="AA653" s="151"/>
      <c r="AB653" s="151"/>
    </row>
    <row r="654" spans="1:28" ht="13">
      <c r="A654" s="170"/>
      <c r="B654" s="59"/>
      <c r="C654" s="179"/>
      <c r="D654" s="179"/>
      <c r="E654" s="179"/>
      <c r="F654" s="179"/>
      <c r="G654" s="179"/>
      <c r="H654" s="179"/>
      <c r="I654" s="180"/>
      <c r="J654" s="179"/>
      <c r="K654" s="179"/>
      <c r="L654" s="179"/>
      <c r="M654" s="179"/>
      <c r="N654" s="179"/>
      <c r="O654" s="180"/>
      <c r="P654" s="179"/>
      <c r="Q654" s="179"/>
      <c r="R654" s="179"/>
      <c r="S654" s="180"/>
      <c r="T654" s="179"/>
      <c r="U654" s="180"/>
      <c r="V654" s="179"/>
      <c r="W654" s="180"/>
      <c r="X654" s="53"/>
      <c r="Y654" s="151"/>
      <c r="Z654" s="151"/>
      <c r="AA654" s="151"/>
      <c r="AB654" s="151"/>
    </row>
    <row r="655" spans="1:28" ht="13">
      <c r="A655" s="170"/>
      <c r="B655" s="94"/>
      <c r="C655" s="171"/>
      <c r="D655" s="171"/>
      <c r="E655" s="171"/>
      <c r="F655" s="171"/>
      <c r="G655" s="171"/>
      <c r="H655" s="171"/>
      <c r="I655" s="172"/>
      <c r="J655" s="171"/>
      <c r="K655" s="171"/>
      <c r="L655" s="171"/>
      <c r="M655" s="171"/>
      <c r="N655" s="171"/>
      <c r="O655" s="172"/>
      <c r="P655" s="171"/>
      <c r="Q655" s="171"/>
      <c r="R655" s="171"/>
      <c r="S655" s="172"/>
      <c r="T655" s="171"/>
      <c r="U655" s="172"/>
      <c r="V655" s="171"/>
      <c r="W655" s="172"/>
      <c r="X655" s="53"/>
      <c r="Y655" s="151"/>
      <c r="Z655" s="151"/>
      <c r="AA655" s="151"/>
      <c r="AB655" s="151"/>
    </row>
    <row r="656" spans="1:28" ht="13">
      <c r="A656" s="170"/>
      <c r="B656" s="175"/>
      <c r="C656" s="176"/>
      <c r="D656" s="176"/>
      <c r="E656" s="176"/>
      <c r="F656" s="176"/>
      <c r="G656" s="176"/>
      <c r="H656" s="176"/>
      <c r="I656" s="177"/>
      <c r="J656" s="176"/>
      <c r="K656" s="176"/>
      <c r="L656" s="176"/>
      <c r="M656" s="176"/>
      <c r="N656" s="176"/>
      <c r="O656" s="177"/>
      <c r="P656" s="176"/>
      <c r="Q656" s="176"/>
      <c r="R656" s="176"/>
      <c r="S656" s="177"/>
      <c r="T656" s="176"/>
      <c r="U656" s="177"/>
      <c r="V656" s="176"/>
      <c r="W656" s="177"/>
      <c r="X656" s="53"/>
      <c r="Y656" s="151"/>
      <c r="Z656" s="151"/>
      <c r="AA656" s="151"/>
      <c r="AB656" s="151"/>
    </row>
    <row r="657" spans="1:28" ht="13">
      <c r="A657" s="170"/>
      <c r="B657" s="59"/>
      <c r="C657" s="179"/>
      <c r="D657" s="179"/>
      <c r="E657" s="179"/>
      <c r="F657" s="179"/>
      <c r="G657" s="179"/>
      <c r="H657" s="179"/>
      <c r="I657" s="180"/>
      <c r="J657" s="179"/>
      <c r="K657" s="179"/>
      <c r="L657" s="179"/>
      <c r="M657" s="179"/>
      <c r="N657" s="179"/>
      <c r="O657" s="180"/>
      <c r="P657" s="179"/>
      <c r="Q657" s="179"/>
      <c r="R657" s="179"/>
      <c r="S657" s="180"/>
      <c r="T657" s="179"/>
      <c r="U657" s="180"/>
      <c r="V657" s="179"/>
      <c r="W657" s="180"/>
      <c r="X657" s="53"/>
      <c r="Y657" s="151"/>
      <c r="Z657" s="151"/>
      <c r="AA657" s="151"/>
      <c r="AB657" s="151"/>
    </row>
    <row r="658" spans="1:28" ht="13">
      <c r="A658" s="170"/>
      <c r="B658" s="94"/>
      <c r="C658" s="171"/>
      <c r="D658" s="171"/>
      <c r="E658" s="171"/>
      <c r="F658" s="171"/>
      <c r="G658" s="171"/>
      <c r="H658" s="171"/>
      <c r="I658" s="172"/>
      <c r="J658" s="171"/>
      <c r="K658" s="171"/>
      <c r="L658" s="171"/>
      <c r="M658" s="171"/>
      <c r="N658" s="171"/>
      <c r="O658" s="172"/>
      <c r="P658" s="171"/>
      <c r="Q658" s="171"/>
      <c r="R658" s="171"/>
      <c r="S658" s="172"/>
      <c r="T658" s="171"/>
      <c r="U658" s="172"/>
      <c r="V658" s="171"/>
      <c r="W658" s="172"/>
      <c r="X658" s="53"/>
      <c r="Y658" s="151"/>
      <c r="Z658" s="151"/>
      <c r="AA658" s="151"/>
      <c r="AB658" s="151"/>
    </row>
    <row r="659" spans="1:28" ht="13">
      <c r="A659" s="170"/>
      <c r="B659" s="175"/>
      <c r="C659" s="176"/>
      <c r="D659" s="176"/>
      <c r="E659" s="176"/>
      <c r="F659" s="176"/>
      <c r="G659" s="176"/>
      <c r="H659" s="176"/>
      <c r="I659" s="177"/>
      <c r="J659" s="176"/>
      <c r="K659" s="176"/>
      <c r="L659" s="176"/>
      <c r="M659" s="176"/>
      <c r="N659" s="176"/>
      <c r="O659" s="177"/>
      <c r="P659" s="176"/>
      <c r="Q659" s="176"/>
      <c r="R659" s="176"/>
      <c r="S659" s="177"/>
      <c r="T659" s="176"/>
      <c r="U659" s="177"/>
      <c r="V659" s="176"/>
      <c r="W659" s="177"/>
      <c r="X659" s="53"/>
      <c r="Y659" s="151"/>
      <c r="Z659" s="151"/>
      <c r="AA659" s="151"/>
      <c r="AB659" s="151"/>
    </row>
    <row r="660" spans="1:28" ht="13">
      <c r="A660" s="170"/>
      <c r="B660" s="59"/>
      <c r="C660" s="179"/>
      <c r="D660" s="179"/>
      <c r="E660" s="179"/>
      <c r="F660" s="179"/>
      <c r="G660" s="179"/>
      <c r="H660" s="179"/>
      <c r="I660" s="180"/>
      <c r="J660" s="179"/>
      <c r="K660" s="179"/>
      <c r="L660" s="179"/>
      <c r="M660" s="179"/>
      <c r="N660" s="179"/>
      <c r="O660" s="180"/>
      <c r="P660" s="179"/>
      <c r="Q660" s="179"/>
      <c r="R660" s="179"/>
      <c r="S660" s="180"/>
      <c r="T660" s="179"/>
      <c r="U660" s="180"/>
      <c r="V660" s="179"/>
      <c r="W660" s="180"/>
      <c r="X660" s="53"/>
      <c r="Y660" s="151"/>
      <c r="Z660" s="151"/>
      <c r="AA660" s="151"/>
      <c r="AB660" s="151"/>
    </row>
    <row r="661" spans="1:28" ht="13">
      <c r="A661" s="170"/>
      <c r="B661" s="94"/>
      <c r="C661" s="171"/>
      <c r="D661" s="171"/>
      <c r="E661" s="171"/>
      <c r="F661" s="171"/>
      <c r="G661" s="171"/>
      <c r="H661" s="171"/>
      <c r="I661" s="172"/>
      <c r="J661" s="171"/>
      <c r="K661" s="171"/>
      <c r="L661" s="171"/>
      <c r="M661" s="171"/>
      <c r="N661" s="171"/>
      <c r="O661" s="172"/>
      <c r="P661" s="171"/>
      <c r="Q661" s="171"/>
      <c r="R661" s="171"/>
      <c r="S661" s="172"/>
      <c r="T661" s="171"/>
      <c r="U661" s="172"/>
      <c r="V661" s="171"/>
      <c r="W661" s="172"/>
      <c r="X661" s="53"/>
      <c r="Y661" s="151"/>
      <c r="Z661" s="151"/>
      <c r="AA661" s="151"/>
      <c r="AB661" s="151"/>
    </row>
    <row r="662" spans="1:28" ht="13">
      <c r="A662" s="170"/>
      <c r="B662" s="175"/>
      <c r="C662" s="176"/>
      <c r="D662" s="176"/>
      <c r="E662" s="176"/>
      <c r="F662" s="176"/>
      <c r="G662" s="176"/>
      <c r="H662" s="176"/>
      <c r="I662" s="177"/>
      <c r="J662" s="176"/>
      <c r="K662" s="176"/>
      <c r="L662" s="176"/>
      <c r="M662" s="176"/>
      <c r="N662" s="176"/>
      <c r="O662" s="177"/>
      <c r="P662" s="176"/>
      <c r="Q662" s="176"/>
      <c r="R662" s="176"/>
      <c r="S662" s="177"/>
      <c r="T662" s="176"/>
      <c r="U662" s="177"/>
      <c r="V662" s="176"/>
      <c r="W662" s="177"/>
      <c r="X662" s="53"/>
      <c r="Y662" s="151"/>
      <c r="Z662" s="151"/>
      <c r="AA662" s="151"/>
      <c r="AB662" s="151"/>
    </row>
    <row r="663" spans="1:28" ht="13">
      <c r="A663" s="170"/>
      <c r="B663" s="59"/>
      <c r="C663" s="179"/>
      <c r="D663" s="179"/>
      <c r="E663" s="179"/>
      <c r="F663" s="179"/>
      <c r="G663" s="179"/>
      <c r="H663" s="179"/>
      <c r="I663" s="180"/>
      <c r="J663" s="179"/>
      <c r="K663" s="179"/>
      <c r="L663" s="179"/>
      <c r="M663" s="179"/>
      <c r="N663" s="179"/>
      <c r="O663" s="180"/>
      <c r="P663" s="179"/>
      <c r="Q663" s="179"/>
      <c r="R663" s="179"/>
      <c r="S663" s="180"/>
      <c r="T663" s="179"/>
      <c r="U663" s="180"/>
      <c r="V663" s="179"/>
      <c r="W663" s="180"/>
      <c r="X663" s="53"/>
      <c r="Y663" s="151"/>
      <c r="Z663" s="151"/>
      <c r="AA663" s="151"/>
      <c r="AB663" s="151"/>
    </row>
    <row r="664" spans="1:28" ht="13">
      <c r="A664" s="170"/>
      <c r="B664" s="94"/>
      <c r="C664" s="171"/>
      <c r="D664" s="171"/>
      <c r="E664" s="171"/>
      <c r="F664" s="171"/>
      <c r="G664" s="171"/>
      <c r="H664" s="171"/>
      <c r="I664" s="172"/>
      <c r="J664" s="171"/>
      <c r="K664" s="171"/>
      <c r="L664" s="171"/>
      <c r="M664" s="171"/>
      <c r="N664" s="171"/>
      <c r="O664" s="172"/>
      <c r="P664" s="171"/>
      <c r="Q664" s="171"/>
      <c r="R664" s="171"/>
      <c r="S664" s="172"/>
      <c r="T664" s="171"/>
      <c r="U664" s="172"/>
      <c r="V664" s="171"/>
      <c r="W664" s="172"/>
      <c r="X664" s="53"/>
      <c r="Y664" s="151"/>
      <c r="Z664" s="151"/>
      <c r="AA664" s="151"/>
      <c r="AB664" s="151"/>
    </row>
    <row r="665" spans="1:28" ht="13">
      <c r="A665" s="170"/>
      <c r="B665" s="175"/>
      <c r="C665" s="176"/>
      <c r="D665" s="176"/>
      <c r="E665" s="176"/>
      <c r="F665" s="176"/>
      <c r="G665" s="176"/>
      <c r="H665" s="176"/>
      <c r="I665" s="177"/>
      <c r="J665" s="176"/>
      <c r="K665" s="176"/>
      <c r="L665" s="176"/>
      <c r="M665" s="176"/>
      <c r="N665" s="176"/>
      <c r="O665" s="177"/>
      <c r="P665" s="176"/>
      <c r="Q665" s="176"/>
      <c r="R665" s="176"/>
      <c r="S665" s="177"/>
      <c r="T665" s="176"/>
      <c r="U665" s="177"/>
      <c r="V665" s="176"/>
      <c r="W665" s="177"/>
      <c r="X665" s="53"/>
      <c r="Y665" s="151"/>
      <c r="Z665" s="151"/>
      <c r="AA665" s="151"/>
      <c r="AB665" s="151"/>
    </row>
    <row r="666" spans="1:28" ht="13">
      <c r="A666" s="170"/>
      <c r="B666" s="59"/>
      <c r="C666" s="179"/>
      <c r="D666" s="179"/>
      <c r="E666" s="179"/>
      <c r="F666" s="179"/>
      <c r="G666" s="179"/>
      <c r="H666" s="179"/>
      <c r="I666" s="180"/>
      <c r="J666" s="179"/>
      <c r="K666" s="179"/>
      <c r="L666" s="179"/>
      <c r="M666" s="179"/>
      <c r="N666" s="179"/>
      <c r="O666" s="180"/>
      <c r="P666" s="179"/>
      <c r="Q666" s="179"/>
      <c r="R666" s="179"/>
      <c r="S666" s="180"/>
      <c r="T666" s="179"/>
      <c r="U666" s="180"/>
      <c r="V666" s="179"/>
      <c r="W666" s="180"/>
      <c r="X666" s="53"/>
      <c r="Y666" s="151"/>
      <c r="Z666" s="151"/>
      <c r="AA666" s="151"/>
      <c r="AB666" s="151"/>
    </row>
    <row r="667" spans="1:28" ht="13">
      <c r="A667" s="170"/>
      <c r="B667" s="94"/>
      <c r="C667" s="171"/>
      <c r="D667" s="171"/>
      <c r="E667" s="171"/>
      <c r="F667" s="171"/>
      <c r="G667" s="171"/>
      <c r="H667" s="171"/>
      <c r="I667" s="172"/>
      <c r="J667" s="171"/>
      <c r="K667" s="171"/>
      <c r="L667" s="171"/>
      <c r="M667" s="171"/>
      <c r="N667" s="171"/>
      <c r="O667" s="172"/>
      <c r="P667" s="171"/>
      <c r="Q667" s="171"/>
      <c r="R667" s="171"/>
      <c r="S667" s="172"/>
      <c r="T667" s="171"/>
      <c r="U667" s="172"/>
      <c r="V667" s="171"/>
      <c r="W667" s="172"/>
      <c r="X667" s="53"/>
      <c r="Y667" s="151"/>
      <c r="Z667" s="151"/>
      <c r="AA667" s="151"/>
      <c r="AB667" s="151"/>
    </row>
    <row r="668" spans="1:28" ht="13.5" thickBot="1">
      <c r="A668" s="186"/>
      <c r="B668" s="175"/>
      <c r="C668" s="176"/>
      <c r="D668" s="176"/>
      <c r="E668" s="176"/>
      <c r="F668" s="176"/>
      <c r="G668" s="176"/>
      <c r="H668" s="176"/>
      <c r="I668" s="177"/>
      <c r="J668" s="176"/>
      <c r="K668" s="176"/>
      <c r="L668" s="176"/>
      <c r="M668" s="176"/>
      <c r="N668" s="176"/>
      <c r="O668" s="177"/>
      <c r="P668" s="176"/>
      <c r="Q668" s="176"/>
      <c r="R668" s="176"/>
      <c r="S668" s="177"/>
      <c r="T668" s="176"/>
      <c r="U668" s="177"/>
      <c r="V668" s="176"/>
      <c r="W668" s="177"/>
      <c r="X668" s="53"/>
      <c r="Y668" s="151"/>
      <c r="Z668" s="151"/>
      <c r="AA668" s="151"/>
      <c r="AB668" s="151"/>
    </row>
    <row r="669" spans="1:28" ht="13.5" thickTop="1">
      <c r="A669" s="193"/>
      <c r="B669" s="194"/>
      <c r="C669" s="195"/>
      <c r="D669" s="196"/>
      <c r="E669" s="196"/>
      <c r="F669" s="196"/>
      <c r="G669" s="196"/>
      <c r="H669" s="196"/>
      <c r="I669" s="197"/>
      <c r="J669" s="198"/>
      <c r="K669" s="196"/>
      <c r="L669" s="196"/>
      <c r="M669" s="196"/>
      <c r="N669" s="196"/>
      <c r="O669" s="197"/>
      <c r="P669" s="195"/>
      <c r="Q669" s="196"/>
      <c r="R669" s="196"/>
      <c r="S669" s="199"/>
      <c r="T669" s="195"/>
      <c r="U669" s="199"/>
      <c r="V669" s="198"/>
      <c r="W669" s="200"/>
      <c r="X669" s="53"/>
      <c r="Y669" s="201"/>
      <c r="Z669" s="201"/>
      <c r="AA669" s="201"/>
      <c r="AB669" s="201"/>
    </row>
    <row r="670" spans="1:28" ht="13">
      <c r="A670" s="193"/>
      <c r="B670" s="194"/>
      <c r="C670" s="202"/>
      <c r="D670" s="203"/>
      <c r="E670" s="203"/>
      <c r="F670" s="203"/>
      <c r="G670" s="203"/>
      <c r="H670" s="203"/>
      <c r="I670" s="204"/>
      <c r="J670" s="205"/>
      <c r="K670" s="203"/>
      <c r="L670" s="203"/>
      <c r="M670" s="203"/>
      <c r="N670" s="203"/>
      <c r="O670" s="204"/>
      <c r="P670" s="202"/>
      <c r="Q670" s="203"/>
      <c r="R670" s="203"/>
      <c r="S670" s="206"/>
      <c r="T670" s="202"/>
      <c r="U670" s="206"/>
      <c r="V670" s="205"/>
      <c r="W670" s="207"/>
      <c r="X670" s="53"/>
      <c r="Y670" s="201"/>
      <c r="Z670" s="201"/>
      <c r="AA670" s="201"/>
      <c r="AB670" s="201"/>
    </row>
    <row r="671" spans="1:28" ht="13">
      <c r="A671" s="193"/>
      <c r="B671" s="194"/>
      <c r="C671" s="202"/>
      <c r="D671" s="203"/>
      <c r="E671" s="203"/>
      <c r="F671" s="203"/>
      <c r="G671" s="203"/>
      <c r="H671" s="203"/>
      <c r="I671" s="204"/>
      <c r="J671" s="205"/>
      <c r="K671" s="203"/>
      <c r="L671" s="203"/>
      <c r="M671" s="203"/>
      <c r="N671" s="203"/>
      <c r="O671" s="204"/>
      <c r="P671" s="202"/>
      <c r="Q671" s="203"/>
      <c r="R671" s="203"/>
      <c r="S671" s="206"/>
      <c r="T671" s="202"/>
      <c r="U671" s="206"/>
      <c r="V671" s="205"/>
      <c r="W671" s="207"/>
      <c r="X671" s="53"/>
      <c r="Y671" s="201"/>
      <c r="Z671" s="201"/>
      <c r="AA671" s="201"/>
      <c r="AB671" s="201"/>
    </row>
    <row r="672" spans="1:28" ht="13">
      <c r="A672" s="193"/>
      <c r="B672" s="194"/>
      <c r="C672" s="202"/>
      <c r="D672" s="203"/>
      <c r="E672" s="203"/>
      <c r="F672" s="203"/>
      <c r="G672" s="203"/>
      <c r="H672" s="203"/>
      <c r="I672" s="204"/>
      <c r="J672" s="205"/>
      <c r="K672" s="203"/>
      <c r="L672" s="203"/>
      <c r="M672" s="203"/>
      <c r="N672" s="203"/>
      <c r="O672" s="204"/>
      <c r="P672" s="202"/>
      <c r="Q672" s="203"/>
      <c r="R672" s="203"/>
      <c r="S672" s="206"/>
      <c r="T672" s="202"/>
      <c r="U672" s="206"/>
      <c r="V672" s="205"/>
      <c r="W672" s="207"/>
      <c r="X672" s="53"/>
      <c r="Y672" s="201"/>
      <c r="Z672" s="201"/>
      <c r="AA672" s="201"/>
      <c r="AB672" s="201"/>
    </row>
    <row r="673" spans="1:28" ht="13">
      <c r="A673" s="193"/>
      <c r="B673" s="194"/>
      <c r="C673" s="202"/>
      <c r="D673" s="203"/>
      <c r="E673" s="203"/>
      <c r="F673" s="203"/>
      <c r="G673" s="203"/>
      <c r="H673" s="203"/>
      <c r="I673" s="204"/>
      <c r="J673" s="205"/>
      <c r="K673" s="203"/>
      <c r="L673" s="203"/>
      <c r="M673" s="203"/>
      <c r="N673" s="203"/>
      <c r="O673" s="204"/>
      <c r="P673" s="202"/>
      <c r="Q673" s="203"/>
      <c r="R673" s="203"/>
      <c r="S673" s="206"/>
      <c r="T673" s="202"/>
      <c r="U673" s="206"/>
      <c r="V673" s="205"/>
      <c r="W673" s="207"/>
      <c r="X673" s="53"/>
      <c r="Y673" s="201"/>
      <c r="Z673" s="201"/>
      <c r="AA673" s="201"/>
      <c r="AB673" s="201"/>
    </row>
    <row r="674" spans="1:28" ht="13">
      <c r="A674" s="193"/>
      <c r="B674" s="194"/>
      <c r="C674" s="202"/>
      <c r="D674" s="203"/>
      <c r="E674" s="203"/>
      <c r="F674" s="203"/>
      <c r="G674" s="203"/>
      <c r="H674" s="203"/>
      <c r="I674" s="204"/>
      <c r="J674" s="205"/>
      <c r="K674" s="203"/>
      <c r="L674" s="203"/>
      <c r="M674" s="203"/>
      <c r="N674" s="203"/>
      <c r="O674" s="204"/>
      <c r="P674" s="202"/>
      <c r="Q674" s="203"/>
      <c r="R674" s="203"/>
      <c r="S674" s="206"/>
      <c r="T674" s="202"/>
      <c r="U674" s="206"/>
      <c r="V674" s="205"/>
      <c r="W674" s="207"/>
      <c r="X674" s="53"/>
      <c r="Y674" s="201"/>
      <c r="Z674" s="201"/>
      <c r="AA674" s="201"/>
      <c r="AB674" s="201"/>
    </row>
    <row r="675" spans="1:28" ht="13">
      <c r="A675" s="193"/>
      <c r="B675" s="194"/>
      <c r="C675" s="202"/>
      <c r="D675" s="203"/>
      <c r="E675" s="203"/>
      <c r="F675" s="203"/>
      <c r="G675" s="203"/>
      <c r="H675" s="203"/>
      <c r="I675" s="204"/>
      <c r="J675" s="205"/>
      <c r="K675" s="203"/>
      <c r="L675" s="203"/>
      <c r="M675" s="203"/>
      <c r="N675" s="203"/>
      <c r="O675" s="204"/>
      <c r="P675" s="202"/>
      <c r="Q675" s="203"/>
      <c r="R675" s="203"/>
      <c r="S675" s="206"/>
      <c r="T675" s="202"/>
      <c r="U675" s="206"/>
      <c r="V675" s="205"/>
      <c r="W675" s="207"/>
      <c r="X675" s="53"/>
      <c r="Y675" s="201"/>
      <c r="Z675" s="201"/>
      <c r="AA675" s="201"/>
      <c r="AB675" s="201"/>
    </row>
    <row r="676" spans="1:28" ht="13">
      <c r="A676" s="193"/>
      <c r="B676" s="194"/>
      <c r="C676" s="202"/>
      <c r="D676" s="203"/>
      <c r="E676" s="203"/>
      <c r="F676" s="203"/>
      <c r="G676" s="203"/>
      <c r="H676" s="203"/>
      <c r="I676" s="204"/>
      <c r="J676" s="205"/>
      <c r="K676" s="203"/>
      <c r="L676" s="203"/>
      <c r="M676" s="203"/>
      <c r="N676" s="203"/>
      <c r="O676" s="204"/>
      <c r="P676" s="202"/>
      <c r="Q676" s="203"/>
      <c r="R676" s="203"/>
      <c r="S676" s="206"/>
      <c r="T676" s="202"/>
      <c r="U676" s="206"/>
      <c r="V676" s="205"/>
      <c r="W676" s="207"/>
      <c r="X676" s="53"/>
      <c r="Y676" s="201"/>
      <c r="Z676" s="201"/>
      <c r="AA676" s="201"/>
      <c r="AB676" s="201"/>
    </row>
    <row r="677" spans="1:28" ht="13">
      <c r="A677" s="193"/>
      <c r="B677" s="194"/>
      <c r="C677" s="202"/>
      <c r="D677" s="203"/>
      <c r="E677" s="203"/>
      <c r="F677" s="203"/>
      <c r="G677" s="203"/>
      <c r="H677" s="203"/>
      <c r="I677" s="204"/>
      <c r="J677" s="205"/>
      <c r="K677" s="203"/>
      <c r="L677" s="203"/>
      <c r="M677" s="203"/>
      <c r="N677" s="203"/>
      <c r="O677" s="204"/>
      <c r="P677" s="202"/>
      <c r="Q677" s="203"/>
      <c r="R677" s="203"/>
      <c r="S677" s="206"/>
      <c r="T677" s="202"/>
      <c r="U677" s="206"/>
      <c r="V677" s="205"/>
      <c r="W677" s="207"/>
      <c r="X677" s="53"/>
      <c r="Y677" s="201"/>
      <c r="Z677" s="201"/>
      <c r="AA677" s="201"/>
      <c r="AB677" s="201"/>
    </row>
    <row r="678" spans="1:28" ht="13">
      <c r="A678" s="193"/>
      <c r="B678" s="194"/>
      <c r="C678" s="202"/>
      <c r="D678" s="203"/>
      <c r="E678" s="203"/>
      <c r="F678" s="203"/>
      <c r="G678" s="203"/>
      <c r="H678" s="203"/>
      <c r="I678" s="204"/>
      <c r="J678" s="205"/>
      <c r="K678" s="203"/>
      <c r="L678" s="203"/>
      <c r="M678" s="203"/>
      <c r="N678" s="203"/>
      <c r="O678" s="204"/>
      <c r="P678" s="202"/>
      <c r="Q678" s="203"/>
      <c r="R678" s="203"/>
      <c r="S678" s="206"/>
      <c r="T678" s="202"/>
      <c r="U678" s="206"/>
      <c r="V678" s="205"/>
      <c r="W678" s="207"/>
      <c r="X678" s="53"/>
      <c r="Y678" s="201"/>
      <c r="Z678" s="201"/>
      <c r="AA678" s="201"/>
      <c r="AB678" s="201"/>
    </row>
    <row r="679" spans="1:28" ht="13">
      <c r="A679" s="193"/>
      <c r="B679" s="194"/>
      <c r="C679" s="202"/>
      <c r="D679" s="203"/>
      <c r="E679" s="203"/>
      <c r="F679" s="203"/>
      <c r="G679" s="203"/>
      <c r="H679" s="203"/>
      <c r="I679" s="204"/>
      <c r="J679" s="205"/>
      <c r="K679" s="203"/>
      <c r="L679" s="203"/>
      <c r="M679" s="203"/>
      <c r="N679" s="203"/>
      <c r="O679" s="204"/>
      <c r="P679" s="202"/>
      <c r="Q679" s="203"/>
      <c r="R679" s="203"/>
      <c r="S679" s="206"/>
      <c r="T679" s="202"/>
      <c r="U679" s="206"/>
      <c r="V679" s="205"/>
      <c r="W679" s="207"/>
      <c r="X679" s="53"/>
      <c r="Y679" s="201"/>
      <c r="Z679" s="201"/>
      <c r="AA679" s="201"/>
      <c r="AB679" s="201"/>
    </row>
    <row r="680" spans="1:28" ht="13">
      <c r="A680" s="193"/>
      <c r="B680" s="194"/>
      <c r="C680" s="202"/>
      <c r="D680" s="203"/>
      <c r="E680" s="203"/>
      <c r="F680" s="203"/>
      <c r="G680" s="203"/>
      <c r="H680" s="203"/>
      <c r="I680" s="204"/>
      <c r="J680" s="205"/>
      <c r="K680" s="203"/>
      <c r="L680" s="203"/>
      <c r="M680" s="203"/>
      <c r="N680" s="203"/>
      <c r="O680" s="204"/>
      <c r="P680" s="202"/>
      <c r="Q680" s="203"/>
      <c r="R680" s="203"/>
      <c r="S680" s="206"/>
      <c r="T680" s="202"/>
      <c r="U680" s="206"/>
      <c r="V680" s="205"/>
      <c r="W680" s="207"/>
      <c r="X680" s="53"/>
      <c r="Y680" s="201"/>
      <c r="Z680" s="201"/>
      <c r="AA680" s="201"/>
      <c r="AB680" s="201"/>
    </row>
    <row r="681" spans="1:28" ht="13">
      <c r="A681" s="193"/>
      <c r="B681" s="194"/>
      <c r="C681" s="202"/>
      <c r="D681" s="203"/>
      <c r="E681" s="203"/>
      <c r="F681" s="203"/>
      <c r="G681" s="203"/>
      <c r="H681" s="203"/>
      <c r="I681" s="204"/>
      <c r="J681" s="205"/>
      <c r="K681" s="203"/>
      <c r="L681" s="203"/>
      <c r="M681" s="203"/>
      <c r="N681" s="203"/>
      <c r="O681" s="204"/>
      <c r="P681" s="202"/>
      <c r="Q681" s="203"/>
      <c r="R681" s="203"/>
      <c r="S681" s="206"/>
      <c r="T681" s="202"/>
      <c r="U681" s="206"/>
      <c r="V681" s="205"/>
      <c r="W681" s="207"/>
      <c r="X681" s="53"/>
      <c r="Y681" s="201"/>
      <c r="Z681" s="201"/>
      <c r="AA681" s="201"/>
      <c r="AB681" s="201"/>
    </row>
    <row r="682" spans="1:28" ht="13">
      <c r="A682" s="193"/>
      <c r="B682" s="194"/>
      <c r="C682" s="202"/>
      <c r="D682" s="203"/>
      <c r="E682" s="203"/>
      <c r="F682" s="203"/>
      <c r="G682" s="203"/>
      <c r="H682" s="203"/>
      <c r="I682" s="204"/>
      <c r="J682" s="205"/>
      <c r="K682" s="203"/>
      <c r="L682" s="203"/>
      <c r="M682" s="203"/>
      <c r="N682" s="203"/>
      <c r="O682" s="204"/>
      <c r="P682" s="202"/>
      <c r="Q682" s="203"/>
      <c r="R682" s="203"/>
      <c r="S682" s="206"/>
      <c r="T682" s="202"/>
      <c r="U682" s="206"/>
      <c r="V682" s="205"/>
      <c r="W682" s="207"/>
      <c r="X682" s="53"/>
      <c r="Y682" s="201"/>
      <c r="Z682" s="201"/>
      <c r="AA682" s="201"/>
      <c r="AB682" s="201"/>
    </row>
    <row r="683" spans="1:28" ht="13">
      <c r="A683" s="193"/>
      <c r="B683" s="194"/>
      <c r="C683" s="202"/>
      <c r="D683" s="203"/>
      <c r="E683" s="203"/>
      <c r="F683" s="203"/>
      <c r="G683" s="203"/>
      <c r="H683" s="203"/>
      <c r="I683" s="204"/>
      <c r="J683" s="205"/>
      <c r="K683" s="203"/>
      <c r="L683" s="203"/>
      <c r="M683" s="203"/>
      <c r="N683" s="203"/>
      <c r="O683" s="204"/>
      <c r="P683" s="202"/>
      <c r="Q683" s="203"/>
      <c r="R683" s="203"/>
      <c r="S683" s="206"/>
      <c r="T683" s="202"/>
      <c r="U683" s="206"/>
      <c r="V683" s="205"/>
      <c r="W683" s="207"/>
      <c r="X683" s="53"/>
      <c r="Y683" s="201"/>
      <c r="Z683" s="201"/>
      <c r="AA683" s="201"/>
      <c r="AB683" s="201"/>
    </row>
    <row r="684" spans="1:28" ht="13">
      <c r="A684" s="193"/>
      <c r="B684" s="194"/>
      <c r="C684" s="206"/>
      <c r="D684" s="208"/>
      <c r="E684" s="208"/>
      <c r="F684" s="208"/>
      <c r="G684" s="208"/>
      <c r="H684" s="208"/>
      <c r="I684" s="204"/>
      <c r="J684" s="204"/>
      <c r="K684" s="208"/>
      <c r="L684" s="208"/>
      <c r="M684" s="208"/>
      <c r="N684" s="208"/>
      <c r="O684" s="204"/>
      <c r="P684" s="206"/>
      <c r="Q684" s="208"/>
      <c r="R684" s="208"/>
      <c r="S684" s="206"/>
      <c r="T684" s="206"/>
      <c r="U684" s="206"/>
      <c r="V684" s="204"/>
      <c r="W684" s="207"/>
      <c r="X684" s="53"/>
      <c r="Y684" s="201"/>
      <c r="Z684" s="201"/>
      <c r="AA684" s="201"/>
      <c r="AB684" s="201"/>
    </row>
    <row r="685" spans="1:28" ht="13">
      <c r="A685" s="193"/>
      <c r="B685" s="194"/>
      <c r="C685" s="206"/>
      <c r="D685" s="208"/>
      <c r="E685" s="208"/>
      <c r="F685" s="208"/>
      <c r="G685" s="208"/>
      <c r="H685" s="208"/>
      <c r="I685" s="204"/>
      <c r="J685" s="204"/>
      <c r="K685" s="208"/>
      <c r="L685" s="208"/>
      <c r="M685" s="208"/>
      <c r="N685" s="208"/>
      <c r="O685" s="204"/>
      <c r="P685" s="206"/>
      <c r="Q685" s="208"/>
      <c r="R685" s="208"/>
      <c r="S685" s="206"/>
      <c r="T685" s="206"/>
      <c r="U685" s="206"/>
      <c r="V685" s="204"/>
      <c r="W685" s="207"/>
      <c r="X685" s="53"/>
      <c r="Y685" s="201"/>
      <c r="Z685" s="201"/>
      <c r="AA685" s="201"/>
      <c r="AB685" s="201"/>
    </row>
    <row r="686" spans="1:28" ht="13">
      <c r="A686" s="193"/>
      <c r="B686" s="194"/>
      <c r="C686" s="206"/>
      <c r="D686" s="208"/>
      <c r="E686" s="208"/>
      <c r="F686" s="208"/>
      <c r="G686" s="208"/>
      <c r="H686" s="208"/>
      <c r="I686" s="204"/>
      <c r="J686" s="204"/>
      <c r="K686" s="208"/>
      <c r="L686" s="208"/>
      <c r="M686" s="208"/>
      <c r="N686" s="208"/>
      <c r="O686" s="204"/>
      <c r="P686" s="206"/>
      <c r="Q686" s="208"/>
      <c r="R686" s="208"/>
      <c r="S686" s="206"/>
      <c r="T686" s="206"/>
      <c r="U686" s="206"/>
      <c r="V686" s="204"/>
      <c r="W686" s="207"/>
      <c r="X686" s="53"/>
      <c r="Y686" s="201"/>
      <c r="Z686" s="201"/>
      <c r="AA686" s="201"/>
      <c r="AB686" s="201"/>
    </row>
    <row r="687" spans="1:28" ht="13">
      <c r="A687" s="193"/>
      <c r="B687" s="194"/>
      <c r="C687" s="202"/>
      <c r="D687" s="203"/>
      <c r="E687" s="203"/>
      <c r="F687" s="203"/>
      <c r="G687" s="203"/>
      <c r="H687" s="203"/>
      <c r="I687" s="204"/>
      <c r="J687" s="205"/>
      <c r="K687" s="203"/>
      <c r="L687" s="203"/>
      <c r="M687" s="203"/>
      <c r="N687" s="203"/>
      <c r="O687" s="204"/>
      <c r="P687" s="202"/>
      <c r="Q687" s="203"/>
      <c r="R687" s="203"/>
      <c r="S687" s="206"/>
      <c r="T687" s="202"/>
      <c r="U687" s="206"/>
      <c r="V687" s="205"/>
      <c r="W687" s="207"/>
      <c r="X687" s="53"/>
      <c r="Y687" s="201"/>
      <c r="Z687" s="201"/>
      <c r="AA687" s="201"/>
      <c r="AB687" s="201"/>
    </row>
    <row r="688" spans="1:28" ht="13">
      <c r="A688" s="193"/>
      <c r="B688" s="194"/>
      <c r="C688" s="202"/>
      <c r="D688" s="203"/>
      <c r="E688" s="203"/>
      <c r="F688" s="203"/>
      <c r="G688" s="203"/>
      <c r="H688" s="203"/>
      <c r="I688" s="204"/>
      <c r="J688" s="205"/>
      <c r="K688" s="203"/>
      <c r="L688" s="203"/>
      <c r="M688" s="203"/>
      <c r="N688" s="203"/>
      <c r="O688" s="204"/>
      <c r="P688" s="202"/>
      <c r="Q688" s="203"/>
      <c r="R688" s="203"/>
      <c r="S688" s="206"/>
      <c r="T688" s="202"/>
      <c r="U688" s="206"/>
      <c r="V688" s="205"/>
      <c r="W688" s="207"/>
      <c r="X688" s="53"/>
      <c r="Y688" s="201"/>
      <c r="Z688" s="201"/>
      <c r="AA688" s="201"/>
      <c r="AB688" s="201"/>
    </row>
    <row r="689" spans="1:28" ht="13">
      <c r="A689" s="193"/>
      <c r="B689" s="194"/>
      <c r="C689" s="202"/>
      <c r="D689" s="203"/>
      <c r="E689" s="203"/>
      <c r="F689" s="203"/>
      <c r="G689" s="203"/>
      <c r="H689" s="203"/>
      <c r="I689" s="204"/>
      <c r="J689" s="205"/>
      <c r="K689" s="203"/>
      <c r="L689" s="203"/>
      <c r="M689" s="203"/>
      <c r="N689" s="203"/>
      <c r="O689" s="204"/>
      <c r="P689" s="202"/>
      <c r="Q689" s="203"/>
      <c r="R689" s="203"/>
      <c r="S689" s="206"/>
      <c r="T689" s="202"/>
      <c r="U689" s="206"/>
      <c r="V689" s="205"/>
      <c r="W689" s="207"/>
      <c r="X689" s="53"/>
      <c r="Y689" s="201"/>
      <c r="Z689" s="201"/>
      <c r="AA689" s="201"/>
      <c r="AB689" s="201"/>
    </row>
    <row r="690" spans="1:28" ht="13">
      <c r="A690" s="193"/>
      <c r="B690" s="194"/>
      <c r="C690" s="202"/>
      <c r="D690" s="203"/>
      <c r="E690" s="203"/>
      <c r="F690" s="203"/>
      <c r="G690" s="203"/>
      <c r="H690" s="203"/>
      <c r="I690" s="204"/>
      <c r="J690" s="205"/>
      <c r="K690" s="203"/>
      <c r="L690" s="203"/>
      <c r="M690" s="203"/>
      <c r="N690" s="203"/>
      <c r="O690" s="204"/>
      <c r="P690" s="202"/>
      <c r="Q690" s="203"/>
      <c r="R690" s="203"/>
      <c r="S690" s="206"/>
      <c r="T690" s="202"/>
      <c r="U690" s="206"/>
      <c r="V690" s="205"/>
      <c r="W690" s="207"/>
      <c r="X690" s="53"/>
      <c r="Y690" s="201"/>
      <c r="Z690" s="201"/>
      <c r="AA690" s="201"/>
      <c r="AB690" s="201"/>
    </row>
    <row r="691" spans="1:28" ht="13">
      <c r="A691" s="193"/>
      <c r="B691" s="194"/>
      <c r="C691" s="202"/>
      <c r="D691" s="203"/>
      <c r="E691" s="203"/>
      <c r="F691" s="203"/>
      <c r="G691" s="203"/>
      <c r="H691" s="203"/>
      <c r="I691" s="204"/>
      <c r="J691" s="205"/>
      <c r="K691" s="203"/>
      <c r="L691" s="203"/>
      <c r="M691" s="203"/>
      <c r="N691" s="203"/>
      <c r="O691" s="204"/>
      <c r="P691" s="202"/>
      <c r="Q691" s="203"/>
      <c r="R691" s="203"/>
      <c r="S691" s="206"/>
      <c r="T691" s="202"/>
      <c r="U691" s="206"/>
      <c r="V691" s="205"/>
      <c r="W691" s="207"/>
      <c r="X691" s="53"/>
      <c r="Y691" s="201"/>
      <c r="Z691" s="201"/>
      <c r="AA691" s="201"/>
      <c r="AB691" s="201"/>
    </row>
    <row r="692" spans="1:28" ht="13">
      <c r="A692" s="193"/>
      <c r="B692" s="194"/>
      <c r="C692" s="202"/>
      <c r="D692" s="203"/>
      <c r="E692" s="203"/>
      <c r="F692" s="203"/>
      <c r="G692" s="203"/>
      <c r="H692" s="203"/>
      <c r="I692" s="204"/>
      <c r="J692" s="205"/>
      <c r="K692" s="203"/>
      <c r="L692" s="203"/>
      <c r="M692" s="203"/>
      <c r="N692" s="203"/>
      <c r="O692" s="204"/>
      <c r="P692" s="202"/>
      <c r="Q692" s="203"/>
      <c r="R692" s="203"/>
      <c r="S692" s="206"/>
      <c r="T692" s="202"/>
      <c r="U692" s="206"/>
      <c r="V692" s="205"/>
      <c r="W692" s="207"/>
      <c r="X692" s="53"/>
      <c r="Y692" s="201"/>
      <c r="Z692" s="201"/>
      <c r="AA692" s="201"/>
      <c r="AB692" s="201"/>
    </row>
    <row r="693" spans="1:28" ht="13">
      <c r="A693" s="193"/>
      <c r="B693" s="194"/>
      <c r="C693" s="202"/>
      <c r="D693" s="203"/>
      <c r="E693" s="203"/>
      <c r="F693" s="203"/>
      <c r="G693" s="203"/>
      <c r="H693" s="203"/>
      <c r="I693" s="204"/>
      <c r="J693" s="205"/>
      <c r="K693" s="203"/>
      <c r="L693" s="203"/>
      <c r="M693" s="203"/>
      <c r="N693" s="203"/>
      <c r="O693" s="204"/>
      <c r="P693" s="202"/>
      <c r="Q693" s="203"/>
      <c r="R693" s="203"/>
      <c r="S693" s="206"/>
      <c r="T693" s="202"/>
      <c r="U693" s="206"/>
      <c r="V693" s="205"/>
      <c r="W693" s="207"/>
      <c r="X693" s="53"/>
      <c r="Y693" s="201"/>
      <c r="Z693" s="201"/>
      <c r="AA693" s="201"/>
      <c r="AB693" s="201"/>
    </row>
    <row r="694" spans="1:28" ht="13">
      <c r="A694" s="193"/>
      <c r="B694" s="194"/>
      <c r="C694" s="202"/>
      <c r="D694" s="203"/>
      <c r="E694" s="203"/>
      <c r="F694" s="203"/>
      <c r="G694" s="203"/>
      <c r="H694" s="203"/>
      <c r="I694" s="204"/>
      <c r="J694" s="205"/>
      <c r="K694" s="203"/>
      <c r="L694" s="203"/>
      <c r="M694" s="203"/>
      <c r="N694" s="203"/>
      <c r="O694" s="204"/>
      <c r="P694" s="202"/>
      <c r="Q694" s="203"/>
      <c r="R694" s="203"/>
      <c r="S694" s="206"/>
      <c r="T694" s="202"/>
      <c r="U694" s="206"/>
      <c r="V694" s="205"/>
      <c r="W694" s="207"/>
      <c r="X694" s="53"/>
      <c r="Y694" s="201"/>
      <c r="Z694" s="201"/>
      <c r="AA694" s="201"/>
      <c r="AB694" s="201"/>
    </row>
    <row r="695" spans="1:28" ht="13">
      <c r="A695" s="193"/>
      <c r="B695" s="194"/>
      <c r="C695" s="202"/>
      <c r="D695" s="203"/>
      <c r="E695" s="203"/>
      <c r="F695" s="203"/>
      <c r="G695" s="203"/>
      <c r="H695" s="203"/>
      <c r="I695" s="204"/>
      <c r="J695" s="205"/>
      <c r="K695" s="203"/>
      <c r="L695" s="203"/>
      <c r="M695" s="203"/>
      <c r="N695" s="203"/>
      <c r="O695" s="204"/>
      <c r="P695" s="202"/>
      <c r="Q695" s="203"/>
      <c r="R695" s="203"/>
      <c r="S695" s="206"/>
      <c r="T695" s="202"/>
      <c r="U695" s="206"/>
      <c r="V695" s="205"/>
      <c r="W695" s="207"/>
      <c r="X695" s="53"/>
      <c r="Y695" s="201"/>
      <c r="Z695" s="201"/>
      <c r="AA695" s="201"/>
      <c r="AB695" s="201"/>
    </row>
    <row r="696" spans="1:28" ht="13">
      <c r="A696" s="193"/>
      <c r="B696" s="194"/>
      <c r="C696" s="202"/>
      <c r="D696" s="203"/>
      <c r="E696" s="203"/>
      <c r="F696" s="203"/>
      <c r="G696" s="203"/>
      <c r="H696" s="203"/>
      <c r="I696" s="204"/>
      <c r="J696" s="205"/>
      <c r="K696" s="203"/>
      <c r="L696" s="203"/>
      <c r="M696" s="203"/>
      <c r="N696" s="203"/>
      <c r="O696" s="204"/>
      <c r="P696" s="202"/>
      <c r="Q696" s="203"/>
      <c r="R696" s="203"/>
      <c r="S696" s="206"/>
      <c r="T696" s="202"/>
      <c r="U696" s="206"/>
      <c r="V696" s="205"/>
      <c r="W696" s="207"/>
      <c r="X696" s="53"/>
      <c r="Y696" s="201"/>
      <c r="Z696" s="201"/>
      <c r="AA696" s="201"/>
      <c r="AB696" s="201"/>
    </row>
    <row r="697" spans="1:28" ht="13">
      <c r="A697" s="193"/>
      <c r="B697" s="194"/>
      <c r="C697" s="202"/>
      <c r="D697" s="203"/>
      <c r="E697" s="203"/>
      <c r="F697" s="203"/>
      <c r="G697" s="203"/>
      <c r="H697" s="203"/>
      <c r="I697" s="204"/>
      <c r="J697" s="205"/>
      <c r="K697" s="203"/>
      <c r="L697" s="203"/>
      <c r="M697" s="203"/>
      <c r="N697" s="203"/>
      <c r="O697" s="204"/>
      <c r="P697" s="202"/>
      <c r="Q697" s="203"/>
      <c r="R697" s="203"/>
      <c r="S697" s="206"/>
      <c r="T697" s="202"/>
      <c r="U697" s="206"/>
      <c r="V697" s="205"/>
      <c r="W697" s="207"/>
      <c r="X697" s="53"/>
      <c r="Y697" s="201"/>
      <c r="Z697" s="201"/>
      <c r="AA697" s="201"/>
      <c r="AB697" s="201"/>
    </row>
    <row r="698" spans="1:28" ht="13">
      <c r="A698" s="193"/>
      <c r="B698" s="194"/>
      <c r="C698" s="202"/>
      <c r="D698" s="203"/>
      <c r="E698" s="203"/>
      <c r="F698" s="203"/>
      <c r="G698" s="203"/>
      <c r="H698" s="203"/>
      <c r="I698" s="204"/>
      <c r="J698" s="205"/>
      <c r="K698" s="203"/>
      <c r="L698" s="203"/>
      <c r="M698" s="203"/>
      <c r="N698" s="203"/>
      <c r="O698" s="204"/>
      <c r="P698" s="202"/>
      <c r="Q698" s="203"/>
      <c r="R698" s="203"/>
      <c r="S698" s="206"/>
      <c r="T698" s="202"/>
      <c r="U698" s="206"/>
      <c r="V698" s="205"/>
      <c r="W698" s="207"/>
      <c r="X698" s="53"/>
      <c r="Y698" s="201"/>
      <c r="Z698" s="201"/>
      <c r="AA698" s="201"/>
      <c r="AB698" s="201"/>
    </row>
    <row r="699" spans="1:28" ht="13">
      <c r="A699" s="193"/>
      <c r="B699" s="194"/>
      <c r="C699" s="202"/>
      <c r="D699" s="203"/>
      <c r="E699" s="203"/>
      <c r="F699" s="203"/>
      <c r="G699" s="203"/>
      <c r="H699" s="203"/>
      <c r="I699" s="204"/>
      <c r="J699" s="205"/>
      <c r="K699" s="203"/>
      <c r="L699" s="203"/>
      <c r="M699" s="203"/>
      <c r="N699" s="203"/>
      <c r="O699" s="204"/>
      <c r="P699" s="202"/>
      <c r="Q699" s="203"/>
      <c r="R699" s="203"/>
      <c r="S699" s="206"/>
      <c r="T699" s="202"/>
      <c r="U699" s="206"/>
      <c r="V699" s="205"/>
      <c r="W699" s="207"/>
      <c r="X699" s="53"/>
      <c r="Y699" s="201"/>
      <c r="Z699" s="201"/>
      <c r="AA699" s="201"/>
      <c r="AB699" s="201"/>
    </row>
    <row r="700" spans="1:28" ht="13">
      <c r="A700" s="193"/>
      <c r="B700" s="194"/>
      <c r="C700" s="202"/>
      <c r="D700" s="203"/>
      <c r="E700" s="203"/>
      <c r="F700" s="203"/>
      <c r="G700" s="203"/>
      <c r="H700" s="203"/>
      <c r="I700" s="204"/>
      <c r="J700" s="205"/>
      <c r="K700" s="203"/>
      <c r="L700" s="203"/>
      <c r="M700" s="203"/>
      <c r="N700" s="203"/>
      <c r="O700" s="204"/>
      <c r="P700" s="202"/>
      <c r="Q700" s="203"/>
      <c r="R700" s="203"/>
      <c r="S700" s="206"/>
      <c r="T700" s="202"/>
      <c r="U700" s="206"/>
      <c r="V700" s="205"/>
      <c r="W700" s="207"/>
      <c r="X700" s="53"/>
      <c r="Y700" s="201"/>
      <c r="Z700" s="201"/>
      <c r="AA700" s="201"/>
      <c r="AB700" s="201"/>
    </row>
    <row r="701" spans="1:28" ht="13">
      <c r="A701" s="193"/>
      <c r="B701" s="194"/>
      <c r="C701" s="202"/>
      <c r="D701" s="203"/>
      <c r="E701" s="203"/>
      <c r="F701" s="203"/>
      <c r="G701" s="203"/>
      <c r="H701" s="203"/>
      <c r="I701" s="204"/>
      <c r="J701" s="205"/>
      <c r="K701" s="203"/>
      <c r="L701" s="203"/>
      <c r="M701" s="203"/>
      <c r="N701" s="203"/>
      <c r="O701" s="204"/>
      <c r="P701" s="202"/>
      <c r="Q701" s="203"/>
      <c r="R701" s="203"/>
      <c r="S701" s="206"/>
      <c r="T701" s="202"/>
      <c r="U701" s="206"/>
      <c r="V701" s="205"/>
      <c r="W701" s="207"/>
      <c r="X701" s="53"/>
      <c r="Y701" s="201"/>
      <c r="Z701" s="201"/>
      <c r="AA701" s="201"/>
      <c r="AB701" s="201"/>
    </row>
    <row r="702" spans="1:28" ht="13">
      <c r="A702" s="193"/>
      <c r="B702" s="194"/>
      <c r="C702" s="202"/>
      <c r="D702" s="203"/>
      <c r="E702" s="203"/>
      <c r="F702" s="203"/>
      <c r="G702" s="203"/>
      <c r="H702" s="203"/>
      <c r="I702" s="204"/>
      <c r="J702" s="205"/>
      <c r="K702" s="203"/>
      <c r="L702" s="203"/>
      <c r="M702" s="203"/>
      <c r="N702" s="203"/>
      <c r="O702" s="204"/>
      <c r="P702" s="202"/>
      <c r="Q702" s="203"/>
      <c r="R702" s="203"/>
      <c r="S702" s="206"/>
      <c r="T702" s="202"/>
      <c r="U702" s="206"/>
      <c r="V702" s="205"/>
      <c r="W702" s="207"/>
      <c r="X702" s="53"/>
      <c r="Y702" s="201"/>
      <c r="Z702" s="201"/>
      <c r="AA702" s="201"/>
      <c r="AB702" s="201"/>
    </row>
    <row r="703" spans="1:28" ht="13">
      <c r="A703" s="193"/>
      <c r="B703" s="194"/>
      <c r="C703" s="202"/>
      <c r="D703" s="203"/>
      <c r="E703" s="203"/>
      <c r="F703" s="203"/>
      <c r="G703" s="203"/>
      <c r="H703" s="203"/>
      <c r="I703" s="204"/>
      <c r="J703" s="205"/>
      <c r="K703" s="203"/>
      <c r="L703" s="203"/>
      <c r="M703" s="203"/>
      <c r="N703" s="203"/>
      <c r="O703" s="204"/>
      <c r="P703" s="202"/>
      <c r="Q703" s="203"/>
      <c r="R703" s="203"/>
      <c r="S703" s="206"/>
      <c r="T703" s="202"/>
      <c r="U703" s="206"/>
      <c r="V703" s="205"/>
      <c r="W703" s="207"/>
      <c r="X703" s="53"/>
      <c r="Y703" s="201"/>
      <c r="Z703" s="201"/>
      <c r="AA703" s="201"/>
      <c r="AB703" s="201"/>
    </row>
    <row r="704" spans="1:28" ht="13">
      <c r="A704" s="193"/>
      <c r="B704" s="194"/>
      <c r="C704" s="202"/>
      <c r="D704" s="203"/>
      <c r="E704" s="203"/>
      <c r="F704" s="203"/>
      <c r="G704" s="203"/>
      <c r="H704" s="203"/>
      <c r="I704" s="204"/>
      <c r="J704" s="205"/>
      <c r="K704" s="203"/>
      <c r="L704" s="203"/>
      <c r="M704" s="203"/>
      <c r="N704" s="203"/>
      <c r="O704" s="204"/>
      <c r="P704" s="202"/>
      <c r="Q704" s="203"/>
      <c r="R704" s="203"/>
      <c r="S704" s="206"/>
      <c r="T704" s="202"/>
      <c r="U704" s="206"/>
      <c r="V704" s="205"/>
      <c r="W704" s="207"/>
      <c r="X704" s="53"/>
      <c r="Y704" s="201"/>
      <c r="Z704" s="201"/>
      <c r="AA704" s="201"/>
      <c r="AB704" s="201"/>
    </row>
    <row r="705" spans="1:28" ht="13">
      <c r="A705" s="193"/>
      <c r="B705" s="194"/>
      <c r="C705" s="202"/>
      <c r="D705" s="203"/>
      <c r="E705" s="203"/>
      <c r="F705" s="203"/>
      <c r="G705" s="203"/>
      <c r="H705" s="203"/>
      <c r="I705" s="204"/>
      <c r="J705" s="205"/>
      <c r="K705" s="203"/>
      <c r="L705" s="203"/>
      <c r="M705" s="203"/>
      <c r="N705" s="203"/>
      <c r="O705" s="204"/>
      <c r="P705" s="202"/>
      <c r="Q705" s="203"/>
      <c r="R705" s="203"/>
      <c r="S705" s="206"/>
      <c r="T705" s="202"/>
      <c r="U705" s="206"/>
      <c r="V705" s="205"/>
      <c r="W705" s="207"/>
      <c r="X705" s="53"/>
      <c r="Y705" s="201"/>
      <c r="Z705" s="201"/>
      <c r="AA705" s="201"/>
      <c r="AB705" s="201"/>
    </row>
    <row r="706" spans="1:28" ht="13">
      <c r="A706" s="193"/>
      <c r="B706" s="194"/>
      <c r="C706" s="202"/>
      <c r="D706" s="203"/>
      <c r="E706" s="203"/>
      <c r="F706" s="203"/>
      <c r="G706" s="203"/>
      <c r="H706" s="203"/>
      <c r="I706" s="204"/>
      <c r="J706" s="205"/>
      <c r="K706" s="203"/>
      <c r="L706" s="203"/>
      <c r="M706" s="203"/>
      <c r="N706" s="203"/>
      <c r="O706" s="204"/>
      <c r="P706" s="202"/>
      <c r="Q706" s="203"/>
      <c r="R706" s="203"/>
      <c r="S706" s="206"/>
      <c r="T706" s="202"/>
      <c r="U706" s="206"/>
      <c r="V706" s="205"/>
      <c r="W706" s="207"/>
      <c r="X706" s="53"/>
      <c r="Y706" s="201"/>
      <c r="Z706" s="201"/>
      <c r="AA706" s="201"/>
      <c r="AB706" s="201"/>
    </row>
    <row r="707" spans="1:28" ht="13">
      <c r="A707" s="209"/>
      <c r="B707" s="210"/>
      <c r="C707" s="211"/>
      <c r="D707" s="212"/>
      <c r="E707" s="212"/>
      <c r="F707" s="212"/>
      <c r="G707" s="212"/>
      <c r="H707" s="212"/>
      <c r="I707" s="213"/>
      <c r="J707" s="214"/>
      <c r="K707" s="212"/>
      <c r="L707" s="212"/>
      <c r="M707" s="212"/>
      <c r="N707" s="212"/>
      <c r="O707" s="213"/>
      <c r="P707" s="211"/>
      <c r="Q707" s="212"/>
      <c r="R707" s="212"/>
      <c r="S707" s="215"/>
      <c r="T707" s="211"/>
      <c r="U707" s="215"/>
      <c r="V707" s="214"/>
      <c r="W707" s="216"/>
      <c r="X707" s="53"/>
      <c r="Y707" s="201"/>
      <c r="Z707" s="201"/>
      <c r="AA707" s="201"/>
      <c r="AB707" s="20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82D67-276F-497A-ABED-425039ED6C34}">
  <sheetPr codeName="Sheet15"/>
  <dimension ref="A1:AP707"/>
  <sheetViews>
    <sheetView workbookViewId="0">
      <selection sqref="A1:XFD1048576"/>
    </sheetView>
  </sheetViews>
  <sheetFormatPr defaultColWidth="8.84375" defaultRowHeight="13"/>
  <cols>
    <col min="1" max="1" width="9.84375" style="55" customWidth="1"/>
    <col min="2" max="2" width="44.4609375" style="56" customWidth="1"/>
    <col min="3" max="3" width="5.765625" style="53" customWidth="1"/>
    <col min="4" max="4" width="7.07421875" style="53" customWidth="1"/>
    <col min="5" max="22" width="11.07421875" style="53" customWidth="1"/>
    <col min="23" max="25" width="2.07421875" style="53" customWidth="1"/>
    <col min="26" max="26" width="5.765625" style="53" customWidth="1"/>
    <col min="27" max="27" width="4.765625" style="53" customWidth="1"/>
    <col min="28" max="28" width="4.84375" style="53" customWidth="1"/>
    <col min="29" max="29" width="5.3046875" style="53" customWidth="1"/>
    <col min="30" max="30" width="4.53515625" style="53" customWidth="1"/>
    <col min="31" max="32" width="5" style="53" customWidth="1"/>
    <col min="33" max="35" width="5.3046875" style="53" customWidth="1"/>
    <col min="36" max="36" width="4.69140625" style="53" bestFit="1" customWidth="1"/>
    <col min="37" max="37" width="5" style="53" customWidth="1"/>
    <col min="38" max="38" width="4.4609375" style="53" customWidth="1"/>
    <col min="39" max="39" width="5" style="53" customWidth="1"/>
    <col min="40" max="40" width="4.69140625" style="53" customWidth="1"/>
    <col min="41" max="41" width="4.4609375" style="53" bestFit="1" customWidth="1"/>
    <col min="42" max="16384" width="8.84375" style="53"/>
  </cols>
  <sheetData>
    <row r="1" spans="1:42">
      <c r="A1" s="51"/>
      <c r="B1" s="52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</row>
    <row r="2" spans="1:42">
      <c r="C2" s="57"/>
      <c r="D2" s="58"/>
      <c r="E2" s="59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1"/>
      <c r="V2" s="59"/>
      <c r="Z2" s="62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</row>
    <row r="3" spans="1:42">
      <c r="C3" s="59"/>
      <c r="D3" s="59"/>
      <c r="E3" s="64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6"/>
      <c r="V3" s="64"/>
      <c r="W3" s="67"/>
      <c r="X3" s="67"/>
      <c r="Y3" s="67"/>
      <c r="Z3" s="68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</row>
    <row r="4" spans="1:42" ht="12.75" customHeight="1">
      <c r="A4" s="1305"/>
      <c r="B4" s="70"/>
      <c r="C4" s="71"/>
      <c r="D4" s="72"/>
      <c r="E4" s="73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5"/>
      <c r="V4" s="76"/>
      <c r="W4" s="77"/>
      <c r="X4" s="77"/>
      <c r="Y4" s="77"/>
      <c r="Z4" s="76"/>
      <c r="AA4" s="74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</row>
    <row r="5" spans="1:42">
      <c r="A5" s="1306"/>
      <c r="B5" s="78"/>
      <c r="C5" s="79"/>
      <c r="D5" s="80"/>
      <c r="E5" s="81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3"/>
      <c r="V5" s="84"/>
      <c r="Z5" s="85"/>
      <c r="AA5" s="86"/>
      <c r="AB5" s="87"/>
      <c r="AC5" s="87"/>
      <c r="AD5" s="87"/>
      <c r="AE5" s="87"/>
      <c r="AF5" s="87"/>
      <c r="AG5" s="87"/>
      <c r="AH5" s="87"/>
      <c r="AI5" s="87"/>
      <c r="AJ5" s="88"/>
      <c r="AK5" s="87"/>
      <c r="AL5" s="87"/>
      <c r="AM5" s="87"/>
      <c r="AN5" s="87"/>
      <c r="AO5" s="87"/>
      <c r="AP5" s="89"/>
    </row>
    <row r="6" spans="1:42">
      <c r="A6" s="1306"/>
      <c r="B6" s="70"/>
      <c r="C6" s="59"/>
      <c r="D6" s="59"/>
      <c r="E6" s="59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1"/>
      <c r="V6" s="92"/>
      <c r="Z6" s="92"/>
      <c r="AA6" s="90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</row>
    <row r="7" spans="1:42">
      <c r="A7" s="1306"/>
      <c r="B7" s="53"/>
      <c r="C7" s="93"/>
      <c r="D7" s="94"/>
      <c r="E7" s="94"/>
      <c r="U7" s="95"/>
      <c r="V7" s="96"/>
      <c r="Y7" s="97"/>
      <c r="Z7" s="85"/>
      <c r="AA7" s="86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</row>
    <row r="8" spans="1:42" ht="12.5">
      <c r="A8" s="1307"/>
      <c r="B8" s="98"/>
      <c r="C8" s="59"/>
      <c r="D8" s="59"/>
      <c r="E8" s="59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1"/>
      <c r="V8" s="99"/>
      <c r="W8" s="56"/>
      <c r="X8" s="56"/>
      <c r="Z8" s="99"/>
      <c r="AA8" s="100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</row>
    <row r="9" spans="1:42">
      <c r="A9" s="1307"/>
      <c r="B9" s="102"/>
      <c r="C9" s="93"/>
      <c r="D9" s="94"/>
      <c r="E9" s="94"/>
      <c r="U9" s="95"/>
      <c r="V9" s="96"/>
      <c r="Y9" s="103"/>
      <c r="Z9" s="104"/>
      <c r="AA9" s="86"/>
      <c r="AB9" s="87"/>
      <c r="AC9" s="87"/>
      <c r="AD9" s="87"/>
      <c r="AE9" s="87"/>
      <c r="AF9" s="87"/>
      <c r="AG9" s="87"/>
      <c r="AH9" s="87"/>
      <c r="AI9" s="87"/>
      <c r="AJ9" s="87"/>
      <c r="AK9" s="88"/>
      <c r="AL9" s="87"/>
      <c r="AM9" s="87"/>
      <c r="AN9" s="87"/>
      <c r="AO9" s="87"/>
    </row>
    <row r="10" spans="1:42" ht="12.5">
      <c r="A10" s="1307"/>
      <c r="B10" s="98"/>
      <c r="C10" s="59"/>
      <c r="D10" s="59"/>
      <c r="E10" s="59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1"/>
      <c r="V10" s="99"/>
      <c r="W10" s="56"/>
      <c r="X10" s="56"/>
      <c r="Y10" s="77"/>
      <c r="Z10" s="99"/>
      <c r="AA10" s="100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</row>
    <row r="11" spans="1:42">
      <c r="A11" s="1307"/>
      <c r="B11" s="53"/>
      <c r="C11" s="93"/>
      <c r="D11" s="94"/>
      <c r="E11" s="94"/>
      <c r="U11" s="95"/>
      <c r="V11" s="96"/>
      <c r="Z11" s="85"/>
      <c r="AA11" s="86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</row>
    <row r="12" spans="1:42" ht="12.5">
      <c r="A12" s="1307"/>
      <c r="B12" s="98"/>
      <c r="C12" s="59"/>
      <c r="D12" s="105"/>
      <c r="E12" s="106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1"/>
      <c r="V12" s="99"/>
      <c r="W12" s="56"/>
      <c r="X12" s="56"/>
      <c r="Y12" s="107"/>
      <c r="Z12" s="99"/>
      <c r="AA12" s="100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</row>
    <row r="13" spans="1:42">
      <c r="A13" s="1307"/>
      <c r="B13" s="102"/>
      <c r="C13" s="93"/>
      <c r="D13" s="81"/>
      <c r="E13" s="94"/>
      <c r="U13" s="95"/>
      <c r="V13" s="96"/>
      <c r="Y13" s="97"/>
      <c r="Z13" s="85"/>
      <c r="AA13" s="86"/>
      <c r="AB13" s="87"/>
      <c r="AC13" s="87"/>
      <c r="AD13" s="87"/>
      <c r="AE13" s="87"/>
      <c r="AF13" s="87"/>
      <c r="AG13" s="88"/>
      <c r="AH13" s="87"/>
      <c r="AI13" s="87"/>
      <c r="AJ13" s="87"/>
      <c r="AK13" s="87"/>
      <c r="AL13" s="87"/>
      <c r="AM13" s="87"/>
      <c r="AN13" s="87"/>
      <c r="AO13" s="87"/>
    </row>
    <row r="14" spans="1:42" ht="12.5">
      <c r="A14" s="1307"/>
      <c r="B14" s="98"/>
      <c r="C14" s="59"/>
      <c r="D14" s="105"/>
      <c r="E14" s="106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1"/>
      <c r="V14" s="99"/>
      <c r="W14" s="56"/>
      <c r="X14" s="56"/>
      <c r="Z14" s="99"/>
      <c r="AA14" s="100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</row>
    <row r="15" spans="1:42">
      <c r="A15" s="1307"/>
      <c r="B15" s="102"/>
      <c r="C15" s="108"/>
      <c r="D15" s="81"/>
      <c r="E15" s="94"/>
      <c r="U15" s="95"/>
      <c r="V15" s="96"/>
      <c r="Y15" s="103"/>
      <c r="Z15" s="85"/>
      <c r="AA15" s="86"/>
      <c r="AB15" s="87"/>
      <c r="AC15" s="87"/>
      <c r="AD15" s="87"/>
      <c r="AE15" s="87"/>
      <c r="AF15" s="87"/>
      <c r="AG15" s="88"/>
      <c r="AH15" s="87"/>
      <c r="AI15" s="87"/>
      <c r="AJ15" s="87"/>
      <c r="AK15" s="87"/>
      <c r="AL15" s="87"/>
      <c r="AM15" s="87"/>
      <c r="AN15" s="87"/>
      <c r="AO15" s="87"/>
    </row>
    <row r="16" spans="1:42" ht="12.5">
      <c r="A16" s="1307"/>
      <c r="B16" s="98"/>
      <c r="C16" s="59"/>
      <c r="D16" s="59"/>
      <c r="E16" s="59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1"/>
      <c r="V16" s="99"/>
      <c r="W16" s="56"/>
      <c r="X16" s="56"/>
      <c r="Y16" s="77"/>
      <c r="Z16" s="99"/>
      <c r="AA16" s="100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</row>
    <row r="17" spans="1:41">
      <c r="A17" s="1307"/>
      <c r="B17" s="53"/>
      <c r="C17" s="93"/>
      <c r="D17" s="94"/>
      <c r="E17" s="94"/>
      <c r="U17" s="95"/>
      <c r="V17" s="96"/>
      <c r="Z17" s="85"/>
      <c r="AA17" s="86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8"/>
    </row>
    <row r="18" spans="1:41">
      <c r="A18" s="1307"/>
      <c r="B18" s="98"/>
      <c r="C18" s="59"/>
      <c r="D18" s="59"/>
      <c r="E18" s="59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1"/>
      <c r="V18" s="99"/>
      <c r="W18" s="56"/>
      <c r="X18" s="56"/>
      <c r="Y18" s="103"/>
      <c r="Z18" s="99"/>
      <c r="AA18" s="100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</row>
    <row r="19" spans="1:41">
      <c r="A19" s="1307"/>
      <c r="B19" s="102"/>
      <c r="C19" s="93"/>
      <c r="D19" s="94"/>
      <c r="E19" s="94"/>
      <c r="U19" s="95"/>
      <c r="V19" s="109"/>
      <c r="Y19" s="77"/>
      <c r="Z19" s="104"/>
      <c r="AA19" s="86"/>
      <c r="AB19" s="87"/>
      <c r="AC19" s="87"/>
      <c r="AD19" s="87"/>
      <c r="AE19" s="88"/>
      <c r="AF19" s="87"/>
      <c r="AG19" s="87"/>
      <c r="AH19" s="87"/>
      <c r="AI19" s="87"/>
      <c r="AJ19" s="87"/>
      <c r="AK19" s="88"/>
      <c r="AL19" s="87"/>
      <c r="AM19" s="87"/>
      <c r="AN19" s="87"/>
      <c r="AO19" s="87"/>
    </row>
    <row r="20" spans="1:41" ht="12.5">
      <c r="A20" s="1307"/>
      <c r="B20" s="98"/>
      <c r="C20" s="59"/>
      <c r="D20" s="59"/>
      <c r="E20" s="59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1"/>
      <c r="V20" s="99"/>
      <c r="W20" s="56"/>
      <c r="X20" s="56"/>
      <c r="Z20" s="99"/>
      <c r="AA20" s="100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</row>
    <row r="21" spans="1:41">
      <c r="A21" s="1307"/>
      <c r="B21" s="102"/>
      <c r="C21" s="93"/>
      <c r="D21" s="94"/>
      <c r="E21" s="94"/>
      <c r="U21" s="95"/>
      <c r="V21" s="96"/>
      <c r="Y21" s="103"/>
      <c r="Z21" s="104"/>
      <c r="AA21" s="86"/>
      <c r="AB21" s="87"/>
      <c r="AC21" s="88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</row>
    <row r="22" spans="1:41">
      <c r="A22" s="1307"/>
      <c r="B22" s="70"/>
      <c r="C22" s="59"/>
      <c r="D22" s="105"/>
      <c r="E22" s="106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/>
      <c r="V22" s="99"/>
      <c r="W22" s="56"/>
      <c r="X22" s="56"/>
      <c r="Y22" s="77"/>
      <c r="Z22" s="99"/>
      <c r="AA22" s="100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</row>
    <row r="23" spans="1:41">
      <c r="A23" s="1307"/>
      <c r="B23" s="53"/>
      <c r="C23" s="93"/>
      <c r="D23" s="81"/>
      <c r="E23" s="94"/>
      <c r="U23" s="95"/>
      <c r="V23" s="96"/>
      <c r="Z23" s="85"/>
      <c r="AA23" s="86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</row>
    <row r="24" spans="1:41">
      <c r="A24" s="1307"/>
      <c r="B24" s="98"/>
      <c r="C24" s="59"/>
      <c r="D24" s="105"/>
      <c r="E24" s="106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1"/>
      <c r="V24" s="99"/>
      <c r="W24" s="56"/>
      <c r="X24" s="56"/>
      <c r="Y24" s="103"/>
      <c r="Z24" s="99"/>
      <c r="AA24" s="100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</row>
    <row r="25" spans="1:41">
      <c r="A25" s="1307"/>
      <c r="B25" s="102"/>
      <c r="C25" s="108"/>
      <c r="D25" s="81"/>
      <c r="E25" s="94"/>
      <c r="U25" s="95"/>
      <c r="V25" s="96"/>
      <c r="Y25" s="77"/>
      <c r="Z25" s="85"/>
      <c r="AA25" s="86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</row>
    <row r="26" spans="1:41" ht="12.5">
      <c r="A26" s="1307"/>
      <c r="B26" s="98"/>
      <c r="C26" s="59"/>
      <c r="D26" s="59"/>
      <c r="E26" s="59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1"/>
      <c r="V26" s="99"/>
      <c r="W26" s="56"/>
      <c r="X26" s="56"/>
      <c r="Z26" s="99"/>
      <c r="AA26" s="100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</row>
    <row r="27" spans="1:41">
      <c r="A27" s="1307"/>
      <c r="B27" s="53"/>
      <c r="C27" s="93"/>
      <c r="D27" s="94"/>
      <c r="E27" s="94"/>
      <c r="U27" s="95"/>
      <c r="V27" s="96"/>
      <c r="Y27" s="103"/>
      <c r="Z27" s="85"/>
      <c r="AA27" s="86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</row>
    <row r="28" spans="1:41" ht="12.5">
      <c r="A28" s="1307"/>
      <c r="B28" s="98"/>
      <c r="C28" s="59"/>
      <c r="D28" s="59"/>
      <c r="E28" s="59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1"/>
      <c r="V28" s="99"/>
      <c r="W28" s="56"/>
      <c r="X28" s="56"/>
      <c r="Y28" s="77"/>
      <c r="Z28" s="99"/>
      <c r="AA28" s="100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</row>
    <row r="29" spans="1:41">
      <c r="A29" s="1307"/>
      <c r="B29" s="102"/>
      <c r="C29" s="93"/>
      <c r="D29" s="94"/>
      <c r="E29" s="94"/>
      <c r="U29" s="95"/>
      <c r="V29" s="96"/>
      <c r="Z29" s="85"/>
      <c r="AA29" s="86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</row>
    <row r="30" spans="1:41">
      <c r="A30" s="1307"/>
      <c r="B30" s="98"/>
      <c r="C30" s="59"/>
      <c r="D30" s="59"/>
      <c r="E30" s="59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1"/>
      <c r="V30" s="99"/>
      <c r="W30" s="56"/>
      <c r="X30" s="56"/>
      <c r="Y30" s="103"/>
      <c r="Z30" s="99"/>
      <c r="AA30" s="100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</row>
    <row r="31" spans="1:41">
      <c r="A31" s="1307"/>
      <c r="B31" s="53"/>
      <c r="C31" s="93"/>
      <c r="D31" s="94"/>
      <c r="E31" s="94"/>
      <c r="U31" s="95"/>
      <c r="V31" s="96"/>
      <c r="Y31" s="77"/>
      <c r="Z31" s="85"/>
      <c r="AA31" s="86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</row>
    <row r="32" spans="1:41" ht="12.5">
      <c r="A32" s="1307"/>
      <c r="B32" s="98"/>
      <c r="C32" s="59"/>
      <c r="D32" s="105"/>
      <c r="E32" s="106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1"/>
      <c r="V32" s="99"/>
      <c r="W32" s="56"/>
      <c r="X32" s="56"/>
      <c r="Z32" s="99"/>
      <c r="AA32" s="100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</row>
    <row r="33" spans="1:41">
      <c r="A33" s="1307"/>
      <c r="B33" s="78"/>
      <c r="C33" s="108"/>
      <c r="D33" s="81"/>
      <c r="E33" s="94"/>
      <c r="U33" s="95"/>
      <c r="V33" s="96"/>
      <c r="Y33" s="103"/>
      <c r="Z33" s="85"/>
      <c r="AA33" s="86"/>
      <c r="AB33" s="87"/>
      <c r="AC33" s="88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8"/>
      <c r="AO33" s="87"/>
    </row>
    <row r="34" spans="1:41" ht="12.5">
      <c r="A34" s="1307"/>
      <c r="B34" s="98"/>
      <c r="C34" s="59"/>
      <c r="D34" s="59"/>
      <c r="E34" s="59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1"/>
      <c r="V34" s="99"/>
      <c r="W34" s="56"/>
      <c r="X34" s="56"/>
      <c r="Y34" s="77"/>
      <c r="Z34" s="99"/>
      <c r="AA34" s="100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</row>
    <row r="35" spans="1:41">
      <c r="A35" s="1307"/>
      <c r="B35" s="102"/>
      <c r="C35" s="93"/>
      <c r="D35" s="94"/>
      <c r="E35" s="94"/>
      <c r="U35" s="95"/>
      <c r="V35" s="96"/>
      <c r="Z35" s="104"/>
      <c r="AA35" s="86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</row>
    <row r="36" spans="1:41">
      <c r="A36" s="1307"/>
      <c r="B36" s="70"/>
      <c r="C36" s="110"/>
      <c r="D36" s="73"/>
      <c r="E36" s="106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1"/>
      <c r="V36" s="99"/>
      <c r="W36" s="56"/>
      <c r="X36" s="56"/>
      <c r="Y36" s="103"/>
      <c r="Z36" s="99"/>
      <c r="AA36" s="100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</row>
    <row r="37" spans="1:41">
      <c r="A37" s="1307"/>
      <c r="B37" s="53"/>
      <c r="C37" s="108"/>
      <c r="D37" s="81"/>
      <c r="E37" s="94"/>
      <c r="U37" s="95"/>
      <c r="V37" s="84"/>
      <c r="Y37" s="77"/>
      <c r="Z37" s="85"/>
      <c r="AA37" s="86"/>
      <c r="AB37" s="87"/>
      <c r="AC37" s="87"/>
      <c r="AD37" s="88"/>
      <c r="AE37" s="88"/>
      <c r="AF37" s="87"/>
      <c r="AG37" s="87"/>
      <c r="AH37" s="87"/>
      <c r="AI37" s="87"/>
      <c r="AJ37" s="87"/>
      <c r="AK37" s="87"/>
      <c r="AL37" s="87"/>
      <c r="AM37" s="87"/>
      <c r="AN37" s="87"/>
      <c r="AO37" s="87"/>
    </row>
    <row r="38" spans="1:41">
      <c r="A38" s="1307"/>
      <c r="B38" s="111"/>
      <c r="C38" s="59"/>
      <c r="D38" s="59"/>
      <c r="E38" s="59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1"/>
      <c r="V38" s="76"/>
      <c r="W38" s="56"/>
      <c r="X38" s="56"/>
      <c r="Z38" s="76"/>
      <c r="AA38" s="100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</row>
    <row r="39" spans="1:41">
      <c r="A39" s="1308"/>
      <c r="B39" s="102"/>
      <c r="C39" s="93"/>
      <c r="D39" s="94"/>
      <c r="E39" s="94"/>
      <c r="U39" s="95"/>
      <c r="V39" s="96"/>
      <c r="Y39" s="103"/>
      <c r="Z39" s="85"/>
      <c r="AA39" s="86"/>
      <c r="AB39" s="87"/>
      <c r="AC39" s="87"/>
      <c r="AD39" s="87"/>
      <c r="AE39" s="87"/>
      <c r="AF39" s="87"/>
      <c r="AG39" s="87"/>
      <c r="AH39" s="87"/>
      <c r="AI39" s="87"/>
      <c r="AJ39" s="87"/>
      <c r="AK39" s="88"/>
      <c r="AL39" s="87"/>
      <c r="AM39" s="87"/>
      <c r="AN39" s="87"/>
      <c r="AO39" s="87"/>
    </row>
    <row r="40" spans="1:41" ht="12.75" customHeight="1">
      <c r="A40" s="1305"/>
      <c r="B40" s="112"/>
      <c r="C40" s="110"/>
      <c r="D40" s="73"/>
      <c r="E40" s="106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1"/>
      <c r="V40" s="99"/>
      <c r="W40" s="56"/>
      <c r="X40" s="56"/>
      <c r="Y40" s="77"/>
      <c r="Z40" s="99"/>
      <c r="AA40" s="100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</row>
    <row r="41" spans="1:41">
      <c r="A41" s="1307"/>
      <c r="B41" s="113"/>
      <c r="C41" s="108"/>
      <c r="D41" s="81"/>
      <c r="E41" s="94"/>
      <c r="U41" s="95"/>
      <c r="V41" s="96"/>
      <c r="Z41" s="85"/>
      <c r="AA41" s="86"/>
      <c r="AB41" s="87"/>
      <c r="AC41" s="87"/>
      <c r="AD41" s="88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</row>
    <row r="42" spans="1:41">
      <c r="A42" s="1307"/>
      <c r="B42" s="112"/>
      <c r="C42" s="59"/>
      <c r="D42" s="105"/>
      <c r="E42" s="106"/>
      <c r="F42" s="100"/>
      <c r="G42" s="100"/>
      <c r="H42" s="100"/>
      <c r="I42" s="100"/>
      <c r="J42" s="100"/>
      <c r="K42" s="100"/>
      <c r="L42" s="100"/>
      <c r="M42" s="100"/>
      <c r="N42" s="114"/>
      <c r="O42" s="100"/>
      <c r="P42" s="100"/>
      <c r="Q42" s="100"/>
      <c r="R42" s="100"/>
      <c r="S42" s="100"/>
      <c r="T42" s="100"/>
      <c r="U42" s="101"/>
      <c r="V42" s="99"/>
      <c r="W42" s="56"/>
      <c r="X42" s="56"/>
      <c r="Y42" s="103"/>
      <c r="Z42" s="99"/>
      <c r="AA42" s="100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</row>
    <row r="43" spans="1:41">
      <c r="A43" s="1307"/>
      <c r="B43" s="115"/>
      <c r="C43" s="108"/>
      <c r="D43" s="81"/>
      <c r="E43" s="94"/>
      <c r="N43" s="82"/>
      <c r="U43" s="95"/>
      <c r="V43" s="84"/>
      <c r="Y43" s="77"/>
      <c r="Z43" s="88"/>
      <c r="AA43" s="86"/>
      <c r="AB43" s="87"/>
      <c r="AC43" s="87"/>
      <c r="AD43" s="87"/>
      <c r="AE43" s="87"/>
      <c r="AF43" s="87"/>
      <c r="AG43" s="87"/>
      <c r="AH43" s="87"/>
      <c r="AI43" s="88"/>
      <c r="AJ43" s="87"/>
      <c r="AK43" s="87"/>
      <c r="AL43" s="87"/>
      <c r="AM43" s="87"/>
      <c r="AN43" s="87"/>
      <c r="AO43" s="87"/>
    </row>
    <row r="44" spans="1:41">
      <c r="A44" s="1307"/>
      <c r="B44" s="112"/>
      <c r="C44" s="59"/>
      <c r="D44" s="105"/>
      <c r="E44" s="106"/>
      <c r="F44" s="100"/>
      <c r="G44" s="100"/>
      <c r="H44" s="100"/>
      <c r="I44" s="100"/>
      <c r="J44" s="100"/>
      <c r="K44" s="100"/>
      <c r="L44" s="100"/>
      <c r="M44" s="100"/>
      <c r="N44" s="56"/>
      <c r="O44" s="100"/>
      <c r="P44" s="100"/>
      <c r="Q44" s="100"/>
      <c r="R44" s="100"/>
      <c r="S44" s="100"/>
      <c r="T44" s="100"/>
      <c r="U44" s="101"/>
      <c r="V44" s="99"/>
      <c r="W44" s="56"/>
      <c r="X44" s="56"/>
      <c r="Z44" s="99"/>
      <c r="AA44" s="100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</row>
    <row r="45" spans="1:41">
      <c r="A45" s="1307"/>
      <c r="B45" s="113"/>
      <c r="C45" s="93"/>
      <c r="D45" s="81"/>
      <c r="E45" s="94"/>
      <c r="U45" s="95"/>
      <c r="V45" s="96"/>
      <c r="Y45" s="103"/>
      <c r="Z45" s="85"/>
      <c r="AA45" s="86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</row>
    <row r="46" spans="1:41" ht="12.5">
      <c r="A46" s="1307"/>
      <c r="B46" s="116"/>
      <c r="C46" s="59"/>
      <c r="D46" s="105"/>
      <c r="E46" s="106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1"/>
      <c r="V46" s="99"/>
      <c r="W46" s="56"/>
      <c r="X46" s="56"/>
      <c r="Y46" s="77"/>
      <c r="Z46" s="99"/>
      <c r="AA46" s="100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</row>
    <row r="47" spans="1:41">
      <c r="A47" s="1307"/>
      <c r="B47" s="113"/>
      <c r="C47" s="108"/>
      <c r="D47" s="81"/>
      <c r="E47" s="94"/>
      <c r="U47" s="95"/>
      <c r="V47" s="96"/>
      <c r="Z47" s="87"/>
      <c r="AA47" s="86"/>
      <c r="AB47" s="87"/>
      <c r="AC47" s="88"/>
      <c r="AD47" s="88"/>
      <c r="AE47" s="87"/>
      <c r="AF47" s="88"/>
      <c r="AG47" s="87"/>
      <c r="AH47" s="87"/>
      <c r="AI47" s="87"/>
      <c r="AJ47" s="87"/>
      <c r="AK47" s="87"/>
      <c r="AL47" s="87"/>
      <c r="AM47" s="88"/>
      <c r="AN47" s="88"/>
      <c r="AO47" s="88"/>
    </row>
    <row r="48" spans="1:41">
      <c r="A48" s="1307"/>
      <c r="B48" s="116"/>
      <c r="C48" s="59"/>
      <c r="D48" s="59"/>
      <c r="E48" s="59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1"/>
      <c r="V48" s="99"/>
      <c r="W48" s="56"/>
      <c r="X48" s="56"/>
      <c r="Y48" s="103"/>
      <c r="Z48" s="99"/>
      <c r="AA48" s="100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</row>
    <row r="49" spans="1:41">
      <c r="A49" s="1307"/>
      <c r="B49" s="115"/>
      <c r="C49" s="93"/>
      <c r="D49" s="94"/>
      <c r="E49" s="94"/>
      <c r="U49" s="95"/>
      <c r="V49" s="96"/>
      <c r="Y49" s="77"/>
      <c r="Z49" s="104"/>
      <c r="AA49" s="86"/>
      <c r="AB49" s="88"/>
      <c r="AC49" s="88"/>
      <c r="AD49" s="88"/>
      <c r="AE49" s="88"/>
      <c r="AF49" s="88"/>
      <c r="AG49" s="87"/>
      <c r="AH49" s="87"/>
      <c r="AI49" s="87"/>
      <c r="AJ49" s="87"/>
      <c r="AK49" s="88"/>
      <c r="AL49" s="87"/>
      <c r="AM49" s="88"/>
      <c r="AN49" s="88"/>
      <c r="AO49" s="87"/>
    </row>
    <row r="50" spans="1:41" ht="12.5">
      <c r="A50" s="1307"/>
      <c r="B50" s="116"/>
      <c r="C50" s="59"/>
      <c r="D50" s="105"/>
      <c r="E50" s="106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1"/>
      <c r="V50" s="99"/>
      <c r="W50" s="56"/>
      <c r="X50" s="56"/>
      <c r="Z50" s="99"/>
      <c r="AA50" s="100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</row>
    <row r="51" spans="1:41">
      <c r="A51" s="1307"/>
      <c r="B51" s="115"/>
      <c r="C51" s="93"/>
      <c r="D51" s="81"/>
      <c r="E51" s="94"/>
      <c r="U51" s="95"/>
      <c r="V51" s="96"/>
      <c r="Y51" s="103"/>
      <c r="Z51" s="85"/>
      <c r="AA51" s="86"/>
      <c r="AB51" s="88"/>
      <c r="AC51" s="87"/>
      <c r="AD51" s="87"/>
      <c r="AE51" s="87"/>
      <c r="AF51" s="87"/>
      <c r="AG51" s="87"/>
      <c r="AH51" s="87"/>
      <c r="AI51" s="87"/>
      <c r="AJ51" s="87"/>
      <c r="AK51" s="88"/>
      <c r="AL51" s="87"/>
      <c r="AM51" s="87"/>
      <c r="AN51" s="87"/>
      <c r="AO51" s="87"/>
    </row>
    <row r="52" spans="1:41" ht="12.5">
      <c r="A52" s="1307"/>
      <c r="B52" s="116"/>
      <c r="C52" s="59"/>
      <c r="D52" s="105"/>
      <c r="E52" s="106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1"/>
      <c r="V52" s="99"/>
      <c r="W52" s="56"/>
      <c r="X52" s="56"/>
      <c r="Y52" s="77"/>
      <c r="Z52" s="99"/>
      <c r="AA52" s="100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</row>
    <row r="53" spans="1:41">
      <c r="A53" s="1307"/>
      <c r="B53" s="113"/>
      <c r="C53" s="93"/>
      <c r="D53" s="81"/>
      <c r="E53" s="94"/>
      <c r="U53" s="95"/>
      <c r="V53" s="96"/>
      <c r="Z53" s="104"/>
      <c r="AA53" s="86"/>
      <c r="AB53" s="87"/>
      <c r="AC53" s="87"/>
      <c r="AD53" s="87"/>
      <c r="AE53" s="87"/>
      <c r="AF53" s="88"/>
      <c r="AG53" s="87"/>
      <c r="AH53" s="87"/>
      <c r="AI53" s="87"/>
      <c r="AJ53" s="87"/>
      <c r="AK53" s="87"/>
      <c r="AL53" s="87"/>
      <c r="AM53" s="87"/>
      <c r="AN53" s="87"/>
      <c r="AO53" s="87"/>
    </row>
    <row r="54" spans="1:41">
      <c r="A54" s="1307"/>
      <c r="B54" s="112"/>
      <c r="C54" s="59"/>
      <c r="D54" s="105"/>
      <c r="E54" s="106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1"/>
      <c r="V54" s="99"/>
      <c r="W54" s="56"/>
      <c r="X54" s="56"/>
      <c r="Y54" s="103"/>
      <c r="Z54" s="99"/>
      <c r="AA54" s="100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</row>
    <row r="55" spans="1:41">
      <c r="A55" s="1307"/>
      <c r="B55" s="113"/>
      <c r="C55" s="93"/>
      <c r="D55" s="81"/>
      <c r="E55" s="94"/>
      <c r="U55" s="95"/>
      <c r="V55" s="96"/>
      <c r="Y55" s="77"/>
      <c r="Z55" s="85"/>
      <c r="AA55" s="86"/>
      <c r="AB55" s="87"/>
      <c r="AC55" s="88"/>
      <c r="AD55" s="88"/>
      <c r="AE55" s="87"/>
      <c r="AF55" s="87"/>
      <c r="AG55" s="87"/>
      <c r="AH55" s="87"/>
      <c r="AI55" s="87"/>
      <c r="AJ55" s="87"/>
      <c r="AK55" s="88"/>
      <c r="AL55" s="87"/>
      <c r="AM55" s="87"/>
      <c r="AN55" s="87"/>
      <c r="AO55" s="87"/>
    </row>
    <row r="56" spans="1:41">
      <c r="A56" s="1307"/>
      <c r="B56" s="112"/>
      <c r="C56" s="59"/>
      <c r="D56" s="105"/>
      <c r="E56" s="106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1"/>
      <c r="V56" s="99"/>
      <c r="W56" s="56"/>
      <c r="X56" s="56"/>
      <c r="Z56" s="99"/>
      <c r="AA56" s="100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</row>
    <row r="57" spans="1:41">
      <c r="A57" s="1307"/>
      <c r="B57" s="115"/>
      <c r="C57" s="93"/>
      <c r="D57" s="81"/>
      <c r="E57" s="94"/>
      <c r="U57" s="95"/>
      <c r="V57" s="96"/>
      <c r="Y57" s="103"/>
      <c r="Z57" s="85"/>
      <c r="AA57" s="86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</row>
    <row r="58" spans="1:41" ht="12.5">
      <c r="A58" s="1307"/>
      <c r="B58" s="117"/>
      <c r="C58" s="59"/>
      <c r="D58" s="105"/>
      <c r="E58" s="106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1"/>
      <c r="V58" s="99"/>
      <c r="W58" s="56"/>
      <c r="X58" s="56"/>
      <c r="Y58" s="77"/>
      <c r="Z58" s="99"/>
      <c r="AA58" s="100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</row>
    <row r="59" spans="1:41">
      <c r="A59" s="1307"/>
      <c r="B59" s="118"/>
      <c r="C59" s="93"/>
      <c r="D59" s="81"/>
      <c r="E59" s="94"/>
      <c r="U59" s="95"/>
      <c r="V59" s="96"/>
      <c r="Z59" s="85"/>
      <c r="AA59" s="86"/>
      <c r="AB59" s="87"/>
      <c r="AC59" s="87"/>
      <c r="AD59" s="87"/>
      <c r="AE59" s="87"/>
      <c r="AF59" s="87"/>
      <c r="AG59" s="87"/>
      <c r="AH59" s="88"/>
      <c r="AI59" s="87"/>
      <c r="AJ59" s="87"/>
      <c r="AK59" s="87"/>
      <c r="AL59" s="87"/>
      <c r="AM59" s="87"/>
      <c r="AN59" s="87"/>
      <c r="AO59" s="87"/>
    </row>
    <row r="60" spans="1:41">
      <c r="A60" s="1307"/>
      <c r="B60" s="116"/>
      <c r="C60" s="59"/>
      <c r="D60" s="105"/>
      <c r="E60" s="106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1"/>
      <c r="V60" s="99"/>
      <c r="W60" s="56"/>
      <c r="X60" s="56"/>
      <c r="Y60" s="103"/>
      <c r="Z60" s="99"/>
      <c r="AA60" s="100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</row>
    <row r="61" spans="1:41">
      <c r="A61" s="1307"/>
      <c r="B61" s="119"/>
      <c r="C61" s="93"/>
      <c r="D61" s="81"/>
      <c r="E61" s="94"/>
      <c r="U61" s="95"/>
      <c r="V61" s="96"/>
      <c r="Y61" s="77"/>
      <c r="Z61" s="85"/>
      <c r="AA61" s="86"/>
      <c r="AB61" s="87"/>
      <c r="AC61" s="87"/>
      <c r="AD61" s="87"/>
      <c r="AE61" s="87"/>
      <c r="AF61" s="88"/>
      <c r="AG61" s="87"/>
      <c r="AH61" s="88"/>
      <c r="AI61" s="87"/>
      <c r="AJ61" s="87"/>
      <c r="AK61" s="87"/>
      <c r="AL61" s="87"/>
      <c r="AM61" s="87"/>
      <c r="AN61" s="87"/>
      <c r="AO61" s="88"/>
    </row>
    <row r="62" spans="1:41" ht="12.5">
      <c r="A62" s="1307"/>
      <c r="B62" s="116"/>
      <c r="C62" s="59"/>
      <c r="D62" s="105"/>
      <c r="E62" s="106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1"/>
      <c r="V62" s="99"/>
      <c r="W62" s="56"/>
      <c r="X62" s="56"/>
      <c r="Z62" s="99"/>
      <c r="AA62" s="100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</row>
    <row r="63" spans="1:41">
      <c r="A63" s="1307"/>
      <c r="B63" s="115"/>
      <c r="C63" s="108"/>
      <c r="D63" s="81"/>
      <c r="E63" s="94"/>
      <c r="U63" s="95"/>
      <c r="V63" s="84"/>
      <c r="Y63" s="103"/>
      <c r="Z63" s="85"/>
      <c r="AA63" s="86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8"/>
    </row>
    <row r="64" spans="1:41">
      <c r="A64" s="1307"/>
      <c r="B64" s="120"/>
      <c r="C64" s="59"/>
      <c r="D64" s="105"/>
      <c r="E64" s="106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1"/>
      <c r="V64" s="99"/>
      <c r="W64" s="56"/>
      <c r="X64" s="56"/>
      <c r="Y64" s="77"/>
      <c r="Z64" s="99"/>
      <c r="AA64" s="100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</row>
    <row r="65" spans="1:41">
      <c r="A65" s="1307"/>
      <c r="B65" s="113"/>
      <c r="C65" s="93"/>
      <c r="D65" s="81"/>
      <c r="E65" s="94"/>
      <c r="U65" s="95"/>
      <c r="V65" s="96"/>
      <c r="Z65" s="85"/>
      <c r="AA65" s="86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</row>
    <row r="66" spans="1:41">
      <c r="A66" s="1307"/>
      <c r="B66" s="121"/>
      <c r="C66" s="59"/>
      <c r="D66" s="105"/>
      <c r="E66" s="106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1"/>
      <c r="V66" s="99"/>
      <c r="W66" s="56"/>
      <c r="X66" s="56"/>
      <c r="Y66" s="103"/>
      <c r="Z66" s="99"/>
      <c r="AA66" s="100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</row>
    <row r="67" spans="1:41">
      <c r="A67" s="1307"/>
      <c r="B67" s="113"/>
      <c r="C67" s="93"/>
      <c r="D67" s="81"/>
      <c r="E67" s="94"/>
      <c r="U67" s="95"/>
      <c r="V67" s="96"/>
      <c r="Y67" s="77"/>
      <c r="Z67" s="85"/>
      <c r="AA67" s="86"/>
      <c r="AB67" s="88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8"/>
      <c r="AN67" s="87"/>
      <c r="AO67" s="87"/>
    </row>
    <row r="68" spans="1:41" ht="12.5">
      <c r="A68" s="1307"/>
      <c r="B68" s="116"/>
      <c r="C68" s="59"/>
      <c r="D68" s="105"/>
      <c r="E68" s="106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1"/>
      <c r="V68" s="99"/>
      <c r="W68" s="56"/>
      <c r="X68" s="56"/>
      <c r="Z68" s="99"/>
      <c r="AA68" s="100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</row>
    <row r="69" spans="1:41">
      <c r="A69" s="1307"/>
      <c r="B69" s="115"/>
      <c r="C69" s="93"/>
      <c r="D69" s="81"/>
      <c r="E69" s="94"/>
      <c r="U69" s="95"/>
      <c r="V69" s="96"/>
      <c r="Y69" s="103"/>
      <c r="Z69" s="85"/>
      <c r="AA69" s="86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</row>
    <row r="70" spans="1:41" ht="12.5">
      <c r="A70" s="1307"/>
      <c r="B70" s="116"/>
      <c r="C70" s="59"/>
      <c r="D70" s="105"/>
      <c r="E70" s="106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1"/>
      <c r="V70" s="99"/>
      <c r="W70" s="56"/>
      <c r="X70" s="56"/>
      <c r="Y70" s="77"/>
      <c r="Z70" s="99"/>
      <c r="AA70" s="100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</row>
    <row r="71" spans="1:41">
      <c r="A71" s="1307"/>
      <c r="B71" s="122"/>
      <c r="C71" s="93"/>
      <c r="D71" s="81"/>
      <c r="E71" s="94"/>
      <c r="U71" s="95"/>
      <c r="V71" s="96"/>
      <c r="Z71" s="85"/>
      <c r="AA71" s="86"/>
      <c r="AB71" s="88"/>
      <c r="AC71" s="88"/>
      <c r="AD71" s="87"/>
      <c r="AE71" s="87"/>
      <c r="AF71" s="87"/>
      <c r="AG71" s="87"/>
      <c r="AH71" s="88"/>
      <c r="AI71" s="87"/>
      <c r="AJ71" s="87"/>
      <c r="AK71" s="87"/>
      <c r="AL71" s="87"/>
      <c r="AM71" s="88"/>
      <c r="AN71" s="87"/>
      <c r="AO71" s="87"/>
    </row>
    <row r="72" spans="1:41">
      <c r="A72" s="1307"/>
      <c r="B72" s="116"/>
      <c r="C72" s="59"/>
      <c r="D72" s="105"/>
      <c r="E72" s="106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1"/>
      <c r="V72" s="99"/>
      <c r="W72" s="56"/>
      <c r="X72" s="56"/>
      <c r="Y72" s="103"/>
      <c r="Z72" s="99"/>
      <c r="AA72" s="100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</row>
    <row r="73" spans="1:41">
      <c r="A73" s="1307"/>
      <c r="B73" s="119"/>
      <c r="C73" s="93"/>
      <c r="D73" s="81"/>
      <c r="E73" s="94"/>
      <c r="U73" s="95"/>
      <c r="V73" s="96"/>
      <c r="Y73" s="77"/>
      <c r="Z73" s="85"/>
      <c r="AA73" s="86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</row>
    <row r="74" spans="1:41" ht="12.5">
      <c r="A74" s="1307"/>
      <c r="B74" s="116"/>
      <c r="C74" s="59"/>
      <c r="D74" s="105"/>
      <c r="E74" s="106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1"/>
      <c r="V74" s="99"/>
      <c r="W74" s="56"/>
      <c r="X74" s="56"/>
      <c r="Z74" s="99"/>
      <c r="AA74" s="100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</row>
    <row r="75" spans="1:41">
      <c r="A75" s="1307"/>
      <c r="B75" s="115"/>
      <c r="C75" s="108"/>
      <c r="D75" s="81"/>
      <c r="E75" s="94"/>
      <c r="U75" s="95"/>
      <c r="V75" s="96"/>
      <c r="Y75" s="103"/>
      <c r="Z75" s="104"/>
      <c r="AA75" s="86"/>
      <c r="AB75" s="88"/>
      <c r="AC75" s="87"/>
      <c r="AD75" s="87"/>
      <c r="AE75" s="87"/>
      <c r="AF75" s="87"/>
      <c r="AG75" s="88"/>
      <c r="AH75" s="87"/>
      <c r="AI75" s="87"/>
      <c r="AJ75" s="87"/>
      <c r="AK75" s="87"/>
      <c r="AL75" s="87"/>
      <c r="AM75" s="87"/>
      <c r="AN75" s="88"/>
      <c r="AO75" s="87"/>
    </row>
    <row r="76" spans="1:41" ht="12.5">
      <c r="A76" s="1307"/>
      <c r="B76" s="116"/>
      <c r="C76" s="59"/>
      <c r="D76" s="59"/>
      <c r="E76" s="59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1"/>
      <c r="V76" s="99"/>
      <c r="W76" s="56"/>
      <c r="X76" s="56"/>
      <c r="Y76" s="77"/>
      <c r="Z76" s="99"/>
      <c r="AA76" s="100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</row>
    <row r="77" spans="1:41">
      <c r="A77" s="1307"/>
      <c r="B77" s="113"/>
      <c r="C77" s="93"/>
      <c r="D77" s="94"/>
      <c r="E77" s="94"/>
      <c r="U77" s="95"/>
      <c r="V77" s="96"/>
      <c r="Z77" s="85"/>
      <c r="AA77" s="86"/>
      <c r="AB77" s="87"/>
      <c r="AC77" s="87"/>
      <c r="AD77" s="87"/>
      <c r="AE77" s="87"/>
      <c r="AF77" s="87"/>
      <c r="AG77" s="87"/>
      <c r="AH77" s="87"/>
      <c r="AI77" s="87"/>
      <c r="AJ77" s="87"/>
      <c r="AK77" s="88"/>
      <c r="AL77" s="87"/>
      <c r="AM77" s="87"/>
      <c r="AN77" s="88"/>
      <c r="AO77" s="87"/>
    </row>
    <row r="78" spans="1:41">
      <c r="A78" s="1307"/>
      <c r="B78" s="116"/>
      <c r="C78" s="59"/>
      <c r="D78" s="105"/>
      <c r="E78" s="106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1"/>
      <c r="V78" s="99"/>
      <c r="W78" s="56"/>
      <c r="X78" s="56"/>
      <c r="Y78" s="103"/>
      <c r="Z78" s="99"/>
      <c r="AA78" s="100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</row>
    <row r="79" spans="1:41">
      <c r="A79" s="1307"/>
      <c r="B79" s="113"/>
      <c r="C79" s="93"/>
      <c r="D79" s="81"/>
      <c r="E79" s="94"/>
      <c r="U79" s="95"/>
      <c r="V79" s="96"/>
      <c r="Y79" s="77"/>
      <c r="Z79" s="85"/>
      <c r="AA79" s="86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</row>
    <row r="80" spans="1:41" ht="12.5">
      <c r="A80" s="1307"/>
      <c r="B80" s="116"/>
      <c r="C80" s="59"/>
      <c r="D80" s="105"/>
      <c r="E80" s="106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1"/>
      <c r="V80" s="99"/>
      <c r="W80" s="56"/>
      <c r="X80" s="56"/>
      <c r="Z80" s="99"/>
      <c r="AA80" s="100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</row>
    <row r="81" spans="1:41">
      <c r="A81" s="1307"/>
      <c r="B81" s="115"/>
      <c r="C81" s="108"/>
      <c r="D81" s="81"/>
      <c r="E81" s="94"/>
      <c r="U81" s="95"/>
      <c r="V81" s="96"/>
      <c r="Y81" s="103"/>
      <c r="Z81" s="104"/>
      <c r="AA81" s="88"/>
      <c r="AB81" s="87"/>
      <c r="AC81" s="87"/>
      <c r="AD81" s="87"/>
      <c r="AE81" s="88"/>
      <c r="AF81" s="87"/>
      <c r="AG81" s="88"/>
      <c r="AH81" s="88"/>
      <c r="AI81" s="87"/>
      <c r="AJ81" s="87"/>
      <c r="AK81" s="88"/>
      <c r="AL81" s="87"/>
      <c r="AM81" s="87"/>
      <c r="AN81" s="88"/>
      <c r="AO81" s="87"/>
    </row>
    <row r="82" spans="1:41" ht="12.5">
      <c r="A82" s="1307"/>
      <c r="B82" s="116"/>
      <c r="C82" s="59"/>
      <c r="D82" s="59"/>
      <c r="E82" s="59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1"/>
      <c r="V82" s="99"/>
      <c r="W82" s="56"/>
      <c r="X82" s="56"/>
      <c r="Y82" s="77"/>
      <c r="Z82" s="99"/>
      <c r="AA82" s="100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</row>
    <row r="83" spans="1:41">
      <c r="A83" s="1307"/>
      <c r="B83" s="113"/>
      <c r="C83" s="93"/>
      <c r="D83" s="94"/>
      <c r="E83" s="94"/>
      <c r="U83" s="95"/>
      <c r="V83" s="96"/>
      <c r="Z83" s="85"/>
      <c r="AA83" s="86"/>
      <c r="AB83" s="87"/>
      <c r="AC83" s="87"/>
      <c r="AD83" s="88"/>
      <c r="AE83" s="87"/>
      <c r="AF83" s="88"/>
      <c r="AG83" s="87"/>
      <c r="AH83" s="87"/>
      <c r="AI83" s="87"/>
      <c r="AJ83" s="87"/>
      <c r="AK83" s="88"/>
      <c r="AL83" s="87"/>
      <c r="AM83" s="87"/>
      <c r="AN83" s="87"/>
      <c r="AO83" s="87"/>
    </row>
    <row r="84" spans="1:41">
      <c r="A84" s="1307"/>
      <c r="B84" s="123"/>
      <c r="C84" s="59"/>
      <c r="D84" s="105"/>
      <c r="E84" s="106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1"/>
      <c r="V84" s="99"/>
      <c r="W84" s="56"/>
      <c r="X84" s="56"/>
      <c r="Y84" s="103"/>
      <c r="Z84" s="99"/>
      <c r="AA84" s="100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</row>
    <row r="85" spans="1:41">
      <c r="A85" s="1307"/>
      <c r="B85" s="115"/>
      <c r="C85" s="93"/>
      <c r="D85" s="81"/>
      <c r="E85" s="94"/>
      <c r="U85" s="95"/>
      <c r="V85" s="96"/>
      <c r="Y85" s="77"/>
      <c r="Z85" s="85"/>
      <c r="AA85" s="86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</row>
    <row r="86" spans="1:41" ht="12.5">
      <c r="A86" s="1307"/>
      <c r="B86" s="116"/>
      <c r="C86" s="59"/>
      <c r="D86" s="105"/>
      <c r="E86" s="106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1"/>
      <c r="V86" s="99"/>
      <c r="W86" s="56"/>
      <c r="X86" s="56"/>
      <c r="Z86" s="99"/>
      <c r="AA86" s="100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</row>
    <row r="87" spans="1:41">
      <c r="A87" s="1307"/>
      <c r="B87" s="113"/>
      <c r="C87" s="93"/>
      <c r="D87" s="81"/>
      <c r="E87" s="94"/>
      <c r="U87" s="95"/>
      <c r="V87" s="96"/>
      <c r="Y87" s="103"/>
      <c r="Z87" s="85"/>
      <c r="AA87" s="86"/>
      <c r="AB87" s="87"/>
      <c r="AC87" s="88"/>
      <c r="AD87" s="87"/>
      <c r="AE87" s="87"/>
      <c r="AF87" s="87"/>
      <c r="AG87" s="87"/>
      <c r="AH87" s="88"/>
      <c r="AI87" s="87"/>
      <c r="AJ87" s="87"/>
      <c r="AK87" s="87"/>
      <c r="AL87" s="87"/>
      <c r="AM87" s="87"/>
      <c r="AN87" s="87"/>
      <c r="AO87" s="87"/>
    </row>
    <row r="88" spans="1:41" ht="12.5">
      <c r="A88" s="1307"/>
      <c r="B88" s="116"/>
      <c r="C88" s="59"/>
      <c r="D88" s="105"/>
      <c r="E88" s="106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1"/>
      <c r="V88" s="99"/>
      <c r="W88" s="56"/>
      <c r="X88" s="56"/>
      <c r="Y88" s="77"/>
      <c r="Z88" s="99"/>
      <c r="AA88" s="100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</row>
    <row r="89" spans="1:41">
      <c r="A89" s="1307"/>
      <c r="B89" s="113"/>
      <c r="C89" s="93"/>
      <c r="D89" s="81"/>
      <c r="E89" s="94"/>
      <c r="U89" s="95"/>
      <c r="V89" s="96"/>
      <c r="Z89" s="85"/>
      <c r="AA89" s="124"/>
      <c r="AB89" s="87"/>
      <c r="AC89" s="88"/>
      <c r="AD89" s="87"/>
      <c r="AE89" s="87"/>
      <c r="AF89" s="87"/>
      <c r="AG89" s="87"/>
      <c r="AH89" s="87"/>
      <c r="AI89" s="88"/>
      <c r="AJ89" s="87"/>
      <c r="AK89" s="87"/>
      <c r="AL89" s="87"/>
      <c r="AM89" s="87"/>
      <c r="AN89" s="88"/>
      <c r="AO89" s="87"/>
    </row>
    <row r="90" spans="1:41">
      <c r="A90" s="1307"/>
      <c r="B90" s="123"/>
      <c r="C90" s="59"/>
      <c r="D90" s="105"/>
      <c r="E90" s="106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1"/>
      <c r="V90" s="99"/>
      <c r="W90" s="56"/>
      <c r="X90" s="56"/>
      <c r="Y90" s="103"/>
      <c r="Z90" s="99"/>
      <c r="AA90" s="100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</row>
    <row r="91" spans="1:41">
      <c r="A91" s="1307"/>
      <c r="B91" s="115"/>
      <c r="C91" s="93"/>
      <c r="D91" s="81"/>
      <c r="E91" s="94"/>
      <c r="U91" s="95"/>
      <c r="V91" s="96"/>
      <c r="Y91" s="77"/>
      <c r="Z91" s="85"/>
      <c r="AA91" s="86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</row>
    <row r="92" spans="1:41" ht="12.5">
      <c r="A92" s="1307"/>
      <c r="B92" s="116"/>
      <c r="C92" s="59"/>
      <c r="D92" s="105"/>
      <c r="E92" s="106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1"/>
      <c r="V92" s="99"/>
      <c r="W92" s="56"/>
      <c r="X92" s="56"/>
      <c r="Z92" s="99"/>
      <c r="AA92" s="100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</row>
    <row r="93" spans="1:41">
      <c r="A93" s="1307"/>
      <c r="B93" s="113"/>
      <c r="C93" s="93"/>
      <c r="D93" s="81"/>
      <c r="E93" s="94"/>
      <c r="U93" s="95"/>
      <c r="V93" s="96"/>
      <c r="Y93" s="103"/>
      <c r="Z93" s="85"/>
      <c r="AA93" s="86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</row>
    <row r="94" spans="1:41" ht="12.5">
      <c r="A94" s="1307"/>
      <c r="B94" s="116"/>
      <c r="C94" s="59"/>
      <c r="D94" s="105"/>
      <c r="E94" s="106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1"/>
      <c r="V94" s="99"/>
      <c r="W94" s="56"/>
      <c r="X94" s="56"/>
      <c r="Y94" s="77"/>
      <c r="Z94" s="99"/>
      <c r="AA94" s="100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</row>
    <row r="95" spans="1:41">
      <c r="A95" s="1308"/>
      <c r="B95" s="122"/>
      <c r="C95" s="108"/>
      <c r="D95" s="81"/>
      <c r="E95" s="94"/>
      <c r="U95" s="95"/>
      <c r="V95" s="84"/>
      <c r="Z95" s="85"/>
      <c r="AA95" s="86"/>
      <c r="AB95" s="87"/>
      <c r="AC95" s="88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</row>
    <row r="96" spans="1:41">
      <c r="A96" s="125"/>
      <c r="B96" s="53"/>
      <c r="C96" s="126"/>
      <c r="D96" s="127"/>
      <c r="E96" s="128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1"/>
      <c r="Y96" s="103"/>
    </row>
    <row r="97" spans="1:25">
      <c r="A97" s="125"/>
      <c r="B97" s="53"/>
      <c r="C97" s="126"/>
      <c r="D97" s="127"/>
      <c r="E97" s="129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1"/>
      <c r="Y97" s="103"/>
    </row>
    <row r="98" spans="1:25">
      <c r="A98" s="125"/>
      <c r="B98" s="53"/>
      <c r="Y98" s="103"/>
    </row>
    <row r="99" spans="1:25">
      <c r="A99" s="125"/>
      <c r="B99" s="53"/>
      <c r="Y99" s="103"/>
    </row>
    <row r="100" spans="1:25">
      <c r="A100" s="125"/>
      <c r="B100" s="53"/>
      <c r="Y100" s="103"/>
    </row>
    <row r="101" spans="1:25">
      <c r="A101" s="125"/>
      <c r="B101" s="53"/>
      <c r="Y101" s="103"/>
    </row>
    <row r="102" spans="1:25">
      <c r="A102" s="125"/>
      <c r="B102" s="53"/>
      <c r="Y102" s="103"/>
    </row>
    <row r="103" spans="1:25">
      <c r="A103" s="125"/>
      <c r="B103" s="53"/>
      <c r="Y103" s="103"/>
    </row>
    <row r="104" spans="1:25" ht="12.5">
      <c r="A104" s="125"/>
      <c r="B104" s="53"/>
    </row>
    <row r="105" spans="1:25">
      <c r="A105" s="125"/>
      <c r="B105" s="53"/>
      <c r="Y105" s="103"/>
    </row>
    <row r="106" spans="1:25" ht="12.5">
      <c r="A106" s="125"/>
      <c r="B106" s="53"/>
      <c r="Y106" s="77"/>
    </row>
    <row r="107" spans="1:25" ht="12.5">
      <c r="A107" s="125"/>
      <c r="B107" s="53"/>
    </row>
    <row r="108" spans="1:25">
      <c r="A108" s="125"/>
      <c r="B108" s="53"/>
      <c r="Y108" s="103"/>
    </row>
    <row r="109" spans="1:25" ht="12.5">
      <c r="A109" s="125"/>
      <c r="B109" s="53"/>
      <c r="Y109" s="77"/>
    </row>
    <row r="110" spans="1:25" ht="12.5">
      <c r="A110" s="125"/>
      <c r="B110" s="53"/>
    </row>
    <row r="111" spans="1:25">
      <c r="A111" s="125"/>
      <c r="B111" s="53"/>
      <c r="Y111" s="103"/>
    </row>
    <row r="112" spans="1:25" ht="12.5">
      <c r="A112" s="125"/>
      <c r="B112" s="53"/>
      <c r="Y112" s="77"/>
    </row>
    <row r="113" spans="1:25" ht="12.5">
      <c r="A113" s="125"/>
      <c r="B113" s="53"/>
    </row>
    <row r="114" spans="1:25">
      <c r="A114" s="125"/>
      <c r="B114" s="53"/>
      <c r="Y114" s="103"/>
    </row>
    <row r="115" spans="1:25" ht="12.5">
      <c r="A115" s="125"/>
      <c r="B115" s="53"/>
      <c r="Y115" s="77"/>
    </row>
    <row r="116" spans="1:25" ht="12.5">
      <c r="A116" s="125"/>
      <c r="B116" s="53"/>
    </row>
    <row r="117" spans="1:25">
      <c r="A117" s="125"/>
      <c r="B117" s="53"/>
      <c r="Y117" s="103"/>
    </row>
    <row r="118" spans="1:25" ht="12.5">
      <c r="A118" s="125"/>
      <c r="B118" s="53"/>
      <c r="Y118" s="77"/>
    </row>
    <row r="119" spans="1:25" ht="12.5">
      <c r="A119" s="125"/>
      <c r="B119" s="53"/>
    </row>
    <row r="120" spans="1:25">
      <c r="A120" s="125"/>
      <c r="B120" s="53"/>
      <c r="Y120" s="103"/>
    </row>
    <row r="121" spans="1:25" ht="12.5">
      <c r="A121" s="125"/>
      <c r="B121" s="53"/>
      <c r="Y121" s="77"/>
    </row>
    <row r="122" spans="1:25" ht="12.5">
      <c r="A122" s="125"/>
      <c r="B122" s="53"/>
    </row>
    <row r="123" spans="1:25">
      <c r="A123" s="125"/>
      <c r="B123" s="53"/>
      <c r="Y123" s="103"/>
    </row>
    <row r="124" spans="1:25" ht="12.5">
      <c r="A124" s="125"/>
      <c r="B124" s="53"/>
      <c r="Y124" s="77"/>
    </row>
    <row r="125" spans="1:25" ht="12.5">
      <c r="A125" s="125"/>
      <c r="B125" s="53"/>
    </row>
    <row r="126" spans="1:25">
      <c r="A126" s="125"/>
      <c r="B126" s="53"/>
      <c r="Y126" s="103"/>
    </row>
    <row r="127" spans="1:25" ht="12.5">
      <c r="A127" s="125"/>
      <c r="B127" s="53"/>
      <c r="Y127" s="77"/>
    </row>
    <row r="128" spans="1:25" ht="12.5">
      <c r="A128" s="125"/>
      <c r="B128" s="53"/>
    </row>
    <row r="129" spans="1:25">
      <c r="A129" s="125"/>
      <c r="B129" s="53"/>
      <c r="Y129" s="103"/>
    </row>
    <row r="130" spans="1:25" ht="12.5">
      <c r="A130" s="125"/>
      <c r="B130" s="53"/>
      <c r="Y130" s="77"/>
    </row>
    <row r="131" spans="1:25" ht="12.5">
      <c r="A131" s="125"/>
      <c r="B131" s="53"/>
    </row>
    <row r="132" spans="1:25">
      <c r="A132" s="125"/>
      <c r="B132" s="53"/>
      <c r="Y132" s="103"/>
    </row>
    <row r="133" spans="1:25" ht="12.5">
      <c r="A133" s="125"/>
      <c r="B133" s="53"/>
      <c r="Y133" s="77"/>
    </row>
    <row r="134" spans="1:25" ht="12.5">
      <c r="A134" s="125"/>
      <c r="B134" s="53"/>
    </row>
    <row r="135" spans="1:25">
      <c r="A135" s="125"/>
      <c r="B135" s="53"/>
      <c r="Y135" s="103"/>
    </row>
    <row r="136" spans="1:25" ht="12.5">
      <c r="A136" s="125"/>
      <c r="B136" s="53"/>
      <c r="Y136" s="77"/>
    </row>
    <row r="137" spans="1:25" ht="12.5">
      <c r="A137" s="125"/>
      <c r="B137" s="53"/>
    </row>
    <row r="138" spans="1:25">
      <c r="A138" s="125"/>
      <c r="B138" s="53"/>
      <c r="Y138" s="103"/>
    </row>
    <row r="139" spans="1:25" ht="12.5">
      <c r="A139" s="125"/>
      <c r="B139" s="53"/>
      <c r="Y139" s="77"/>
    </row>
    <row r="140" spans="1:25" ht="12.5">
      <c r="A140" s="125"/>
      <c r="B140" s="53"/>
    </row>
    <row r="141" spans="1:25">
      <c r="A141" s="132"/>
      <c r="B141" s="133"/>
      <c r="Y141" s="103"/>
    </row>
    <row r="142" spans="1:25">
      <c r="B142" s="134"/>
      <c r="Y142" s="77"/>
    </row>
    <row r="143" spans="1:25">
      <c r="B143" s="135"/>
    </row>
    <row r="144" spans="1:25">
      <c r="A144" s="51"/>
      <c r="B144" s="136"/>
      <c r="Y144" s="103"/>
    </row>
    <row r="145" spans="1:25">
      <c r="B145" s="134"/>
      <c r="C145" s="137"/>
      <c r="D145" s="72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7"/>
      <c r="X145" s="77"/>
      <c r="Y145" s="77"/>
    </row>
    <row r="146" spans="1:25">
      <c r="B146" s="134"/>
      <c r="C146" s="138"/>
      <c r="D146" s="139"/>
    </row>
    <row r="147" spans="1:25">
      <c r="A147" s="51"/>
      <c r="B147" s="140"/>
      <c r="C147" s="141"/>
      <c r="D147" s="142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03"/>
      <c r="X147" s="103"/>
      <c r="Y147" s="103"/>
    </row>
    <row r="148" spans="1:25">
      <c r="B148" s="134"/>
    </row>
    <row r="149" spans="1:25">
      <c r="B149" s="134"/>
    </row>
    <row r="150" spans="1:25">
      <c r="B150" s="134"/>
    </row>
    <row r="161" s="53" customFormat="1" ht="12.5"/>
    <row r="162" s="53" customFormat="1" ht="12.5"/>
    <row r="163" s="53" customFormat="1" ht="12.5"/>
    <row r="164" s="53" customFormat="1" ht="12.5"/>
    <row r="165" s="53" customFormat="1" ht="12.5"/>
    <row r="166" s="53" customFormat="1" ht="12.5"/>
    <row r="167" s="53" customFormat="1" ht="12.5"/>
    <row r="168" s="53" customFormat="1" ht="12.5"/>
    <row r="169" s="53" customFormat="1" ht="12.5"/>
    <row r="170" s="53" customFormat="1" ht="12.5"/>
    <row r="171" s="53" customFormat="1" ht="12.5"/>
    <row r="172" s="53" customFormat="1" ht="12.5"/>
    <row r="173" s="53" customFormat="1" ht="12.5"/>
    <row r="174" s="53" customFormat="1" ht="12.5"/>
    <row r="175" s="53" customFormat="1" ht="12.5"/>
    <row r="176" s="53" customFormat="1" ht="12.5"/>
    <row r="177" s="53" customFormat="1" ht="12.5"/>
    <row r="178" s="53" customFormat="1" ht="12.5"/>
    <row r="179" s="53" customFormat="1" ht="12.5"/>
    <row r="180" s="53" customFormat="1" ht="12.5"/>
    <row r="181" s="53" customFormat="1" ht="12.5"/>
    <row r="182" s="53" customFormat="1" ht="12.5"/>
    <row r="183" s="53" customFormat="1" ht="12.5"/>
    <row r="184" s="53" customFormat="1" ht="12.5"/>
    <row r="185" s="53" customFormat="1" ht="12.5"/>
    <row r="186" s="53" customFormat="1" ht="12.5"/>
    <row r="187" s="53" customFormat="1" ht="12.5"/>
    <row r="188" s="53" customFormat="1" ht="12.5"/>
    <row r="189" s="53" customFormat="1" ht="12.5"/>
    <row r="190" s="53" customFormat="1" ht="12.5"/>
    <row r="191" s="53" customFormat="1" ht="12.5"/>
    <row r="192" s="53" customFormat="1" ht="12.5"/>
    <row r="193" s="53" customFormat="1" ht="12.5"/>
    <row r="194" s="53" customFormat="1" ht="12.5"/>
    <row r="195" s="53" customFormat="1" ht="12.5"/>
    <row r="196" s="53" customFormat="1" ht="12.5"/>
    <row r="197" s="53" customFormat="1" ht="12.5"/>
    <row r="198" s="53" customFormat="1" ht="12.5"/>
    <row r="199" s="53" customFormat="1" ht="12.5"/>
    <row r="200" s="53" customFormat="1" ht="12.5"/>
    <row r="201" s="53" customFormat="1" ht="12.5"/>
    <row r="202" s="53" customFormat="1" ht="12.5"/>
    <row r="203" s="53" customFormat="1" ht="12.5"/>
    <row r="204" s="53" customFormat="1" ht="12.5"/>
    <row r="205" s="53" customFormat="1" ht="12.5"/>
    <row r="206" s="53" customFormat="1" ht="12.5"/>
    <row r="207" s="53" customFormat="1" ht="12.5"/>
    <row r="208" s="53" customFormat="1" ht="12.5"/>
    <row r="209" s="53" customFormat="1" ht="12.5"/>
    <row r="210" s="53" customFormat="1" ht="12.5"/>
    <row r="211" s="53" customFormat="1" ht="12.5"/>
    <row r="212" s="53" customFormat="1" ht="12.5"/>
    <row r="213" s="53" customFormat="1" ht="12.5"/>
    <row r="214" s="53" customFormat="1" ht="12.5"/>
    <row r="215" s="53" customFormat="1" ht="12.5"/>
    <row r="216" s="53" customFormat="1" ht="12.5"/>
    <row r="217" s="53" customFormat="1" ht="12.5"/>
    <row r="218" s="53" customFormat="1" ht="12.5"/>
    <row r="219" s="53" customFormat="1" ht="12.5"/>
    <row r="220" s="53" customFormat="1" ht="12.5"/>
    <row r="221" s="53" customFormat="1" ht="12.5"/>
    <row r="222" s="53" customFormat="1" ht="12.5"/>
    <row r="223" s="53" customFormat="1" ht="12.5"/>
    <row r="224" s="53" customFormat="1" ht="12.5"/>
    <row r="225" s="53" customFormat="1" ht="12.5"/>
    <row r="226" s="53" customFormat="1" ht="12.5"/>
    <row r="227" s="53" customFormat="1" ht="12.5"/>
    <row r="228" s="53" customFormat="1" ht="12.5"/>
    <row r="229" s="53" customFormat="1" ht="12.5"/>
    <row r="230" s="53" customFormat="1" ht="12.5"/>
    <row r="231" s="53" customFormat="1" ht="12.5"/>
    <row r="232" s="53" customFormat="1" ht="12.5"/>
    <row r="233" s="53" customFormat="1" ht="12.5"/>
    <row r="234" s="53" customFormat="1" ht="12.5"/>
    <row r="235" s="53" customFormat="1" ht="12.5"/>
    <row r="236" s="53" customFormat="1" ht="12.5"/>
    <row r="237" s="53" customFormat="1" ht="12.5"/>
    <row r="238" s="53" customFormat="1" ht="12.5"/>
    <row r="239" s="53" customFormat="1" ht="12.5"/>
    <row r="240" s="53" customFormat="1" ht="12.5"/>
    <row r="241" s="53" customFormat="1" ht="12.5"/>
    <row r="242" s="53" customFormat="1" ht="12.5"/>
    <row r="243" s="53" customFormat="1" ht="12.5"/>
    <row r="244" s="53" customFormat="1" ht="12.5"/>
    <row r="245" s="53" customFormat="1" ht="12.5"/>
    <row r="246" s="53" customFormat="1" ht="12.5"/>
    <row r="247" s="53" customFormat="1" ht="12.5"/>
    <row r="248" s="53" customFormat="1" ht="12.5"/>
    <row r="249" s="53" customFormat="1" ht="12.5"/>
    <row r="250" s="53" customFormat="1" ht="12.5"/>
    <row r="251" s="53" customFormat="1" ht="12.5"/>
    <row r="252" s="53" customFormat="1" ht="12.5"/>
    <row r="253" s="53" customFormat="1" ht="12.5"/>
    <row r="254" s="53" customFormat="1" ht="12.5"/>
    <row r="255" s="53" customFormat="1" ht="12.5"/>
    <row r="256" s="53" customFormat="1" ht="12.5"/>
    <row r="257" s="53" customFormat="1" ht="12.5"/>
    <row r="258" s="53" customFormat="1" ht="12.5"/>
    <row r="259" s="53" customFormat="1" ht="12.5"/>
    <row r="260" s="53" customFormat="1" ht="12.5"/>
    <row r="261" s="53" customFormat="1" ht="12.5"/>
    <row r="262" s="53" customFormat="1" ht="12.5"/>
    <row r="263" s="53" customFormat="1" ht="12.5"/>
    <row r="264" s="53" customFormat="1" ht="12.5"/>
    <row r="265" s="53" customFormat="1" ht="12.5"/>
    <row r="266" s="53" customFormat="1" ht="12.5"/>
    <row r="267" s="53" customFormat="1" ht="12.5"/>
    <row r="268" s="53" customFormat="1" ht="12.5"/>
    <row r="269" s="53" customFormat="1" ht="12.5"/>
    <row r="270" s="53" customFormat="1" ht="12.5"/>
    <row r="271" s="53" customFormat="1" ht="12.5"/>
    <row r="272" s="53" customFormat="1" ht="12.5"/>
    <row r="273" s="53" customFormat="1" ht="12.5"/>
    <row r="274" s="53" customFormat="1" ht="12.5"/>
    <row r="275" s="53" customFormat="1" ht="12.5"/>
    <row r="276" s="53" customFormat="1" ht="12.5"/>
    <row r="277" s="53" customFormat="1" ht="12.5"/>
    <row r="278" s="53" customFormat="1" ht="12.5"/>
    <row r="279" s="53" customFormat="1" ht="12.5"/>
    <row r="280" s="53" customFormat="1" ht="12.5"/>
    <row r="281" s="53" customFormat="1" ht="12.5"/>
    <row r="282" s="53" customFormat="1" ht="12.5"/>
    <row r="283" s="53" customFormat="1" ht="12.5"/>
    <row r="284" s="53" customFormat="1" ht="12.5"/>
    <row r="285" s="53" customFormat="1" ht="12.5"/>
    <row r="286" s="53" customFormat="1" ht="12.5"/>
    <row r="287" s="53" customFormat="1" ht="12.5"/>
    <row r="288" s="53" customFormat="1" ht="12.5"/>
    <row r="289" s="53" customFormat="1" ht="12.5"/>
    <row r="290" s="53" customFormat="1" ht="12.5"/>
    <row r="291" s="53" customFormat="1" ht="12.5"/>
    <row r="292" s="53" customFormat="1" ht="12.5"/>
    <row r="293" s="53" customFormat="1" ht="12.5"/>
    <row r="294" s="53" customFormat="1" ht="12.5"/>
    <row r="295" s="53" customFormat="1" ht="12.5"/>
    <row r="296" s="53" customFormat="1" ht="12.5"/>
    <row r="297" s="53" customFormat="1" ht="12.5"/>
    <row r="298" s="53" customFormat="1" ht="12.5"/>
    <row r="299" s="53" customFormat="1" ht="12.5"/>
    <row r="300" s="53" customFormat="1" ht="12.5"/>
    <row r="301" s="53" customFormat="1" ht="12.5"/>
    <row r="302" s="53" customFormat="1" ht="12.5"/>
    <row r="303" s="53" customFormat="1" ht="12.5"/>
    <row r="304" s="53" customFormat="1" ht="12.5"/>
    <row r="305" s="53" customFormat="1" ht="12.5"/>
    <row r="306" s="53" customFormat="1" ht="12.5"/>
    <row r="307" s="53" customFormat="1" ht="12.5"/>
    <row r="308" s="53" customFormat="1" ht="12.5"/>
    <row r="309" s="53" customFormat="1" ht="12.5"/>
    <row r="310" s="53" customFormat="1" ht="12.5"/>
    <row r="311" s="53" customFormat="1" ht="12.5"/>
    <row r="312" s="53" customFormat="1" ht="12.5"/>
    <row r="313" s="53" customFormat="1" ht="12.5"/>
    <row r="314" s="53" customFormat="1" ht="12.5"/>
    <row r="315" s="53" customFormat="1" ht="12.5"/>
    <row r="316" s="53" customFormat="1" ht="12.5"/>
    <row r="317" s="53" customFormat="1" ht="12.5"/>
    <row r="318" s="53" customFormat="1" ht="12.5"/>
    <row r="319" s="53" customFormat="1" ht="12.5"/>
    <row r="320" s="53" customFormat="1" ht="12.5"/>
    <row r="321" s="53" customFormat="1" ht="12.5"/>
    <row r="322" s="53" customFormat="1" ht="12.5"/>
    <row r="323" s="53" customFormat="1" ht="12.5"/>
    <row r="324" s="53" customFormat="1" ht="12.5"/>
    <row r="325" s="53" customFormat="1" ht="12.5"/>
    <row r="326" s="53" customFormat="1" ht="12.5"/>
    <row r="327" s="53" customFormat="1" ht="12.5"/>
    <row r="328" s="53" customFormat="1" ht="12.5"/>
    <row r="329" s="53" customFormat="1" ht="12.5"/>
    <row r="330" s="53" customFormat="1" ht="12.5"/>
    <row r="331" s="53" customFormat="1" ht="12.5"/>
    <row r="332" s="53" customFormat="1" ht="12.5"/>
    <row r="333" s="53" customFormat="1" ht="12.5"/>
    <row r="334" s="53" customFormat="1" ht="12.5"/>
    <row r="335" s="53" customFormat="1" ht="12.5"/>
    <row r="336" s="53" customFormat="1" ht="12.5"/>
    <row r="337" s="53" customFormat="1" ht="12.5"/>
    <row r="338" s="53" customFormat="1" ht="12.5"/>
    <row r="339" s="53" customFormat="1" ht="12.5"/>
    <row r="340" s="53" customFormat="1" ht="12.5"/>
    <row r="341" s="53" customFormat="1" ht="12.5"/>
    <row r="342" s="53" customFormat="1" ht="12.5"/>
    <row r="343" s="53" customFormat="1" ht="12.5"/>
    <row r="344" s="53" customFormat="1" ht="12.5"/>
    <row r="345" s="53" customFormat="1" ht="12.5"/>
    <row r="346" s="53" customFormat="1" ht="12.5"/>
    <row r="347" s="53" customFormat="1" ht="12.5"/>
    <row r="348" s="53" customFormat="1" ht="12.5"/>
    <row r="349" s="53" customFormat="1" ht="12.5"/>
    <row r="350" s="53" customFormat="1" ht="12.5"/>
    <row r="351" s="53" customFormat="1" ht="12.5"/>
    <row r="352" s="53" customFormat="1" ht="12.5"/>
    <row r="353" s="53" customFormat="1" ht="12.5"/>
    <row r="354" s="53" customFormat="1" ht="12.5"/>
    <row r="355" s="53" customFormat="1" ht="12.5"/>
    <row r="356" s="53" customFormat="1" ht="12.5"/>
    <row r="357" s="53" customFormat="1" ht="12.5"/>
    <row r="358" s="53" customFormat="1" ht="12.5"/>
    <row r="359" s="53" customFormat="1" ht="12.5"/>
    <row r="360" s="53" customFormat="1" ht="12.5"/>
    <row r="361" s="53" customFormat="1" ht="12.5"/>
    <row r="362" s="53" customFormat="1" ht="12.5"/>
    <row r="363" s="53" customFormat="1" ht="12.5"/>
    <row r="364" s="53" customFormat="1" ht="12.5"/>
    <row r="365" s="53" customFormat="1" ht="12.5"/>
    <row r="366" s="53" customFormat="1" ht="12.5"/>
    <row r="367" s="53" customFormat="1" ht="12.5"/>
    <row r="368" s="53" customFormat="1" ht="12.5"/>
    <row r="369" s="53" customFormat="1" ht="12.5"/>
    <row r="370" s="53" customFormat="1" ht="12.5"/>
    <row r="371" s="53" customFormat="1" ht="12.5"/>
    <row r="372" s="53" customFormat="1" ht="12.5"/>
    <row r="373" s="53" customFormat="1" ht="12.5"/>
    <row r="374" s="53" customFormat="1" ht="12.5"/>
    <row r="375" s="53" customFormat="1" ht="12.5"/>
    <row r="376" s="53" customFormat="1" ht="12.5"/>
    <row r="377" s="53" customFormat="1" ht="12.5"/>
    <row r="378" s="53" customFormat="1" ht="12.5"/>
    <row r="379" s="53" customFormat="1" ht="12.5"/>
    <row r="380" s="53" customFormat="1" ht="12.5"/>
    <row r="381" s="53" customFormat="1" ht="12.5"/>
    <row r="382" s="53" customFormat="1" ht="12.5"/>
    <row r="383" s="53" customFormat="1" ht="12.5"/>
    <row r="384" s="53" customFormat="1" ht="12.5"/>
    <row r="385" s="53" customFormat="1" ht="12.5"/>
    <row r="386" s="53" customFormat="1" ht="12.5"/>
    <row r="387" s="53" customFormat="1" ht="12.5"/>
    <row r="388" s="53" customFormat="1" ht="12.5"/>
    <row r="389" s="53" customFormat="1" ht="12.5"/>
    <row r="390" s="53" customFormat="1" ht="12.5"/>
    <row r="391" s="53" customFormat="1" ht="12.5"/>
    <row r="392" s="53" customFormat="1" ht="12.5"/>
    <row r="393" s="53" customFormat="1" ht="12.5"/>
    <row r="394" s="53" customFormat="1" ht="12.5"/>
    <row r="395" s="53" customFormat="1" ht="12.5"/>
    <row r="396" s="53" customFormat="1" ht="12.5"/>
    <row r="397" s="53" customFormat="1" ht="12.5"/>
    <row r="398" s="53" customFormat="1" ht="12.5"/>
    <row r="399" s="53" customFormat="1" ht="12.5"/>
    <row r="400" s="53" customFormat="1" ht="12.5"/>
    <row r="401" s="53" customFormat="1" ht="12.5"/>
    <row r="402" s="53" customFormat="1" ht="12.5"/>
    <row r="403" s="53" customFormat="1" ht="12.5"/>
    <row r="404" s="53" customFormat="1" ht="12.5"/>
    <row r="405" s="53" customFormat="1" ht="12.5"/>
    <row r="406" s="53" customFormat="1" ht="12.5"/>
    <row r="407" s="53" customFormat="1" ht="12.5"/>
    <row r="408" s="53" customFormat="1" ht="12.5"/>
    <row r="409" s="53" customFormat="1" ht="12.5"/>
    <row r="410" s="53" customFormat="1" ht="12.5"/>
    <row r="411" s="53" customFormat="1" ht="12.5"/>
    <row r="412" s="53" customFormat="1" ht="12.5"/>
    <row r="413" s="53" customFormat="1" ht="12.5"/>
    <row r="414" s="53" customFormat="1" ht="12.5"/>
    <row r="415" s="53" customFormat="1" ht="12.5"/>
    <row r="416" s="53" customFormat="1" ht="12.5"/>
    <row r="417" s="53" customFormat="1" ht="12.5"/>
    <row r="418" s="53" customFormat="1" ht="12.5"/>
    <row r="419" s="53" customFormat="1" ht="12.5"/>
    <row r="420" s="53" customFormat="1" ht="12.5"/>
    <row r="421" s="53" customFormat="1" ht="12.5"/>
    <row r="422" s="53" customFormat="1" ht="12.5"/>
    <row r="423" s="53" customFormat="1" ht="12.5"/>
    <row r="424" s="53" customFormat="1" ht="12.5"/>
    <row r="425" s="53" customFormat="1" ht="12.5"/>
    <row r="426" s="53" customFormat="1" ht="12.5"/>
    <row r="427" s="53" customFormat="1" ht="12.5"/>
    <row r="428" s="53" customFormat="1" ht="12.5"/>
    <row r="429" s="53" customFormat="1" ht="12.5"/>
    <row r="430" s="53" customFormat="1" ht="12.5"/>
    <row r="431" s="53" customFormat="1" ht="12.5"/>
    <row r="432" s="53" customFormat="1" ht="12.5"/>
    <row r="433" s="53" customFormat="1" ht="12.5"/>
    <row r="434" s="53" customFormat="1" ht="12.5"/>
    <row r="435" s="53" customFormat="1" ht="12.5"/>
    <row r="436" s="53" customFormat="1" ht="12.5"/>
    <row r="437" s="53" customFormat="1" ht="12.5"/>
    <row r="438" s="53" customFormat="1" ht="12.5"/>
    <row r="439" s="53" customFormat="1" ht="12.5"/>
    <row r="440" s="53" customFormat="1" ht="12.5"/>
    <row r="441" s="53" customFormat="1" ht="12.5"/>
    <row r="442" s="53" customFormat="1" ht="12.5"/>
    <row r="443" s="53" customFormat="1" ht="12.5"/>
    <row r="444" s="53" customFormat="1" ht="12.5"/>
    <row r="445" s="53" customFormat="1" ht="12.5"/>
    <row r="446" s="53" customFormat="1" ht="12.5"/>
    <row r="447" s="53" customFormat="1" ht="12.5"/>
    <row r="448" s="53" customFormat="1" ht="12.5"/>
    <row r="449" s="53" customFormat="1" ht="12.5"/>
    <row r="450" s="53" customFormat="1" ht="12.5"/>
    <row r="451" s="53" customFormat="1" ht="12.5"/>
    <row r="452" s="53" customFormat="1" ht="12.5"/>
    <row r="453" s="53" customFormat="1" ht="12.5"/>
    <row r="454" s="53" customFormat="1" ht="12.5"/>
    <row r="455" s="53" customFormat="1" ht="12.5"/>
    <row r="456" s="53" customFormat="1" ht="12.5"/>
    <row r="457" s="53" customFormat="1" ht="12.5"/>
    <row r="458" s="53" customFormat="1" ht="12.5"/>
    <row r="459" s="53" customFormat="1" ht="12.5"/>
    <row r="460" s="53" customFormat="1" ht="12.5"/>
    <row r="461" s="53" customFormat="1" ht="12.5"/>
    <row r="462" s="53" customFormat="1" ht="12.5"/>
    <row r="463" s="53" customFormat="1" ht="12.5"/>
    <row r="464" s="53" customFormat="1" ht="12.5"/>
    <row r="465" s="53" customFormat="1" ht="12.5"/>
    <row r="466" s="53" customFormat="1" ht="12.5"/>
    <row r="467" s="53" customFormat="1" ht="12.5"/>
    <row r="468" s="53" customFormat="1" ht="12.5"/>
    <row r="469" s="53" customFormat="1" ht="12.5"/>
    <row r="470" s="53" customFormat="1" ht="12.5"/>
    <row r="471" s="53" customFormat="1" ht="12.5"/>
    <row r="472" s="53" customFormat="1" ht="12.5"/>
    <row r="473" s="53" customFormat="1" ht="12.5"/>
    <row r="474" s="53" customFormat="1" ht="12.5"/>
    <row r="475" s="53" customFormat="1" ht="12.5"/>
    <row r="476" s="53" customFormat="1" ht="12.5"/>
    <row r="477" s="53" customFormat="1" ht="12.5"/>
    <row r="478" s="53" customFormat="1" ht="12.5"/>
    <row r="479" s="53" customFormat="1" ht="12.5"/>
    <row r="480" s="53" customFormat="1" ht="12.5"/>
    <row r="481" s="53" customFormat="1" ht="12.5"/>
    <row r="482" s="53" customFormat="1" ht="12.5"/>
    <row r="483" s="53" customFormat="1" ht="12.5"/>
    <row r="484" s="53" customFormat="1" ht="12.5"/>
    <row r="485" s="53" customFormat="1" ht="12.5"/>
    <row r="486" s="53" customFormat="1" ht="12.5"/>
    <row r="487" s="53" customFormat="1" ht="12.5"/>
    <row r="488" s="53" customFormat="1" ht="12.5"/>
    <row r="489" s="53" customFormat="1" ht="12.5"/>
    <row r="490" s="53" customFormat="1" ht="12.5"/>
    <row r="491" s="53" customFormat="1" ht="12.5"/>
    <row r="492" s="53" customFormat="1" ht="12.5"/>
    <row r="493" s="53" customFormat="1" ht="12.5"/>
    <row r="494" s="53" customFormat="1" ht="12.5"/>
    <row r="495" s="53" customFormat="1" ht="12.5"/>
    <row r="496" s="53" customFormat="1" ht="12.5"/>
    <row r="497" s="53" customFormat="1" ht="12.5"/>
    <row r="498" s="53" customFormat="1" ht="12.5"/>
    <row r="499" s="53" customFormat="1" ht="12.5"/>
    <row r="500" s="53" customFormat="1" ht="12.5"/>
    <row r="501" s="53" customFormat="1" ht="12.5"/>
    <row r="502" s="53" customFormat="1" ht="12.5"/>
    <row r="503" s="53" customFormat="1" ht="12.5"/>
    <row r="504" s="53" customFormat="1" ht="12.5"/>
    <row r="505" s="53" customFormat="1" ht="12.5"/>
    <row r="506" s="53" customFormat="1" ht="12.5"/>
    <row r="507" s="53" customFormat="1" ht="12.5"/>
    <row r="508" s="53" customFormat="1" ht="12.5"/>
    <row r="509" s="53" customFormat="1" ht="12.5"/>
    <row r="510" s="53" customFormat="1" ht="12.5"/>
    <row r="511" s="53" customFormat="1" ht="12.5"/>
    <row r="512" s="53" customFormat="1" ht="12.5"/>
    <row r="513" s="53" customFormat="1" ht="12.5"/>
    <row r="514" s="53" customFormat="1" ht="12.5"/>
    <row r="515" s="53" customFormat="1" ht="12.5"/>
    <row r="516" s="53" customFormat="1" ht="12.5"/>
    <row r="517" s="53" customFormat="1" ht="12.5"/>
    <row r="518" s="53" customFormat="1" ht="12.5"/>
    <row r="519" s="53" customFormat="1" ht="12.5"/>
    <row r="520" s="53" customFormat="1" ht="12.5"/>
    <row r="521" s="53" customFormat="1" ht="12.5"/>
    <row r="522" s="53" customFormat="1" ht="12.5"/>
    <row r="523" s="53" customFormat="1" ht="12.5"/>
    <row r="524" s="53" customFormat="1" ht="12.5"/>
    <row r="525" s="53" customFormat="1" ht="12.5"/>
    <row r="526" s="53" customFormat="1" ht="12.5"/>
    <row r="527" s="53" customFormat="1" ht="12.5"/>
    <row r="528" s="53" customFormat="1" ht="12.5"/>
    <row r="529" s="53" customFormat="1" ht="12.5"/>
    <row r="530" s="53" customFormat="1" ht="12.5"/>
    <row r="531" s="53" customFormat="1" ht="12.5"/>
    <row r="532" s="53" customFormat="1" ht="12.5"/>
    <row r="533" s="53" customFormat="1" ht="12.5"/>
    <row r="534" s="53" customFormat="1" ht="12.5"/>
    <row r="535" s="53" customFormat="1" ht="12.5"/>
    <row r="536" s="53" customFormat="1" ht="12.5"/>
    <row r="537" s="53" customFormat="1" ht="12.5"/>
    <row r="538" s="53" customFormat="1" ht="12.5"/>
    <row r="539" s="53" customFormat="1" ht="12.5"/>
    <row r="540" s="53" customFormat="1" ht="12.5"/>
    <row r="541" s="53" customFormat="1" ht="12.5"/>
    <row r="542" s="53" customFormat="1" ht="12.5"/>
    <row r="543" s="53" customFormat="1" ht="12.5"/>
    <row r="544" s="53" customFormat="1" ht="12.5"/>
    <row r="545" s="53" customFormat="1" ht="12.5"/>
    <row r="546" s="53" customFormat="1" ht="12.5"/>
    <row r="547" s="53" customFormat="1" ht="12.5"/>
    <row r="548" s="53" customFormat="1" ht="12.5"/>
    <row r="549" s="53" customFormat="1" ht="12.5"/>
    <row r="550" s="53" customFormat="1" ht="12.5"/>
    <row r="551" s="53" customFormat="1" ht="12.5"/>
    <row r="552" s="53" customFormat="1" ht="12.5"/>
    <row r="553" s="53" customFormat="1" ht="12.5"/>
    <row r="554" s="53" customFormat="1" ht="12.5"/>
    <row r="555" s="53" customFormat="1" ht="12.5"/>
    <row r="556" s="53" customFormat="1" ht="12.5"/>
    <row r="557" s="53" customFormat="1" ht="12.5"/>
    <row r="558" s="53" customFormat="1" ht="12.5"/>
    <row r="559" s="53" customFormat="1" ht="12.5"/>
    <row r="560" s="53" customFormat="1" ht="12.5"/>
    <row r="561" s="53" customFormat="1" ht="12.5"/>
    <row r="562" s="53" customFormat="1" ht="12.5"/>
    <row r="563" s="53" customFormat="1" ht="12.5"/>
    <row r="564" s="53" customFormat="1" ht="12.5"/>
    <row r="565" s="53" customFormat="1" ht="12.5"/>
    <row r="566" s="53" customFormat="1" ht="12.5"/>
    <row r="567" s="53" customFormat="1" ht="12.5"/>
    <row r="568" s="53" customFormat="1" ht="12.5"/>
    <row r="569" s="53" customFormat="1" ht="12.5"/>
    <row r="570" s="53" customFormat="1" ht="12.5"/>
    <row r="571" s="53" customFormat="1" ht="12.5"/>
    <row r="572" s="53" customFormat="1" ht="12.5"/>
    <row r="573" s="53" customFormat="1" ht="12.5"/>
    <row r="574" s="53" customFormat="1" ht="12.5"/>
    <row r="575" s="53" customFormat="1" ht="12.5"/>
    <row r="576" s="53" customFormat="1" ht="12.5"/>
    <row r="577" s="53" customFormat="1" ht="12.5"/>
    <row r="578" s="53" customFormat="1" ht="12.5"/>
    <row r="579" s="53" customFormat="1" ht="12.5"/>
    <row r="580" s="53" customFormat="1" ht="12.5"/>
    <row r="581" s="53" customFormat="1" ht="12.5"/>
    <row r="582" s="53" customFormat="1" ht="12.5"/>
    <row r="583" s="53" customFormat="1" ht="12.5"/>
    <row r="584" s="53" customFormat="1" ht="12.5"/>
    <row r="585" s="53" customFormat="1" ht="12.5"/>
    <row r="586" s="53" customFormat="1" ht="12.5"/>
    <row r="587" s="53" customFormat="1" ht="12.5"/>
    <row r="588" s="53" customFormat="1" ht="12.5"/>
    <row r="589" s="53" customFormat="1" ht="12.5"/>
    <row r="590" s="53" customFormat="1" ht="12.5"/>
    <row r="591" s="53" customFormat="1" ht="12.5"/>
    <row r="592" s="53" customFormat="1" ht="12.5"/>
    <row r="593" s="53" customFormat="1" ht="12.5"/>
    <row r="594" s="53" customFormat="1" ht="12.5"/>
    <row r="595" s="53" customFormat="1" ht="12.5"/>
    <row r="596" s="53" customFormat="1" ht="12.5"/>
    <row r="597" s="53" customFormat="1" ht="12.5"/>
    <row r="598" s="53" customFormat="1" ht="12.5"/>
    <row r="599" s="53" customFormat="1" ht="12.5"/>
    <row r="600" s="53" customFormat="1" ht="12.5"/>
    <row r="601" s="53" customFormat="1" ht="12.5"/>
    <row r="602" s="53" customFormat="1" ht="12.5"/>
    <row r="603" s="53" customFormat="1" ht="12.5"/>
    <row r="604" s="53" customFormat="1" ht="12.5"/>
    <row r="605" s="53" customFormat="1" ht="12.5"/>
    <row r="606" s="53" customFormat="1" ht="12.5"/>
    <row r="607" s="53" customFormat="1" ht="12.5"/>
    <row r="608" s="53" customFormat="1" ht="12.5"/>
    <row r="609" s="53" customFormat="1" ht="12.5"/>
    <row r="610" s="53" customFormat="1" ht="12.5"/>
    <row r="611" s="53" customFormat="1" ht="12.5"/>
    <row r="612" s="53" customFormat="1" ht="12.5"/>
    <row r="613" s="53" customFormat="1" ht="12.5"/>
    <row r="614" s="53" customFormat="1" ht="12.5"/>
    <row r="615" s="53" customFormat="1" ht="12.5"/>
    <row r="616" s="53" customFormat="1" ht="12.5"/>
    <row r="617" s="53" customFormat="1" ht="12.5"/>
    <row r="618" s="53" customFormat="1" ht="12.5"/>
    <row r="619" s="53" customFormat="1" ht="12.5"/>
    <row r="620" s="53" customFormat="1" ht="12.5"/>
    <row r="621" s="53" customFormat="1" ht="12.5"/>
    <row r="622" s="53" customFormat="1" ht="12.5"/>
    <row r="623" s="53" customFormat="1" ht="12.5"/>
    <row r="624" s="53" customFormat="1" ht="12.5"/>
    <row r="625" s="53" customFormat="1" ht="12.5"/>
    <row r="626" s="53" customFormat="1" ht="12.5"/>
    <row r="627" s="53" customFormat="1" ht="12.5"/>
    <row r="628" s="53" customFormat="1" ht="12.5"/>
    <row r="629" s="53" customFormat="1" ht="12.5"/>
    <row r="630" s="53" customFormat="1" ht="12.5"/>
    <row r="631" s="53" customFormat="1" ht="12.5"/>
    <row r="632" s="53" customFormat="1" ht="12.5"/>
    <row r="633" s="53" customFormat="1" ht="12.5"/>
    <row r="634" s="53" customFormat="1" ht="12.5"/>
    <row r="635" s="53" customFormat="1" ht="12.5"/>
    <row r="636" s="53" customFormat="1" ht="12.5"/>
    <row r="637" s="53" customFormat="1" ht="12.5"/>
    <row r="638" s="53" customFormat="1" ht="12.5"/>
    <row r="639" s="53" customFormat="1" ht="12.5"/>
    <row r="640" s="53" customFormat="1" ht="12.5"/>
    <row r="641" s="53" customFormat="1" ht="12.5"/>
    <row r="642" s="53" customFormat="1" ht="12.5"/>
    <row r="643" s="53" customFormat="1" ht="12.5"/>
    <row r="644" s="53" customFormat="1" ht="12.5"/>
    <row r="645" s="53" customFormat="1" ht="12.5"/>
    <row r="646" s="53" customFormat="1" ht="12.5"/>
    <row r="647" s="53" customFormat="1" ht="12.5"/>
    <row r="648" s="53" customFormat="1" ht="12.5"/>
    <row r="649" s="53" customFormat="1" ht="12.5"/>
    <row r="650" s="53" customFormat="1" ht="12.5"/>
    <row r="651" s="53" customFormat="1" ht="12.5"/>
    <row r="652" s="53" customFormat="1" ht="12.5"/>
    <row r="653" s="53" customFormat="1" ht="12.5"/>
    <row r="654" s="53" customFormat="1" ht="12.5"/>
    <row r="655" s="53" customFormat="1" ht="12.5"/>
    <row r="656" s="53" customFormat="1" ht="12.5"/>
    <row r="657" s="53" customFormat="1" ht="12.5"/>
    <row r="658" s="53" customFormat="1" ht="12.5"/>
    <row r="659" s="53" customFormat="1" ht="12.5"/>
    <row r="660" s="53" customFormat="1" ht="12.5"/>
    <row r="661" s="53" customFormat="1" ht="12.5"/>
    <row r="662" s="53" customFormat="1" ht="12.5"/>
    <row r="663" s="53" customFormat="1" ht="12.5"/>
    <row r="664" s="53" customFormat="1" ht="12.5"/>
    <row r="665" s="53" customFormat="1" ht="12.5"/>
    <row r="666" s="53" customFormat="1" ht="12.5"/>
    <row r="667" s="53" customFormat="1" ht="12.5"/>
    <row r="668" s="53" customFormat="1" ht="12.5"/>
    <row r="669" s="53" customFormat="1" ht="12.5"/>
    <row r="670" s="53" customFormat="1" ht="12.5"/>
    <row r="671" s="53" customFormat="1" ht="12.5"/>
    <row r="672" s="53" customFormat="1" ht="12.5"/>
    <row r="673" s="53" customFormat="1" ht="12.5"/>
    <row r="674" s="53" customFormat="1" ht="12.5"/>
    <row r="675" s="53" customFormat="1" ht="12.5"/>
    <row r="676" s="53" customFormat="1" ht="12.5"/>
    <row r="677" s="53" customFormat="1" ht="12.5"/>
    <row r="678" s="53" customFormat="1" ht="12.5"/>
    <row r="679" s="53" customFormat="1" ht="12.5"/>
    <row r="680" s="53" customFormat="1" ht="12.5"/>
    <row r="681" s="53" customFormat="1" ht="12.5"/>
    <row r="682" s="53" customFormat="1" ht="12.5"/>
    <row r="683" s="53" customFormat="1" ht="12.5"/>
    <row r="684" s="53" customFormat="1" ht="12.5"/>
    <row r="685" s="53" customFormat="1" ht="12.5"/>
    <row r="686" s="53" customFormat="1" ht="12.5"/>
    <row r="687" s="53" customFormat="1" ht="12.5"/>
    <row r="688" s="53" customFormat="1" ht="12.5"/>
    <row r="689" s="53" customFormat="1" ht="12.5"/>
    <row r="690" s="53" customFormat="1" ht="12.5"/>
    <row r="691" s="53" customFormat="1" ht="12.5"/>
    <row r="692" s="53" customFormat="1" ht="12.5"/>
    <row r="693" s="53" customFormat="1" ht="12.5"/>
    <row r="694" s="53" customFormat="1" ht="12.5"/>
    <row r="695" s="53" customFormat="1" ht="12.5"/>
    <row r="696" s="53" customFormat="1" ht="12.5"/>
    <row r="697" s="53" customFormat="1" ht="12.5"/>
    <row r="698" s="53" customFormat="1" ht="12.5"/>
    <row r="699" s="53" customFormat="1" ht="12.5"/>
    <row r="700" s="53" customFormat="1" ht="12.5"/>
    <row r="701" s="53" customFormat="1" ht="12.5"/>
    <row r="702" s="53" customFormat="1" ht="12.5"/>
    <row r="703" s="53" customFormat="1" ht="12.5"/>
    <row r="704" s="53" customFormat="1" ht="12.5"/>
    <row r="705" s="53" customFormat="1" ht="12.5"/>
    <row r="706" s="53" customFormat="1" ht="12.5"/>
    <row r="707" s="53" customFormat="1" ht="12.5"/>
  </sheetData>
  <mergeCells count="2">
    <mergeCell ref="A4:A39"/>
    <mergeCell ref="A40:A9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492D5-A527-415C-93F6-F66F43FFE9A2}">
  <sheetPr codeName="Sheet2">
    <tabColor theme="5" tint="0.59999389629810485"/>
    <pageSetUpPr fitToPage="1"/>
  </sheetPr>
  <dimension ref="A1:T24"/>
  <sheetViews>
    <sheetView view="pageBreakPreview" topLeftCell="A4" zoomScaleNormal="100" zoomScaleSheetLayoutView="100" workbookViewId="0">
      <selection activeCell="T22" sqref="T22"/>
    </sheetView>
  </sheetViews>
  <sheetFormatPr defaultColWidth="8.84375" defaultRowHeight="12.5"/>
  <cols>
    <col min="1" max="1" width="11.23046875" style="53" customWidth="1"/>
    <col min="2" max="2" width="17.23046875" style="53" customWidth="1"/>
    <col min="3" max="3" width="3" style="566" hidden="1" customWidth="1"/>
    <col min="4" max="4" width="6.69140625" style="53" customWidth="1"/>
    <col min="5" max="5" width="5.84375" style="53" customWidth="1"/>
    <col min="6" max="6" width="5.53515625" style="53" customWidth="1"/>
    <col min="7" max="7" width="5.69140625" style="53" customWidth="1"/>
    <col min="8" max="8" width="5.3046875" style="53" customWidth="1"/>
    <col min="9" max="9" width="5.07421875" style="53" customWidth="1"/>
    <col min="10" max="10" width="5" style="53" customWidth="1"/>
    <col min="11" max="11" width="5.69140625" style="53" customWidth="1"/>
    <col min="12" max="12" width="4.765625" style="53" customWidth="1"/>
    <col min="13" max="13" width="5.69140625" style="662" customWidth="1"/>
    <col min="14" max="14" width="4.765625" style="53" customWidth="1"/>
    <col min="15" max="15" width="5.69140625" style="53" customWidth="1"/>
    <col min="16" max="16" width="6.07421875" style="53" customWidth="1"/>
    <col min="17" max="17" width="5.3046875" style="53" customWidth="1"/>
    <col min="18" max="18" width="5.23046875" style="53" customWidth="1"/>
    <col min="19" max="19" width="5.4609375" style="53" customWidth="1"/>
    <col min="20" max="20" width="5.3046875" style="53" customWidth="1"/>
    <col min="21" max="16384" width="8.84375" style="53"/>
  </cols>
  <sheetData>
    <row r="1" spans="1:20" ht="18">
      <c r="A1" s="611" t="s">
        <v>1033</v>
      </c>
      <c r="B1" s="349"/>
      <c r="C1" s="612"/>
      <c r="D1" s="349"/>
      <c r="E1" s="349"/>
      <c r="F1" s="349"/>
      <c r="G1" s="349"/>
      <c r="H1" s="349"/>
      <c r="I1" s="349"/>
      <c r="J1" s="349"/>
      <c r="K1" s="349"/>
      <c r="L1" s="349"/>
      <c r="M1" s="613"/>
      <c r="N1" s="349"/>
      <c r="O1" s="349"/>
      <c r="P1" s="349"/>
      <c r="Q1" s="349"/>
      <c r="R1" s="349"/>
      <c r="S1" s="349"/>
      <c r="T1" s="349"/>
    </row>
    <row r="2" spans="1:20" s="56" customFormat="1" ht="15.5">
      <c r="A2" s="1215" t="s">
        <v>1034</v>
      </c>
      <c r="B2" s="1215"/>
      <c r="C2" s="1215"/>
      <c r="D2" s="1215"/>
      <c r="E2" s="1215"/>
      <c r="F2" s="1215"/>
      <c r="G2" s="1215"/>
      <c r="H2" s="1215"/>
      <c r="I2" s="1215"/>
      <c r="J2" s="1215"/>
      <c r="K2" s="1215"/>
      <c r="L2" s="1215"/>
      <c r="M2" s="1215"/>
      <c r="N2" s="1215"/>
      <c r="O2" s="1215"/>
      <c r="P2" s="1215"/>
      <c r="Q2" s="1215"/>
      <c r="R2" s="1215"/>
      <c r="S2" s="1215"/>
      <c r="T2" s="1215"/>
    </row>
    <row r="3" spans="1:20" s="56" customFormat="1" ht="15.5">
      <c r="A3" s="1215" t="s">
        <v>1476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5"/>
      <c r="P3" s="1215"/>
      <c r="Q3" s="1215"/>
      <c r="R3" s="1215"/>
      <c r="S3" s="1215"/>
      <c r="T3" s="1215"/>
    </row>
    <row r="4" spans="1:20" ht="29.25" customHeight="1">
      <c r="A4" s="615"/>
      <c r="B4" s="616"/>
      <c r="C4" s="617" t="s">
        <v>1017</v>
      </c>
      <c r="D4" s="618" t="s">
        <v>1035</v>
      </c>
      <c r="E4" s="619" t="s">
        <v>61</v>
      </c>
      <c r="F4" s="620" t="s">
        <v>197</v>
      </c>
      <c r="G4" s="620" t="s">
        <v>283</v>
      </c>
      <c r="H4" s="620" t="s">
        <v>333</v>
      </c>
      <c r="I4" s="620" t="s">
        <v>365</v>
      </c>
      <c r="J4" s="620" t="s">
        <v>432</v>
      </c>
      <c r="K4" s="620" t="s">
        <v>492</v>
      </c>
      <c r="L4" s="620" t="s">
        <v>549</v>
      </c>
      <c r="M4" s="621" t="s">
        <v>599</v>
      </c>
      <c r="N4" s="620" t="s">
        <v>636</v>
      </c>
      <c r="O4" s="620" t="s">
        <v>745</v>
      </c>
      <c r="P4" s="620" t="s">
        <v>746</v>
      </c>
      <c r="Q4" s="620" t="s">
        <v>747</v>
      </c>
      <c r="R4" s="620" t="s">
        <v>748</v>
      </c>
      <c r="S4" s="620" t="s">
        <v>750</v>
      </c>
      <c r="T4" s="620" t="s">
        <v>751</v>
      </c>
    </row>
    <row r="5" spans="1:20" ht="33" customHeight="1">
      <c r="A5" s="1216" t="s">
        <v>1019</v>
      </c>
      <c r="B5" s="622" t="s">
        <v>1036</v>
      </c>
      <c r="C5" s="623" t="s">
        <v>62</v>
      </c>
      <c r="D5" s="624">
        <f>IF('OLD Distrib by purpose'!D5&gt;0.0005=0,,IF('OLD Distrib by purpose'!D5&gt;0.0005,'OLD Distrib by purpose'!D5,"*"))</f>
        <v>0.79915840983665676</v>
      </c>
      <c r="E5" s="625">
        <f>IF('OLD Distrib by purpose'!E5&gt;0.0005=0,,IF('OLD Distrib by purpose'!E5&gt;0.0005,'OLD Distrib by purpose'!E5,"*"))</f>
        <v>0.79556321803830654</v>
      </c>
      <c r="F5" s="626">
        <f>IF('OLD Distrib by purpose'!F5&gt;0.0005=0,,IF('OLD Distrib by purpose'!F5&gt;0.0005,'OLD Distrib by purpose'!F5,"*"))</f>
        <v>0.79640038649504519</v>
      </c>
      <c r="G5" s="626">
        <f>IF('OLD Distrib by purpose'!G5&gt;0.0005=0,,IF('OLD Distrib by purpose'!G5&gt;0.0005,'OLD Distrib by purpose'!G5,"*"))</f>
        <v>0.97121302467579684</v>
      </c>
      <c r="H5" s="626">
        <f>IF('OLD Distrib by purpose'!H5&gt;0.0005=0,,IF('OLD Distrib by purpose'!H5&gt;0.0005,'OLD Distrib by purpose'!H5,"*"))</f>
        <v>0.99883035185824254</v>
      </c>
      <c r="I5" s="626">
        <f>IF('OLD Distrib by purpose'!I5&gt;0.0005=0,,IF('OLD Distrib by purpose'!I5&gt;0.0005,'OLD Distrib by purpose'!I5,"*"))</f>
        <v>0.76150960912590715</v>
      </c>
      <c r="J5" s="626">
        <f>IF('OLD Distrib by purpose'!J5&gt;0.0005=0,,IF('OLD Distrib by purpose'!J5&gt;0.0005,'OLD Distrib by purpose'!J5,"*"))</f>
        <v>0.79814353531096971</v>
      </c>
      <c r="K5" s="626">
        <f>IF('OLD Distrib by purpose'!K5&gt;0.0005=0,,IF('OLD Distrib by purpose'!K5&gt;0.0005,'OLD Distrib by purpose'!K5,"*"))</f>
        <v>0.72732627387712234</v>
      </c>
      <c r="L5" s="626">
        <f>IF('OLD Distrib by purpose'!L5&gt;0.0005=0,,IF('OLD Distrib by purpose'!L5&gt;0.0005,'OLD Distrib by purpose'!L5,"*"))</f>
        <v>0.76074892452294685</v>
      </c>
      <c r="M5" s="626">
        <f>IF('OLD Distrib by purpose'!M5&gt;0.0005=0,,IF('OLD Distrib by purpose'!M5&gt;0.0005,'OLD Distrib by purpose'!M5,"*"))</f>
        <v>0.88743218426181247</v>
      </c>
      <c r="N5" s="626">
        <f>IF('OLD Distrib by purpose'!N5&gt;0.0005=0,,IF('OLD Distrib by purpose'!N5&gt;0.0005,'OLD Distrib by purpose'!N5,"*"))</f>
        <v>0.82322848323544295</v>
      </c>
      <c r="O5" s="626">
        <f>IF('OLD Distrib by purpose'!O5&gt;0.0005=0,,IF('OLD Distrib by purpose'!O5&gt;0.0005,'OLD Distrib by purpose'!O5,"*"))</f>
        <v>0.50000000590857474</v>
      </c>
      <c r="P5" s="626">
        <f>IF('OLD Distrib by purpose'!P5&gt;0.0005=0,,IF('OLD Distrib by purpose'!P5&gt;0.0005,'OLD Distrib by purpose'!P5,"*"))</f>
        <v>0.80000330641161344</v>
      </c>
      <c r="Q5" s="626">
        <f>IF('OLD Distrib by purpose'!Q5&gt;0.0005=0,,IF('OLD Distrib by purpose'!Q5&gt;0.0005,'OLD Distrib by purpose'!Q5,"*"))</f>
        <v>0.73305939187095681</v>
      </c>
      <c r="R5" s="626">
        <f>IF('OLD Distrib by purpose'!R5&gt;0.0005=0,,IF('OLD Distrib by purpose'!R5&gt;0.0005,'OLD Distrib by purpose'!R5,"*"))</f>
        <v>0.79389734355575681</v>
      </c>
      <c r="S5" s="626">
        <f>IF('OLD Distrib by purpose'!S5&gt;0.0005=0,,IF('OLD Distrib by purpose'!S5&gt;0.0005,'OLD Distrib by purpose'!S5,"*"))</f>
        <v>0.84740141279084769</v>
      </c>
      <c r="T5" s="626">
        <f>IF('OLD Distrib by purpose'!T5&gt;0.0005=0,,IF('OLD Distrib by purpose'!T5&gt;0.0005,'OLD Distrib by purpose'!T5,"*"))</f>
        <v>0.70572741011079021</v>
      </c>
    </row>
    <row r="6" spans="1:20" ht="37.5" customHeight="1">
      <c r="A6" s="1217"/>
      <c r="B6" s="622" t="s">
        <v>1037</v>
      </c>
      <c r="C6" s="623" t="s">
        <v>67</v>
      </c>
      <c r="D6" s="624">
        <f>IF('OLD Distrib by purpose'!D6&gt;0.0005=0,,IF('OLD Distrib by purpose'!D6&gt;0.0005,'OLD Distrib by purpose'!D6,"*"))</f>
        <v>1.9392498887324375E-2</v>
      </c>
      <c r="E6" s="627">
        <f>IF('OLD Distrib by purpose'!E6&gt;0.0005=0,,IF('OLD Distrib by purpose'!E6&gt;0.0005,'OLD Distrib by purpose'!E6,"*"))</f>
        <v>2.1300409826176717E-2</v>
      </c>
      <c r="F6" s="628">
        <f>IF('OLD Distrib by purpose'!F6&gt;0.0005=0,,IF('OLD Distrib by purpose'!F6&gt;0.0005,'OLD Distrib by purpose'!F6,"*"))</f>
        <v>1.5924506271222223E-2</v>
      </c>
      <c r="G6" s="628">
        <f>IF('OLD Distrib by purpose'!G6&gt;0.0005=0,,IF('OLD Distrib by purpose'!G6&gt;0.0005,'OLD Distrib by purpose'!G6,"*"))</f>
        <v>6.9951201800478521E-3</v>
      </c>
      <c r="H6" s="628" t="str">
        <f>IF('OLD Distrib by purpose'!H6&gt;0.0005=0,,IF('OLD Distrib by purpose'!H6&gt;0.0005,'OLD Distrib by purpose'!H6,"*"))</f>
        <v>*</v>
      </c>
      <c r="I6" s="628">
        <f>IF('OLD Distrib by purpose'!I6&gt;0.0005=0,,IF('OLD Distrib by purpose'!I6&gt;0.0005,'OLD Distrib by purpose'!I6,"*"))</f>
        <v>1.8488770458092128E-2</v>
      </c>
      <c r="J6" s="628">
        <f>IF('OLD Distrib by purpose'!J6&gt;0.0005=0,,IF('OLD Distrib by purpose'!J6&gt;0.0005,'OLD Distrib by purpose'!J6,"*"))</f>
        <v>3.4996338321736369E-2</v>
      </c>
      <c r="K6" s="628">
        <f>IF('OLD Distrib by purpose'!K6&gt;0.0005=0,,IF('OLD Distrib by purpose'!K6&gt;0.0005,'OLD Distrib by purpose'!K6,"*"))</f>
        <v>2.9020971718397931E-2</v>
      </c>
      <c r="L6" s="628">
        <f>IF('OLD Distrib by purpose'!L6&gt;0.0005=0,,IF('OLD Distrib by purpose'!L6&gt;0.0005,'OLD Distrib by purpose'!L6,"*"))</f>
        <v>1.341168801795355E-2</v>
      </c>
      <c r="M6" s="628">
        <f>IF('OLD Distrib by purpose'!M6&gt;0.0005=0,,IF('OLD Distrib by purpose'!M6&gt;0.0005,'OLD Distrib by purpose'!M6,"*"))</f>
        <v>5.7855306386892714E-2</v>
      </c>
      <c r="N6" s="628">
        <f>IF('OLD Distrib by purpose'!N6&gt;0.0005=0,,IF('OLD Distrib by purpose'!N6&gt;0.0005,'OLD Distrib by purpose'!N6,"*"))</f>
        <v>1.6250134058542517E-2</v>
      </c>
      <c r="O6" s="628" t="str">
        <f>IF('OLD Distrib by purpose'!O6&gt;0.0005=0,,IF('OLD Distrib by purpose'!O6&gt;0.0005,'OLD Distrib by purpose'!O6,"*"))</f>
        <v>*</v>
      </c>
      <c r="P6" s="628">
        <f>IF('OLD Distrib by purpose'!P6&gt;0.0005=0,,IF('OLD Distrib by purpose'!P6&gt;0.0005,'OLD Distrib by purpose'!P6,"*"))</f>
        <v>2.4952330263629953E-2</v>
      </c>
      <c r="Q6" s="628">
        <f>IF('OLD Distrib by purpose'!Q6&gt;0.0005=0,,IF('OLD Distrib by purpose'!Q6&gt;0.0005,'OLD Distrib by purpose'!Q6,"*"))</f>
        <v>2.4738480601733052E-2</v>
      </c>
      <c r="R6" s="628">
        <f>IF('OLD Distrib by purpose'!R6&gt;0.0005=0,,IF('OLD Distrib by purpose'!R6&gt;0.0005,'OLD Distrib by purpose'!R6,"*"))</f>
        <v>1.5578054781239114E-2</v>
      </c>
      <c r="S6" s="628">
        <f>IF('OLD Distrib by purpose'!S6&gt;0.0005=0,,IF('OLD Distrib by purpose'!S6&gt;0.0005,'OLD Distrib by purpose'!S6,"*"))</f>
        <v>1.6610113911522555E-2</v>
      </c>
      <c r="T6" s="628">
        <f>IF('OLD Distrib by purpose'!T6&gt;0.0005=0,,IF('OLD Distrib by purpose'!T6&gt;0.0005,'OLD Distrib by purpose'!T6,"*"))</f>
        <v>3.0082307900833251E-2</v>
      </c>
    </row>
    <row r="7" spans="1:20" ht="21">
      <c r="A7" s="1217"/>
      <c r="B7" s="629" t="s">
        <v>1022</v>
      </c>
      <c r="C7" s="630">
        <f>+D6+D5</f>
        <v>0.81855090872398117</v>
      </c>
      <c r="D7" s="631">
        <f>+D6+D5</f>
        <v>0.81855090872398117</v>
      </c>
      <c r="E7" s="632">
        <f t="shared" ref="E7:T7" si="0">+E6+E5</f>
        <v>0.8168636278644833</v>
      </c>
      <c r="F7" s="628">
        <f t="shared" si="0"/>
        <v>0.8123248927662674</v>
      </c>
      <c r="G7" s="628">
        <f t="shared" si="0"/>
        <v>0.97820814485584473</v>
      </c>
      <c r="H7" s="628">
        <f>H5</f>
        <v>0.99883035185824254</v>
      </c>
      <c r="I7" s="628">
        <f t="shared" si="0"/>
        <v>0.77999837958399931</v>
      </c>
      <c r="J7" s="628">
        <f t="shared" si="0"/>
        <v>0.83313987363270603</v>
      </c>
      <c r="K7" s="628">
        <f t="shared" si="0"/>
        <v>0.75634724559552025</v>
      </c>
      <c r="L7" s="628">
        <f t="shared" si="0"/>
        <v>0.77416061254090041</v>
      </c>
      <c r="M7" s="628">
        <f t="shared" si="0"/>
        <v>0.94528749064870521</v>
      </c>
      <c r="N7" s="628">
        <f t="shared" si="0"/>
        <v>0.83947861729398543</v>
      </c>
      <c r="O7" s="628">
        <f>O5</f>
        <v>0.50000000590857474</v>
      </c>
      <c r="P7" s="628">
        <f t="shared" si="0"/>
        <v>0.82495563667524341</v>
      </c>
      <c r="Q7" s="628">
        <f t="shared" si="0"/>
        <v>0.75779787247268982</v>
      </c>
      <c r="R7" s="628">
        <f t="shared" si="0"/>
        <v>0.80947539833699589</v>
      </c>
      <c r="S7" s="628">
        <f t="shared" si="0"/>
        <v>0.86401152670237025</v>
      </c>
      <c r="T7" s="628">
        <f t="shared" si="0"/>
        <v>0.73580971801162343</v>
      </c>
    </row>
    <row r="8" spans="1:20" ht="35.25" customHeight="1">
      <c r="A8" s="1217"/>
      <c r="B8" s="633" t="s">
        <v>741</v>
      </c>
      <c r="C8" s="634" t="s">
        <v>118</v>
      </c>
      <c r="D8" s="635">
        <f>IF('OLD Distrib by purpose'!D15&gt;0.0005=0,,IF('OLD Distrib by purpose'!D15&gt;0.0005,'OLD Distrib by purpose'!D15,"*"))</f>
        <v>1.0102133924565836E-2</v>
      </c>
      <c r="E8" s="636">
        <f>IF('OLD Distrib by purpose'!E15&gt;0.0005=0,,IF('OLD Distrib by purpose'!E15&gt;0.0005,'OLD Distrib by purpose'!E15,"*"))</f>
        <v>1.6294100708607491E-2</v>
      </c>
      <c r="F8" s="637">
        <f>IF('OLD Distrib by purpose'!F15&gt;0.0005=0,,IF('OLD Distrib by purpose'!F15&gt;0.0005,'OLD Distrib by purpose'!F15,"*"))</f>
        <v>3.8754940603446648E-2</v>
      </c>
      <c r="G8" s="637" t="str">
        <f>IF('OLD Distrib by purpose'!G15&gt;0.0005=0,,IF('OLD Distrib by purpose'!G15&gt;0.0005,'OLD Distrib by purpose'!G15,"*"))</f>
        <v>*</v>
      </c>
      <c r="H8" s="637" t="str">
        <f>IF('OLD Distrib by purpose'!H15&gt;0.0005=0,,IF('OLD Distrib by purpose'!H15&gt;0.0005,'OLD Distrib by purpose'!H15,"*"))</f>
        <v>*</v>
      </c>
      <c r="I8" s="637">
        <f>IF('OLD Distrib by purpose'!I15&gt;0.0005=0,,IF('OLD Distrib by purpose'!I15&gt;0.0005,'OLD Distrib by purpose'!I15,"*"))</f>
        <v>6.995005983880487E-3</v>
      </c>
      <c r="J8" s="637">
        <f>IF('OLD Distrib by purpose'!J15&gt;0.0005=0,,IF('OLD Distrib by purpose'!J15&gt;0.0005,'OLD Distrib by purpose'!J15,"*"))</f>
        <v>3.2759881313779906E-3</v>
      </c>
      <c r="K8" s="637">
        <f>IF('OLD Distrib by purpose'!K15&gt;0.0005=0,,IF('OLD Distrib by purpose'!K15&gt;0.0005,'OLD Distrib by purpose'!K15,"*"))</f>
        <v>7.4578408803967844E-3</v>
      </c>
      <c r="L8" s="637" t="str">
        <f>IF('OLD Distrib by purpose'!L15&gt;0.0005=0,,IF('OLD Distrib by purpose'!L15&gt;0.0005,'OLD Distrib by purpose'!L15,"*"))</f>
        <v>*</v>
      </c>
      <c r="M8" s="637" t="str">
        <f>IF('OLD Distrib by purpose'!M15&gt;0.0005=0,,IF('OLD Distrib by purpose'!M15&gt;0.0005,'OLD Distrib by purpose'!M15,"*"))</f>
        <v>*</v>
      </c>
      <c r="N8" s="637">
        <f>IF('OLD Distrib by purpose'!N15&gt;0.0005=0,,IF('OLD Distrib by purpose'!N15&gt;0.0005,'OLD Distrib by purpose'!N15,"*"))</f>
        <v>3.6061888212728037E-2</v>
      </c>
      <c r="O8" s="637" t="str">
        <f>IF('OLD Distrib by purpose'!O15&gt;0.0005=0,,IF('OLD Distrib by purpose'!O15&gt;0.0005,'OLD Distrib by purpose'!O15,"*"))</f>
        <v>*</v>
      </c>
      <c r="P8" s="637" t="str">
        <f>IF('OLD Distrib by purpose'!P15&gt;0.0005=0,,IF('OLD Distrib by purpose'!P15&gt;0.0005,'OLD Distrib by purpose'!P15,"*"))</f>
        <v>*</v>
      </c>
      <c r="Q8" s="637" t="str">
        <f>IF('OLD Distrib by purpose'!Q15&gt;0.0005=0,,IF('OLD Distrib by purpose'!Q15&gt;0.0005,'OLD Distrib by purpose'!Q15,"*"))</f>
        <v>*</v>
      </c>
      <c r="R8" s="637">
        <f>IF('OLD Distrib by purpose'!R15&gt;0.0005=0,,IF('OLD Distrib by purpose'!R15&gt;0.0005,'OLD Distrib by purpose'!R15,"*"))</f>
        <v>9.1690725649680553E-3</v>
      </c>
      <c r="S8" s="637">
        <f>IF('OLD Distrib by purpose'!S15&gt;0.0005=0,,IF('OLD Distrib by purpose'!S15&gt;0.0005,'OLD Distrib by purpose'!S15,"*"))</f>
        <v>1.0565312921732033E-2</v>
      </c>
      <c r="T8" s="637">
        <f>IF('OLD Distrib by purpose'!T15&gt;0.0005=0,,IF('OLD Distrib by purpose'!T15&gt;0.0005,'OLD Distrib by purpose'!T15,"*"))</f>
        <v>3.3664694519743312E-3</v>
      </c>
    </row>
    <row r="9" spans="1:20" ht="33" customHeight="1">
      <c r="A9" s="1218"/>
      <c r="B9" s="638" t="s">
        <v>297</v>
      </c>
      <c r="C9" s="639" t="s">
        <v>132</v>
      </c>
      <c r="D9" s="640">
        <f>IF('OLD Distrib by purpose'!D22&gt;0.0005=0,,IF('OLD Distrib by purpose'!D22&gt;0.0005,'OLD Distrib by purpose'!D22,"*"))</f>
        <v>4.4148364190906564E-3</v>
      </c>
      <c r="E9" s="641" t="str">
        <f>IF('OLD Distrib by purpose'!E22&gt;0.0005=0,,IF('OLD Distrib by purpose'!E22&gt;0.0005,'OLD Distrib by purpose'!E22,"*"))</f>
        <v>*</v>
      </c>
      <c r="F9" s="642" t="str">
        <f>IF('OLD Distrib by purpose'!F22&gt;0.0005=0,,IF('OLD Distrib by purpose'!F22&gt;0.0005,'OLD Distrib by purpose'!F22,"*"))</f>
        <v>*</v>
      </c>
      <c r="G9" s="642">
        <f>IF('OLD Distrib by purpose'!G22&gt;0.0005=0,,IF('OLD Distrib by purpose'!G22&gt;0.0005,'OLD Distrib by purpose'!G22,"*"))</f>
        <v>1.6814241105072639E-3</v>
      </c>
      <c r="H9" s="642" t="str">
        <f>IF('OLD Distrib by purpose'!H22&gt;0.0005=0,,IF('OLD Distrib by purpose'!H22&gt;0.0005,'OLD Distrib by purpose'!H22,"*"))</f>
        <v>*</v>
      </c>
      <c r="I9" s="642">
        <f>IF('OLD Distrib by purpose'!I22&gt;0.0005=0,,IF('OLD Distrib by purpose'!I22&gt;0.0005,'OLD Distrib by purpose'!I22,"*"))</f>
        <v>1.1873863990018737E-2</v>
      </c>
      <c r="J9" s="642">
        <f>IF('OLD Distrib by purpose'!J22&gt;0.0005=0,,IF('OLD Distrib by purpose'!J22&gt;0.0005,'OLD Distrib by purpose'!J22,"*"))</f>
        <v>9.1212283702219316E-3</v>
      </c>
      <c r="K9" s="642">
        <f>IF('OLD Distrib by purpose'!K22&gt;0.0005=0,,IF('OLD Distrib by purpose'!K22&gt;0.0005,'OLD Distrib by purpose'!K22,"*"))</f>
        <v>4.4856788761237776E-3</v>
      </c>
      <c r="L9" s="642">
        <f>IF('OLD Distrib by purpose'!L22&gt;0.0005=0,,IF('OLD Distrib by purpose'!L22&gt;0.0005,'OLD Distrib by purpose'!L22,"*"))</f>
        <v>1.2108142909160544E-3</v>
      </c>
      <c r="M9" s="642" t="str">
        <f>IF('OLD Distrib by purpose'!M22&gt;0.0005=0,,IF('OLD Distrib by purpose'!M22&gt;0.0005,'OLD Distrib by purpose'!M22,"*"))</f>
        <v>*</v>
      </c>
      <c r="N9" s="642">
        <f>IF('OLD Distrib by purpose'!N22&gt;0.0005=0,,IF('OLD Distrib by purpose'!N22&gt;0.0005,'OLD Distrib by purpose'!N22,"*"))</f>
        <v>2.6090170346681936E-3</v>
      </c>
      <c r="O9" s="642" t="str">
        <f>IF('OLD Distrib by purpose'!O22&gt;0.0005=0,,IF('OLD Distrib by purpose'!O22&gt;0.0005,'OLD Distrib by purpose'!O22,"*"))</f>
        <v>*</v>
      </c>
      <c r="P9" s="642">
        <f>IF('OLD Distrib by purpose'!P22&gt;0.0005=0,,IF('OLD Distrib by purpose'!P22&gt;0.0005,'OLD Distrib by purpose'!P22,"*"))</f>
        <v>1.1777497867829674E-3</v>
      </c>
      <c r="Q9" s="642" t="str">
        <f>IF('OLD Distrib by purpose'!Q22&gt;0.0005=0,,IF('OLD Distrib by purpose'!Q22&gt;0.0005,'OLD Distrib by purpose'!Q22,"*"))</f>
        <v>*</v>
      </c>
      <c r="R9" s="642" t="str">
        <f>IF('OLD Distrib by purpose'!R22&gt;0.0005=0,,IF('OLD Distrib by purpose'!R22&gt;0.0005,'OLD Distrib by purpose'!R22,"*"))</f>
        <v>*</v>
      </c>
      <c r="S9" s="642">
        <f>IF('OLD Distrib by purpose'!S22&gt;0.0005=0,,IF('OLD Distrib by purpose'!S22&gt;0.0005,'OLD Distrib by purpose'!S22,"*"))</f>
        <v>2.1272156740619459E-2</v>
      </c>
      <c r="T9" s="642">
        <f>IF('OLD Distrib by purpose'!T22&gt;0.0005=0,,IF('OLD Distrib by purpose'!T22&gt;0.0005,'OLD Distrib by purpose'!T22,"*"))</f>
        <v>7.3772841144940831E-3</v>
      </c>
    </row>
    <row r="10" spans="1:20" ht="24.75" customHeight="1">
      <c r="A10" s="1216" t="s">
        <v>825</v>
      </c>
      <c r="B10" s="643" t="s">
        <v>301</v>
      </c>
      <c r="C10" s="644" t="s">
        <v>138</v>
      </c>
      <c r="D10" s="645">
        <f>IF('OLD Distrib by purpose'!D26&gt;0.0005=0,,IF('OLD Distrib by purpose'!D26&gt;0.0005,'OLD Distrib by purpose'!D26,"*"))</f>
        <v>7.8900195544578059E-3</v>
      </c>
      <c r="E10" s="646">
        <f>IF('OLD Distrib by purpose'!E26&gt;0.0005=0,,IF('OLD Distrib by purpose'!E26&gt;0.0005,'OLD Distrib by purpose'!E26,"*"))</f>
        <v>5.3540843378070378E-3</v>
      </c>
      <c r="F10" s="647">
        <f>IF('OLD Distrib by purpose'!F26&gt;0.0005=0,,IF('OLD Distrib by purpose'!F26&gt;0.0005,'OLD Distrib by purpose'!F26,"*"))</f>
        <v>5.18628662850252E-3</v>
      </c>
      <c r="G10" s="647">
        <f>IF('OLD Distrib by purpose'!G26&gt;0.0005=0,,IF('OLD Distrib by purpose'!G26&gt;0.0005,'OLD Distrib by purpose'!G26,"*"))</f>
        <v>1.2322066597359857E-2</v>
      </c>
      <c r="H10" s="647">
        <f>IF('OLD Distrib by purpose'!H26&gt;0.0005=0,,IF('OLD Distrib by purpose'!H26&gt;0.0005,'OLD Distrib by purpose'!H26,"*"))</f>
        <v>1.1696481417574429E-3</v>
      </c>
      <c r="I10" s="647">
        <f>IF('OLD Distrib by purpose'!I26&gt;0.0005=0,,IF('OLD Distrib by purpose'!I26&gt;0.0005,'OLD Distrib by purpose'!I26,"*"))</f>
        <v>1.7385601338219649E-3</v>
      </c>
      <c r="J10" s="647">
        <f>IF('OLD Distrib by purpose'!J26&gt;0.0005=0,,IF('OLD Distrib by purpose'!J26&gt;0.0005,'OLD Distrib by purpose'!J26,"*"))</f>
        <v>1.0698770250585505E-2</v>
      </c>
      <c r="K10" s="647">
        <f>IF('OLD Distrib by purpose'!K26&gt;0.0005=0,,IF('OLD Distrib by purpose'!K26&gt;0.0005,'OLD Distrib by purpose'!K26,"*"))</f>
        <v>1.6219626969813987E-2</v>
      </c>
      <c r="L10" s="647">
        <f>IF('OLD Distrib by purpose'!L26&gt;0.0005=0,,IF('OLD Distrib by purpose'!L26&gt;0.0005,'OLD Distrib by purpose'!L26,"*"))</f>
        <v>3.9455491564575826E-3</v>
      </c>
      <c r="M10" s="647">
        <f>IF('OLD Distrib by purpose'!M26&gt;0.0005=0,,IF('OLD Distrib by purpose'!M26&gt;0.0005,'OLD Distrib by purpose'!M26,"*"))</f>
        <v>5.3189294423807588E-3</v>
      </c>
      <c r="N10" s="647">
        <f>IF('OLD Distrib by purpose'!N26&gt;0.0005=0,,IF('OLD Distrib by purpose'!N26&gt;0.0005,'OLD Distrib by purpose'!N26,"*"))</f>
        <v>5.1935489124326634E-3</v>
      </c>
      <c r="O10" s="647">
        <f>IF('OLD Distrib by purpose'!O26&gt;0.0005=0,,IF('OLD Distrib by purpose'!O26&gt;0.0005,'OLD Distrib by purpose'!O26,"*"))</f>
        <v>0.49999999409142526</v>
      </c>
      <c r="P10" s="647">
        <f>IF('OLD Distrib by purpose'!P26&gt;0.0005=0,,IF('OLD Distrib by purpose'!P26&gt;0.0005,'OLD Distrib by purpose'!P26,"*"))</f>
        <v>7.0498195093195819E-3</v>
      </c>
      <c r="Q10" s="647">
        <f>IF('OLD Distrib by purpose'!Q26&gt;0.0005=0,,IF('OLD Distrib by purpose'!Q26&gt;0.0005,'OLD Distrib by purpose'!Q26,"*"))</f>
        <v>9.2437308486407882E-3</v>
      </c>
      <c r="R10" s="647">
        <f>IF('OLD Distrib by purpose'!R26&gt;0.0005=0,,IF('OLD Distrib by purpose'!R26&gt;0.0005,'OLD Distrib by purpose'!R26,"*"))</f>
        <v>1.436448451645516E-2</v>
      </c>
      <c r="S10" s="647">
        <f>IF('OLD Distrib by purpose'!S26&gt;0.0005=0,,IF('OLD Distrib by purpose'!S26&gt;0.0005,'OLD Distrib by purpose'!S26,"*"))</f>
        <v>7.5999871333005927E-3</v>
      </c>
      <c r="T10" s="647">
        <f>IF('OLD Distrib by purpose'!T26&gt;0.0005=0,,IF('OLD Distrib by purpose'!T26&gt;0.0005,'OLD Distrib by purpose'!T26,"*"))</f>
        <v>7.0367334271904348E-3</v>
      </c>
    </row>
    <row r="11" spans="1:20" ht="39" customHeight="1">
      <c r="A11" s="1217"/>
      <c r="B11" s="648" t="s">
        <v>1038</v>
      </c>
      <c r="C11" s="634" t="s">
        <v>151</v>
      </c>
      <c r="D11" s="649">
        <f>IF('OLD Distrib by purpose'!D31&gt;0.0005=0,,IF('OLD Distrib by purpose'!D31&gt;0.0005,'OLD Distrib by purpose'!D31,"*"))</f>
        <v>2.9383437034219196E-3</v>
      </c>
      <c r="E11" s="636">
        <f>IF('OLD Distrib by purpose'!E31&gt;0.0005=0,,IF('OLD Distrib by purpose'!E31&gt;0.0005,'OLD Distrib by purpose'!E31,"*"))</f>
        <v>3.5003915268324703E-3</v>
      </c>
      <c r="F11" s="637" t="str">
        <f>IF('OLD Distrib by purpose'!F31&gt;0.0005=0,,IF('OLD Distrib by purpose'!F31&gt;0.0005,'OLD Distrib by purpose'!F31,"*"))</f>
        <v>*</v>
      </c>
      <c r="G11" s="637" t="str">
        <f>IF('OLD Distrib by purpose'!G31&gt;0.0005=0,,IF('OLD Distrib by purpose'!G31&gt;0.0005,'OLD Distrib by purpose'!G31,"*"))</f>
        <v>*</v>
      </c>
      <c r="H11" s="637" t="str">
        <f>IF('OLD Distrib by purpose'!H31&gt;0.0005=0,,IF('OLD Distrib by purpose'!H31&gt;0.0005,'OLD Distrib by purpose'!H31,"*"))</f>
        <v>*</v>
      </c>
      <c r="I11" s="637">
        <f>IF('OLD Distrib by purpose'!I31&gt;0.0005=0,,IF('OLD Distrib by purpose'!I31&gt;0.0005,'OLD Distrib by purpose'!I31,"*"))</f>
        <v>9.5915739724233805E-3</v>
      </c>
      <c r="J11" s="637" t="str">
        <f>IF('OLD Distrib by purpose'!J31&gt;0.0005=0,,IF('OLD Distrib by purpose'!J31&gt;0.0005,'OLD Distrib by purpose'!J31,"*"))</f>
        <v>*</v>
      </c>
      <c r="K11" s="637" t="str">
        <f>IF('OLD Distrib by purpose'!K31&gt;0.0005=0,,IF('OLD Distrib by purpose'!K31&gt;0.0005,'OLD Distrib by purpose'!K31,"*"))</f>
        <v>*</v>
      </c>
      <c r="L11" s="637">
        <f>IF('OLD Distrib by purpose'!L31&gt;0.0005=0,,IF('OLD Distrib by purpose'!L31&gt;0.0005,'OLD Distrib by purpose'!L31,"*"))</f>
        <v>1.1911366415660412E-2</v>
      </c>
      <c r="M11" s="637" t="str">
        <f>IF('OLD Distrib by purpose'!M31&gt;0.0005=0,,IF('OLD Distrib by purpose'!M31&gt;0.0005,'OLD Distrib by purpose'!M31,"*"))</f>
        <v>*</v>
      </c>
      <c r="N11" s="637" t="str">
        <f>IF('OLD Distrib by purpose'!N31&gt;0.0005=0,,IF('OLD Distrib by purpose'!N31&gt;0.0005,'OLD Distrib by purpose'!N31,"*"))</f>
        <v>*</v>
      </c>
      <c r="O11" s="637" t="str">
        <f>IF('OLD Distrib by purpose'!O31&gt;0.0005=0,,IF('OLD Distrib by purpose'!O31&gt;0.0005,'OLD Distrib by purpose'!O31,"*"))</f>
        <v>*</v>
      </c>
      <c r="P11" s="637">
        <f>IF('OLD Distrib by purpose'!P31&gt;0.0005=0,,IF('OLD Distrib by purpose'!P31&gt;0.0005,'OLD Distrib by purpose'!P31,"*"))</f>
        <v>2.1771345469869408E-3</v>
      </c>
      <c r="Q11" s="637" t="str">
        <f>IF('OLD Distrib by purpose'!Q31&gt;0.0005=0,,IF('OLD Distrib by purpose'!Q31&gt;0.0005,'OLD Distrib by purpose'!Q31,"*"))</f>
        <v>*</v>
      </c>
      <c r="R11" s="637">
        <f>IF('OLD Distrib by purpose'!R31&gt;0.0005=0,,IF('OLD Distrib by purpose'!R31&gt;0.0005,'OLD Distrib by purpose'!R31,"*"))</f>
        <v>3.0999578967137293E-3</v>
      </c>
      <c r="S11" s="637" t="str">
        <f>IF('OLD Distrib by purpose'!S31&gt;0.0005=0,,IF('OLD Distrib by purpose'!S31&gt;0.0005,'OLD Distrib by purpose'!S31,"*"))</f>
        <v>*</v>
      </c>
      <c r="T11" s="637" t="str">
        <f>IF('OLD Distrib by purpose'!T31&gt;0.0005=0,,IF('OLD Distrib by purpose'!T31&gt;0.0005,'OLD Distrib by purpose'!T31,"*"))</f>
        <v>*</v>
      </c>
    </row>
    <row r="12" spans="1:20" ht="25.5" customHeight="1">
      <c r="A12" s="1217"/>
      <c r="B12" s="648" t="s">
        <v>307</v>
      </c>
      <c r="C12" s="634" t="s">
        <v>248</v>
      </c>
      <c r="D12" s="650" t="str">
        <f>IF('OLD Distrib by purpose'!D32&gt;0.0005=0,,IF('OLD Distrib by purpose'!D32&gt;0.0005,'OLD Distrib by purpose'!D32,"*"))</f>
        <v>*</v>
      </c>
      <c r="E12" s="595" t="str">
        <f>IF('OLD Distrib by purpose'!E32&gt;0.0005=0,,IF('OLD Distrib by purpose'!E32&gt;0.0005,'OLD Distrib by purpose'!E32,"*"))</f>
        <v>*</v>
      </c>
      <c r="F12" s="651">
        <f>IF('OLD Distrib by purpose'!F32&gt;0.0005=0,,IF('OLD Distrib by purpose'!F32&gt;0.0005,'OLD Distrib by purpose'!F32,"*"))</f>
        <v>1.9902596250232262E-3</v>
      </c>
      <c r="G12" s="651">
        <f>IF('OLD Distrib by purpose'!G32&gt;0.0005=0,,IF('OLD Distrib by purpose'!G32&gt;0.0005,'OLD Distrib by purpose'!G32,"*"))</f>
        <v>2.5224757689917099E-3</v>
      </c>
      <c r="H12" s="651" t="str">
        <f>IF('OLD Distrib by purpose'!H32&gt;0.0005=0,,IF('OLD Distrib by purpose'!H32&gt;0.0005,'OLD Distrib by purpose'!H32,"*"))</f>
        <v>*</v>
      </c>
      <c r="I12" s="651">
        <f>IF('OLD Distrib by purpose'!I32&gt;0.0005=0,,IF('OLD Distrib by purpose'!I32&gt;0.0005,'OLD Distrib by purpose'!I32,"*"))</f>
        <v>6.0294097392096725E-4</v>
      </c>
      <c r="J12" s="651">
        <f>IF('OLD Distrib by purpose'!J32&gt;0.0005=0,,IF('OLD Distrib by purpose'!J32&gt;0.0005,'OLD Distrib by purpose'!J32,"*"))</f>
        <v>1.6458329957226995E-3</v>
      </c>
      <c r="K12" s="651" t="str">
        <f>IF('OLD Distrib by purpose'!K32&gt;0.0005=0,,IF('OLD Distrib by purpose'!K32&gt;0.0005,'OLD Distrib by purpose'!K32,"*"))</f>
        <v>*</v>
      </c>
      <c r="L12" s="651" t="str">
        <f>IF('OLD Distrib by purpose'!L32&gt;0.0005=0,,IF('OLD Distrib by purpose'!L32&gt;0.0005,'OLD Distrib by purpose'!L32,"*"))</f>
        <v>*</v>
      </c>
      <c r="M12" s="651" t="str">
        <f>IF('OLD Distrib by purpose'!M32&gt;0.0005=0,,IF('OLD Distrib by purpose'!M32&gt;0.0005,'OLD Distrib by purpose'!M32,"*"))</f>
        <v>*</v>
      </c>
      <c r="N12" s="651" t="str">
        <f>IF('OLD Distrib by purpose'!N32&gt;0.0005=0,,IF('OLD Distrib by purpose'!N32&gt;0.0005,'OLD Distrib by purpose'!N32,"*"))</f>
        <v>*</v>
      </c>
      <c r="O12" s="651" t="str">
        <f>IF('OLD Distrib by purpose'!O32&gt;0.0005=0,,IF('OLD Distrib by purpose'!O32&gt;0.0005,'OLD Distrib by purpose'!O32,"*"))</f>
        <v>*</v>
      </c>
      <c r="P12" s="651">
        <f>IF('OLD Distrib by purpose'!P32&gt;0.0005=0,,IF('OLD Distrib by purpose'!P32&gt;0.0005,'OLD Distrib by purpose'!P32,"*"))</f>
        <v>8.1420897476804988E-4</v>
      </c>
      <c r="Q12" s="651">
        <f>IF('OLD Distrib by purpose'!Q32&gt;0.0005=0,,IF('OLD Distrib by purpose'!Q32&gt;0.0005,'OLD Distrib by purpose'!Q32,"*"))</f>
        <v>5.4359353545732007E-4</v>
      </c>
      <c r="R12" s="651" t="str">
        <f>IF('OLD Distrib by purpose'!R32&gt;0.0005=0,,IF('OLD Distrib by purpose'!R32&gt;0.0005,'OLD Distrib by purpose'!R32,"*"))</f>
        <v>*</v>
      </c>
      <c r="S12" s="651" t="str">
        <f>IF('OLD Distrib by purpose'!S32&gt;0.0005=0,,IF('OLD Distrib by purpose'!S32&gt;0.0005,'OLD Distrib by purpose'!S32,"*"))</f>
        <v>*</v>
      </c>
      <c r="T12" s="651">
        <f>IF('OLD Distrib by purpose'!T32&gt;0.0005=0,,IF('OLD Distrib by purpose'!T32&gt;0.0005,'OLD Distrib by purpose'!T32,"*"))</f>
        <v>8.8865296539545843E-4</v>
      </c>
    </row>
    <row r="13" spans="1:20" ht="42" customHeight="1">
      <c r="A13" s="1217"/>
      <c r="B13" s="648" t="s">
        <v>311</v>
      </c>
      <c r="C13" s="634" t="s">
        <v>159</v>
      </c>
      <c r="D13" s="649">
        <f>IF('OLD Distrib by purpose'!D36&gt;0.0005=0,,IF('OLD Distrib by purpose'!D36&gt;0.0005,'OLD Distrib by purpose'!D36,"*"))</f>
        <v>6.1632364067181297E-2</v>
      </c>
      <c r="E13" s="636">
        <f>IF('OLD Distrib by purpose'!E36&gt;0.0005=0,,IF('OLD Distrib by purpose'!E36&gt;0.0005,'OLD Distrib by purpose'!E36,"*"))</f>
        <v>2.2652106184854096E-2</v>
      </c>
      <c r="F13" s="637">
        <f>IF('OLD Distrib by purpose'!F36&gt;0.0005=0,,IF('OLD Distrib by purpose'!F36&gt;0.0005,'OLD Distrib by purpose'!F36,"*"))</f>
        <v>5.9730334154548842E-2</v>
      </c>
      <c r="G13" s="637">
        <f>IF('OLD Distrib by purpose'!G36&gt;0.0005=0,,IF('OLD Distrib by purpose'!G36&gt;0.0005,'OLD Distrib by purpose'!G36,"*"))</f>
        <v>3.9515610948749561E-3</v>
      </c>
      <c r="H13" s="637" t="str">
        <f>IF('OLD Distrib by purpose'!H36&gt;0.0005=0,,IF('OLD Distrib by purpose'!H36&gt;0.0005,'OLD Distrib by purpose'!H36,"*"))</f>
        <v>*</v>
      </c>
      <c r="I13" s="637">
        <f>IF('OLD Distrib by purpose'!I36&gt;0.0005=0,,IF('OLD Distrib by purpose'!I36&gt;0.0005,'OLD Distrib by purpose'!I36,"*"))</f>
        <v>0.11926638000160616</v>
      </c>
      <c r="J13" s="637">
        <f>IF('OLD Distrib by purpose'!J36&gt;0.0005=0,,IF('OLD Distrib by purpose'!J36&gt;0.0005,'OLD Distrib by purpose'!J36,"*"))</f>
        <v>8.4190142793118677E-2</v>
      </c>
      <c r="K13" s="637">
        <f>IF('OLD Distrib by purpose'!K36&gt;0.0005=0,,IF('OLD Distrib by purpose'!K36&gt;0.0005,'OLD Distrib by purpose'!K36,"*"))</f>
        <v>0.12617760375724585</v>
      </c>
      <c r="L13" s="637">
        <f>IF('OLD Distrib by purpose'!L36&gt;0.0005=0,,IF('OLD Distrib by purpose'!L36&gt;0.0005,'OLD Distrib by purpose'!L36,"*"))</f>
        <v>4.4112737229428253E-2</v>
      </c>
      <c r="M13" s="637">
        <f>IF('OLD Distrib by purpose'!M36&gt;0.0005=0,,IF('OLD Distrib by purpose'!M36&gt;0.0005,'OLD Distrib by purpose'!M36,"*"))</f>
        <v>2.8050678372025847E-2</v>
      </c>
      <c r="N13" s="637">
        <f>IF('OLD Distrib by purpose'!N36&gt;0.0005=0,,IF('OLD Distrib by purpose'!N36&gt;0.0005,'OLD Distrib by purpose'!N36,"*"))</f>
        <v>3.7425687622391707E-2</v>
      </c>
      <c r="O13" s="637" t="str">
        <f>IF('OLD Distrib by purpose'!O36&gt;0.0005=0,,IF('OLD Distrib by purpose'!O36&gt;0.0005,'OLD Distrib by purpose'!O36,"*"))</f>
        <v>*</v>
      </c>
      <c r="P13" s="637">
        <f>IF('OLD Distrib by purpose'!P36&gt;0.0005=0,,IF('OLD Distrib by purpose'!P36&gt;0.0005,'OLD Distrib by purpose'!P36,"*"))</f>
        <v>0.11113708397651617</v>
      </c>
      <c r="Q13" s="637">
        <f>IF('OLD Distrib by purpose'!Q36&gt;0.0005=0,,IF('OLD Distrib by purpose'!Q36&gt;0.0005,'OLD Distrib by purpose'!Q36,"*"))</f>
        <v>0.1361202571980844</v>
      </c>
      <c r="R13" s="637">
        <f>IF('OLD Distrib by purpose'!R36&gt;0.0005=0,,IF('OLD Distrib by purpose'!R36&gt;0.0005,'OLD Distrib by purpose'!R36,"*"))</f>
        <v>3.845345720599621E-2</v>
      </c>
      <c r="S13" s="637">
        <f>IF('OLD Distrib by purpose'!S36&gt;0.0005=0,,IF('OLD Distrib by purpose'!S36&gt;0.0005,'OLD Distrib by purpose'!S36,"*"))</f>
        <v>5.2972476705025515E-2</v>
      </c>
      <c r="T13" s="637">
        <f>IF('OLD Distrib by purpose'!T36&gt;0.0005=0,,IF('OLD Distrib by purpose'!T36&gt;0.0005,'OLD Distrib by purpose'!T36,"*"))</f>
        <v>7.4838127233831472E-2</v>
      </c>
    </row>
    <row r="14" spans="1:20" ht="36" customHeight="1">
      <c r="A14" s="1219"/>
      <c r="B14" s="622" t="s">
        <v>1030</v>
      </c>
      <c r="C14" s="634" t="s">
        <v>64</v>
      </c>
      <c r="D14" s="649">
        <f>IF('OLD Distrib by purpose'!D52&gt;0.0005=0,,IF('OLD Distrib by purpose'!D52&gt;0.0005,'OLD Distrib by purpose'!D52,"*"))</f>
        <v>6.0602153440024162E-2</v>
      </c>
      <c r="E14" s="636">
        <f>IF('OLD Distrib by purpose'!E52&gt;0.0005=0,,IF('OLD Distrib by purpose'!E52&gt;0.0005,'OLD Distrib by purpose'!E52,"*"))</f>
        <v>0.13148504045746884</v>
      </c>
      <c r="F14" s="637" t="str">
        <f>IF('OLD Distrib by purpose'!F52&gt;0.0005=0,,IF('OLD Distrib by purpose'!F52&gt;0.0005,'OLD Distrib by purpose'!F52,"*"))</f>
        <v>*</v>
      </c>
      <c r="G14" s="637" t="str">
        <f>IF('OLD Distrib by purpose'!G52&gt;0.0005=0,,IF('OLD Distrib by purpose'!G52&gt;0.0005,'OLD Distrib by purpose'!G52,"*"))</f>
        <v>*</v>
      </c>
      <c r="H14" s="637" t="str">
        <f>IF('OLD Distrib by purpose'!H52&gt;0.0005=0,,IF('OLD Distrib by purpose'!H52&gt;0.0005,'OLD Distrib by purpose'!H52,"*"))</f>
        <v>*</v>
      </c>
      <c r="I14" s="637">
        <f>IF('OLD Distrib by purpose'!I52&gt;0.0005=0,,IF('OLD Distrib by purpose'!I52&gt;0.0005,'OLD Distrib by purpose'!I52,"*"))</f>
        <v>5.1791844782072161E-2</v>
      </c>
      <c r="J14" s="637">
        <f>IF('OLD Distrib by purpose'!J52&gt;0.0005=0,,IF('OLD Distrib by purpose'!J52&gt;0.0005,'OLD Distrib by purpose'!J52,"*"))</f>
        <v>5.7427408525666503E-2</v>
      </c>
      <c r="K14" s="637" t="str">
        <f>IF('OLD Distrib by purpose'!K52&gt;0.0005=0,,IF('OLD Distrib by purpose'!K52&gt;0.0005,'OLD Distrib by purpose'!K52,"*"))</f>
        <v>*</v>
      </c>
      <c r="L14" s="637" t="str">
        <f>IF('OLD Distrib by purpose'!L52&gt;0.0005=0,,IF('OLD Distrib by purpose'!L52&gt;0.0005,'OLD Distrib by purpose'!L52,"*"))</f>
        <v>*</v>
      </c>
      <c r="M14" s="637">
        <f>IF('OLD Distrib by purpose'!M52&gt;0.0005=0,,IF('OLD Distrib by purpose'!M52&gt;0.0005,'OLD Distrib by purpose'!M52,"*"))</f>
        <v>2.0382867442814416E-2</v>
      </c>
      <c r="N14" s="637">
        <f>IF('OLD Distrib by purpose'!N52&gt;0.0005=0,,IF('OLD Distrib by purpose'!N52&gt;0.0005,'OLD Distrib by purpose'!N52,"*"))</f>
        <v>7.1537522956981972E-2</v>
      </c>
      <c r="O14" s="637" t="str">
        <f>IF('OLD Distrib by purpose'!O52&gt;0.0005=0,,IF('OLD Distrib by purpose'!O52&gt;0.0005,'OLD Distrib by purpose'!O52,"*"))</f>
        <v>*</v>
      </c>
      <c r="P14" s="637">
        <f>IF('OLD Distrib by purpose'!P52&gt;0.0005=0,,IF('OLD Distrib by purpose'!P52&gt;0.0005,'OLD Distrib by purpose'!P52,"*"))</f>
        <v>5.0078902638078715E-3</v>
      </c>
      <c r="Q14" s="637">
        <f>IF('OLD Distrib by purpose'!Q52&gt;0.0005=0,,IF('OLD Distrib by purpose'!Q52&gt;0.0005,'OLD Distrib by purpose'!Q52,"*"))</f>
        <v>1.7254420097102464E-2</v>
      </c>
      <c r="R14" s="637">
        <f>IF('OLD Distrib by purpose'!R52&gt;0.0005=0,,IF('OLD Distrib by purpose'!R52&gt;0.0005,'OLD Distrib by purpose'!R52,"*"))</f>
        <v>0.12189780230427899</v>
      </c>
      <c r="S14" s="637">
        <f>IF('OLD Distrib by purpose'!S52&gt;0.0005=0,,IF('OLD Distrib by purpose'!S52&gt;0.0005,'OLD Distrib by purpose'!S52,"*"))</f>
        <v>3.2795271878102418E-2</v>
      </c>
      <c r="T14" s="637">
        <f>IF('OLD Distrib by purpose'!T52&gt;0.0005=0,,IF('OLD Distrib by purpose'!T52&gt;0.0005,'OLD Distrib by purpose'!T52,"*"))</f>
        <v>0.13748483479354254</v>
      </c>
    </row>
    <row r="15" spans="1:20" ht="37.5" customHeight="1">
      <c r="A15" s="1219"/>
      <c r="B15" s="622" t="s">
        <v>1031</v>
      </c>
      <c r="C15" s="634" t="s">
        <v>238</v>
      </c>
      <c r="D15" s="649">
        <f>IF('OLD Distrib by purpose'!D53&gt;0.0005=0,,IF('OLD Distrib by purpose'!D53&gt;0.0005,'OLD Distrib by purpose'!D53,"*"))</f>
        <v>2.008051782088726E-2</v>
      </c>
      <c r="E15" s="636" t="str">
        <f>IF('OLD Distrib by purpose'!E53&gt;0.0005=0,,IF('OLD Distrib by purpose'!E53&gt;0.0005,'OLD Distrib by purpose'!E53,"*"))</f>
        <v>*</v>
      </c>
      <c r="F15" s="637">
        <f>IF('OLD Distrib by purpose'!F53&gt;0.0005=0,,IF('OLD Distrib by purpose'!F53&gt;0.0005,'OLD Distrib by purpose'!F53,"*"))</f>
        <v>8.0950345935660264E-2</v>
      </c>
      <c r="G15" s="637" t="str">
        <f>IF('OLD Distrib by purpose'!G53&gt;0.0005=0,,IF('OLD Distrib by purpose'!G53&gt;0.0005,'OLD Distrib by purpose'!G53,"*"))</f>
        <v>*</v>
      </c>
      <c r="H15" s="637" t="str">
        <f>IF('OLD Distrib by purpose'!H53&gt;0.0005=0,,IF('OLD Distrib by purpose'!H53&gt;0.0005,'OLD Distrib by purpose'!H53,"*"))</f>
        <v>*</v>
      </c>
      <c r="I15" s="637" t="str">
        <f>IF('OLD Distrib by purpose'!I53&gt;0.0005=0,,IF('OLD Distrib by purpose'!I53&gt;0.0005,'OLD Distrib by purpose'!I53,"*"))</f>
        <v>*</v>
      </c>
      <c r="J15" s="637" t="str">
        <f>IF('OLD Distrib by purpose'!J53&gt;0.0005=0,,IF('OLD Distrib by purpose'!J53&gt;0.0005,'OLD Distrib by purpose'!J53,"*"))</f>
        <v>*</v>
      </c>
      <c r="K15" s="637">
        <f>IF('OLD Distrib by purpose'!K53&gt;0.0005=0,,IF('OLD Distrib by purpose'!K53&gt;0.0005,'OLD Distrib by purpose'!K53,"*"))</f>
        <v>8.8680916535725726E-2</v>
      </c>
      <c r="L15" s="637">
        <f>IF('OLD Distrib by purpose'!L53&gt;0.0005=0,,IF('OLD Distrib by purpose'!L53&gt;0.0005,'OLD Distrib by purpose'!L53,"*"))</f>
        <v>8.3653517091606955E-2</v>
      </c>
      <c r="M15" s="637" t="str">
        <f>IF('OLD Distrib by purpose'!M53&gt;0.0005=0,,IF('OLD Distrib by purpose'!M53&gt;0.0005,'OLD Distrib by purpose'!M53,"*"))</f>
        <v>*</v>
      </c>
      <c r="N15" s="637" t="str">
        <f>IF('OLD Distrib by purpose'!N53&gt;0.0005=0,,IF('OLD Distrib by purpose'!N53&gt;0.0005,'OLD Distrib by purpose'!N53,"*"))</f>
        <v>*</v>
      </c>
      <c r="O15" s="637" t="str">
        <f>IF('OLD Distrib by purpose'!O53&gt;0.0005=0,,IF('OLD Distrib by purpose'!O53&gt;0.0005,'OLD Distrib by purpose'!O53,"*"))</f>
        <v>*</v>
      </c>
      <c r="P15" s="637">
        <f>IF('OLD Distrib by purpose'!P53&gt;0.0005=0,,IF('OLD Distrib by purpose'!P53&gt;0.0005,'OLD Distrib by purpose'!P53,"*"))</f>
        <v>4.7073899302026267E-2</v>
      </c>
      <c r="Q15" s="637">
        <f>IF('OLD Distrib by purpose'!Q53&gt;0.0005=0,,IF('OLD Distrib by purpose'!Q53&gt;0.0005,'OLD Distrib by purpose'!Q53,"*"))</f>
        <v>7.5797690037161775E-2</v>
      </c>
      <c r="R15" s="637" t="str">
        <f>IF('OLD Distrib by purpose'!R53&gt;0.0005=0,,IF('OLD Distrib by purpose'!R53&gt;0.0005,'OLD Distrib by purpose'!R53,"*"))</f>
        <v>*</v>
      </c>
      <c r="S15" s="637" t="str">
        <f>IF('OLD Distrib by purpose'!S53&gt;0.0005=0,,IF('OLD Distrib by purpose'!S53&gt;0.0005,'OLD Distrib by purpose'!S53,"*"))</f>
        <v>*</v>
      </c>
      <c r="T15" s="637">
        <f>IF('OLD Distrib by purpose'!T53&gt;0.0005=0,,IF('OLD Distrib by purpose'!T53&gt;0.0005,'OLD Distrib by purpose'!T53,"*"))</f>
        <v>3.3028383395854483E-2</v>
      </c>
    </row>
    <row r="16" spans="1:20" ht="45.75" customHeight="1">
      <c r="A16" s="1218"/>
      <c r="B16" s="652" t="s">
        <v>826</v>
      </c>
      <c r="C16" s="653" t="s">
        <v>116</v>
      </c>
      <c r="D16" s="654">
        <f>IF('OLD Distrib by purpose'!D54&gt;0.0005=0,,IF('OLD Distrib by purpose'!D54&gt;0.0005,'OLD Distrib by purpose'!D54,"*"))</f>
        <v>9.7144633290631912E-3</v>
      </c>
      <c r="E16" s="655">
        <f>IF('OLD Distrib by purpose'!E54&gt;0.0005=0,,IF('OLD Distrib by purpose'!E54&gt;0.0005,'OLD Distrib by purpose'!E54,"*"))</f>
        <v>2.7956933532561259E-3</v>
      </c>
      <c r="F16" s="656" t="str">
        <f>IF('OLD Distrib by purpose'!F54&gt;0.0005=0,,IF('OLD Distrib by purpose'!F54&gt;0.0005,'OLD Distrib by purpose'!F54,"*"))</f>
        <v>*</v>
      </c>
      <c r="G16" s="656" t="str">
        <f>IF('OLD Distrib by purpose'!G54&gt;0.0005=0,,IF('OLD Distrib by purpose'!G54&gt;0.0005,'OLD Distrib by purpose'!G54,"*"))</f>
        <v>*</v>
      </c>
      <c r="H16" s="656" t="str">
        <f>IF('OLD Distrib by purpose'!H54&gt;0.0005=0,,IF('OLD Distrib by purpose'!H54&gt;0.0005,'OLD Distrib by purpose'!H54,"*"))</f>
        <v>*</v>
      </c>
      <c r="I16" s="656">
        <f>IF('OLD Distrib by purpose'!I54&gt;0.0005=0,,IF('OLD Distrib by purpose'!I54&gt;0.0005,'OLD Distrib by purpose'!I54,"*"))</f>
        <v>1.7474714321321319E-2</v>
      </c>
      <c r="J16" s="656" t="str">
        <f>IF('OLD Distrib by purpose'!J54&gt;0.0005=0,,IF('OLD Distrib by purpose'!J54&gt;0.0005,'OLD Distrib by purpose'!J54,"*"))</f>
        <v>*</v>
      </c>
      <c r="K16" s="656" t="str">
        <f>IF('OLD Distrib by purpose'!K54&gt;0.0005=0,,IF('OLD Distrib by purpose'!K54&gt;0.0005,'OLD Distrib by purpose'!K54,"*"))</f>
        <v>*</v>
      </c>
      <c r="L16" s="656">
        <f>IF('OLD Distrib by purpose'!L54&gt;0.0005=0,,IF('OLD Distrib by purpose'!L54&gt;0.0005,'OLD Distrib by purpose'!L54,"*"))</f>
        <v>8.0827593783792714E-2</v>
      </c>
      <c r="M16" s="656" t="str">
        <f>IF('OLD Distrib by purpose'!M54&gt;0.0005=0,,IF('OLD Distrib by purpose'!M54&gt;0.0005,'OLD Distrib by purpose'!M54,"*"))</f>
        <v>*</v>
      </c>
      <c r="N16" s="656">
        <f>IF('OLD Distrib by purpose'!N54&gt;0.0005=0,,IF('OLD Distrib by purpose'!N54&gt;0.0005,'OLD Distrib by purpose'!N54,"*"))</f>
        <v>7.6622218182861848E-3</v>
      </c>
      <c r="O16" s="656" t="str">
        <f>IF('OLD Distrib by purpose'!O54&gt;0.0005=0,,IF('OLD Distrib by purpose'!O54&gt;0.0005,'OLD Distrib by purpose'!O54,"*"))</f>
        <v>*</v>
      </c>
      <c r="P16" s="656" t="str">
        <f>IF('OLD Distrib by purpose'!P54&gt;0.0005=0,,IF('OLD Distrib by purpose'!P54&gt;0.0005,'OLD Distrib by purpose'!P54,"*"))</f>
        <v>*</v>
      </c>
      <c r="Q16" s="656">
        <f>IF('OLD Distrib by purpose'!Q54&gt;0.0005=0,,IF('OLD Distrib by purpose'!Q54&gt;0.0005,'OLD Distrib by purpose'!Q54,"*"))</f>
        <v>3.0504082402388836E-3</v>
      </c>
      <c r="R16" s="656" t="str">
        <f>IF('OLD Distrib by purpose'!R54&gt;0.0005=0,,IF('OLD Distrib by purpose'!R54&gt;0.0005,'OLD Distrib by purpose'!R54,"*"))</f>
        <v>*</v>
      </c>
      <c r="S16" s="656">
        <f>IF('OLD Distrib by purpose'!S54&gt;0.0005=0,,IF('OLD Distrib by purpose'!S54&gt;0.0005,'OLD Distrib by purpose'!S54,"*"))</f>
        <v>8.1680369680955291E-3</v>
      </c>
      <c r="T16" s="656" t="str">
        <f>IF('OLD Distrib by purpose'!T54&gt;0.0005=0,,IF('OLD Distrib by purpose'!T54&gt;0.0005,'OLD Distrib by purpose'!T54,"*"))</f>
        <v>*</v>
      </c>
    </row>
    <row r="17" spans="1:20" s="77" customFormat="1" ht="16.5" customHeight="1">
      <c r="B17" s="657" t="s">
        <v>1039</v>
      </c>
      <c r="C17" s="658"/>
      <c r="D17" s="659">
        <f>SUM(D7:D16)</f>
        <v>0.99592574098267339</v>
      </c>
      <c r="E17" s="659">
        <f t="shared" ref="E17:T17" si="1">SUM(E7:E16)</f>
        <v>0.99894504443330934</v>
      </c>
      <c r="F17" s="659">
        <f t="shared" si="1"/>
        <v>0.99893705971344893</v>
      </c>
      <c r="G17" s="659">
        <f t="shared" si="1"/>
        <v>0.99868567242757855</v>
      </c>
      <c r="H17" s="659">
        <f t="shared" si="1"/>
        <v>1</v>
      </c>
      <c r="I17" s="659">
        <f t="shared" si="1"/>
        <v>0.99933326374306464</v>
      </c>
      <c r="J17" s="659">
        <f t="shared" si="1"/>
        <v>0.99949924469939933</v>
      </c>
      <c r="K17" s="659">
        <f t="shared" si="1"/>
        <v>0.9993689126148263</v>
      </c>
      <c r="L17" s="659">
        <f t="shared" si="1"/>
        <v>0.99982219050876231</v>
      </c>
      <c r="M17" s="659">
        <f t="shared" si="1"/>
        <v>0.99903996590592614</v>
      </c>
      <c r="N17" s="659">
        <f t="shared" si="1"/>
        <v>0.99996850385147418</v>
      </c>
      <c r="O17" s="659">
        <f t="shared" si="1"/>
        <v>1</v>
      </c>
      <c r="P17" s="659">
        <f t="shared" si="1"/>
        <v>0.99939342303545131</v>
      </c>
      <c r="Q17" s="659">
        <f t="shared" si="1"/>
        <v>0.99980797242937536</v>
      </c>
      <c r="R17" s="659">
        <f t="shared" si="1"/>
        <v>0.99646017282540789</v>
      </c>
      <c r="S17" s="659">
        <f t="shared" si="1"/>
        <v>0.99738476904924567</v>
      </c>
      <c r="T17" s="659">
        <f t="shared" si="1"/>
        <v>0.99983020339390627</v>
      </c>
    </row>
    <row r="18" spans="1:20" ht="39.75" customHeight="1">
      <c r="A18" s="1220" t="s">
        <v>1040</v>
      </c>
      <c r="B18" s="1221"/>
      <c r="C18" s="1221"/>
      <c r="D18" s="1221"/>
      <c r="E18" s="1221"/>
      <c r="F18" s="1221"/>
      <c r="G18" s="1221"/>
      <c r="H18" s="1221"/>
      <c r="I18" s="1221"/>
      <c r="J18" s="1221"/>
      <c r="K18" s="1221"/>
      <c r="L18" s="1221"/>
      <c r="M18" s="1221"/>
      <c r="N18" s="1221"/>
      <c r="O18" s="1221"/>
      <c r="P18" s="1221"/>
      <c r="Q18" s="1221"/>
      <c r="R18" s="1221"/>
      <c r="S18" s="1221"/>
      <c r="T18" s="1221"/>
    </row>
    <row r="19" spans="1:20" ht="14.25" customHeight="1">
      <c r="A19" s="660" t="s">
        <v>1024</v>
      </c>
      <c r="B19" s="405"/>
      <c r="C19" s="405"/>
      <c r="D19" s="405"/>
      <c r="E19" s="405"/>
      <c r="F19" s="405"/>
      <c r="G19" s="405"/>
      <c r="H19" s="405"/>
      <c r="I19" s="405"/>
      <c r="J19" s="405"/>
      <c r="K19" s="405"/>
      <c r="L19" s="405"/>
      <c r="M19" s="661"/>
      <c r="N19" s="405"/>
      <c r="O19" s="405"/>
      <c r="P19" s="405"/>
      <c r="Q19" s="405"/>
      <c r="R19" s="405"/>
      <c r="S19" s="405"/>
      <c r="T19" s="405"/>
    </row>
    <row r="20" spans="1:20" ht="15" customHeight="1">
      <c r="A20" s="660" t="s">
        <v>1041</v>
      </c>
      <c r="B20" s="405"/>
      <c r="C20" s="405"/>
      <c r="D20" s="405"/>
      <c r="E20" s="405"/>
      <c r="F20" s="405"/>
      <c r="G20" s="405"/>
      <c r="H20" s="405"/>
      <c r="I20" s="405"/>
      <c r="J20" s="405"/>
      <c r="K20" s="405"/>
      <c r="L20" s="405"/>
      <c r="M20" s="661"/>
      <c r="N20" s="405"/>
      <c r="O20" s="405"/>
      <c r="P20" s="405"/>
      <c r="Q20" s="405"/>
      <c r="R20" s="405"/>
      <c r="S20" s="405"/>
      <c r="T20" s="405"/>
    </row>
    <row r="21" spans="1:20" ht="12" customHeight="1">
      <c r="A21" s="405" t="s">
        <v>1011</v>
      </c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661"/>
      <c r="N21" s="405"/>
      <c r="O21" s="405"/>
      <c r="P21" s="405"/>
      <c r="Q21" s="405"/>
      <c r="R21" s="405"/>
      <c r="S21" s="405"/>
      <c r="T21" s="405"/>
    </row>
    <row r="22" spans="1:20">
      <c r="T22" s="370" t="s">
        <v>1814</v>
      </c>
    </row>
    <row r="24" spans="1:20" ht="13.5">
      <c r="H24" s="439"/>
    </row>
  </sheetData>
  <mergeCells count="5">
    <mergeCell ref="A2:T2"/>
    <mergeCell ref="A3:T3"/>
    <mergeCell ref="A5:A9"/>
    <mergeCell ref="A10:A16"/>
    <mergeCell ref="A18:T18"/>
  </mergeCells>
  <printOptions horizontalCentered="1"/>
  <pageMargins left="0.5513541666666667" right="0.3" top="0.75" bottom="0.5" header="0.75" footer="0.5"/>
  <pageSetup scale="89" firstPageNumber="113" orientation="landscape" useFirstPageNumber="1" r:id="rId1"/>
  <headerFooter alignWithMargins="0">
    <oddHeader>&amp;R&amp;"Arial,Regular"&amp;8SREB-State Data Exchange</oddHeader>
    <oddFooter>&amp;C&amp;"Arial,Regular"C-&amp;P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8E626-058C-4894-B32E-F27DB8D19FCD}">
  <sheetPr codeName="Sheet3">
    <tabColor indexed="16"/>
  </sheetPr>
  <dimension ref="A1:AX65"/>
  <sheetViews>
    <sheetView view="pageBreakPreview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T27" sqref="T27"/>
    </sheetView>
  </sheetViews>
  <sheetFormatPr defaultColWidth="7.84375" defaultRowHeight="12.5"/>
  <cols>
    <col min="1" max="1" width="8.84375" style="53" customWidth="1"/>
    <col min="2" max="2" width="26.3046875" style="77" customWidth="1"/>
    <col min="3" max="3" width="9.69140625" style="603" hidden="1" customWidth="1"/>
    <col min="4" max="4" width="5.23046875" style="604" customWidth="1"/>
    <col min="5" max="5" width="5.23046875" style="53" customWidth="1"/>
    <col min="6" max="6" width="5.4609375" style="53" customWidth="1"/>
    <col min="7" max="7" width="6.69140625" style="53" customWidth="1"/>
    <col min="8" max="8" width="5.23046875" style="107" customWidth="1"/>
    <col min="9" max="14" width="5.23046875" style="53" customWidth="1"/>
    <col min="15" max="15" width="5.69140625" style="53" customWidth="1"/>
    <col min="16" max="16" width="7.07421875" style="53" bestFit="1" customWidth="1"/>
    <col min="17" max="17" width="5.53515625" style="53" customWidth="1"/>
    <col min="18" max="20" width="5.23046875" style="53" customWidth="1"/>
    <col min="21" max="16384" width="7.84375" style="53"/>
  </cols>
  <sheetData>
    <row r="1" spans="1:50" s="77" customFormat="1" ht="18">
      <c r="A1" s="336" t="s">
        <v>1016</v>
      </c>
      <c r="B1" s="355"/>
      <c r="C1" s="343"/>
      <c r="D1" s="355"/>
      <c r="E1" s="355"/>
      <c r="F1" s="355"/>
      <c r="G1" s="355"/>
      <c r="H1" s="551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</row>
    <row r="2" spans="1:50" s="77" customFormat="1" ht="18">
      <c r="A2" s="336"/>
      <c r="B2" s="355"/>
      <c r="C2" s="343"/>
      <c r="D2" s="355"/>
      <c r="E2" s="355"/>
      <c r="F2" s="355"/>
      <c r="G2" s="355"/>
      <c r="H2" s="551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</row>
    <row r="3" spans="1:50" s="553" customFormat="1" ht="17.5">
      <c r="A3" s="341" t="s">
        <v>974</v>
      </c>
      <c r="B3" s="355"/>
      <c r="C3" s="226"/>
      <c r="D3" s="552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</row>
    <row r="4" spans="1:50" s="553" customFormat="1" ht="15.5">
      <c r="A4" s="341" t="s">
        <v>1747</v>
      </c>
      <c r="B4" s="355"/>
      <c r="C4" s="226"/>
      <c r="D4" s="552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</row>
    <row r="5" spans="1:50" s="553" customFormat="1" ht="15.5">
      <c r="A5" s="341"/>
      <c r="B5" s="355"/>
      <c r="C5" s="226"/>
      <c r="D5" s="552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</row>
    <row r="6" spans="1:50" s="560" customFormat="1" ht="12.75" customHeight="1">
      <c r="A6" s="554"/>
      <c r="B6" s="555"/>
      <c r="C6" s="556" t="s">
        <v>1017</v>
      </c>
      <c r="D6" s="606" t="s">
        <v>1032</v>
      </c>
      <c r="E6" s="607" t="s">
        <v>61</v>
      </c>
      <c r="F6" s="416" t="s">
        <v>197</v>
      </c>
      <c r="G6" s="416" t="s">
        <v>283</v>
      </c>
      <c r="H6" s="416" t="s">
        <v>333</v>
      </c>
      <c r="I6" s="416" t="s">
        <v>365</v>
      </c>
      <c r="J6" s="416" t="s">
        <v>432</v>
      </c>
      <c r="K6" s="416" t="s">
        <v>492</v>
      </c>
      <c r="L6" s="416" t="s">
        <v>549</v>
      </c>
      <c r="M6" s="416" t="s">
        <v>599</v>
      </c>
      <c r="N6" s="416" t="s">
        <v>636</v>
      </c>
      <c r="O6" s="416" t="s">
        <v>745</v>
      </c>
      <c r="P6" s="416" t="s">
        <v>746</v>
      </c>
      <c r="Q6" s="416" t="s">
        <v>747</v>
      </c>
      <c r="R6" s="416" t="s">
        <v>748</v>
      </c>
      <c r="S6" s="416" t="s">
        <v>750</v>
      </c>
      <c r="T6" s="416" t="s">
        <v>751</v>
      </c>
    </row>
    <row r="7" spans="1:50" ht="28">
      <c r="A7" s="1222" t="s">
        <v>1019</v>
      </c>
      <c r="B7" s="608" t="s">
        <v>1020</v>
      </c>
      <c r="C7" s="562" t="s">
        <v>62</v>
      </c>
      <c r="D7" s="563">
        <f>IF(GETPIVOTDATA("Total-New",'Distrib pivot table'!$C$2,"group","1A")/GETPIVOTDATA("Total-New",'Distrib pivot table'!$C$2)=0,,IF(GETPIVOTDATA("Total-New",'Distrib pivot table'!$C$2,"group","1A")/GETPIVOTDATA("Total-New",'Distrib pivot table'!$C$2)&gt;0.0005,GETPIVOTDATA("Total-New",'Distrib pivot table'!$C$2,"group","1A")/GETPIVOTDATA("Total-New",'Distrib pivot table'!$C$2),"*"))</f>
        <v>0.79847456770367342</v>
      </c>
      <c r="E7" s="564">
        <f>IF((GETPIVOTDATA("Total-New",'Distrib pivot table'!$C$2,"state","AL","group","1A")/GETPIVOTDATA("Total-New",'Distrib pivot table'!$C$2,"state","AL"))=0,,IF(GETPIVOTDATA("Total-New",'Distrib pivot table'!$C$2,"state","AL","group","1A")/GETPIVOTDATA("Total-New",'Distrib pivot table'!$C$2,"state","AL")&gt;0.0005,GETPIVOTDATA("Total-New",'Distrib pivot table'!$C$2,"state","AL","group","1A")/GETPIVOTDATA("Total-New",'Distrib pivot table'!$C$2,"state","AL"),"*"))</f>
        <v>0.78702078985404877</v>
      </c>
      <c r="F7" s="564">
        <f>IF((GETPIVOTDATA("Total-New",'Distrib pivot table'!$C$2,"state","AR","group","1A")/GETPIVOTDATA("Total-New",'Distrib pivot table'!$C$2,"state","AR"))=0,,IF(GETPIVOTDATA("Total-New",'Distrib pivot table'!$C$2,"state","AR","group","1A")/GETPIVOTDATA("Total-New",'Distrib pivot table'!$C$2,"state","AR")&gt;0.0005,GETPIVOTDATA("Total-New",'Distrib pivot table'!$C$2,"state","AR","group","1A")/GETPIVOTDATA("Total-New",'Distrib pivot table'!$C$2,"state","AR"),"*"))</f>
        <v>0.80408614296573644</v>
      </c>
      <c r="G7" s="564">
        <f>IF((GETPIVOTDATA("Total-New",'Distrib pivot table'!$C$2,"state","DE","group","1A")/GETPIVOTDATA("Total-New",'Distrib pivot table'!$C$2,"state","DE"))=0,,IF(GETPIVOTDATA("Total-New",'Distrib pivot table'!$C$2,"state","DE","group","1A")/GETPIVOTDATA("Total-New",'Distrib pivot table'!$C$2,"state","DE")&gt;0.0005,GETPIVOTDATA("Total-New",'Distrib pivot table'!$C$2,"state","DE","group","1A")/GETPIVOTDATA("Total-New",'Distrib pivot table'!$C$2,"state","DE"),"*"))</f>
        <v>0.96982346648014017</v>
      </c>
      <c r="H7" s="564">
        <f>IF((GETPIVOTDATA("Total-New",'Distrib pivot table'!$C$2,"state","FL","group","1A")/GETPIVOTDATA("Total-New",'Distrib pivot table'!$C$2,"state","FL"))=0,,IF(GETPIVOTDATA("Total-New",'Distrib pivot table'!$C$2,"state","FL","group","1A")/GETPIVOTDATA("Total-New",'Distrib pivot table'!$C$2,"state","FL")&gt;0.0005,GETPIVOTDATA("Total-New",'Distrib pivot table'!$C$2,"state","FL","group","1A")/GETPIVOTDATA("Total-New",'Distrib pivot table'!$C$2,"state","FL"),"*"))</f>
        <v>0.99876456895718901</v>
      </c>
      <c r="I7" s="564">
        <f>IF((GETPIVOTDATA("Total-New",'Distrib pivot table'!$C$2,"state","GA","group","1A")/GETPIVOTDATA("Total-New",'Distrib pivot table'!$C$2,"state","GA"))=0,,IF(GETPIVOTDATA("Total-New",'Distrib pivot table'!$C$2,"state","GA","group","1A")/GETPIVOTDATA("Total-New",'Distrib pivot table'!$C$2,"state","GA")&gt;0.0005,GETPIVOTDATA("Total-New",'Distrib pivot table'!$C$2,"state","GA","group","1A")/GETPIVOTDATA("Total-New",'Distrib pivot table'!$C$2,"state","GA"),"*"))</f>
        <v>0.750245183247645</v>
      </c>
      <c r="J7" s="564">
        <f>IF((GETPIVOTDATA("Total-New",'Distrib pivot table'!$C$2,"state","KY","group","1A")/GETPIVOTDATA("Total-New",'Distrib pivot table'!$C$2,"state","KY"))=0,,IF(GETPIVOTDATA("Total-New",'Distrib pivot table'!$C$2,"state","KY","group","1A")/GETPIVOTDATA("Total-New",'Distrib pivot table'!$C$2,"state","KY")&gt;0.0005,GETPIVOTDATA("Total-New",'Distrib pivot table'!$C$2,"state","KY","group","1A")/GETPIVOTDATA("Total-New",'Distrib pivot table'!$C$2,"state","KY"),"*"))</f>
        <v>0.79504173840751291</v>
      </c>
      <c r="K7" s="564">
        <f>IF((GETPIVOTDATA("Total-New",'Distrib pivot table'!$C$2,"state","LA","group","1A")/GETPIVOTDATA("Total-New",'Distrib pivot table'!$C$2,"state","LA"))=0,,IF(GETPIVOTDATA("Total-New",'Distrib pivot table'!$C$2,"state","LA","group","1A")/GETPIVOTDATA("Total-New",'Distrib pivot table'!$C$2,"state","LA")&gt;0.0005,GETPIVOTDATA("Total-New",'Distrib pivot table'!$C$2,"state","LA","group","1A")/GETPIVOTDATA("Total-New",'Distrib pivot table'!$C$2,"state","LA"),"*"))</f>
        <v>0.71531394425355999</v>
      </c>
      <c r="L7" s="564">
        <f>IF((GETPIVOTDATA("Total-New",'Distrib pivot table'!$C$2,"state","MD","group","1A")/GETPIVOTDATA("Total-New",'Distrib pivot table'!$C$2,"state","MD"))=0,,IF(GETPIVOTDATA("Total-New",'Distrib pivot table'!$C$2,"state","MD","group","1A")/GETPIVOTDATA("Total-New",'Distrib pivot table'!$C$2,"state","MD")&gt;0.0005,GETPIVOTDATA("Total-New",'Distrib pivot table'!$C$2,"state","MD","group","1A")/GETPIVOTDATA("Total-New",'Distrib pivot table'!$C$2,"state","MD"),"*"))</f>
        <v>0.75915552583201318</v>
      </c>
      <c r="M7" s="564">
        <f>IF((GETPIVOTDATA("Total-New",'Distrib pivot table'!$C$2,"state","MS","group","1A")/GETPIVOTDATA("Total-New",'Distrib pivot table'!$C$2,"state","MS"))=0,,IF(GETPIVOTDATA("Total-New",'Distrib pivot table'!$C$2,"state","MS","group","1A")/GETPIVOTDATA("Total-New",'Distrib pivot table'!$C$2,"state","MS")&gt;0.0005,GETPIVOTDATA("Total-New",'Distrib pivot table'!$C$2,"state","MS","group","1A")/GETPIVOTDATA("Total-New",'Distrib pivot table'!$C$2,"state","MS"),"*"))</f>
        <v>0.88842455874471438</v>
      </c>
      <c r="N7" s="564">
        <f>IF((GETPIVOTDATA("Total-New",'Distrib pivot table'!$C$2,"state","NC","group","1A")/GETPIVOTDATA("Total-New",'Distrib pivot table'!$C$2,"state","NC"))=0,,IF(GETPIVOTDATA("Total-New",'Distrib pivot table'!$C$2,"state","NC","group","1A")/GETPIVOTDATA("Total-New",'Distrib pivot table'!$C$2,"state","NC")&gt;0.0005,GETPIVOTDATA("Total-New",'Distrib pivot table'!$C$2,"state","NC","group","1A")/GETPIVOTDATA("Total-New",'Distrib pivot table'!$C$2,"state","NC"),"*"))</f>
        <v>0.8211238444941461</v>
      </c>
      <c r="O7" s="564">
        <f>IF((GETPIVOTDATA("Total-New",'Distrib pivot table'!$C$2,"state","OK","group","1A")/GETPIVOTDATA("Total-New",'Distrib pivot table'!$C$2,"state","OK"))=0,,IF(GETPIVOTDATA("Total-New",'Distrib pivot table'!$C$2,"state","OK","group","1A")/GETPIVOTDATA("Total-New",'Distrib pivot table'!$C$2,"state","OK")&gt;0.0005,GETPIVOTDATA("Total-New",'Distrib pivot table'!$C$2,"state","OK","group","1A")/GETPIVOTDATA("Total-New",'Distrib pivot table'!$C$2,"state","OK"),"*"))</f>
        <v>0.50013595065176419</v>
      </c>
      <c r="P7" s="564">
        <f>IF((GETPIVOTDATA("Total-New",'Distrib pivot table'!$C$2,"state","SC","group","1A")/GETPIVOTDATA("Total-New",'Distrib pivot table'!$C$2,"state","SC"))=0,,IF(GETPIVOTDATA("Total-New",'Distrib pivot table'!$C$2,"state","SC","group","1A")/GETPIVOTDATA("Total-New",'Distrib pivot table'!$C$2,"state","SC")&gt;0.0005,GETPIVOTDATA("Total-New",'Distrib pivot table'!$C$2,"state","SC","group","1A")/GETPIVOTDATA("Total-New",'Distrib pivot table'!$C$2,"state","SC"),"*"))</f>
        <v>0.79287783425034797</v>
      </c>
      <c r="Q7" s="564">
        <f>IF((GETPIVOTDATA("Total-New",'Distrib pivot table'!$C$2,"state","TN","group","1A")/GETPIVOTDATA("Total-New",'Distrib pivot table'!$C$2,"state","TN"))=0,,IF(GETPIVOTDATA("Total-New",'Distrib pivot table'!$C$2,"state","TN","group","1A")/GETPIVOTDATA("Total-New",'Distrib pivot table'!$C$2,"state","TN")&gt;0.0005,GETPIVOTDATA("Total-New",'Distrib pivot table'!$C$2,"state","TN","group","1A")/GETPIVOTDATA("Total-New",'Distrib pivot table'!$C$2,"state","TN"),"*"))</f>
        <v>0.7381916740427944</v>
      </c>
      <c r="R7" s="564">
        <f>IF((GETPIVOTDATA("Total-New",'Distrib pivot table'!$C$2,"state","TX","group","1A")/GETPIVOTDATA("Total-New",'Distrib pivot table'!$C$2,"state","TX"))=0,,IF(GETPIVOTDATA("Total-New",'Distrib pivot table'!$C$2,"state","TX","group","1A")/GETPIVOTDATA("Total-New",'Distrib pivot table'!$C$2,"state","TX")&gt;0.0005,GETPIVOTDATA("Total-New",'Distrib pivot table'!$C$2,"state","TX","group","1A")/GETPIVOTDATA("Total-New",'Distrib pivot table'!$C$2,"state","TX"),"*"))</f>
        <v>0.79747721251246872</v>
      </c>
      <c r="S7" s="564">
        <f>IF((GETPIVOTDATA("Total-New",'Distrib pivot table'!$C$2,"state","VA","group","1A")/GETPIVOTDATA("Total-New",'Distrib pivot table'!$C$2,"state","VA"))=0,,IF(GETPIVOTDATA("Total-New",'Distrib pivot table'!$C$2,"state","VA","group","1A")/GETPIVOTDATA("Total-New",'Distrib pivot table'!$C$2,"state","VA")&gt;0.0005,GETPIVOTDATA("Total-New",'Distrib pivot table'!$C$2,"state","VA","group","1A")/GETPIVOTDATA("Total-New",'Distrib pivot table'!$C$2,"state","VA"),"*"))</f>
        <v>0.85166728718018414</v>
      </c>
      <c r="T7" s="565">
        <f>IF((GETPIVOTDATA("Total-New",'Distrib pivot table'!$C$2,"state","WV","group","1A")/GETPIVOTDATA("Total-New",'Distrib pivot table'!$C$2,"state","WV"))=0,,IF(GETPIVOTDATA("Total-New",'Distrib pivot table'!$C$2,"state","WV","group","1A")/GETPIVOTDATA("Total-New",'Distrib pivot table'!$C$2,"state","WV")&gt;0.0005,GETPIVOTDATA("Total-New",'Distrib pivot table'!$C$2,"state","WV","group","1A")/GETPIVOTDATA("Total-New",'Distrib pivot table'!$C$2,"state","WV"),"*"))</f>
        <v>0.70885792783825796</v>
      </c>
      <c r="U7" s="566"/>
      <c r="V7" s="566"/>
      <c r="W7" s="566"/>
      <c r="X7" s="566"/>
      <c r="Y7" s="566"/>
      <c r="Z7" s="566"/>
      <c r="AA7" s="566"/>
      <c r="AB7" s="566"/>
      <c r="AC7" s="566"/>
      <c r="AD7" s="566"/>
      <c r="AE7" s="566"/>
      <c r="AF7" s="566"/>
      <c r="AG7" s="566"/>
      <c r="AH7" s="566"/>
      <c r="AI7" s="566"/>
      <c r="AJ7" s="566"/>
      <c r="AK7" s="566"/>
      <c r="AL7" s="566"/>
      <c r="AM7" s="566"/>
      <c r="AN7" s="566"/>
      <c r="AO7" s="566"/>
      <c r="AP7" s="566"/>
      <c r="AQ7" s="566"/>
      <c r="AR7" s="566"/>
      <c r="AS7" s="566"/>
      <c r="AT7" s="566"/>
      <c r="AU7" s="566"/>
      <c r="AV7" s="566"/>
      <c r="AW7" s="566"/>
      <c r="AX7" s="566"/>
    </row>
    <row r="8" spans="1:50" s="571" customFormat="1" ht="28">
      <c r="A8" s="1223"/>
      <c r="B8" s="608" t="s">
        <v>1021</v>
      </c>
      <c r="C8" s="567" t="s">
        <v>67</v>
      </c>
      <c r="D8" s="568">
        <f>SUM(D10:D16)</f>
        <v>1.9160697021095463E-2</v>
      </c>
      <c r="E8" s="568">
        <f>SUM(E10:E16)</f>
        <v>2.1709918895149699E-2</v>
      </c>
      <c r="F8" s="568">
        <f>SUM(F10:F16)</f>
        <v>1.516695684970757E-2</v>
      </c>
      <c r="G8" s="568">
        <f t="shared" ref="G8:T8" si="0">SUM(G10:G16)</f>
        <v>7.4126359350329147E-3</v>
      </c>
      <c r="H8" s="568">
        <f t="shared" si="0"/>
        <v>0</v>
      </c>
      <c r="I8" s="568">
        <f t="shared" si="0"/>
        <v>1.8694187424143402E-2</v>
      </c>
      <c r="J8" s="568">
        <f t="shared" si="0"/>
        <v>3.7007262221089479E-2</v>
      </c>
      <c r="K8" s="568">
        <f t="shared" si="0"/>
        <v>3.3047983049273852E-2</v>
      </c>
      <c r="L8" s="568">
        <f t="shared" si="0"/>
        <v>1.2896717151648258E-2</v>
      </c>
      <c r="M8" s="568">
        <f t="shared" si="0"/>
        <v>5.7088444436954586E-2</v>
      </c>
      <c r="N8" s="568">
        <f t="shared" si="0"/>
        <v>1.6025689959872552E-2</v>
      </c>
      <c r="O8" s="568">
        <f>SUM(O10:O16)</f>
        <v>0</v>
      </c>
      <c r="P8" s="568">
        <f>SUM(P10:P16)</f>
        <v>2.4393487342989635E-2</v>
      </c>
      <c r="Q8" s="568">
        <f t="shared" si="0"/>
        <v>2.5203589805899027E-2</v>
      </c>
      <c r="R8" s="568">
        <f t="shared" si="0"/>
        <v>1.4400310002093304E-2</v>
      </c>
      <c r="S8" s="568">
        <f t="shared" si="0"/>
        <v>1.6255292510758652E-2</v>
      </c>
      <c r="T8" s="569">
        <f t="shared" si="0"/>
        <v>2.7725909556931917E-2</v>
      </c>
      <c r="U8" s="570"/>
      <c r="V8" s="570"/>
      <c r="W8" s="570"/>
      <c r="X8" s="570"/>
      <c r="Y8" s="570"/>
      <c r="Z8" s="570"/>
      <c r="AA8" s="570"/>
      <c r="AB8" s="570"/>
      <c r="AC8" s="570"/>
      <c r="AD8" s="570"/>
      <c r="AE8" s="570"/>
      <c r="AF8" s="570"/>
      <c r="AG8" s="570"/>
      <c r="AH8" s="570"/>
      <c r="AI8" s="570"/>
      <c r="AJ8" s="570"/>
      <c r="AK8" s="570"/>
      <c r="AL8" s="570"/>
      <c r="AM8" s="570"/>
      <c r="AN8" s="570"/>
      <c r="AO8" s="570"/>
      <c r="AP8" s="570"/>
      <c r="AQ8" s="570"/>
      <c r="AR8" s="570"/>
      <c r="AS8" s="570"/>
      <c r="AT8" s="570"/>
      <c r="AU8" s="570"/>
      <c r="AV8" s="570"/>
      <c r="AW8" s="570"/>
      <c r="AX8" s="570"/>
    </row>
    <row r="9" spans="1:50" s="571" customFormat="1" ht="26">
      <c r="A9" s="1223"/>
      <c r="B9" s="609" t="s">
        <v>1022</v>
      </c>
      <c r="C9" s="567"/>
      <c r="D9" s="568">
        <f>+D8+D7</f>
        <v>0.81763526472476888</v>
      </c>
      <c r="E9" s="568">
        <f t="shared" ref="E9:T9" si="1">+E8+E7</f>
        <v>0.8087307087491985</v>
      </c>
      <c r="F9" s="568">
        <f t="shared" si="1"/>
        <v>0.81925309981544403</v>
      </c>
      <c r="G9" s="568">
        <f t="shared" si="1"/>
        <v>0.97723610241517311</v>
      </c>
      <c r="H9" s="568">
        <f t="shared" si="1"/>
        <v>0.99876456895718901</v>
      </c>
      <c r="I9" s="568">
        <f t="shared" si="1"/>
        <v>0.76893937067178841</v>
      </c>
      <c r="J9" s="568">
        <f t="shared" si="1"/>
        <v>0.83204900062860243</v>
      </c>
      <c r="K9" s="568">
        <f t="shared" si="1"/>
        <v>0.7483619273028338</v>
      </c>
      <c r="L9" s="568">
        <f t="shared" si="1"/>
        <v>0.77205224298366149</v>
      </c>
      <c r="M9" s="568">
        <f t="shared" si="1"/>
        <v>0.94551300318166898</v>
      </c>
      <c r="N9" s="568">
        <f t="shared" si="1"/>
        <v>0.83714953445401863</v>
      </c>
      <c r="O9" s="568">
        <f>+O8+O7</f>
        <v>0.50013595065176419</v>
      </c>
      <c r="P9" s="1172">
        <f>+P8+P7</f>
        <v>0.8172713215933376</v>
      </c>
      <c r="Q9" s="568">
        <f t="shared" si="1"/>
        <v>0.76339526384869338</v>
      </c>
      <c r="R9" s="568">
        <f t="shared" si="1"/>
        <v>0.81187752251456202</v>
      </c>
      <c r="S9" s="568">
        <f t="shared" si="1"/>
        <v>0.86792257969094277</v>
      </c>
      <c r="T9" s="569">
        <f t="shared" si="1"/>
        <v>0.73658383739518984</v>
      </c>
      <c r="U9" s="570"/>
      <c r="V9" s="570"/>
      <c r="W9" s="570"/>
      <c r="X9" s="570"/>
      <c r="Y9" s="570"/>
      <c r="Z9" s="570"/>
      <c r="AA9" s="570"/>
      <c r="AB9" s="570"/>
      <c r="AC9" s="570"/>
      <c r="AD9" s="570"/>
      <c r="AE9" s="570"/>
      <c r="AF9" s="570"/>
      <c r="AG9" s="570"/>
      <c r="AH9" s="570"/>
      <c r="AI9" s="570"/>
      <c r="AJ9" s="570"/>
      <c r="AK9" s="570"/>
      <c r="AL9" s="570"/>
      <c r="AM9" s="570"/>
      <c r="AN9" s="570"/>
      <c r="AO9" s="570"/>
      <c r="AP9" s="570"/>
      <c r="AQ9" s="570"/>
      <c r="AR9" s="570"/>
      <c r="AS9" s="570"/>
      <c r="AT9" s="570"/>
      <c r="AU9" s="570"/>
      <c r="AV9" s="570"/>
      <c r="AW9" s="570"/>
      <c r="AX9" s="570"/>
    </row>
    <row r="10" spans="1:50" ht="12.65" customHeight="1">
      <c r="A10" s="1223"/>
      <c r="B10" s="573" t="s">
        <v>70</v>
      </c>
      <c r="C10" s="574" t="s">
        <v>69</v>
      </c>
      <c r="D10" s="575">
        <f>IF(GETPIVOTDATA("Total-New",'Distrib pivot table'!$C$2,"group","1b1")/GETPIVOTDATA("Total-New",'Distrib pivot table'!$C$2)=0,,IF(GETPIVOTDATA("Total-New",'Distrib pivot table'!$C$2,"group","1b1")/GETPIVOTDATA("Total-New",'Distrib pivot table'!$C$2)&gt;0.0005,GETPIVOTDATA("Total-New",'Distrib pivot table'!$C$2,"group","1b1")/GETPIVOTDATA("Total-New",'Distrib pivot table'!$C$2),"*"))</f>
        <v>2.6323423988242585E-3</v>
      </c>
      <c r="E10" s="575">
        <f>IF((GETPIVOTDATA("Total-New",'Distrib pivot table'!$C$2,"state","AL","group","1b1")/GETPIVOTDATA("Total-New",'Distrib pivot table'!$C$2,"state","AL"))=0,,IF(GETPIVOTDATA("Total-New",'Distrib pivot table'!$C$2,"state","AL","group","1b1")/GETPIVOTDATA("Total-New",'Distrib pivot table'!$C$2,"state","AL")&gt;0.0005,GETPIVOTDATA("Total-New",'Distrib pivot table'!$C$2,"state","AL","group","1b1")/GETPIVOTDATA("Total-New",'Distrib pivot table'!$C$2,"state","AL"),"*"))</f>
        <v>9.0424611147421532E-4</v>
      </c>
      <c r="F10" s="575">
        <f>IF((GETPIVOTDATA("Total-New",'Distrib pivot table'!$C$2,"state","AR","group","1b1")/GETPIVOTDATA("Total-New",'Distrib pivot table'!$C$2,"state","AR"))=0,,IF(GETPIVOTDATA("Total-New",'Distrib pivot table'!$C$2,"state","AR","group","1b1")/GETPIVOTDATA("Total-New",'Distrib pivot table'!$C$2,"state","AR")&gt;0.0005,GETPIVOTDATA("Total-New",'Distrib pivot table'!$C$2,"state","AR","group","1b1")/GETPIVOTDATA("Total-New",'Distrib pivot table'!$C$2,"state","AR"),"*"))</f>
        <v>1.516695684970757E-2</v>
      </c>
      <c r="G10" s="575" t="str">
        <f>IF((GETPIVOTDATA("Total-New",'Distrib pivot table'!$C$2,"state","DE","group","1b1")/GETPIVOTDATA("Total-New",'Distrib pivot table'!$C$2,"state","DE"))=0,,IF(GETPIVOTDATA("Total-New",'Distrib pivot table'!$C$2,"state","DE","group","1b1")/GETPIVOTDATA("Total-New",'Distrib pivot table'!$C$2,"state","DE")&gt;0.0005,GETPIVOTDATA("Total-New",'Distrib pivot table'!$C$2,"state","DE","group","1b1")/GETPIVOTDATA("Total-New",'Distrib pivot table'!$C$2,"state","DE"),"*"))</f>
        <v>*</v>
      </c>
      <c r="H10" s="575">
        <f>IF((GETPIVOTDATA("Total-New",'Distrib pivot table'!$C$2,"state","FL","group","1b1")/GETPIVOTDATA("Total-New",'Distrib pivot table'!$C$2,"state","FL"))=0,,IF(GETPIVOTDATA("Total-New",'Distrib pivot table'!$C$2,"state","FL","group","1b1")/GETPIVOTDATA("Total-New",'Distrib pivot table'!$C$2,"state","FL")&gt;0.0005,GETPIVOTDATA("Total-New",'Distrib pivot table'!$C$2,"state","FL","group","1b1")/GETPIVOTDATA("Total-New",'Distrib pivot table'!$C$2,"state","FL"),"*"))</f>
        <v>0</v>
      </c>
      <c r="I10" s="575">
        <f>IF((GETPIVOTDATA("Total-New",'Distrib pivot table'!$C$2,"state","GA","group","1b1")/GETPIVOTDATA("Total-New",'Distrib pivot table'!$C$2,"state","GA"))=0,,IF(GETPIVOTDATA("Total-New",'Distrib pivot table'!$C$2,"state","GA","group","1b1")/GETPIVOTDATA("Total-New",'Distrib pivot table'!$C$2,"state","GA")&gt;0.0005,GETPIVOTDATA("Total-New",'Distrib pivot table'!$C$2,"state","GA","group","1b1")/GETPIVOTDATA("Total-New",'Distrib pivot table'!$C$2,"state","GA"),"*"))</f>
        <v>1.5223530500730314E-3</v>
      </c>
      <c r="J10" s="575">
        <f>IF((GETPIVOTDATA("Total-New",'Distrib pivot table'!$C$2,"state","KY","group","1b1")/GETPIVOTDATA("Total-New",'Distrib pivot table'!$C$2,"state","KY"))=0,,IF(GETPIVOTDATA("Total-New",'Distrib pivot table'!$C$2,"state","KY","group","1b1")/GETPIVOTDATA("Total-New",'Distrib pivot table'!$C$2,"state","KY")&gt;0.0005,GETPIVOTDATA("Total-New",'Distrib pivot table'!$C$2,"state","KY","group","1b1")/GETPIVOTDATA("Total-New",'Distrib pivot table'!$C$2,"state","KY"),"*"))</f>
        <v>1.1854676740517054E-2</v>
      </c>
      <c r="K10" s="575">
        <f>IF((GETPIVOTDATA("Total-New",'Distrib pivot table'!$C$2,"state","LA","group","1b1")/GETPIVOTDATA("Total-New",'Distrib pivot table'!$C$2,"state","LA"))=0,,IF(GETPIVOTDATA("Total-New",'Distrib pivot table'!$C$2,"state","LA","group","1b1")/GETPIVOTDATA("Total-New",'Distrib pivot table'!$C$2,"state","LA")&gt;0.0005,GETPIVOTDATA("Total-New",'Distrib pivot table'!$C$2,"state","LA","group","1b1")/GETPIVOTDATA("Total-New",'Distrib pivot table'!$C$2,"state","LA"),"*"))</f>
        <v>0</v>
      </c>
      <c r="L10" s="575">
        <f>IF((GETPIVOTDATA("Total-New",'Distrib pivot table'!$C$2,"state","MD","group","1b1")/GETPIVOTDATA("Total-New",'Distrib pivot table'!$C$2,"state","MD"))=0,,IF(GETPIVOTDATA("Total-New",'Distrib pivot table'!$C$2,"state","MD","group","1b1")/GETPIVOTDATA("Total-New",'Distrib pivot table'!$C$2,"state","MD")&gt;0.0005,GETPIVOTDATA("Total-New",'Distrib pivot table'!$C$2,"state","MD","group","1b1")/GETPIVOTDATA("Total-New",'Distrib pivot table'!$C$2,"state","MD"),"*"))</f>
        <v>0</v>
      </c>
      <c r="M10" s="575" t="str">
        <f>IF((GETPIVOTDATA("Total-New",'Distrib pivot table'!$C$2,"state","MS","group","1b1")/GETPIVOTDATA("Total-New",'Distrib pivot table'!$C$2,"state","MS"))=0,,IF(GETPIVOTDATA("Total-New",'Distrib pivot table'!$C$2,"state","MS","group","1b1")/GETPIVOTDATA("Total-New",'Distrib pivot table'!$C$2,"state","MS")&gt;0.0005,GETPIVOTDATA("Total-New",'Distrib pivot table'!$C$2,"state","MS","group","1b1")/GETPIVOTDATA("Total-New",'Distrib pivot table'!$C$2,"state","MS"),"*"))</f>
        <v>*</v>
      </c>
      <c r="N10" s="575">
        <f>IF((GETPIVOTDATA("Total-New",'Distrib pivot table'!$C$2,"state","NC","group","1b1")/GETPIVOTDATA("Total-New",'Distrib pivot table'!$C$2,"state","NC"))=0,,IF(GETPIVOTDATA("Total-New",'Distrib pivot table'!$C$2,"state","NC","group","1b1")/GETPIVOTDATA("Total-New",'Distrib pivot table'!$C$2,"state","NC")&gt;0.0005,GETPIVOTDATA("Total-New",'Distrib pivot table'!$C$2,"state","NC","group","1b1")/GETPIVOTDATA("Total-New",'Distrib pivot table'!$C$2,"state","NC"),"*"))</f>
        <v>1.4505225629054032E-3</v>
      </c>
      <c r="O10" s="575">
        <f>IF((GETPIVOTDATA("Total-New",'Distrib pivot table'!$C$2,"state","OK","group","1b1")/GETPIVOTDATA("Total-New",'Distrib pivot table'!$C$2,"state","OK"))=0,,IF(GETPIVOTDATA("Total-New",'Distrib pivot table'!$C$2,"state","OK","group","1b1")/GETPIVOTDATA("Total-New",'Distrib pivot table'!$C$2,"state","OK")&gt;0.0005,GETPIVOTDATA("Total-New",'Distrib pivot table'!$C$2,"state","OK","group","1b1")/GETPIVOTDATA("Total-New",'Distrib pivot table'!$C$2,"state","OK"),"*"))</f>
        <v>0</v>
      </c>
      <c r="P10" s="575" t="str">
        <f>IF((GETPIVOTDATA("Total-New",'Distrib pivot table'!$C$2,"state","SC","group","1b1")/GETPIVOTDATA("Total-New",'Distrib pivot table'!$C$2,"state","SC"))=0,,IF(GETPIVOTDATA("Total-New",'Distrib pivot table'!$C$2,"state","SC","group","1b1")/GETPIVOTDATA("Total-New",'Distrib pivot table'!$C$2,"state","SC")&gt;0.0005,GETPIVOTDATA("Total-New",'Distrib pivot table'!$C$2,"state","SC","group","1b1")/GETPIVOTDATA("Total-New",'Distrib pivot table'!$C$2,"state","SC"),"*"))</f>
        <v>*</v>
      </c>
      <c r="Q10" s="575">
        <f>IF((GETPIVOTDATA("Total-New",'Distrib pivot table'!$C$2,"state","TN","group","1b1")/GETPIVOTDATA("Total-New",'Distrib pivot table'!$C$2,"state","TN"))=0,,IF(GETPIVOTDATA("Total-New",'Distrib pivot table'!$C$2,"state","TN","group","1b1")/GETPIVOTDATA("Total-New",'Distrib pivot table'!$C$2,"state","TN")&gt;0.0005,GETPIVOTDATA("Total-New",'Distrib pivot table'!$C$2,"state","TN","group","1b1")/GETPIVOTDATA("Total-New",'Distrib pivot table'!$C$2,"state","TN"),"*"))</f>
        <v>3.5517552177793351E-3</v>
      </c>
      <c r="R10" s="575">
        <f>IF((GETPIVOTDATA("Total-New",'Distrib pivot table'!$C$2,"state","TX","group","1b1")/GETPIVOTDATA("Total-New",'Distrib pivot table'!$C$2,"state","TX"))=0,,IF(GETPIVOTDATA("Total-New",'Distrib pivot table'!$C$2,"state","TX","group","1b1")/GETPIVOTDATA("Total-New",'Distrib pivot table'!$C$2,"state","TX")&gt;0.0005,GETPIVOTDATA("Total-New",'Distrib pivot table'!$C$2,"state","TX","group","1b1")/GETPIVOTDATA("Total-New",'Distrib pivot table'!$C$2,"state","TX"),"*"))</f>
        <v>4.3918489006810673E-3</v>
      </c>
      <c r="S10" s="575">
        <f>IF((GETPIVOTDATA("Total-New",'Distrib pivot table'!$C$2,"state","VA","group","1b1")/GETPIVOTDATA("Total-New",'Distrib pivot table'!$C$2,"state","VA"))=0,,IF(GETPIVOTDATA("Total-New",'Distrib pivot table'!$C$2,"state","VA","group","1b1")/GETPIVOTDATA("Total-New",'Distrib pivot table'!$C$2,"state","VA")&gt;0.0005,GETPIVOTDATA("Total-New",'Distrib pivot table'!$C$2,"state","VA","group","1b1")/GETPIVOTDATA("Total-New",'Distrib pivot table'!$C$2,"state","VA"),"*"))</f>
        <v>0</v>
      </c>
      <c r="T10" s="575">
        <f>IF((GETPIVOTDATA("Total-New",'Distrib pivot table'!$C$2,"state","WV","group","1b1")/GETPIVOTDATA("Total-New",'Distrib pivot table'!$C$2,"state","WV"))=0,,IF(GETPIVOTDATA("Total-New",'Distrib pivot table'!$C$2,"state","WV","group","1b1")/GETPIVOTDATA("Total-New",'Distrib pivot table'!$C$2,"state","WV")&gt;0.0005,GETPIVOTDATA("Total-New",'Distrib pivot table'!$C$2,"state","WV","group","1b1")/GETPIVOTDATA("Total-New",'Distrib pivot table'!$C$2,"state","WV"),"*"))</f>
        <v>0</v>
      </c>
      <c r="U10" s="576"/>
      <c r="V10" s="576"/>
      <c r="W10" s="576"/>
      <c r="X10" s="576"/>
      <c r="Y10" s="576"/>
      <c r="Z10" s="576"/>
      <c r="AA10" s="576"/>
      <c r="AB10" s="576"/>
      <c r="AC10" s="576"/>
      <c r="AD10" s="576"/>
      <c r="AE10" s="576"/>
      <c r="AF10" s="576"/>
      <c r="AG10" s="576"/>
      <c r="AH10" s="576"/>
      <c r="AI10" s="576"/>
      <c r="AJ10" s="576"/>
      <c r="AK10" s="576"/>
      <c r="AL10" s="576"/>
      <c r="AM10" s="576"/>
      <c r="AN10" s="576"/>
      <c r="AO10" s="576"/>
      <c r="AP10" s="576"/>
      <c r="AQ10" s="576"/>
      <c r="AR10" s="576"/>
      <c r="AS10" s="576"/>
      <c r="AT10" s="576"/>
      <c r="AU10" s="576"/>
      <c r="AV10" s="576"/>
      <c r="AW10" s="576"/>
      <c r="AX10" s="576"/>
    </row>
    <row r="11" spans="1:50" ht="12.65" customHeight="1">
      <c r="A11" s="1223"/>
      <c r="B11" s="573" t="s">
        <v>72</v>
      </c>
      <c r="C11" s="574" t="s">
        <v>71</v>
      </c>
      <c r="D11" s="575" t="str">
        <f>IF(GETPIVOTDATA("Total-New",'Distrib pivot table'!$C$2,"group","1b2")/GETPIVOTDATA("Total-New",'Distrib pivot table'!$C$2)=0,,IF(GETPIVOTDATA("Total-New",'Distrib pivot table'!$C$2,"group","1b2")/GETPIVOTDATA("Total-New",'Distrib pivot table'!$C$2)&gt;0.0005,GETPIVOTDATA("Total-New",'Distrib pivot table'!$C$2,"group","1b2")/GETPIVOTDATA("Total-New",'Distrib pivot table'!$C$2),"*"))</f>
        <v>*</v>
      </c>
      <c r="E11" s="575">
        <f>IF((GETPIVOTDATA("Total-New",'Distrib pivot table'!$C$2,"state","AL","group","1b2")/GETPIVOTDATA("Total-New",'Distrib pivot table'!$C$2,"state","AL"))=0,,IF(GETPIVOTDATA("Total-New",'Distrib pivot table'!$C$2,"state","AL","group","1b2")/GETPIVOTDATA("Total-New",'Distrib pivot table'!$C$2,"state","AL")&gt;0.0005,GETPIVOTDATA("Total-New",'Distrib pivot table'!$C$2,"state","AL","group","1b2")/GETPIVOTDATA("Total-New",'Distrib pivot table'!$C$2,"state","AL"),"*"))</f>
        <v>6.6019155916306337E-4</v>
      </c>
      <c r="F11" s="575">
        <f>IF((GETPIVOTDATA("Total-New",'Distrib pivot table'!$C$2,"state","AR","group","1b2")/GETPIVOTDATA("Total-New",'Distrib pivot table'!$C$2,"state","AR"))=0,,IF(GETPIVOTDATA("Total-New",'Distrib pivot table'!$C$2,"state","AR","group","1b2")/GETPIVOTDATA("Total-New",'Distrib pivot table'!$C$2,"state","AR")&gt;0.0005,GETPIVOTDATA("Total-New",'Distrib pivot table'!$C$2,"state","AR","group","1b2")/GETPIVOTDATA("Total-New",'Distrib pivot table'!$C$2,"state","AR"),"*"))</f>
        <v>0</v>
      </c>
      <c r="G11" s="575">
        <f>IF((GETPIVOTDATA("Total-New",'Distrib pivot table'!$C$2,"state","DE","group","1b2")/GETPIVOTDATA("Total-New",'Distrib pivot table'!$C$2,"state","DE"))=0,,IF(GETPIVOTDATA("Total-New",'Distrib pivot table'!$C$2,"state","DE","group","1b2")/GETPIVOTDATA("Total-New",'Distrib pivot table'!$C$2,"state","DE")&gt;0.0005,GETPIVOTDATA("Total-New",'Distrib pivot table'!$C$2,"state","DE","group","1b2")/GETPIVOTDATA("Total-New",'Distrib pivot table'!$C$2,"state","DE"),"*"))</f>
        <v>0</v>
      </c>
      <c r="H11" s="575">
        <f>IF((GETPIVOTDATA("Total-New",'Distrib pivot table'!$C$2,"state","FL","group","1b2")/GETPIVOTDATA("Total-New",'Distrib pivot table'!$C$2,"state","FL"))=0,,IF(GETPIVOTDATA("Total-New",'Distrib pivot table'!$C$2,"state","FL","group","1b2")/GETPIVOTDATA("Total-New",'Distrib pivot table'!$C$2,"state","FL")&gt;0.0005,GETPIVOTDATA("Total-New",'Distrib pivot table'!$C$2,"state","FL","group","1b2")/GETPIVOTDATA("Total-New",'Distrib pivot table'!$C$2,"state","FL"),"*"))</f>
        <v>0</v>
      </c>
      <c r="I11" s="575">
        <f>IF((GETPIVOTDATA("Total-New",'Distrib pivot table'!$C$2,"state","GA","group","1b2")/GETPIVOTDATA("Total-New",'Distrib pivot table'!$C$2,"state","GA"))=0,,IF(GETPIVOTDATA("Total-New",'Distrib pivot table'!$C$2,"state","GA","group","1b2")/GETPIVOTDATA("Total-New",'Distrib pivot table'!$C$2,"state","GA")&gt;0.0005,GETPIVOTDATA("Total-New",'Distrib pivot table'!$C$2,"state","GA","group","1b2")/GETPIVOTDATA("Total-New",'Distrib pivot table'!$C$2,"state","GA"),"*"))</f>
        <v>0</v>
      </c>
      <c r="J11" s="575">
        <f>IF((GETPIVOTDATA("Total-New",'Distrib pivot table'!$C$2,"state","KY","group","1b2")/GETPIVOTDATA("Total-New",'Distrib pivot table'!$C$2,"state","KY"))=0,,IF(GETPIVOTDATA("Total-New",'Distrib pivot table'!$C$2,"state","KY","group","1b2")/GETPIVOTDATA("Total-New",'Distrib pivot table'!$C$2,"state","KY")&gt;0.0005,GETPIVOTDATA("Total-New",'Distrib pivot table'!$C$2,"state","KY","group","1b2")/GETPIVOTDATA("Total-New",'Distrib pivot table'!$C$2,"state","KY"),"*"))</f>
        <v>0</v>
      </c>
      <c r="K11" s="575">
        <f>IF((GETPIVOTDATA("Total-New",'Distrib pivot table'!$C$2,"state","LA","group","1b2")/GETPIVOTDATA("Total-New",'Distrib pivot table'!$C$2,"state","LA"))=0,,IF(GETPIVOTDATA("Total-New",'Distrib pivot table'!$C$2,"state","LA","group","1b2")/GETPIVOTDATA("Total-New",'Distrib pivot table'!$C$2,"state","LA")&gt;0.0005,GETPIVOTDATA("Total-New",'Distrib pivot table'!$C$2,"state","LA","group","1b2")/GETPIVOTDATA("Total-New",'Distrib pivot table'!$C$2,"state","LA"),"*"))</f>
        <v>0</v>
      </c>
      <c r="L11" s="575">
        <f>IF((GETPIVOTDATA("Total-New",'Distrib pivot table'!$C$2,"state","MD","group","1b2")/GETPIVOTDATA("Total-New",'Distrib pivot table'!$C$2,"state","MD"))=0,,IF(GETPIVOTDATA("Total-New",'Distrib pivot table'!$C$2,"state","MD","group","1b2")/GETPIVOTDATA("Total-New",'Distrib pivot table'!$C$2,"state","MD")&gt;0.0005,GETPIVOTDATA("Total-New",'Distrib pivot table'!$C$2,"state","MD","group","1b2")/GETPIVOTDATA("Total-New",'Distrib pivot table'!$C$2,"state","MD"),"*"))</f>
        <v>0</v>
      </c>
      <c r="M11" s="575">
        <f>IF((GETPIVOTDATA("Total-New",'Distrib pivot table'!$C$2,"state","MS","group","1b2")/GETPIVOTDATA("Total-New",'Distrib pivot table'!$C$2,"state","MS"))=0,,IF(GETPIVOTDATA("Total-New",'Distrib pivot table'!$C$2,"state","MS","group","1b2")/GETPIVOTDATA("Total-New",'Distrib pivot table'!$C$2,"state","MS")&gt;0.0005,GETPIVOTDATA("Total-New",'Distrib pivot table'!$C$2,"state","MS","group","1b2")/GETPIVOTDATA("Total-New",'Distrib pivot table'!$C$2,"state","MS"),"*"))</f>
        <v>0</v>
      </c>
      <c r="N11" s="575">
        <f>IF((GETPIVOTDATA("Total-New",'Distrib pivot table'!$C$2,"state","NC","group","1b2")/GETPIVOTDATA("Total-New",'Distrib pivot table'!$C$2,"state","NC"))=0,,IF(GETPIVOTDATA("Total-New",'Distrib pivot table'!$C$2,"state","NC","group","1b2")/GETPIVOTDATA("Total-New",'Distrib pivot table'!$C$2,"state","NC")&gt;0.0005,GETPIVOTDATA("Total-New",'Distrib pivot table'!$C$2,"state","NC","group","1b2")/GETPIVOTDATA("Total-New",'Distrib pivot table'!$C$2,"state","NC"),"*"))</f>
        <v>0</v>
      </c>
      <c r="O11" s="575">
        <f>IF((GETPIVOTDATA("Total-New",'Distrib pivot table'!$C$2,"state","OK","group","1b2")/GETPIVOTDATA("Total-New",'Distrib pivot table'!$C$2,"state","OK"))=0,,IF(GETPIVOTDATA("Total-New",'Distrib pivot table'!$C$2,"state","OK","group","1b2")/GETPIVOTDATA("Total-New",'Distrib pivot table'!$C$2,"state","OK")&gt;0.0005,GETPIVOTDATA("Total-New",'Distrib pivot table'!$C$2,"state","OK","group","1b2")/GETPIVOTDATA("Total-New",'Distrib pivot table'!$C$2,"state","OK"),"*"))</f>
        <v>0</v>
      </c>
      <c r="P11" s="575">
        <f>IF((GETPIVOTDATA("Total-New",'Distrib pivot table'!$C$2,"state","SC","group","1b2")/GETPIVOTDATA("Total-New",'Distrib pivot table'!$C$2,"state","SC"))=0,,IF(GETPIVOTDATA("Total-New",'Distrib pivot table'!$C$2,"state","SC","group","1b2")/GETPIVOTDATA("Total-New",'Distrib pivot table'!$C$2,"state","SC")&gt;0.0005,GETPIVOTDATA("Total-New",'Distrib pivot table'!$C$2,"state","SC","group","1b2")/GETPIVOTDATA("Total-New",'Distrib pivot table'!$C$2,"state","SC"),"*"))</f>
        <v>0</v>
      </c>
      <c r="Q11" s="575">
        <f>IF((GETPIVOTDATA("Total-New",'Distrib pivot table'!$C$2,"state","TN","group","1b2")/GETPIVOTDATA("Total-New",'Distrib pivot table'!$C$2,"state","TN"))=0,,IF(GETPIVOTDATA("Total-New",'Distrib pivot table'!$C$2,"state","TN","group","1b2")/GETPIVOTDATA("Total-New",'Distrib pivot table'!$C$2,"state","TN")&gt;0.0005,GETPIVOTDATA("Total-New",'Distrib pivot table'!$C$2,"state","TN","group","1b2")/GETPIVOTDATA("Total-New",'Distrib pivot table'!$C$2,"state","TN"),"*"))</f>
        <v>0</v>
      </c>
      <c r="R11" s="575">
        <f>IF((GETPIVOTDATA("Total-New",'Distrib pivot table'!$C$2,"state","TX","group","1b2")/GETPIVOTDATA("Total-New",'Distrib pivot table'!$C$2,"state","TX"))=0,,IF(GETPIVOTDATA("Total-New",'Distrib pivot table'!$C$2,"state","TX","group","1b2")/GETPIVOTDATA("Total-New",'Distrib pivot table'!$C$2,"state","TX")&gt;0.0005,GETPIVOTDATA("Total-New",'Distrib pivot table'!$C$2,"state","TX","group","1b2")/GETPIVOTDATA("Total-New",'Distrib pivot table'!$C$2,"state","TX"),"*"))</f>
        <v>0</v>
      </c>
      <c r="S11" s="575">
        <f>IF((GETPIVOTDATA("Total-New",'Distrib pivot table'!$C$2,"state","VA","group","1b2")/GETPIVOTDATA("Total-New",'Distrib pivot table'!$C$2,"state","VA"))=0,,IF(GETPIVOTDATA("Total-New",'Distrib pivot table'!$C$2,"state","VA","group","1b2")/GETPIVOTDATA("Total-New",'Distrib pivot table'!$C$2,"state","VA")&gt;0.0005,GETPIVOTDATA("Total-New",'Distrib pivot table'!$C$2,"state","VA","group","1b2")/GETPIVOTDATA("Total-New",'Distrib pivot table'!$C$2,"state","VA"),"*"))</f>
        <v>0</v>
      </c>
      <c r="T11" s="575">
        <f>IF((GETPIVOTDATA("Total-New",'Distrib pivot table'!$C$2,"state","WV","group","1b2")/GETPIVOTDATA("Total-New",'Distrib pivot table'!$C$2,"state","WV"))=0,,IF(GETPIVOTDATA("Total-New",'Distrib pivot table'!$C$2,"state","WV","group","1b2")/GETPIVOTDATA("Total-New",'Distrib pivot table'!$C$2,"state","WV")&gt;0.0005,GETPIVOTDATA("Total-New",'Distrib pivot table'!$C$2,"state","WV","group","1b2")/GETPIVOTDATA("Total-New",'Distrib pivot table'!$C$2,"state","WV"),"*"))</f>
        <v>0</v>
      </c>
      <c r="U11" s="576"/>
      <c r="V11" s="576"/>
      <c r="W11" s="576"/>
      <c r="X11" s="576"/>
      <c r="Y11" s="576"/>
      <c r="Z11" s="576"/>
      <c r="AA11" s="576"/>
      <c r="AB11" s="576"/>
      <c r="AC11" s="576"/>
      <c r="AD11" s="576"/>
      <c r="AE11" s="576"/>
      <c r="AF11" s="576"/>
      <c r="AG11" s="576"/>
      <c r="AH11" s="576"/>
      <c r="AI11" s="576"/>
      <c r="AJ11" s="576"/>
      <c r="AK11" s="576"/>
      <c r="AL11" s="576"/>
      <c r="AM11" s="576"/>
      <c r="AN11" s="576"/>
      <c r="AO11" s="576"/>
      <c r="AP11" s="576"/>
      <c r="AQ11" s="576"/>
      <c r="AR11" s="576"/>
      <c r="AS11" s="576"/>
      <c r="AT11" s="576"/>
      <c r="AU11" s="576"/>
      <c r="AV11" s="576"/>
      <c r="AW11" s="576"/>
      <c r="AX11" s="576"/>
    </row>
    <row r="12" spans="1:50" ht="12.65" customHeight="1">
      <c r="A12" s="1223"/>
      <c r="B12" s="573" t="s">
        <v>75</v>
      </c>
      <c r="C12" s="574" t="s">
        <v>74</v>
      </c>
      <c r="D12" s="575">
        <f>IF(GETPIVOTDATA("Total-New",'Distrib pivot table'!$C$2,"group","1b3")/GETPIVOTDATA("Total-New",'Distrib pivot table'!$C$2)=0,,IF(GETPIVOTDATA("Total-New",'Distrib pivot table'!$C$2,"group","1b3")/GETPIVOTDATA("Total-New",'Distrib pivot table'!$C$2)&gt;0.0005,GETPIVOTDATA("Total-New",'Distrib pivot table'!$C$2,"group","1b3")/GETPIVOTDATA("Total-New",'Distrib pivot table'!$C$2),"*"))</f>
        <v>7.9391229000696541E-3</v>
      </c>
      <c r="E12" s="575">
        <f>IF((GETPIVOTDATA("Total-New",'Distrib pivot table'!$C$2,"state","AL","group","1b3")/GETPIVOTDATA("Total-New",'Distrib pivot table'!$C$2,"state","AL"))=0,,IF(GETPIVOTDATA("Total-New",'Distrib pivot table'!$C$2,"state","AL","group","1b3")/GETPIVOTDATA("Total-New",'Distrib pivot table'!$C$2,"state","AL")&gt;0.0005,GETPIVOTDATA("Total-New",'Distrib pivot table'!$C$2,"state","AL","group","1b3")/GETPIVOTDATA("Total-New",'Distrib pivot table'!$C$2,"state","AL"),"*"))</f>
        <v>9.7810692183233593E-3</v>
      </c>
      <c r="F12" s="575">
        <f>IF((GETPIVOTDATA("Total-New",'Distrib pivot table'!$C$2,"state","AR","group","1b3")/GETPIVOTDATA("Total-New",'Distrib pivot table'!$C$2,"state","AR"))=0,,IF(GETPIVOTDATA("Total-New",'Distrib pivot table'!$C$2,"state","AR","group","1b3")/GETPIVOTDATA("Total-New",'Distrib pivot table'!$C$2,"state","AR")&gt;0.0005,GETPIVOTDATA("Total-New",'Distrib pivot table'!$C$2,"state","AR","group","1b3")/GETPIVOTDATA("Total-New",'Distrib pivot table'!$C$2,"state","AR"),"*"))</f>
        <v>0</v>
      </c>
      <c r="G12" s="575">
        <f>IF((GETPIVOTDATA("Total-New",'Distrib pivot table'!$C$2,"state","DE","group","1b3")/GETPIVOTDATA("Total-New",'Distrib pivot table'!$C$2,"state","DE"))=0,,IF(GETPIVOTDATA("Total-New",'Distrib pivot table'!$C$2,"state","DE","group","1b3")/GETPIVOTDATA("Total-New",'Distrib pivot table'!$C$2,"state","DE")&gt;0.0005,GETPIVOTDATA("Total-New",'Distrib pivot table'!$C$2,"state","DE","group","1b3")/GETPIVOTDATA("Total-New",'Distrib pivot table'!$C$2,"state","DE"),"*"))</f>
        <v>2.4855097753559365E-3</v>
      </c>
      <c r="H12" s="575">
        <f>IF((GETPIVOTDATA("Total-New",'Distrib pivot table'!$C$2,"state","FL","group","1b3")/GETPIVOTDATA("Total-New",'Distrib pivot table'!$C$2,"state","FL"))=0,,IF(GETPIVOTDATA("Total-New",'Distrib pivot table'!$C$2,"state","FL","group","1b3")/GETPIVOTDATA("Total-New",'Distrib pivot table'!$C$2,"state","FL")&gt;0.0005,GETPIVOTDATA("Total-New",'Distrib pivot table'!$C$2,"state","FL","group","1b3")/GETPIVOTDATA("Total-New",'Distrib pivot table'!$C$2,"state","FL"),"*"))</f>
        <v>0</v>
      </c>
      <c r="I12" s="575">
        <f>IF((GETPIVOTDATA("Total-New",'Distrib pivot table'!$C$2,"state","GA","group","1b3")/GETPIVOTDATA("Total-New",'Distrib pivot table'!$C$2,"state","GA"))=0,,IF(GETPIVOTDATA("Total-New",'Distrib pivot table'!$C$2,"state","GA","group","1b3")/GETPIVOTDATA("Total-New",'Distrib pivot table'!$C$2,"state","GA")&gt;0.0005,GETPIVOTDATA("Total-New",'Distrib pivot table'!$C$2,"state","GA","group","1b3")/GETPIVOTDATA("Total-New",'Distrib pivot table'!$C$2,"state","GA"),"*"))</f>
        <v>6.7688577029897216E-3</v>
      </c>
      <c r="J12" s="575">
        <f>IF((GETPIVOTDATA("Total-New",'Distrib pivot table'!$C$2,"state","KY","group","1b3")/GETPIVOTDATA("Total-New",'Distrib pivot table'!$C$2,"state","KY"))=0,,IF(GETPIVOTDATA("Total-New",'Distrib pivot table'!$C$2,"state","KY","group","1b3")/GETPIVOTDATA("Total-New",'Distrib pivot table'!$C$2,"state","KY")&gt;0.0005,GETPIVOTDATA("Total-New",'Distrib pivot table'!$C$2,"state","KY","group","1b3")/GETPIVOTDATA("Total-New",'Distrib pivot table'!$C$2,"state","KY"),"*"))</f>
        <v>2.2161616857320838E-2</v>
      </c>
      <c r="K12" s="575">
        <f>IF((GETPIVOTDATA("Total-New",'Distrib pivot table'!$C$2,"state","LA","group","1b3")/GETPIVOTDATA("Total-New",'Distrib pivot table'!$C$2,"state","LA"))=0,,IF(GETPIVOTDATA("Total-New",'Distrib pivot table'!$C$2,"state","LA","group","1b3")/GETPIVOTDATA("Total-New",'Distrib pivot table'!$C$2,"state","LA")&gt;0.0005,GETPIVOTDATA("Total-New",'Distrib pivot table'!$C$2,"state","LA","group","1b3")/GETPIVOTDATA("Total-New",'Distrib pivot table'!$C$2,"state","LA"),"*"))</f>
        <v>1.8350167219236657E-2</v>
      </c>
      <c r="L12" s="575">
        <f>IF((GETPIVOTDATA("Total-New",'Distrib pivot table'!$C$2,"state","MD","group","1b3")/GETPIVOTDATA("Total-New",'Distrib pivot table'!$C$2,"state","MD"))=0,,IF(GETPIVOTDATA("Total-New",'Distrib pivot table'!$C$2,"state","MD","group","1b3")/GETPIVOTDATA("Total-New",'Distrib pivot table'!$C$2,"state","MD")&gt;0.0005,GETPIVOTDATA("Total-New",'Distrib pivot table'!$C$2,"state","MD","group","1b3")/GETPIVOTDATA("Total-New",'Distrib pivot table'!$C$2,"state","MD"),"*"))</f>
        <v>4.2589728215607333E-3</v>
      </c>
      <c r="M12" s="575">
        <f>IF((GETPIVOTDATA("Total-New",'Distrib pivot table'!$C$2,"state","MS","group","1b3")/GETPIVOTDATA("Total-New",'Distrib pivot table'!$C$2,"state","MS"))=0,,IF(GETPIVOTDATA("Total-New",'Distrib pivot table'!$C$2,"state","MS","group","1b3")/GETPIVOTDATA("Total-New",'Distrib pivot table'!$C$2,"state","MS")&gt;0.0005,GETPIVOTDATA("Total-New",'Distrib pivot table'!$C$2,"state","MS","group","1b3")/GETPIVOTDATA("Total-New",'Distrib pivot table'!$C$2,"state","MS"),"*"))</f>
        <v>2.295806872301567E-2</v>
      </c>
      <c r="N12" s="575">
        <f>IF((GETPIVOTDATA("Total-New",'Distrib pivot table'!$C$2,"state","NC","group","1b3")/GETPIVOTDATA("Total-New",'Distrib pivot table'!$C$2,"state","NC"))=0,,IF(GETPIVOTDATA("Total-New",'Distrib pivot table'!$C$2,"state","NC","group","1b3")/GETPIVOTDATA("Total-New",'Distrib pivot table'!$C$2,"state","NC")&gt;0.0005,GETPIVOTDATA("Total-New",'Distrib pivot table'!$C$2,"state","NC","group","1b3")/GETPIVOTDATA("Total-New",'Distrib pivot table'!$C$2,"state","NC"),"*"))</f>
        <v>6.2319157233768725E-3</v>
      </c>
      <c r="O12" s="575">
        <f>IF((GETPIVOTDATA("Total-New",'Distrib pivot table'!$C$2,"state","OK","group","1b3")/GETPIVOTDATA("Total-New",'Distrib pivot table'!$C$2,"state","OK"))=0,,IF(GETPIVOTDATA("Total-New",'Distrib pivot table'!$C$2,"state","OK","group","1b3")/GETPIVOTDATA("Total-New",'Distrib pivot table'!$C$2,"state","OK")&gt;0.0005,GETPIVOTDATA("Total-New",'Distrib pivot table'!$C$2,"state","OK","group","1b3")/GETPIVOTDATA("Total-New",'Distrib pivot table'!$C$2,"state","OK"),"*"))</f>
        <v>0</v>
      </c>
      <c r="P12" s="575">
        <f>IF((GETPIVOTDATA("Total-New",'Distrib pivot table'!$C$2,"state","SC","group","1b3")/GETPIVOTDATA("Total-New",'Distrib pivot table'!$C$2,"state","SC"))=0,,IF(GETPIVOTDATA("Total-New",'Distrib pivot table'!$C$2,"state","SC","group","1b3")/GETPIVOTDATA("Total-New",'Distrib pivot table'!$C$2,"state","SC")&gt;0.0005,GETPIVOTDATA("Total-New",'Distrib pivot table'!$C$2,"state","SC","group","1b3")/GETPIVOTDATA("Total-New",'Distrib pivot table'!$C$2,"state","SC"),"*"))</f>
        <v>1.3646743741380564E-2</v>
      </c>
      <c r="Q12" s="575">
        <f>IF((GETPIVOTDATA("Total-New",'Distrib pivot table'!$C$2,"state","TN","group","1b3")/GETPIVOTDATA("Total-New",'Distrib pivot table'!$C$2,"state","TN"))=0,,IF(GETPIVOTDATA("Total-New",'Distrib pivot table'!$C$2,"state","TN","group","1b3")/GETPIVOTDATA("Total-New",'Distrib pivot table'!$C$2,"state","TN")&gt;0.0005,GETPIVOTDATA("Total-New",'Distrib pivot table'!$C$2,"state","TN","group","1b3")/GETPIVOTDATA("Total-New",'Distrib pivot table'!$C$2,"state","TN"),"*"))</f>
        <v>1.3179406752084056E-2</v>
      </c>
      <c r="R12" s="575">
        <f>IF((GETPIVOTDATA("Total-New",'Distrib pivot table'!$C$2,"state","TX","group","1b3")/GETPIVOTDATA("Total-New",'Distrib pivot table'!$C$2,"state","TX"))=0,,IF(GETPIVOTDATA("Total-New",'Distrib pivot table'!$C$2,"state","TX","group","1b3")/GETPIVOTDATA("Total-New",'Distrib pivot table'!$C$2,"state","TX")&gt;0.0005,GETPIVOTDATA("Total-New",'Distrib pivot table'!$C$2,"state","TX","group","1b3")/GETPIVOTDATA("Total-New",'Distrib pivot table'!$C$2,"state","TX"),"*"))</f>
        <v>4.1168902108351434E-3</v>
      </c>
      <c r="S12" s="575">
        <f>IF((GETPIVOTDATA("Total-New",'Distrib pivot table'!$C$2,"state","VA","group","1b3")/GETPIVOTDATA("Total-New",'Distrib pivot table'!$C$2,"state","VA"))=0,,IF(GETPIVOTDATA("Total-New",'Distrib pivot table'!$C$2,"state","VA","group","1b3")/GETPIVOTDATA("Total-New",'Distrib pivot table'!$C$2,"state","VA")&gt;0.0005,GETPIVOTDATA("Total-New",'Distrib pivot table'!$C$2,"state","VA","group","1b3")/GETPIVOTDATA("Total-New",'Distrib pivot table'!$C$2,"state","VA"),"*"))</f>
        <v>6.7147258812075067E-3</v>
      </c>
      <c r="T12" s="575">
        <f>IF((GETPIVOTDATA("Total-New",'Distrib pivot table'!$C$2,"state","WV","group","1b3")/GETPIVOTDATA("Total-New",'Distrib pivot table'!$C$2,"state","WV"))=0,,IF(GETPIVOTDATA("Total-New",'Distrib pivot table'!$C$2,"state","WV","group","1b3")/GETPIVOTDATA("Total-New",'Distrib pivot table'!$C$2,"state","WV")&gt;0.0005,GETPIVOTDATA("Total-New",'Distrib pivot table'!$C$2,"state","WV","group","1b3")/GETPIVOTDATA("Total-New",'Distrib pivot table'!$C$2,"state","WV"),"*"))</f>
        <v>1.0755000447945239E-2</v>
      </c>
      <c r="U12" s="576"/>
      <c r="V12" s="576"/>
      <c r="W12" s="576"/>
      <c r="X12" s="576"/>
      <c r="Y12" s="576"/>
      <c r="Z12" s="576"/>
      <c r="AA12" s="576"/>
      <c r="AB12" s="576"/>
      <c r="AC12" s="576"/>
      <c r="AD12" s="576"/>
      <c r="AE12" s="576"/>
      <c r="AF12" s="576"/>
      <c r="AG12" s="576"/>
      <c r="AH12" s="576"/>
      <c r="AI12" s="576"/>
      <c r="AJ12" s="576"/>
      <c r="AK12" s="576"/>
      <c r="AL12" s="576"/>
      <c r="AM12" s="576"/>
      <c r="AN12" s="576"/>
      <c r="AO12" s="576"/>
      <c r="AP12" s="576"/>
      <c r="AQ12" s="576"/>
      <c r="AR12" s="576"/>
      <c r="AS12" s="576"/>
      <c r="AT12" s="576"/>
      <c r="AU12" s="576"/>
      <c r="AV12" s="576"/>
      <c r="AW12" s="576"/>
      <c r="AX12" s="576"/>
    </row>
    <row r="13" spans="1:50" ht="12.65" customHeight="1">
      <c r="A13" s="1223"/>
      <c r="B13" s="573" t="s">
        <v>77</v>
      </c>
      <c r="C13" s="574" t="s">
        <v>76</v>
      </c>
      <c r="D13" s="575">
        <f>IF(GETPIVOTDATA("Total-New",'Distrib pivot table'!$C$2,"group","1b4")/GETPIVOTDATA("Total-New",'Distrib pivot table'!$C$2)=0,,IF(GETPIVOTDATA("Total-New",'Distrib pivot table'!$C$2,"group","1b4")/GETPIVOTDATA("Total-New",'Distrib pivot table'!$C$2)&gt;0.0005,GETPIVOTDATA("Total-New",'Distrib pivot table'!$C$2,"group","1b4")/GETPIVOTDATA("Total-New",'Distrib pivot table'!$C$2),"*"))</f>
        <v>5.4765522521741323E-3</v>
      </c>
      <c r="E13" s="575">
        <f>IF((GETPIVOTDATA("Total-New",'Distrib pivot table'!$C$2,"state","AL","group","1b4")/GETPIVOTDATA("Total-New",'Distrib pivot table'!$C$2,"state","AL"))=0,,IF(GETPIVOTDATA("Total-New",'Distrib pivot table'!$C$2,"state","AL","group","1b4")/GETPIVOTDATA("Total-New",'Distrib pivot table'!$C$2,"state","AL")&gt;0.0005,GETPIVOTDATA("Total-New",'Distrib pivot table'!$C$2,"state","AL","group","1b4")/GETPIVOTDATA("Total-New",'Distrib pivot table'!$C$2,"state","AL"),"*"))</f>
        <v>7.6647890187003945E-3</v>
      </c>
      <c r="F13" s="575">
        <f>IF((GETPIVOTDATA("Total-New",'Distrib pivot table'!$C$2,"state","AR","group","1b4")/GETPIVOTDATA("Total-New",'Distrib pivot table'!$C$2,"state","AR"))=0,,IF(GETPIVOTDATA("Total-New",'Distrib pivot table'!$C$2,"state","AR","group","1b4")/GETPIVOTDATA("Total-New",'Distrib pivot table'!$C$2,"state","AR")&gt;0.0005,GETPIVOTDATA("Total-New",'Distrib pivot table'!$C$2,"state","AR","group","1b4")/GETPIVOTDATA("Total-New",'Distrib pivot table'!$C$2,"state","AR"),"*"))</f>
        <v>0</v>
      </c>
      <c r="G13" s="575">
        <f>IF((GETPIVOTDATA("Total-New",'Distrib pivot table'!$C$2,"state","DE","group","1b4")/GETPIVOTDATA("Total-New",'Distrib pivot table'!$C$2,"state","DE"))=0,,IF(GETPIVOTDATA("Total-New",'Distrib pivot table'!$C$2,"state","DE","group","1b4")/GETPIVOTDATA("Total-New",'Distrib pivot table'!$C$2,"state","DE")&gt;0.0005,GETPIVOTDATA("Total-New",'Distrib pivot table'!$C$2,"state","DE","group","1b4")/GETPIVOTDATA("Total-New",'Distrib pivot table'!$C$2,"state","DE"),"*"))</f>
        <v>6.9126652238938105E-4</v>
      </c>
      <c r="H13" s="575">
        <f>IF((GETPIVOTDATA("Total-New",'Distrib pivot table'!$C$2,"state","FL","group","1b4")/GETPIVOTDATA("Total-New",'Distrib pivot table'!$C$2,"state","FL"))=0,,IF(GETPIVOTDATA("Total-New",'Distrib pivot table'!$C$2,"state","FL","group","1b4")/GETPIVOTDATA("Total-New",'Distrib pivot table'!$C$2,"state","FL")&gt;0.0005,GETPIVOTDATA("Total-New",'Distrib pivot table'!$C$2,"state","FL","group","1b4")/GETPIVOTDATA("Total-New",'Distrib pivot table'!$C$2,"state","FL"),"*"))</f>
        <v>0</v>
      </c>
      <c r="I13" s="575">
        <f>IF((GETPIVOTDATA("Total-New",'Distrib pivot table'!$C$2,"state","GA","group","1b4")/GETPIVOTDATA("Total-New",'Distrib pivot table'!$C$2,"state","GA"))=0,,IF(GETPIVOTDATA("Total-New",'Distrib pivot table'!$C$2,"state","GA","group","1b4")/GETPIVOTDATA("Total-New",'Distrib pivot table'!$C$2,"state","GA")&gt;0.0005,GETPIVOTDATA("Total-New",'Distrib pivot table'!$C$2,"state","GA","group","1b4")/GETPIVOTDATA("Total-New",'Distrib pivot table'!$C$2,"state","GA"),"*"))</f>
        <v>7.283508462847311E-3</v>
      </c>
      <c r="J13" s="575">
        <f>IF((GETPIVOTDATA("Total-New",'Distrib pivot table'!$C$2,"state","KY","group","1b4")/GETPIVOTDATA("Total-New",'Distrib pivot table'!$C$2,"state","KY"))=0,,IF(GETPIVOTDATA("Total-New",'Distrib pivot table'!$C$2,"state","KY","group","1b4")/GETPIVOTDATA("Total-New",'Distrib pivot table'!$C$2,"state","KY")&gt;0.0005,GETPIVOTDATA("Total-New",'Distrib pivot table'!$C$2,"state","KY","group","1b4")/GETPIVOTDATA("Total-New",'Distrib pivot table'!$C$2,"state","KY"),"*"))</f>
        <v>0</v>
      </c>
      <c r="K13" s="575">
        <f>IF((GETPIVOTDATA("Total-New",'Distrib pivot table'!$C$2,"state","LA","group","1b4")/GETPIVOTDATA("Total-New",'Distrib pivot table'!$C$2,"state","LA"))=0,,IF(GETPIVOTDATA("Total-New",'Distrib pivot table'!$C$2,"state","LA","group","1b4")/GETPIVOTDATA("Total-New",'Distrib pivot table'!$C$2,"state","LA")&gt;0.0005,GETPIVOTDATA("Total-New",'Distrib pivot table'!$C$2,"state","LA","group","1b4")/GETPIVOTDATA("Total-New",'Distrib pivot table'!$C$2,"state","LA"),"*"))</f>
        <v>1.4697815830037196E-2</v>
      </c>
      <c r="L13" s="575">
        <f>IF((GETPIVOTDATA("Total-New",'Distrib pivot table'!$C$2,"state","MD","group","1b4")/GETPIVOTDATA("Total-New",'Distrib pivot table'!$C$2,"state","MD"))=0,,IF(GETPIVOTDATA("Total-New",'Distrib pivot table'!$C$2,"state","MD","group","1b4")/GETPIVOTDATA("Total-New",'Distrib pivot table'!$C$2,"state","MD")&gt;0.0005,GETPIVOTDATA("Total-New",'Distrib pivot table'!$C$2,"state","MD","group","1b4")/GETPIVOTDATA("Total-New",'Distrib pivot table'!$C$2,"state","MD"),"*"))</f>
        <v>4.1594360719686835E-3</v>
      </c>
      <c r="M13" s="575">
        <f>IF((GETPIVOTDATA("Total-New",'Distrib pivot table'!$C$2,"state","MS","group","1b4")/GETPIVOTDATA("Total-New",'Distrib pivot table'!$C$2,"state","MS"))=0,,IF(GETPIVOTDATA("Total-New",'Distrib pivot table'!$C$2,"state","MS","group","1b4")/GETPIVOTDATA("Total-New",'Distrib pivot table'!$C$2,"state","MS")&gt;0.0005,GETPIVOTDATA("Total-New",'Distrib pivot table'!$C$2,"state","MS","group","1b4")/GETPIVOTDATA("Total-New",'Distrib pivot table'!$C$2,"state","MS"),"*"))</f>
        <v>1.4208625946147555E-2</v>
      </c>
      <c r="N13" s="575">
        <f>IF((GETPIVOTDATA("Total-New",'Distrib pivot table'!$C$2,"state","NC","group","1b4")/GETPIVOTDATA("Total-New",'Distrib pivot table'!$C$2,"state","NC"))=0,,IF(GETPIVOTDATA("Total-New",'Distrib pivot table'!$C$2,"state","NC","group","1b4")/GETPIVOTDATA("Total-New",'Distrib pivot table'!$C$2,"state","NC")&gt;0.0005,GETPIVOTDATA("Total-New",'Distrib pivot table'!$C$2,"state","NC","group","1b4")/GETPIVOTDATA("Total-New",'Distrib pivot table'!$C$2,"state","NC"),"*"))</f>
        <v>8.343251673590275E-3</v>
      </c>
      <c r="O13" s="575">
        <f>IF((GETPIVOTDATA("Total-New",'Distrib pivot table'!$C$2,"state","OK","group","1b4")/GETPIVOTDATA("Total-New",'Distrib pivot table'!$C$2,"state","OK"))=0,,IF(GETPIVOTDATA("Total-New",'Distrib pivot table'!$C$2,"state","OK","group","1b4")/GETPIVOTDATA("Total-New",'Distrib pivot table'!$C$2,"state","OK")&gt;0.0005,GETPIVOTDATA("Total-New",'Distrib pivot table'!$C$2,"state","OK","group","1b4")/GETPIVOTDATA("Total-New",'Distrib pivot table'!$C$2,"state","OK"),"*"))</f>
        <v>0</v>
      </c>
      <c r="P13" s="575">
        <f>IF((GETPIVOTDATA("Total-New",'Distrib pivot table'!$C$2,"state","SC","group","1b4")/GETPIVOTDATA("Total-New",'Distrib pivot table'!$C$2,"state","SC"))=0,,IF(GETPIVOTDATA("Total-New",'Distrib pivot table'!$C$2,"state","SC","group","1b4")/GETPIVOTDATA("Total-New",'Distrib pivot table'!$C$2,"state","SC")&gt;0.0005,GETPIVOTDATA("Total-New",'Distrib pivot table'!$C$2,"state","SC","group","1b4")/GETPIVOTDATA("Total-New",'Distrib pivot table'!$C$2,"state","SC"),"*"))</f>
        <v>0</v>
      </c>
      <c r="Q13" s="575">
        <f>IF((GETPIVOTDATA("Total-New",'Distrib pivot table'!$C$2,"state","TN","group","1b4")/GETPIVOTDATA("Total-New",'Distrib pivot table'!$C$2,"state","TN"))=0,,IF(GETPIVOTDATA("Total-New",'Distrib pivot table'!$C$2,"state","TN","group","1b4")/GETPIVOTDATA("Total-New",'Distrib pivot table'!$C$2,"state","TN")&gt;0.0005,GETPIVOTDATA("Total-New",'Distrib pivot table'!$C$2,"state","TN","group","1b4")/GETPIVOTDATA("Total-New",'Distrib pivot table'!$C$2,"state","TN"),"*"))</f>
        <v>8.4724278360356325E-3</v>
      </c>
      <c r="R13" s="575">
        <f>IF((GETPIVOTDATA("Total-New",'Distrib pivot table'!$C$2,"state","TX","group","1b4")/GETPIVOTDATA("Total-New",'Distrib pivot table'!$C$2,"state","TX"))=0,,IF(GETPIVOTDATA("Total-New",'Distrib pivot table'!$C$2,"state","TX","group","1b4")/GETPIVOTDATA("Total-New",'Distrib pivot table'!$C$2,"state","TX")&gt;0.0005,GETPIVOTDATA("Total-New",'Distrib pivot table'!$C$2,"state","TX","group","1b4")/GETPIVOTDATA("Total-New",'Distrib pivot table'!$C$2,"state","TX"),"*"))</f>
        <v>4.2089148132010545E-3</v>
      </c>
      <c r="S13" s="575">
        <f>IF((GETPIVOTDATA("Total-New",'Distrib pivot table'!$C$2,"state","VA","group","1b4")/GETPIVOTDATA("Total-New",'Distrib pivot table'!$C$2,"state","VA"))=0,,IF(GETPIVOTDATA("Total-New",'Distrib pivot table'!$C$2,"state","VA","group","1b4")/GETPIVOTDATA("Total-New",'Distrib pivot table'!$C$2,"state","VA")&gt;0.0005,GETPIVOTDATA("Total-New",'Distrib pivot table'!$C$2,"state","VA","group","1b4")/GETPIVOTDATA("Total-New",'Distrib pivot table'!$C$2,"state","VA"),"*"))</f>
        <v>5.7241569449019486E-3</v>
      </c>
      <c r="T13" s="575">
        <f>IF((GETPIVOTDATA("Total-New",'Distrib pivot table'!$C$2,"state","WV","group","1b4")/GETPIVOTDATA("Total-New",'Distrib pivot table'!$C$2,"state","WV"))=0,,IF(GETPIVOTDATA("Total-New",'Distrib pivot table'!$C$2,"state","WV","group","1b4")/GETPIVOTDATA("Total-New",'Distrib pivot table'!$C$2,"state","WV")&gt;0.0005,GETPIVOTDATA("Total-New",'Distrib pivot table'!$C$2,"state","WV","group","1b4")/GETPIVOTDATA("Total-New",'Distrib pivot table'!$C$2,"state","WV"),"*"))</f>
        <v>5.9654435979173545E-3</v>
      </c>
      <c r="U13" s="576"/>
      <c r="V13" s="576"/>
      <c r="W13" s="576"/>
      <c r="X13" s="576"/>
      <c r="Y13" s="576"/>
      <c r="Z13" s="576"/>
      <c r="AA13" s="576"/>
      <c r="AB13" s="576"/>
      <c r="AC13" s="576"/>
      <c r="AD13" s="576"/>
      <c r="AE13" s="576"/>
      <c r="AF13" s="576"/>
      <c r="AG13" s="576"/>
      <c r="AH13" s="576"/>
      <c r="AI13" s="576"/>
      <c r="AJ13" s="576"/>
      <c r="AK13" s="576"/>
      <c r="AL13" s="576"/>
      <c r="AM13" s="576"/>
      <c r="AN13" s="576"/>
      <c r="AO13" s="576"/>
      <c r="AP13" s="576"/>
      <c r="AQ13" s="576"/>
      <c r="AR13" s="576"/>
      <c r="AS13" s="576"/>
      <c r="AT13" s="576"/>
      <c r="AU13" s="576"/>
      <c r="AV13" s="576"/>
      <c r="AW13" s="576"/>
      <c r="AX13" s="576"/>
    </row>
    <row r="14" spans="1:50" ht="12.65" customHeight="1">
      <c r="A14" s="1223"/>
      <c r="B14" s="573" t="s">
        <v>752</v>
      </c>
      <c r="C14" s="574" t="s">
        <v>381</v>
      </c>
      <c r="D14" s="575">
        <f>IF(GETPIVOTDATA("Total-New",'Distrib pivot table'!$C$2,"group","1b5")/GETPIVOTDATA("Total-New",'Distrib pivot table'!$C$2)=0,,IF(GETPIVOTDATA("Total-New",'Distrib pivot table'!$C$2,"group","1b5")/GETPIVOTDATA("Total-New",'Distrib pivot table'!$C$2)&gt;0.0005,GETPIVOTDATA("Total-New",'Distrib pivot table'!$C$2,"group","1b5")/GETPIVOTDATA("Total-New",'Distrib pivot table'!$C$2),"*"))</f>
        <v>5.9455741724429121E-4</v>
      </c>
      <c r="E14" s="575">
        <f>IF((GETPIVOTDATA("Total-New",'Distrib pivot table'!$C$2,"state","AL","group","1b5")/GETPIVOTDATA("Total-New",'Distrib pivot table'!$C$2,"state","AL"))=0,,IF(GETPIVOTDATA("Total-New",'Distrib pivot table'!$C$2,"state","AL","group","1b5")/GETPIVOTDATA("Total-New",'Distrib pivot table'!$C$2,"state","AL")&gt;0.0005,GETPIVOTDATA("Total-New",'Distrib pivot table'!$C$2,"state","AL","group","1b5")/GETPIVOTDATA("Total-New",'Distrib pivot table'!$C$2,"state","AL"),"*"))</f>
        <v>0</v>
      </c>
      <c r="F14" s="575">
        <f>IF((GETPIVOTDATA("Total-New",'Distrib pivot table'!$C$2,"state","AR","group","1b5")/GETPIVOTDATA("Total-New",'Distrib pivot table'!$C$2,"state","AR"))=0,,IF(GETPIVOTDATA("Total-New",'Distrib pivot table'!$C$2,"state","AR","group","1b5")/GETPIVOTDATA("Total-New",'Distrib pivot table'!$C$2,"state","AR")&gt;0.0005,GETPIVOTDATA("Total-New",'Distrib pivot table'!$C$2,"state","AR","group","1b5")/GETPIVOTDATA("Total-New",'Distrib pivot table'!$C$2,"state","AR"),"*"))</f>
        <v>0</v>
      </c>
      <c r="G14" s="575">
        <f>IF((GETPIVOTDATA("Total-New",'Distrib pivot table'!$C$2,"state","DE","group","1b5")/GETPIVOTDATA("Total-New",'Distrib pivot table'!$C$2,"state","DE"))=0,,IF(GETPIVOTDATA("Total-New",'Distrib pivot table'!$C$2,"state","DE","group","1b5")/GETPIVOTDATA("Total-New",'Distrib pivot table'!$C$2,"state","DE")&gt;0.0005,GETPIVOTDATA("Total-New",'Distrib pivot table'!$C$2,"state","DE","group","1b5")/GETPIVOTDATA("Total-New",'Distrib pivot table'!$C$2,"state","DE"),"*"))</f>
        <v>0</v>
      </c>
      <c r="H14" s="575">
        <f>IF((GETPIVOTDATA("Total-New",'Distrib pivot table'!$C$2,"state","FL","group","1b5")/GETPIVOTDATA("Total-New",'Distrib pivot table'!$C$2,"state","FL"))=0,,IF(GETPIVOTDATA("Total-New",'Distrib pivot table'!$C$2,"state","FL","group","1b5")/GETPIVOTDATA("Total-New",'Distrib pivot table'!$C$2,"state","FL")&gt;0.0005,GETPIVOTDATA("Total-New",'Distrib pivot table'!$C$2,"state","FL","group","1b5")/GETPIVOTDATA("Total-New",'Distrib pivot table'!$C$2,"state","FL"),"*"))</f>
        <v>0</v>
      </c>
      <c r="I14" s="575">
        <f>IF((GETPIVOTDATA("Total-New",'Distrib pivot table'!$C$2,"state","GA","group","1b5")/GETPIVOTDATA("Total-New",'Distrib pivot table'!$C$2,"state","GA"))=0,,IF(GETPIVOTDATA("Total-New",'Distrib pivot table'!$C$2,"state","GA","group","1b5")/GETPIVOTDATA("Total-New",'Distrib pivot table'!$C$2,"state","GA")&gt;0.0005,GETPIVOTDATA("Total-New",'Distrib pivot table'!$C$2,"state","GA","group","1b5")/GETPIVOTDATA("Total-New",'Distrib pivot table'!$C$2,"state","GA"),"*"))</f>
        <v>9.4380909395559752E-4</v>
      </c>
      <c r="J14" s="575">
        <f>IF((GETPIVOTDATA("Total-New",'Distrib pivot table'!$C$2,"state","KY","group","1b5")/GETPIVOTDATA("Total-New",'Distrib pivot table'!$C$2,"state","KY"))=0,,IF(GETPIVOTDATA("Total-New",'Distrib pivot table'!$C$2,"state","KY","group","1b5")/GETPIVOTDATA("Total-New",'Distrib pivot table'!$C$2,"state","KY")&gt;0.0005,GETPIVOTDATA("Total-New",'Distrib pivot table'!$C$2,"state","KY","group","1b5")/GETPIVOTDATA("Total-New",'Distrib pivot table'!$C$2,"state","KY"),"*"))</f>
        <v>0</v>
      </c>
      <c r="K14" s="575">
        <f>IF((GETPIVOTDATA("Total-New",'Distrib pivot table'!$C$2,"state","LA","group","1b5")/GETPIVOTDATA("Total-New",'Distrib pivot table'!$C$2,"state","LA"))=0,,IF(GETPIVOTDATA("Total-New",'Distrib pivot table'!$C$2,"state","LA","group","1b5")/GETPIVOTDATA("Total-New",'Distrib pivot table'!$C$2,"state","LA")&gt;0.0005,GETPIVOTDATA("Total-New",'Distrib pivot table'!$C$2,"state","LA","group","1b5")/GETPIVOTDATA("Total-New",'Distrib pivot table'!$C$2,"state","LA"),"*"))</f>
        <v>0</v>
      </c>
      <c r="L14" s="575">
        <f>IF((GETPIVOTDATA("Total-New",'Distrib pivot table'!$C$2,"state","MD","group","1b5")/GETPIVOTDATA("Total-New",'Distrib pivot table'!$C$2,"state","MD"))=0,,IF(GETPIVOTDATA("Total-New",'Distrib pivot table'!$C$2,"state","MD","group","1b5")/GETPIVOTDATA("Total-New",'Distrib pivot table'!$C$2,"state","MD")&gt;0.0005,GETPIVOTDATA("Total-New",'Distrib pivot table'!$C$2,"state","MD","group","1b5")/GETPIVOTDATA("Total-New",'Distrib pivot table'!$C$2,"state","MD"),"*"))</f>
        <v>0</v>
      </c>
      <c r="M14" s="575">
        <f>IF((GETPIVOTDATA("Total-New",'Distrib pivot table'!$C$2,"state","MS","group","1b5")/GETPIVOTDATA("Total-New",'Distrib pivot table'!$C$2,"state","MS"))=0,,IF(GETPIVOTDATA("Total-New",'Distrib pivot table'!$C$2,"state","MS","group","1b5")/GETPIVOTDATA("Total-New",'Distrib pivot table'!$C$2,"state","MS")&gt;0.0005,GETPIVOTDATA("Total-New",'Distrib pivot table'!$C$2,"state","MS","group","1b5")/GETPIVOTDATA("Total-New",'Distrib pivot table'!$C$2,"state","MS"),"*"))</f>
        <v>0</v>
      </c>
      <c r="N14" s="575">
        <f>IF((GETPIVOTDATA("Total-New",'Distrib pivot table'!$C$2,"state","NC","group","1b5")/GETPIVOTDATA("Total-New",'Distrib pivot table'!$C$2,"state","NC"))=0,,IF(GETPIVOTDATA("Total-New",'Distrib pivot table'!$C$2,"state","NC","group","1b5")/GETPIVOTDATA("Total-New",'Distrib pivot table'!$C$2,"state","NC")&gt;0.0005,GETPIVOTDATA("Total-New",'Distrib pivot table'!$C$2,"state","NC","group","1b5")/GETPIVOTDATA("Total-New",'Distrib pivot table'!$C$2,"state","NC"),"*"))</f>
        <v>0</v>
      </c>
      <c r="O14" s="575">
        <f>IF((GETPIVOTDATA("Total-New",'Distrib pivot table'!$C$2,"state","OK","group","1b5")/GETPIVOTDATA("Total-New",'Distrib pivot table'!$C$2,"state","OK"))=0,,IF(GETPIVOTDATA("Total-New",'Distrib pivot table'!$C$2,"state","OK","group","1b5")/GETPIVOTDATA("Total-New",'Distrib pivot table'!$C$2,"state","OK")&gt;0.0005,GETPIVOTDATA("Total-New",'Distrib pivot table'!$C$2,"state","OK","group","1b5")/GETPIVOTDATA("Total-New",'Distrib pivot table'!$C$2,"state","OK"),"*"))</f>
        <v>0</v>
      </c>
      <c r="P14" s="575">
        <f>IF((GETPIVOTDATA("Total-New",'Distrib pivot table'!$C$2,"state","SC","group","1b5")/GETPIVOTDATA("Total-New",'Distrib pivot table'!$C$2,"state","SC"))=0,,IF(GETPIVOTDATA("Total-New",'Distrib pivot table'!$C$2,"state","SC","group","1b5")/GETPIVOTDATA("Total-New",'Distrib pivot table'!$C$2,"state","SC")&gt;0.0005,GETPIVOTDATA("Total-New",'Distrib pivot table'!$C$2,"state","SC","group","1b5")/GETPIVOTDATA("Total-New",'Distrib pivot table'!$C$2,"state","SC"),"*"))</f>
        <v>0</v>
      </c>
      <c r="Q14" s="575">
        <f>IF((GETPIVOTDATA("Total-New",'Distrib pivot table'!$C$2,"state","TN","group","1b5")/GETPIVOTDATA("Total-New",'Distrib pivot table'!$C$2,"state","TN"))=0,,IF(GETPIVOTDATA("Total-New",'Distrib pivot table'!$C$2,"state","TN","group","1b5")/GETPIVOTDATA("Total-New",'Distrib pivot table'!$C$2,"state","TN")&gt;0.0005,GETPIVOTDATA("Total-New",'Distrib pivot table'!$C$2,"state","TN","group","1b5")/GETPIVOTDATA("Total-New",'Distrib pivot table'!$C$2,"state","TN"),"*"))</f>
        <v>0</v>
      </c>
      <c r="R14" s="575">
        <f>IF((GETPIVOTDATA("Total-New",'Distrib pivot table'!$C$2,"state","TX","group","1b5")/GETPIVOTDATA("Total-New",'Distrib pivot table'!$C$2,"state","TX"))=0,,IF(GETPIVOTDATA("Total-New",'Distrib pivot table'!$C$2,"state","TX","group","1b5")/GETPIVOTDATA("Total-New",'Distrib pivot table'!$C$2,"state","TX")&gt;0.0005,GETPIVOTDATA("Total-New",'Distrib pivot table'!$C$2,"state","TX","group","1b5")/GETPIVOTDATA("Total-New",'Distrib pivot table'!$C$2,"state","TX"),"*"))</f>
        <v>1.6826560773760383E-3</v>
      </c>
      <c r="S14" s="575">
        <f>IF((GETPIVOTDATA("Total-New",'Distrib pivot table'!$C$2,"state","VA","group","1b5")/GETPIVOTDATA("Total-New",'Distrib pivot table'!$C$2,"state","VA"))=0,,IF(GETPIVOTDATA("Total-New",'Distrib pivot table'!$C$2,"state","VA","group","1b5")/GETPIVOTDATA("Total-New",'Distrib pivot table'!$C$2,"state","VA")&gt;0.0005,GETPIVOTDATA("Total-New",'Distrib pivot table'!$C$2,"state","VA","group","1b5")/GETPIVOTDATA("Total-New",'Distrib pivot table'!$C$2,"state","VA"),"*"))</f>
        <v>0</v>
      </c>
      <c r="T14" s="575">
        <f>IF((GETPIVOTDATA("Total-New",'Distrib pivot table'!$C$2,"state","WV","group","1b5")/GETPIVOTDATA("Total-New",'Distrib pivot table'!$C$2,"state","WV"))=0,,IF(GETPIVOTDATA("Total-New",'Distrib pivot table'!$C$2,"state","WV","group","1b5")/GETPIVOTDATA("Total-New",'Distrib pivot table'!$C$2,"state","WV")&gt;0.0005,GETPIVOTDATA("Total-New",'Distrib pivot table'!$C$2,"state","WV","group","1b5")/GETPIVOTDATA("Total-New",'Distrib pivot table'!$C$2,"state","WV"),"*"))</f>
        <v>4.6505700674446745E-3</v>
      </c>
      <c r="U14" s="576"/>
      <c r="V14" s="576"/>
      <c r="W14" s="576"/>
      <c r="X14" s="576"/>
      <c r="Y14" s="576"/>
      <c r="Z14" s="576"/>
      <c r="AA14" s="576"/>
      <c r="AB14" s="576"/>
      <c r="AC14" s="576"/>
      <c r="AD14" s="576"/>
      <c r="AE14" s="576"/>
      <c r="AF14" s="576"/>
      <c r="AG14" s="576"/>
      <c r="AH14" s="576"/>
      <c r="AI14" s="576"/>
      <c r="AJ14" s="576"/>
      <c r="AK14" s="576"/>
      <c r="AL14" s="576"/>
      <c r="AM14" s="576"/>
      <c r="AN14" s="576"/>
      <c r="AO14" s="576"/>
      <c r="AP14" s="576"/>
      <c r="AQ14" s="576"/>
      <c r="AR14" s="576"/>
      <c r="AS14" s="576"/>
      <c r="AT14" s="576"/>
      <c r="AU14" s="576"/>
      <c r="AV14" s="576"/>
      <c r="AW14" s="576"/>
      <c r="AX14" s="576"/>
    </row>
    <row r="15" spans="1:50" ht="12.65" customHeight="1">
      <c r="A15" s="1223"/>
      <c r="B15" s="573" t="s">
        <v>79</v>
      </c>
      <c r="C15" s="574" t="s">
        <v>78</v>
      </c>
      <c r="D15" s="575">
        <f>IF(GETPIVOTDATA("Total-New",'Distrib pivot table'!$C$2,"group","1b6")/GETPIVOTDATA("Total-New",'Distrib pivot table'!$C$2)=0,,IF(GETPIVOTDATA("Total-New",'Distrib pivot table'!$C$2,"group","1b6")/GETPIVOTDATA("Total-New",'Distrib pivot table'!$C$2)&gt;0.0005,GETPIVOTDATA("Total-New",'Distrib pivot table'!$C$2,"group","1b6")/GETPIVOTDATA("Total-New",'Distrib pivot table'!$C$2),"*"))</f>
        <v>1.9134113682999247E-3</v>
      </c>
      <c r="E15" s="575">
        <f>IF((GETPIVOTDATA("Total-New",'Distrib pivot table'!$C$2,"state","AL","group","1b6")/GETPIVOTDATA("Total-New",'Distrib pivot table'!$C$2,"state","AL"))=0,,IF(GETPIVOTDATA("Total-New",'Distrib pivot table'!$C$2,"state","AL","group","1b6")/GETPIVOTDATA("Total-New",'Distrib pivot table'!$C$2,"state","AL")&gt;0.0005,GETPIVOTDATA("Total-New",'Distrib pivot table'!$C$2,"state","AL","group","1b6")/GETPIVOTDATA("Total-New",'Distrib pivot table'!$C$2,"state","AL"),"*"))</f>
        <v>2.6996229874886664E-3</v>
      </c>
      <c r="F15" s="575">
        <f>IF((GETPIVOTDATA("Total-New",'Distrib pivot table'!$C$2,"state","AR","group","1b6")/GETPIVOTDATA("Total-New",'Distrib pivot table'!$C$2,"state","AR"))=0,,IF(GETPIVOTDATA("Total-New",'Distrib pivot table'!$C$2,"state","AR","group","1b6")/GETPIVOTDATA("Total-New",'Distrib pivot table'!$C$2,"state","AR")&gt;0.0005,GETPIVOTDATA("Total-New",'Distrib pivot table'!$C$2,"state","AR","group","1b6")/GETPIVOTDATA("Total-New",'Distrib pivot table'!$C$2,"state","AR"),"*"))</f>
        <v>0</v>
      </c>
      <c r="G15" s="575">
        <f>IF((GETPIVOTDATA("Total-New",'Distrib pivot table'!$C$2,"state","DE","group","1b6")/GETPIVOTDATA("Total-New",'Distrib pivot table'!$C$2,"state","DE"))=0,,IF(GETPIVOTDATA("Total-New",'Distrib pivot table'!$C$2,"state","DE","group","1b6")/GETPIVOTDATA("Total-New",'Distrib pivot table'!$C$2,"state","DE")&gt;0.0005,GETPIVOTDATA("Total-New",'Distrib pivot table'!$C$2,"state","DE","group","1b6")/GETPIVOTDATA("Total-New",'Distrib pivot table'!$C$2,"state","DE"),"*"))</f>
        <v>4.2358596372875966E-3</v>
      </c>
      <c r="H15" s="575">
        <f>IF((GETPIVOTDATA("Total-New",'Distrib pivot table'!$C$2,"state","FL","group","1b6")/GETPIVOTDATA("Total-New",'Distrib pivot table'!$C$2,"state","FL"))=0,,IF(GETPIVOTDATA("Total-New",'Distrib pivot table'!$C$2,"state","FL","group","1b6")/GETPIVOTDATA("Total-New",'Distrib pivot table'!$C$2,"state","FL")&gt;0.0005,GETPIVOTDATA("Total-New",'Distrib pivot table'!$C$2,"state","FL","group","1b6")/GETPIVOTDATA("Total-New",'Distrib pivot table'!$C$2,"state","FL"),"*"))</f>
        <v>0</v>
      </c>
      <c r="I15" s="575">
        <f>IF((GETPIVOTDATA("Total-New",'Distrib pivot table'!$C$2,"state","GA","group","1b6")/GETPIVOTDATA("Total-New",'Distrib pivot table'!$C$2,"state","GA"))=0,,IF(GETPIVOTDATA("Total-New",'Distrib pivot table'!$C$2,"state","GA","group","1b6")/GETPIVOTDATA("Total-New",'Distrib pivot table'!$C$2,"state","GA")&gt;0.0005,GETPIVOTDATA("Total-New",'Distrib pivot table'!$C$2,"state","GA","group","1b6")/GETPIVOTDATA("Total-New",'Distrib pivot table'!$C$2,"state","GA"),"*"))</f>
        <v>2.1756591142777382E-3</v>
      </c>
      <c r="J15" s="575">
        <f>IF((GETPIVOTDATA("Total-New",'Distrib pivot table'!$C$2,"state","KY","group","1b6")/GETPIVOTDATA("Total-New",'Distrib pivot table'!$C$2,"state","KY"))=0,,IF(GETPIVOTDATA("Total-New",'Distrib pivot table'!$C$2,"state","KY","group","1b6")/GETPIVOTDATA("Total-New",'Distrib pivot table'!$C$2,"state","KY")&gt;0.0005,GETPIVOTDATA("Total-New",'Distrib pivot table'!$C$2,"state","KY","group","1b6")/GETPIVOTDATA("Total-New",'Distrib pivot table'!$C$2,"state","KY"),"*"))</f>
        <v>2.9909686232515833E-3</v>
      </c>
      <c r="K15" s="575">
        <f>IF((GETPIVOTDATA("Total-New",'Distrib pivot table'!$C$2,"state","LA","group","1b6")/GETPIVOTDATA("Total-New",'Distrib pivot table'!$C$2,"state","LA"))=0,,IF(GETPIVOTDATA("Total-New",'Distrib pivot table'!$C$2,"state","LA","group","1b6")/GETPIVOTDATA("Total-New",'Distrib pivot table'!$C$2,"state","LA")&gt;0.0005,GETPIVOTDATA("Total-New",'Distrib pivot table'!$C$2,"state","LA","group","1b6")/GETPIVOTDATA("Total-New",'Distrib pivot table'!$C$2,"state","LA"),"*"))</f>
        <v>0</v>
      </c>
      <c r="L15" s="575">
        <f>IF((GETPIVOTDATA("Total-New",'Distrib pivot table'!$C$2,"state","MD","group","1b6")/GETPIVOTDATA("Total-New",'Distrib pivot table'!$C$2,"state","MD"))=0,,IF(GETPIVOTDATA("Total-New",'Distrib pivot table'!$C$2,"state","MD","group","1b6")/GETPIVOTDATA("Total-New",'Distrib pivot table'!$C$2,"state","MD")&gt;0.0005,GETPIVOTDATA("Total-New",'Distrib pivot table'!$C$2,"state","MD","group","1b6")/GETPIVOTDATA("Total-New",'Distrib pivot table'!$C$2,"state","MD"),"*"))</f>
        <v>4.4783082581188434E-3</v>
      </c>
      <c r="M15" s="575">
        <f>IF((GETPIVOTDATA("Total-New",'Distrib pivot table'!$C$2,"state","MS","group","1b6")/GETPIVOTDATA("Total-New",'Distrib pivot table'!$C$2,"state","MS"))=0,,IF(GETPIVOTDATA("Total-New",'Distrib pivot table'!$C$2,"state","MS","group","1b6")/GETPIVOTDATA("Total-New",'Distrib pivot table'!$C$2,"state","MS")&gt;0.0005,GETPIVOTDATA("Total-New",'Distrib pivot table'!$C$2,"state","MS","group","1b6")/GETPIVOTDATA("Total-New",'Distrib pivot table'!$C$2,"state","MS"),"*"))</f>
        <v>1.9921749767791361E-2</v>
      </c>
      <c r="N15" s="575">
        <f>IF((GETPIVOTDATA("Total-New",'Distrib pivot table'!$C$2,"state","NC","group","1b6")/GETPIVOTDATA("Total-New",'Distrib pivot table'!$C$2,"state","NC"))=0,,IF(GETPIVOTDATA("Total-New",'Distrib pivot table'!$C$2,"state","NC","group","1b6")/GETPIVOTDATA("Total-New",'Distrib pivot table'!$C$2,"state","NC")&gt;0.0005,GETPIVOTDATA("Total-New",'Distrib pivot table'!$C$2,"state","NC","group","1b6")/GETPIVOTDATA("Total-New",'Distrib pivot table'!$C$2,"state","NC"),"*"))</f>
        <v>0</v>
      </c>
      <c r="O15" s="575">
        <f>IF((GETPIVOTDATA("Total-New",'Distrib pivot table'!$C$2,"state","OK","group","1b6")/GETPIVOTDATA("Total-New",'Distrib pivot table'!$C$2,"state","OK"))=0,,IF(GETPIVOTDATA("Total-New",'Distrib pivot table'!$C$2,"state","OK","group","1b6")/GETPIVOTDATA("Total-New",'Distrib pivot table'!$C$2,"state","OK")&gt;0.0005,GETPIVOTDATA("Total-New",'Distrib pivot table'!$C$2,"state","OK","group","1b6")/GETPIVOTDATA("Total-New",'Distrib pivot table'!$C$2,"state","OK"),"*"))</f>
        <v>0</v>
      </c>
      <c r="P15" s="575">
        <f>IF((GETPIVOTDATA("Total-New",'Distrib pivot table'!$C$2,"state","SC","group","1b6")/GETPIVOTDATA("Total-New",'Distrib pivot table'!$C$2,"state","SC"))=0,,IF(GETPIVOTDATA("Total-New",'Distrib pivot table'!$C$2,"state","SC","group","1b6")/GETPIVOTDATA("Total-New",'Distrib pivot table'!$C$2,"state","SC")&gt;0.0005,GETPIVOTDATA("Total-New",'Distrib pivot table'!$C$2,"state","SC","group","1b6")/GETPIVOTDATA("Total-New",'Distrib pivot table'!$C$2,"state","SC"),"*"))</f>
        <v>8.9516139726864214E-4</v>
      </c>
      <c r="Q15" s="575">
        <f>IF((GETPIVOTDATA("Total-New",'Distrib pivot table'!$C$2,"state","TN","group","1b6")/GETPIVOTDATA("Total-New",'Distrib pivot table'!$C$2,"state","TN"))=0,,IF(GETPIVOTDATA("Total-New",'Distrib pivot table'!$C$2,"state","TN","group","1b6")/GETPIVOTDATA("Total-New",'Distrib pivot table'!$C$2,"state","TN")&gt;0.0005,GETPIVOTDATA("Total-New",'Distrib pivot table'!$C$2,"state","TN","group","1b6")/GETPIVOTDATA("Total-New",'Distrib pivot table'!$C$2,"state","TN"),"*"))</f>
        <v>0</v>
      </c>
      <c r="R15" s="575">
        <f>IF((GETPIVOTDATA("Total-New",'Distrib pivot table'!$C$2,"state","TX","group","1b6")/GETPIVOTDATA("Total-New",'Distrib pivot table'!$C$2,"state","TX"))=0,,IF(GETPIVOTDATA("Total-New",'Distrib pivot table'!$C$2,"state","TX","group","1b6")/GETPIVOTDATA("Total-New",'Distrib pivot table'!$C$2,"state","TX")&gt;0.0005,GETPIVOTDATA("Total-New",'Distrib pivot table'!$C$2,"state","TX","group","1b6")/GETPIVOTDATA("Total-New",'Distrib pivot table'!$C$2,"state","TX"),"*"))</f>
        <v>0</v>
      </c>
      <c r="S15" s="575">
        <f>IF((GETPIVOTDATA("Total-New",'Distrib pivot table'!$C$2,"state","VA","group","1b6")/GETPIVOTDATA("Total-New",'Distrib pivot table'!$C$2,"state","VA"))=0,,IF(GETPIVOTDATA("Total-New",'Distrib pivot table'!$C$2,"state","VA","group","1b6")/GETPIVOTDATA("Total-New",'Distrib pivot table'!$C$2,"state","VA")&gt;0.0005,GETPIVOTDATA("Total-New",'Distrib pivot table'!$C$2,"state","VA","group","1b6")/GETPIVOTDATA("Total-New",'Distrib pivot table'!$C$2,"state","VA"),"*"))</f>
        <v>3.8164096846491956E-3</v>
      </c>
      <c r="T15" s="575">
        <f>IF((GETPIVOTDATA("Total-New",'Distrib pivot table'!$C$2,"state","WV","group","1b6")/GETPIVOTDATA("Total-New",'Distrib pivot table'!$C$2,"state","WV"))=0,,IF(GETPIVOTDATA("Total-New",'Distrib pivot table'!$C$2,"state","WV","group","1b6")/GETPIVOTDATA("Total-New",'Distrib pivot table'!$C$2,"state","WV")&gt;0.0005,GETPIVOTDATA("Total-New",'Distrib pivot table'!$C$2,"state","WV","group","1b6")/GETPIVOTDATA("Total-New",'Distrib pivot table'!$C$2,"state","WV"),"*"))</f>
        <v>4.1146299101746777E-3</v>
      </c>
      <c r="U15" s="576"/>
      <c r="V15" s="576"/>
      <c r="W15" s="576"/>
      <c r="X15" s="576"/>
      <c r="Y15" s="576"/>
      <c r="Z15" s="576"/>
      <c r="AA15" s="576"/>
      <c r="AB15" s="576"/>
      <c r="AC15" s="576"/>
      <c r="AD15" s="576"/>
      <c r="AE15" s="576"/>
      <c r="AF15" s="576"/>
      <c r="AG15" s="576"/>
      <c r="AH15" s="576"/>
      <c r="AI15" s="576"/>
      <c r="AJ15" s="576"/>
      <c r="AK15" s="576"/>
      <c r="AL15" s="576"/>
      <c r="AM15" s="576"/>
      <c r="AN15" s="576"/>
      <c r="AO15" s="576"/>
      <c r="AP15" s="576"/>
      <c r="AQ15" s="576"/>
      <c r="AR15" s="576"/>
      <c r="AS15" s="576"/>
      <c r="AT15" s="576"/>
      <c r="AU15" s="576"/>
      <c r="AV15" s="576"/>
      <c r="AW15" s="576"/>
      <c r="AX15" s="576"/>
    </row>
    <row r="16" spans="1:50" ht="12.65" customHeight="1">
      <c r="A16" s="1223"/>
      <c r="B16" s="573" t="s">
        <v>847</v>
      </c>
      <c r="C16" s="574" t="s">
        <v>99</v>
      </c>
      <c r="D16" s="575">
        <f>IF(GETPIVOTDATA("Total-New",'Distrib pivot table'!$C$2,"group","1b7")/GETPIVOTDATA("Total-New",'Distrib pivot table'!$C$2)=0,,IF(GETPIVOTDATA("Total-New",'Distrib pivot table'!$C$2,"group","1b7")/GETPIVOTDATA("Total-New",'Distrib pivot table'!$C$2)&gt;0.0005,GETPIVOTDATA("Total-New",'Distrib pivot table'!$C$2,"group","1b7")/GETPIVOTDATA("Total-New",'Distrib pivot table'!$C$2),"*"))</f>
        <v>6.0471068448320292E-4</v>
      </c>
      <c r="E16" s="575">
        <f>IF((GETPIVOTDATA("Total-New",'Distrib pivot table'!$C$2,"state","AL","group","1b7")/GETPIVOTDATA("Total-New",'Distrib pivot table'!$C$2,"state","AL"))=0,,IF(GETPIVOTDATA("Total-New",'Distrib pivot table'!$C$2,"state","AL","group","1b7")/GETPIVOTDATA("Total-New",'Distrib pivot table'!$C$2,"state","AL")&gt;0.0005,GETPIVOTDATA("Total-New",'Distrib pivot table'!$C$2,"state","AL","group","1b7")/GETPIVOTDATA("Total-New",'Distrib pivot table'!$C$2,"state","AL"),"*"))</f>
        <v>0</v>
      </c>
      <c r="F16" s="575">
        <f>IF((GETPIVOTDATA("Total-New",'Distrib pivot table'!$C$2,"state","AR","group","1b7")/GETPIVOTDATA("Total-New",'Distrib pivot table'!$C$2,"state","AR"))=0,,IF(GETPIVOTDATA("Total-New",'Distrib pivot table'!$C$2,"state","AR","group","1b7")/GETPIVOTDATA("Total-New",'Distrib pivot table'!$C$2,"state","AR")&gt;0.0005,GETPIVOTDATA("Total-New",'Distrib pivot table'!$C$2,"state","AR","group","1b7")/GETPIVOTDATA("Total-New",'Distrib pivot table'!$C$2,"state","AR"),"*"))</f>
        <v>0</v>
      </c>
      <c r="G16" s="575">
        <f>IF((GETPIVOTDATA("Total-New",'Distrib pivot table'!$C$2,"state","DE","group","1b7")/GETPIVOTDATA("Total-New",'Distrib pivot table'!$C$2,"state","DE"))=0,,IF(GETPIVOTDATA("Total-New",'Distrib pivot table'!$C$2,"state","DE","group","1b7")/GETPIVOTDATA("Total-New",'Distrib pivot table'!$C$2,"state","DE")&gt;0.0005,GETPIVOTDATA("Total-New",'Distrib pivot table'!$C$2,"state","DE","group","1b7")/GETPIVOTDATA("Total-New",'Distrib pivot table'!$C$2,"state","DE"),"*"))</f>
        <v>0</v>
      </c>
      <c r="H16" s="575">
        <f>IF((GETPIVOTDATA("Total-New",'Distrib pivot table'!$C$2,"state","FL","group","1b7")/GETPIVOTDATA("Total-New",'Distrib pivot table'!$C$2,"state","FL"))=0,,IF(GETPIVOTDATA("Total-New",'Distrib pivot table'!$C$2,"state","FL","group","1b7")/GETPIVOTDATA("Total-New",'Distrib pivot table'!$C$2,"state","FL")&gt;0.0005,GETPIVOTDATA("Total-New",'Distrib pivot table'!$C$2,"state","FL","group","1b7")/GETPIVOTDATA("Total-New",'Distrib pivot table'!$C$2,"state","FL"),"*"))</f>
        <v>0</v>
      </c>
      <c r="I16" s="575">
        <f>IF((GETPIVOTDATA("Total-New",'Distrib pivot table'!$C$2,"state","GA","group","1b7")/GETPIVOTDATA("Total-New",'Distrib pivot table'!$C$2,"state","GA"))=0,,IF(GETPIVOTDATA("Total-New",'Distrib pivot table'!$C$2,"state","GA","group","1b7")/GETPIVOTDATA("Total-New",'Distrib pivot table'!$C$2,"state","GA")&gt;0.0005,GETPIVOTDATA("Total-New",'Distrib pivot table'!$C$2,"state","GA","group","1b7")/GETPIVOTDATA("Total-New",'Distrib pivot table'!$C$2,"state","GA"),"*"))</f>
        <v>0</v>
      </c>
      <c r="J16" s="575">
        <f>IF((GETPIVOTDATA("Total-New",'Distrib pivot table'!$C$2,"state","KY","group","1b7")/GETPIVOTDATA("Total-New",'Distrib pivot table'!$C$2,"state","KY"))=0,,IF(GETPIVOTDATA("Total-New",'Distrib pivot table'!$C$2,"state","KY","group","1b7")/GETPIVOTDATA("Total-New",'Distrib pivot table'!$C$2,"state","KY")&gt;0.0005,GETPIVOTDATA("Total-New",'Distrib pivot table'!$C$2,"state","KY","group","1b7")/GETPIVOTDATA("Total-New",'Distrib pivot table'!$C$2,"state","KY"),"*"))</f>
        <v>0</v>
      </c>
      <c r="K16" s="575">
        <f>IF((GETPIVOTDATA("Total-New",'Distrib pivot table'!$C$2,"state","LA","group","1b7")/GETPIVOTDATA("Total-New",'Distrib pivot table'!$C$2,"state","LA"))=0,,IF(GETPIVOTDATA("Total-New",'Distrib pivot table'!$C$2,"state","LA","group","1b7")/GETPIVOTDATA("Total-New",'Distrib pivot table'!$C$2,"state","LA")&gt;0.0005,GETPIVOTDATA("Total-New",'Distrib pivot table'!$C$2,"state","LA","group","1b7")/GETPIVOTDATA("Total-New",'Distrib pivot table'!$C$2,"state","LA"),"*"))</f>
        <v>0</v>
      </c>
      <c r="L16" s="575">
        <f>IF((GETPIVOTDATA("Total-New",'Distrib pivot table'!$C$2,"state","MD","group","1b7")/GETPIVOTDATA("Total-New",'Distrib pivot table'!$C$2,"state","MD"))=0,,IF(GETPIVOTDATA("Total-New",'Distrib pivot table'!$C$2,"state","MD","group","1b7")/GETPIVOTDATA("Total-New",'Distrib pivot table'!$C$2,"state","MD")&gt;0.0005,GETPIVOTDATA("Total-New",'Distrib pivot table'!$C$2,"state","MD","group","1b7")/GETPIVOTDATA("Total-New",'Distrib pivot table'!$C$2,"state","MD"),"*"))</f>
        <v>0</v>
      </c>
      <c r="M16" s="575">
        <f>IF((GETPIVOTDATA("Total-New",'Distrib pivot table'!$C$2,"state","MS","group","1b7")/GETPIVOTDATA("Total-New",'Distrib pivot table'!$C$2,"state","MS"))=0,,IF(GETPIVOTDATA("Total-New",'Distrib pivot table'!$C$2,"state","MS","group","1b7")/GETPIVOTDATA("Total-New",'Distrib pivot table'!$C$2,"state","MS")&gt;0.0005,GETPIVOTDATA("Total-New",'Distrib pivot table'!$C$2,"state","MS","group","1b7")/GETPIVOTDATA("Total-New",'Distrib pivot table'!$C$2,"state","MS"),"*"))</f>
        <v>0</v>
      </c>
      <c r="N16" s="575">
        <f>IF((GETPIVOTDATA("Total-New",'Distrib pivot table'!$C$2,"state","NC","group","1b7")/GETPIVOTDATA("Total-New",'Distrib pivot table'!$C$2,"state","NC"))=0,,IF(GETPIVOTDATA("Total-New",'Distrib pivot table'!$C$2,"state","NC","group","1b7")/GETPIVOTDATA("Total-New",'Distrib pivot table'!$C$2,"state","NC")&gt;0.0005,GETPIVOTDATA("Total-New",'Distrib pivot table'!$C$2,"state","NC","group","1b7")/GETPIVOTDATA("Total-New",'Distrib pivot table'!$C$2,"state","NC"),"*"))</f>
        <v>0</v>
      </c>
      <c r="O16" s="575">
        <f>IF((GETPIVOTDATA("Total-New",'Distrib pivot table'!$C$2,"state","OK","group","1b7")/GETPIVOTDATA("Total-New",'Distrib pivot table'!$C$2,"state","OK"))=0,,IF(GETPIVOTDATA("Total-New",'Distrib pivot table'!$C$2,"state","OK","group","1b7")/GETPIVOTDATA("Total-New",'Distrib pivot table'!$C$2,"state","OK")&gt;0.0005,GETPIVOTDATA("Total-New",'Distrib pivot table'!$C$2,"state","OK","group","1b7")/GETPIVOTDATA("Total-New",'Distrib pivot table'!$C$2,"state","OK"),"*"))</f>
        <v>0</v>
      </c>
      <c r="P16" s="575">
        <f>IF((GETPIVOTDATA("Total-New",'Distrib pivot table'!$C$2,"state","SC","group","1b7")/GETPIVOTDATA("Total-New",'Distrib pivot table'!$C$2,"state","SC"))=0,,IF(GETPIVOTDATA("Total-New",'Distrib pivot table'!$C$2,"state","SC","group","1b7")/GETPIVOTDATA("Total-New",'Distrib pivot table'!$C$2,"state","SC")&gt;0.0005,GETPIVOTDATA("Total-New",'Distrib pivot table'!$C$2,"state","SC","group","1b7")/GETPIVOTDATA("Total-New",'Distrib pivot table'!$C$2,"state","SC"),"*"))</f>
        <v>9.8515822043404293E-3</v>
      </c>
      <c r="Q16" s="575">
        <f>IF((GETPIVOTDATA("Total-New",'Distrib pivot table'!$C$2,"state","TN","group","1b7")/GETPIVOTDATA("Total-New",'Distrib pivot table'!$C$2,"state","TN"))=0,,IF(GETPIVOTDATA("Total-New",'Distrib pivot table'!$C$2,"state","TN","group","1b7")/GETPIVOTDATA("Total-New",'Distrib pivot table'!$C$2,"state","TN")&gt;0.0005,GETPIVOTDATA("Total-New",'Distrib pivot table'!$C$2,"state","TN","group","1b7")/GETPIVOTDATA("Total-New",'Distrib pivot table'!$C$2,"state","TN"),"*"))</f>
        <v>0</v>
      </c>
      <c r="R16" s="575">
        <f>IF((GETPIVOTDATA("Total-New",'Distrib pivot table'!$C$2,"state","TX","group","1b7")/GETPIVOTDATA("Total-New",'Distrib pivot table'!$C$2,"state","TX"))=0,,IF(GETPIVOTDATA("Total-New",'Distrib pivot table'!$C$2,"state","TX","group","1b7")/GETPIVOTDATA("Total-New",'Distrib pivot table'!$C$2,"state","TX")&gt;0.0005,GETPIVOTDATA("Total-New",'Distrib pivot table'!$C$2,"state","TX","group","1b7")/GETPIVOTDATA("Total-New",'Distrib pivot table'!$C$2,"state","TX"),"*"))</f>
        <v>0</v>
      </c>
      <c r="S16" s="575">
        <f>IF((GETPIVOTDATA("Total-New",'Distrib pivot table'!$C$2,"state","VA","group","1b7")/GETPIVOTDATA("Total-New",'Distrib pivot table'!$C$2,"state","VA"))=0,,IF(GETPIVOTDATA("Total-New",'Distrib pivot table'!$C$2,"state","VA","group","1b7")/GETPIVOTDATA("Total-New",'Distrib pivot table'!$C$2,"state","VA")&gt;0.0005,GETPIVOTDATA("Total-New",'Distrib pivot table'!$C$2,"state","VA","group","1b7")/GETPIVOTDATA("Total-New",'Distrib pivot table'!$C$2,"state","VA"),"*"))</f>
        <v>0</v>
      </c>
      <c r="T16" s="575">
        <f>IF((GETPIVOTDATA("Total-New",'Distrib pivot table'!$C$2,"state","WV","group","1b7")/GETPIVOTDATA("Total-New",'Distrib pivot table'!$C$2,"state","WV"))=0,,IF(GETPIVOTDATA("Total-New",'Distrib pivot table'!$C$2,"state","WV","group","1b7")/GETPIVOTDATA("Total-New",'Distrib pivot table'!$C$2,"state","WV")&gt;0.0005,GETPIVOTDATA("Total-New",'Distrib pivot table'!$C$2,"state","WV","group","1b7")/GETPIVOTDATA("Total-New",'Distrib pivot table'!$C$2,"state","WV"),"*"))</f>
        <v>2.2402655334499747E-3</v>
      </c>
      <c r="U16" s="576"/>
      <c r="V16" s="576"/>
      <c r="W16" s="576"/>
      <c r="X16" s="576"/>
      <c r="Y16" s="576"/>
      <c r="Z16" s="576"/>
      <c r="AA16" s="576"/>
      <c r="AB16" s="576"/>
      <c r="AC16" s="576"/>
      <c r="AD16" s="576"/>
      <c r="AE16" s="576"/>
      <c r="AF16" s="576"/>
      <c r="AG16" s="576"/>
      <c r="AH16" s="576"/>
      <c r="AI16" s="576"/>
      <c r="AJ16" s="576"/>
      <c r="AK16" s="576"/>
      <c r="AL16" s="576"/>
      <c r="AM16" s="576"/>
      <c r="AN16" s="576"/>
      <c r="AO16" s="576"/>
      <c r="AP16" s="576"/>
      <c r="AQ16" s="576"/>
      <c r="AR16" s="576"/>
      <c r="AS16" s="576"/>
      <c r="AT16" s="576"/>
      <c r="AU16" s="576"/>
      <c r="AV16" s="576"/>
      <c r="AW16" s="576"/>
      <c r="AX16" s="576"/>
    </row>
    <row r="17" spans="1:50" s="571" customFormat="1" ht="26.25" customHeight="1">
      <c r="A17" s="1223"/>
      <c r="B17" s="577" t="s">
        <v>741</v>
      </c>
      <c r="C17" s="567" t="s">
        <v>118</v>
      </c>
      <c r="D17" s="578">
        <f>SUM(D18:D23)</f>
        <v>9.3703600148504016E-3</v>
      </c>
      <c r="E17" s="578">
        <f>SUM(E18:E23)</f>
        <v>1.7788696105473081E-2</v>
      </c>
      <c r="F17" s="578">
        <f>SUM(F18:F23)</f>
        <v>3.7965596542941446E-2</v>
      </c>
      <c r="G17" s="578">
        <f t="shared" ref="G17:T17" si="2">SUM(G18:G23)</f>
        <v>0</v>
      </c>
      <c r="H17" s="578">
        <f t="shared" si="2"/>
        <v>0</v>
      </c>
      <c r="I17" s="578">
        <f t="shared" si="2"/>
        <v>7.1060561529951516E-3</v>
      </c>
      <c r="J17" s="578">
        <f t="shared" si="2"/>
        <v>2.9969388259617254E-3</v>
      </c>
      <c r="K17" s="578">
        <f t="shared" si="2"/>
        <v>8.484213747256204E-3</v>
      </c>
      <c r="L17" s="578">
        <f t="shared" si="2"/>
        <v>0</v>
      </c>
      <c r="M17" s="578">
        <f t="shared" si="2"/>
        <v>0</v>
      </c>
      <c r="N17" s="578">
        <f t="shared" si="2"/>
        <v>3.6942811028657346E-2</v>
      </c>
      <c r="O17" s="578">
        <f t="shared" si="2"/>
        <v>0</v>
      </c>
      <c r="P17" s="578">
        <f>SUM(P18:P23)</f>
        <v>0</v>
      </c>
      <c r="Q17" s="578">
        <f t="shared" si="2"/>
        <v>0</v>
      </c>
      <c r="R17" s="578">
        <f t="shared" si="2"/>
        <v>5.2802925134233826E-3</v>
      </c>
      <c r="S17" s="578">
        <f t="shared" si="2"/>
        <v>9.2187933693611557E-3</v>
      </c>
      <c r="T17" s="578">
        <f t="shared" si="2"/>
        <v>3.4178231488249363E-3</v>
      </c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79"/>
      <c r="AF17" s="579"/>
      <c r="AG17" s="579"/>
      <c r="AH17" s="579"/>
      <c r="AI17" s="579"/>
      <c r="AJ17" s="579"/>
      <c r="AK17" s="579"/>
      <c r="AL17" s="579"/>
      <c r="AM17" s="579"/>
      <c r="AN17" s="579"/>
      <c r="AO17" s="579"/>
      <c r="AP17" s="579"/>
      <c r="AQ17" s="579"/>
      <c r="AR17" s="579"/>
      <c r="AS17" s="579"/>
      <c r="AT17" s="579"/>
      <c r="AU17" s="579"/>
      <c r="AV17" s="579"/>
      <c r="AW17" s="579"/>
      <c r="AX17" s="579"/>
    </row>
    <row r="18" spans="1:50" ht="12.65" customHeight="1">
      <c r="A18" s="1223"/>
      <c r="B18" s="573" t="s">
        <v>70</v>
      </c>
      <c r="C18" s="574" t="s">
        <v>336</v>
      </c>
      <c r="D18" s="575">
        <f>IF(GETPIVOTDATA("Total-New",'Distrib pivot table'!$C$2,"group","1c1")/GETPIVOTDATA("Total-New",'Distrib pivot table'!$C$2)=0,,IF(GETPIVOTDATA("Total-New",'Distrib pivot table'!$C$2,"group","1c1")/GETPIVOTDATA("Total-New",'Distrib pivot table'!$C$2)&gt;0.0005,GETPIVOTDATA("Total-New",'Distrib pivot table'!$C$2,"group","1c1")/GETPIVOTDATA("Total-New",'Distrib pivot table'!$C$2),"*"))</f>
        <v>2.007758238308626E-3</v>
      </c>
      <c r="E18" s="575">
        <f>IF((GETPIVOTDATA("Total-New",'Distrib pivot table'!$C$2,"state","AL","group","1c1")/GETPIVOTDATA("Total-New",'Distrib pivot table'!$C$2,"state","AL"))=0,,IF(GETPIVOTDATA("Total-New",'Distrib pivot table'!$C$2,"state","AL","group","1c1")/GETPIVOTDATA("Total-New",'Distrib pivot table'!$C$2,"state","AL")&gt;0.0005,GETPIVOTDATA("Total-New",'Distrib pivot table'!$C$2,"state","AL","group","1c1")/GETPIVOTDATA("Total-New",'Distrib pivot table'!$C$2,"state","AL"),"*"))</f>
        <v>0</v>
      </c>
      <c r="F18" s="575">
        <f>IF((GETPIVOTDATA("Total-New",'Distrib pivot table'!$C$2,"state","AR","group","1c1")/GETPIVOTDATA("Total-New",'Distrib pivot table'!$C$2,"state","AR"))=0,,IF(GETPIVOTDATA("Total-New",'Distrib pivot table'!$C$2,"state","AR","group","1c1")/GETPIVOTDATA("Total-New",'Distrib pivot table'!$C$2,"state","AR")&gt;0.0005,GETPIVOTDATA("Total-New",'Distrib pivot table'!$C$2,"state","AR","group","1c1")/GETPIVOTDATA("Total-New",'Distrib pivot table'!$C$2,"state","AR"),"*"))</f>
        <v>0</v>
      </c>
      <c r="G18" s="575">
        <f>IF((GETPIVOTDATA("Total-New",'Distrib pivot table'!$C$2,"state","DE","group","1c1")/GETPIVOTDATA("Total-New",'Distrib pivot table'!$C$2,"state","DE"))=0,,IF(GETPIVOTDATA("Total-New",'Distrib pivot table'!$C$2,"state","DE","group","1c1")/GETPIVOTDATA("Total-New",'Distrib pivot table'!$C$2,"state","DE")&gt;0.0005,GETPIVOTDATA("Total-New",'Distrib pivot table'!$C$2,"state","DE","group","1c1")/GETPIVOTDATA("Total-New",'Distrib pivot table'!$C$2,"state","DE"),"*"))</f>
        <v>0</v>
      </c>
      <c r="H18" s="575">
        <f>IF((GETPIVOTDATA("Total-New",'Distrib pivot table'!$C$2,"state","FL","group","1c1")/GETPIVOTDATA("Total-New",'Distrib pivot table'!$C$2,"state","FL"))=0,,IF(GETPIVOTDATA("Total-New",'Distrib pivot table'!$C$2,"state","FL","group","1c1")/GETPIVOTDATA("Total-New",'Distrib pivot table'!$C$2,"state","FL")&gt;0.0005,GETPIVOTDATA("Total-New",'Distrib pivot table'!$C$2,"state","FL","group","1c1")/GETPIVOTDATA("Total-New",'Distrib pivot table'!$C$2,"state","FL"),"*"))</f>
        <v>0</v>
      </c>
      <c r="I18" s="575">
        <f>IF((GETPIVOTDATA("Total-New",'Distrib pivot table'!$C$2,"state","GA","group","1c1")/GETPIVOTDATA("Total-New",'Distrib pivot table'!$C$2,"state","GA"))=0,,IF(GETPIVOTDATA("Total-New",'Distrib pivot table'!$C$2,"state","GA","group","1c1")/GETPIVOTDATA("Total-New",'Distrib pivot table'!$C$2,"state","GA")&gt;0.0005,GETPIVOTDATA("Total-New",'Distrib pivot table'!$C$2,"state","GA","group","1c1")/GETPIVOTDATA("Total-New",'Distrib pivot table'!$C$2,"state","GA"),"*"))</f>
        <v>0</v>
      </c>
      <c r="J18" s="575">
        <f>IF((GETPIVOTDATA("Total-New",'Distrib pivot table'!$C$2,"state","KY","group","1c1")/GETPIVOTDATA("Total-New",'Distrib pivot table'!$C$2,"state","KY"))=0,,IF(GETPIVOTDATA("Total-New",'Distrib pivot table'!$C$2,"state","KY","group","1c1")/GETPIVOTDATA("Total-New",'Distrib pivot table'!$C$2,"state","KY")&gt;0.0005,GETPIVOTDATA("Total-New",'Distrib pivot table'!$C$2,"state","KY","group","1c1")/GETPIVOTDATA("Total-New",'Distrib pivot table'!$C$2,"state","KY"),"*"))</f>
        <v>2.9969388259617254E-3</v>
      </c>
      <c r="K18" s="575" t="str">
        <f>IF((GETPIVOTDATA("Total-New",'Distrib pivot table'!$C$2,"state","LA","group","1c1")/GETPIVOTDATA("Total-New",'Distrib pivot table'!$C$2,"state","LA"))=0,,IF(GETPIVOTDATA("Total-New",'Distrib pivot table'!$C$2,"state","LA","group","1c1")/GETPIVOTDATA("Total-New",'Distrib pivot table'!$C$2,"state","LA")&gt;0.0005,GETPIVOTDATA("Total-New",'Distrib pivot table'!$C$2,"state","LA","group","1c1")/GETPIVOTDATA("Total-New",'Distrib pivot table'!$C$2,"state","LA"),"*"))</f>
        <v>*</v>
      </c>
      <c r="L18" s="575">
        <f>IF((GETPIVOTDATA("Total-New",'Distrib pivot table'!$C$2,"state","MD","group","1c1")/GETPIVOTDATA("Total-New",'Distrib pivot table'!$C$2,"state","MD"))=0,,IF(GETPIVOTDATA("Total-New",'Distrib pivot table'!$C$2,"state","MD","group","1c1")/GETPIVOTDATA("Total-New",'Distrib pivot table'!$C$2,"state","MD")&gt;0.0005,GETPIVOTDATA("Total-New",'Distrib pivot table'!$C$2,"state","MD","group","1c1")/GETPIVOTDATA("Total-New",'Distrib pivot table'!$C$2,"state","MD"),"*"))</f>
        <v>0</v>
      </c>
      <c r="M18" s="575" t="str">
        <f>IF((GETPIVOTDATA("Total-New",'Distrib pivot table'!$C$2,"state","MS","group","1c1")/GETPIVOTDATA("Total-New",'Distrib pivot table'!$C$2,"state","MS"))=0,,IF(GETPIVOTDATA("Total-New",'Distrib pivot table'!$C$2,"state","MS","group","1c1")/GETPIVOTDATA("Total-New",'Distrib pivot table'!$C$2,"state","MS")&gt;0.0005,GETPIVOTDATA("Total-New",'Distrib pivot table'!$C$2,"state","MS","group","1c1")/GETPIVOTDATA("Total-New",'Distrib pivot table'!$C$2,"state","MS"),"*"))</f>
        <v>*</v>
      </c>
      <c r="N18" s="575">
        <f>IF((GETPIVOTDATA("Total-New",'Distrib pivot table'!$C$2,"state","NC","group","1c1")/GETPIVOTDATA("Total-New",'Distrib pivot table'!$C$2,"state","NC"))=0,,IF(GETPIVOTDATA("Total-New",'Distrib pivot table'!$C$2,"state","NC","group","1c1")/GETPIVOTDATA("Total-New",'Distrib pivot table'!$C$2,"state","NC")&gt;0.0005,GETPIVOTDATA("Total-New",'Distrib pivot table'!$C$2,"state","NC","group","1c1")/GETPIVOTDATA("Total-New",'Distrib pivot table'!$C$2,"state","NC"),"*"))</f>
        <v>9.0343555553694388E-3</v>
      </c>
      <c r="O18" s="575">
        <f>IF((GETPIVOTDATA("Total-New",'Distrib pivot table'!$C$2,"state","OK","group","1c1")/GETPIVOTDATA("Total-New",'Distrib pivot table'!$C$2,"state","OK"))=0,,IF(GETPIVOTDATA("Total-New",'Distrib pivot table'!$C$2,"state","OK","group","1c1")/GETPIVOTDATA("Total-New",'Distrib pivot table'!$C$2,"state","OK")&gt;0.0005,GETPIVOTDATA("Total-New",'Distrib pivot table'!$C$2,"state","OK","group","1c1")/GETPIVOTDATA("Total-New",'Distrib pivot table'!$C$2,"state","OK"),"*"))</f>
        <v>0</v>
      </c>
      <c r="P18" s="575">
        <f>IF((GETPIVOTDATA("Total-New",'Distrib pivot table'!$C$2,"state","SC","group","1c1")/GETPIVOTDATA("Total-New",'Distrib pivot table'!$C$2,"state","SC"))=0,,IF(GETPIVOTDATA("Total-New",'Distrib pivot table'!$C$2,"state","SC","group","1c1")/GETPIVOTDATA("Total-New",'Distrib pivot table'!$C$2,"state","SC")&gt;0.0005,GETPIVOTDATA("Total-New",'Distrib pivot table'!$C$2,"state","SC","group","1c1")/GETPIVOTDATA("Total-New",'Distrib pivot table'!$C$2,"state","SC"),"*"))</f>
        <v>0</v>
      </c>
      <c r="Q18" s="575">
        <f>IF((GETPIVOTDATA("Total-New",'Distrib pivot table'!$C$2,"state","TN","group","1c1")/GETPIVOTDATA("Total-New",'Distrib pivot table'!$C$2,"state","TN"))=0,,IF(GETPIVOTDATA("Total-New",'Distrib pivot table'!$C$2,"state","TN","group","1c1")/GETPIVOTDATA("Total-New",'Distrib pivot table'!$C$2,"state","TN")&gt;0.0005,GETPIVOTDATA("Total-New",'Distrib pivot table'!$C$2,"state","TN","group","1c1")/GETPIVOTDATA("Total-New",'Distrib pivot table'!$C$2,"state","TN"),"*"))</f>
        <v>0</v>
      </c>
      <c r="R18" s="575">
        <f>IF((GETPIVOTDATA("Total-New",'Distrib pivot table'!$C$2,"state","TX","group","1c1")/GETPIVOTDATA("Total-New",'Distrib pivot table'!$C$2,"state","TX"))=0,,IF(GETPIVOTDATA("Total-New",'Distrib pivot table'!$C$2,"state","TX","group","1c1")/GETPIVOTDATA("Total-New",'Distrib pivot table'!$C$2,"state","TX")&gt;0.0005,GETPIVOTDATA("Total-New",'Distrib pivot table'!$C$2,"state","TX","group","1c1")/GETPIVOTDATA("Total-New",'Distrib pivot table'!$C$2,"state","TX"),"*"))</f>
        <v>3.6227707101150223E-3</v>
      </c>
      <c r="S18" s="575">
        <f>IF((GETPIVOTDATA("Total-New",'Distrib pivot table'!$C$2,"state","VA","group","1c1")/GETPIVOTDATA("Total-New",'Distrib pivot table'!$C$2,"state","VA"))=0,,IF(GETPIVOTDATA("Total-New",'Distrib pivot table'!$C$2,"state","VA","group","1c1")/GETPIVOTDATA("Total-New",'Distrib pivot table'!$C$2,"state","VA")&gt;0.0005,GETPIVOTDATA("Total-New",'Distrib pivot table'!$C$2,"state","VA","group","1c1")/GETPIVOTDATA("Total-New",'Distrib pivot table'!$C$2,"state","VA"),"*"))</f>
        <v>0</v>
      </c>
      <c r="T18" s="575">
        <f>IF((GETPIVOTDATA("Total-New",'Distrib pivot table'!$C$2,"state","WV","group","1c1")/GETPIVOTDATA("Total-New",'Distrib pivot table'!$C$2,"state","WV"))=0,,IF(GETPIVOTDATA("Total-New",'Distrib pivot table'!$C$2,"state","WV","group","1c1")/GETPIVOTDATA("Total-New",'Distrib pivot table'!$C$2,"state","WV")&gt;0.0005,GETPIVOTDATA("Total-New",'Distrib pivot table'!$C$2,"state","WV","group","1c1")/GETPIVOTDATA("Total-New",'Distrib pivot table'!$C$2,"state","WV"),"*"))</f>
        <v>3.4178231488249363E-3</v>
      </c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</row>
    <row r="19" spans="1:50" ht="12.65" customHeight="1">
      <c r="A19" s="1223"/>
      <c r="B19" s="573" t="s">
        <v>72</v>
      </c>
      <c r="C19" s="574" t="s">
        <v>685</v>
      </c>
      <c r="D19" s="575">
        <f>IF(GETPIVOTDATA("Total-New",'Distrib pivot table'!$C$2,"group","1c2")/GETPIVOTDATA("Total-New",'Distrib pivot table'!$C$2)=0,,IF(GETPIVOTDATA("Total-New",'Distrib pivot table'!$C$2,"group","1c2")/GETPIVOTDATA("Total-New",'Distrib pivot table'!$C$2)&gt;0.0005,GETPIVOTDATA("Total-New",'Distrib pivot table'!$C$2,"group","1c2")/GETPIVOTDATA("Total-New",'Distrib pivot table'!$C$2),"*"))</f>
        <v>2.4125074259985801E-3</v>
      </c>
      <c r="E19" s="575">
        <f>IF((GETPIVOTDATA("Total-New",'Distrib pivot table'!$C$2,"state","AL","group","1c2")/GETPIVOTDATA("Total-New",'Distrib pivot table'!$C$2,"state","AL"))=0,,IF(GETPIVOTDATA("Total-New",'Distrib pivot table'!$C$2,"state","AL","group","1c2")/GETPIVOTDATA("Total-New",'Distrib pivot table'!$C$2,"state","AL")&gt;0.0005,GETPIVOTDATA("Total-New",'Distrib pivot table'!$C$2,"state","AL","group","1c2")/GETPIVOTDATA("Total-New",'Distrib pivot table'!$C$2,"state","AL"),"*"))</f>
        <v>0</v>
      </c>
      <c r="F19" s="575">
        <f>IF((GETPIVOTDATA("Total-New",'Distrib pivot table'!$C$2,"state","AR","group","1c2")/GETPIVOTDATA("Total-New",'Distrib pivot table'!$C$2,"state","AR"))=0,,IF(GETPIVOTDATA("Total-New",'Distrib pivot table'!$C$2,"state","AR","group","1c2")/GETPIVOTDATA("Total-New",'Distrib pivot table'!$C$2,"state","AR")&gt;0.0005,GETPIVOTDATA("Total-New",'Distrib pivot table'!$C$2,"state","AR","group","1c2")/GETPIVOTDATA("Total-New",'Distrib pivot table'!$C$2,"state","AR"),"*"))</f>
        <v>0</v>
      </c>
      <c r="G19" s="575">
        <f>IF((GETPIVOTDATA("Total-New",'Distrib pivot table'!$C$2,"state","DE","group","1c2")/GETPIVOTDATA("Total-New",'Distrib pivot table'!$C$2,"state","DE"))=0,,IF(GETPIVOTDATA("Total-New",'Distrib pivot table'!$C$2,"state","DE","group","1c2")/GETPIVOTDATA("Total-New",'Distrib pivot table'!$C$2,"state","DE")&gt;0.0005,GETPIVOTDATA("Total-New",'Distrib pivot table'!$C$2,"state","DE","group","1c2")/GETPIVOTDATA("Total-New",'Distrib pivot table'!$C$2,"state","DE"),"*"))</f>
        <v>0</v>
      </c>
      <c r="H19" s="575">
        <f>IF((GETPIVOTDATA("Total-New",'Distrib pivot table'!$C$2,"state","FL","group","1c2")/GETPIVOTDATA("Total-New",'Distrib pivot table'!$C$2,"state","FL"))=0,,IF(GETPIVOTDATA("Total-New",'Distrib pivot table'!$C$2,"state","FL","group","1c2")/GETPIVOTDATA("Total-New",'Distrib pivot table'!$C$2,"state","FL")&gt;0.0005,GETPIVOTDATA("Total-New",'Distrib pivot table'!$C$2,"state","FL","group","1c2")/GETPIVOTDATA("Total-New",'Distrib pivot table'!$C$2,"state","FL"),"*"))</f>
        <v>0</v>
      </c>
      <c r="I19" s="575">
        <f>IF((GETPIVOTDATA("Total-New",'Distrib pivot table'!$C$2,"state","GA","group","1c2")/GETPIVOTDATA("Total-New",'Distrib pivot table'!$C$2,"state","GA"))=0,,IF(GETPIVOTDATA("Total-New",'Distrib pivot table'!$C$2,"state","GA","group","1c2")/GETPIVOTDATA("Total-New",'Distrib pivot table'!$C$2,"state","GA")&gt;0.0005,GETPIVOTDATA("Total-New",'Distrib pivot table'!$C$2,"state","GA","group","1c2")/GETPIVOTDATA("Total-New",'Distrib pivot table'!$C$2,"state","GA"),"*"))</f>
        <v>0</v>
      </c>
      <c r="J19" s="575">
        <f>IF((GETPIVOTDATA("Total-New",'Distrib pivot table'!$C$2,"state","KY","group","1c2")/GETPIVOTDATA("Total-New",'Distrib pivot table'!$C$2,"state","KY"))=0,,IF(GETPIVOTDATA("Total-New",'Distrib pivot table'!$C$2,"state","KY","group","1c2")/GETPIVOTDATA("Total-New",'Distrib pivot table'!$C$2,"state","KY")&gt;0.0005,GETPIVOTDATA("Total-New",'Distrib pivot table'!$C$2,"state","KY","group","1c2")/GETPIVOTDATA("Total-New",'Distrib pivot table'!$C$2,"state","KY"),"*"))</f>
        <v>0</v>
      </c>
      <c r="K19" s="575">
        <f>IF((GETPIVOTDATA("Total-New",'Distrib pivot table'!$C$2,"state","LA","group","1c2")/GETPIVOTDATA("Total-New",'Distrib pivot table'!$C$2,"state","LA"))=0,,IF(GETPIVOTDATA("Total-New",'Distrib pivot table'!$C$2,"state","LA","group","1c2")/GETPIVOTDATA("Total-New",'Distrib pivot table'!$C$2,"state","LA")&gt;0.0005,GETPIVOTDATA("Total-New",'Distrib pivot table'!$C$2,"state","LA","group","1c2")/GETPIVOTDATA("Total-New",'Distrib pivot table'!$C$2,"state","LA"),"*"))</f>
        <v>0</v>
      </c>
      <c r="L19" s="575">
        <f>IF((GETPIVOTDATA("Total-New",'Distrib pivot table'!$C$2,"state","MD","group","1c2")/GETPIVOTDATA("Total-New",'Distrib pivot table'!$C$2,"state","MD"))=0,,IF(GETPIVOTDATA("Total-New",'Distrib pivot table'!$C$2,"state","MD","group","1c2")/GETPIVOTDATA("Total-New",'Distrib pivot table'!$C$2,"state","MD")&gt;0.0005,GETPIVOTDATA("Total-New",'Distrib pivot table'!$C$2,"state","MD","group","1c2")/GETPIVOTDATA("Total-New",'Distrib pivot table'!$C$2,"state","MD"),"*"))</f>
        <v>0</v>
      </c>
      <c r="M19" s="575">
        <f>IF((GETPIVOTDATA("Total-New",'Distrib pivot table'!$C$2,"state","MS","group","1c2")/GETPIVOTDATA("Total-New",'Distrib pivot table'!$C$2,"state","MS"))=0,,IF(GETPIVOTDATA("Total-New",'Distrib pivot table'!$C$2,"state","MS","group","1c2")/GETPIVOTDATA("Total-New",'Distrib pivot table'!$C$2,"state","MS")&gt;0.0005,GETPIVOTDATA("Total-New",'Distrib pivot table'!$C$2,"state","MS","group","1c2")/GETPIVOTDATA("Total-New",'Distrib pivot table'!$C$2,"state","MS"),"*"))</f>
        <v>0</v>
      </c>
      <c r="N19" s="575">
        <f>IF((GETPIVOTDATA("Total-New",'Distrib pivot table'!$C$2,"state","NC","group","1c2")/GETPIVOTDATA("Total-New",'Distrib pivot table'!$C$2,"state","NC"))=0,,IF(GETPIVOTDATA("Total-New",'Distrib pivot table'!$C$2,"state","NC","group","1c2")/GETPIVOTDATA("Total-New",'Distrib pivot table'!$C$2,"state","NC")&gt;0.0005,GETPIVOTDATA("Total-New",'Distrib pivot table'!$C$2,"state","NC","group","1c2")/GETPIVOTDATA("Total-New",'Distrib pivot table'!$C$2,"state","NC"),"*"))</f>
        <v>2.3904548789395273E-2</v>
      </c>
      <c r="O19" s="575">
        <f>IF((GETPIVOTDATA("Total-New",'Distrib pivot table'!$C$2,"state","OK","group","1c2")/GETPIVOTDATA("Total-New",'Distrib pivot table'!$C$2,"state","OK"))=0,,IF(GETPIVOTDATA("Total-New",'Distrib pivot table'!$C$2,"state","OK","group","1c2")/GETPIVOTDATA("Total-New",'Distrib pivot table'!$C$2,"state","OK")&gt;0.0005,GETPIVOTDATA("Total-New",'Distrib pivot table'!$C$2,"state","OK","group","1c2")/GETPIVOTDATA("Total-New",'Distrib pivot table'!$C$2,"state","OK"),"*"))</f>
        <v>0</v>
      </c>
      <c r="P19" s="575">
        <f>IF((GETPIVOTDATA("Total-New",'Distrib pivot table'!$C$2,"state","SC","group","1c2")/GETPIVOTDATA("Total-New",'Distrib pivot table'!$C$2,"state","SC"))=0,,IF(GETPIVOTDATA("Total-New",'Distrib pivot table'!$C$2,"state","SC","group","1c2")/GETPIVOTDATA("Total-New",'Distrib pivot table'!$C$2,"state","SC")&gt;0.0005,GETPIVOTDATA("Total-New",'Distrib pivot table'!$C$2,"state","SC","group","1c2")/GETPIVOTDATA("Total-New",'Distrib pivot table'!$C$2,"state","SC"),"*"))</f>
        <v>0</v>
      </c>
      <c r="Q19" s="575">
        <f>IF((GETPIVOTDATA("Total-New",'Distrib pivot table'!$C$2,"state","TN","group","1c2")/GETPIVOTDATA("Total-New",'Distrib pivot table'!$C$2,"state","TN"))=0,,IF(GETPIVOTDATA("Total-New",'Distrib pivot table'!$C$2,"state","TN","group","1c2")/GETPIVOTDATA("Total-New",'Distrib pivot table'!$C$2,"state","TN")&gt;0.0005,GETPIVOTDATA("Total-New",'Distrib pivot table'!$C$2,"state","TN","group","1c2")/GETPIVOTDATA("Total-New",'Distrib pivot table'!$C$2,"state","TN"),"*"))</f>
        <v>0</v>
      </c>
      <c r="R19" s="575">
        <f>IF((GETPIVOTDATA("Total-New",'Distrib pivot table'!$C$2,"state","TX","group","1c2")/GETPIVOTDATA("Total-New",'Distrib pivot table'!$C$2,"state","TX"))=0,,IF(GETPIVOTDATA("Total-New",'Distrib pivot table'!$C$2,"state","TX","group","1c2")/GETPIVOTDATA("Total-New",'Distrib pivot table'!$C$2,"state","TX")&gt;0.0005,GETPIVOTDATA("Total-New",'Distrib pivot table'!$C$2,"state","TX","group","1c2")/GETPIVOTDATA("Total-New",'Distrib pivot table'!$C$2,"state","TX"),"*"))</f>
        <v>0</v>
      </c>
      <c r="S19" s="575">
        <f>IF((GETPIVOTDATA("Total-New",'Distrib pivot table'!$C$2,"state","VA","group","1c2")/GETPIVOTDATA("Total-New",'Distrib pivot table'!$C$2,"state","VA"))=0,,IF(GETPIVOTDATA("Total-New",'Distrib pivot table'!$C$2,"state","VA","group","1c2")/GETPIVOTDATA("Total-New",'Distrib pivot table'!$C$2,"state","VA")&gt;0.0005,GETPIVOTDATA("Total-New",'Distrib pivot table'!$C$2,"state","VA","group","1c2")/GETPIVOTDATA("Total-New",'Distrib pivot table'!$C$2,"state","VA"),"*"))</f>
        <v>0</v>
      </c>
      <c r="T19" s="575" t="str">
        <f>IF((GETPIVOTDATA("Total-New",'Distrib pivot table'!$C$2,"state","WV","group","1c2")/GETPIVOTDATA("Total-New",'Distrib pivot table'!$C$2,"state","WV"))=0,,IF(GETPIVOTDATA("Total-New",'Distrib pivot table'!$C$2,"state","WV","group","1c2")/GETPIVOTDATA("Total-New",'Distrib pivot table'!$C$2,"state","WV")&gt;0.0005,GETPIVOTDATA("Total-New",'Distrib pivot table'!$C$2,"state","WV","group","1c2")/GETPIVOTDATA("Total-New",'Distrib pivot table'!$C$2,"state","WV"),"*"))</f>
        <v>*</v>
      </c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6"/>
      <c r="AV19" s="576"/>
      <c r="AW19" s="576"/>
      <c r="AX19" s="576"/>
    </row>
    <row r="20" spans="1:50" ht="12.65" customHeight="1">
      <c r="A20" s="1223"/>
      <c r="B20" s="573" t="s">
        <v>75</v>
      </c>
      <c r="C20" s="574" t="s">
        <v>199</v>
      </c>
      <c r="D20" s="575">
        <f>IF(GETPIVOTDATA("Total-New",'Distrib pivot table'!$C$2,"group","1c3")/GETPIVOTDATA("Total-New",'Distrib pivot table'!$C$2)=0,,IF(GETPIVOTDATA("Total-New",'Distrib pivot table'!$C$2,"group","1c3")/GETPIVOTDATA("Total-New",'Distrib pivot table'!$C$2)&gt;0.0005,GETPIVOTDATA("Total-New",'Distrib pivot table'!$C$2,"group","1c3")/GETPIVOTDATA("Total-New",'Distrib pivot table'!$C$2),"*"))</f>
        <v>1.0931016282631429E-3</v>
      </c>
      <c r="E20" s="575">
        <f>IF((GETPIVOTDATA("Total-New",'Distrib pivot table'!$C$2,"state","AL","group","1c3")/GETPIVOTDATA("Total-New",'Distrib pivot table'!$C$2,"state","AL"))=0,,IF(GETPIVOTDATA("Total-New",'Distrib pivot table'!$C$2,"state","AL","group","1c3")/GETPIVOTDATA("Total-New",'Distrib pivot table'!$C$2,"state","AL")&gt;0.0005,GETPIVOTDATA("Total-New",'Distrib pivot table'!$C$2,"state","AL","group","1c3")/GETPIVOTDATA("Total-New",'Distrib pivot table'!$C$2,"state","AL"),"*"))</f>
        <v>0</v>
      </c>
      <c r="F20" s="575">
        <f>IF((GETPIVOTDATA("Total-New",'Distrib pivot table'!$C$2,"state","AR","group","1c3")/GETPIVOTDATA("Total-New",'Distrib pivot table'!$C$2,"state","AR"))=0,,IF(GETPIVOTDATA("Total-New",'Distrib pivot table'!$C$2,"state","AR","group","1c3")/GETPIVOTDATA("Total-New",'Distrib pivot table'!$C$2,"state","AR")&gt;0.0005,GETPIVOTDATA("Total-New",'Distrib pivot table'!$C$2,"state","AR","group","1c3")/GETPIVOTDATA("Total-New",'Distrib pivot table'!$C$2,"state","AR"),"*"))</f>
        <v>3.5606204481466057E-2</v>
      </c>
      <c r="G20" s="575">
        <f>IF((GETPIVOTDATA("Total-New",'Distrib pivot table'!$C$2,"state","DE","group","1c3")/GETPIVOTDATA("Total-New",'Distrib pivot table'!$C$2,"state","DE"))=0,,IF(GETPIVOTDATA("Total-New",'Distrib pivot table'!$C$2,"state","DE","group","1c3")/GETPIVOTDATA("Total-New",'Distrib pivot table'!$C$2,"state","DE")&gt;0.0005,GETPIVOTDATA("Total-New",'Distrib pivot table'!$C$2,"state","DE","group","1c3")/GETPIVOTDATA("Total-New",'Distrib pivot table'!$C$2,"state","DE"),"*"))</f>
        <v>0</v>
      </c>
      <c r="H20" s="575">
        <f>IF((GETPIVOTDATA("Total-New",'Distrib pivot table'!$C$2,"state","FL","group","1c3")/GETPIVOTDATA("Total-New",'Distrib pivot table'!$C$2,"state","FL"))=0,,IF(GETPIVOTDATA("Total-New",'Distrib pivot table'!$C$2,"state","FL","group","1c3")/GETPIVOTDATA("Total-New",'Distrib pivot table'!$C$2,"state","FL")&gt;0.0005,GETPIVOTDATA("Total-New",'Distrib pivot table'!$C$2,"state","FL","group","1c3")/GETPIVOTDATA("Total-New",'Distrib pivot table'!$C$2,"state","FL"),"*"))</f>
        <v>0</v>
      </c>
      <c r="I20" s="575">
        <f>IF((GETPIVOTDATA("Total-New",'Distrib pivot table'!$C$2,"state","GA","group","1c3")/GETPIVOTDATA("Total-New",'Distrib pivot table'!$C$2,"state","GA"))=0,,IF(GETPIVOTDATA("Total-New",'Distrib pivot table'!$C$2,"state","GA","group","1c3")/GETPIVOTDATA("Total-New",'Distrib pivot table'!$C$2,"state","GA")&gt;0.0005,GETPIVOTDATA("Total-New",'Distrib pivot table'!$C$2,"state","GA","group","1c3")/GETPIVOTDATA("Total-New",'Distrib pivot table'!$C$2,"state","GA"),"*"))</f>
        <v>0</v>
      </c>
      <c r="J20" s="575">
        <f>IF((GETPIVOTDATA("Total-New",'Distrib pivot table'!$C$2,"state","KY","group","1c3")/GETPIVOTDATA("Total-New",'Distrib pivot table'!$C$2,"state","KY"))=0,,IF(GETPIVOTDATA("Total-New",'Distrib pivot table'!$C$2,"state","KY","group","1c3")/GETPIVOTDATA("Total-New",'Distrib pivot table'!$C$2,"state","KY")&gt;0.0005,GETPIVOTDATA("Total-New",'Distrib pivot table'!$C$2,"state","KY","group","1c3")/GETPIVOTDATA("Total-New",'Distrib pivot table'!$C$2,"state","KY"),"*"))</f>
        <v>0</v>
      </c>
      <c r="K20" s="575">
        <f>IF((GETPIVOTDATA("Total-New",'Distrib pivot table'!$C$2,"state","LA","group","1c3")/GETPIVOTDATA("Total-New",'Distrib pivot table'!$C$2,"state","LA"))=0,,IF(GETPIVOTDATA("Total-New",'Distrib pivot table'!$C$2,"state","LA","group","1c3")/GETPIVOTDATA("Total-New",'Distrib pivot table'!$C$2,"state","LA")&gt;0.0005,GETPIVOTDATA("Total-New",'Distrib pivot table'!$C$2,"state","LA","group","1c3")/GETPIVOTDATA("Total-New",'Distrib pivot table'!$C$2,"state","LA"),"*"))</f>
        <v>0</v>
      </c>
      <c r="L20" s="575">
        <f>IF((GETPIVOTDATA("Total-New",'Distrib pivot table'!$C$2,"state","MD","group","1c3")/GETPIVOTDATA("Total-New",'Distrib pivot table'!$C$2,"state","MD"))=0,,IF(GETPIVOTDATA("Total-New",'Distrib pivot table'!$C$2,"state","MD","group","1c3")/GETPIVOTDATA("Total-New",'Distrib pivot table'!$C$2,"state","MD")&gt;0.0005,GETPIVOTDATA("Total-New",'Distrib pivot table'!$C$2,"state","MD","group","1c3")/GETPIVOTDATA("Total-New",'Distrib pivot table'!$C$2,"state","MD"),"*"))</f>
        <v>0</v>
      </c>
      <c r="M20" s="575">
        <f>IF((GETPIVOTDATA("Total-New",'Distrib pivot table'!$C$2,"state","MS","group","1c3")/GETPIVOTDATA("Total-New",'Distrib pivot table'!$C$2,"state","MS"))=0,,IF(GETPIVOTDATA("Total-New",'Distrib pivot table'!$C$2,"state","MS","group","1c3")/GETPIVOTDATA("Total-New",'Distrib pivot table'!$C$2,"state","MS")&gt;0.0005,GETPIVOTDATA("Total-New",'Distrib pivot table'!$C$2,"state","MS","group","1c3")/GETPIVOTDATA("Total-New",'Distrib pivot table'!$C$2,"state","MS"),"*"))</f>
        <v>0</v>
      </c>
      <c r="N20" s="575">
        <f>IF((GETPIVOTDATA("Total-New",'Distrib pivot table'!$C$2,"state","NC","group","1c3")/GETPIVOTDATA("Total-New",'Distrib pivot table'!$C$2,"state","NC"))=0,,IF(GETPIVOTDATA("Total-New",'Distrib pivot table'!$C$2,"state","NC","group","1c3")/GETPIVOTDATA("Total-New",'Distrib pivot table'!$C$2,"state","NC")&gt;0.0005,GETPIVOTDATA("Total-New",'Distrib pivot table'!$C$2,"state","NC","group","1c3")/GETPIVOTDATA("Total-New",'Distrib pivot table'!$C$2,"state","NC"),"*"))</f>
        <v>0</v>
      </c>
      <c r="O20" s="575">
        <f>IF((GETPIVOTDATA("Total-New",'Distrib pivot table'!$C$2,"state","OK","group","1c3")/GETPIVOTDATA("Total-New",'Distrib pivot table'!$C$2,"state","OK"))=0,,IF(GETPIVOTDATA("Total-New",'Distrib pivot table'!$C$2,"state","OK","group","1c3")/GETPIVOTDATA("Total-New",'Distrib pivot table'!$C$2,"state","OK")&gt;0.0005,GETPIVOTDATA("Total-New",'Distrib pivot table'!$C$2,"state","OK","group","1c3")/GETPIVOTDATA("Total-New",'Distrib pivot table'!$C$2,"state","OK"),"*"))</f>
        <v>0</v>
      </c>
      <c r="P20" s="575">
        <f>IF((GETPIVOTDATA("Total-New",'Distrib pivot table'!$C$2,"state","SC","group","1c3")/GETPIVOTDATA("Total-New",'Distrib pivot table'!$C$2,"state","SC"))=0,,IF(GETPIVOTDATA("Total-New",'Distrib pivot table'!$C$2,"state","SC","group","1c3")/GETPIVOTDATA("Total-New",'Distrib pivot table'!$C$2,"state","SC")&gt;0.0005,GETPIVOTDATA("Total-New",'Distrib pivot table'!$C$2,"state","SC","group","1c3")/GETPIVOTDATA("Total-New",'Distrib pivot table'!$C$2,"state","SC"),"*"))</f>
        <v>0</v>
      </c>
      <c r="Q20" s="575">
        <f>IF((GETPIVOTDATA("Total-New",'Distrib pivot table'!$C$2,"state","TN","group","1c3")/GETPIVOTDATA("Total-New",'Distrib pivot table'!$C$2,"state","TN"))=0,,IF(GETPIVOTDATA("Total-New",'Distrib pivot table'!$C$2,"state","TN","group","1c3")/GETPIVOTDATA("Total-New",'Distrib pivot table'!$C$2,"state","TN")&gt;0.0005,GETPIVOTDATA("Total-New",'Distrib pivot table'!$C$2,"state","TN","group","1c3")/GETPIVOTDATA("Total-New",'Distrib pivot table'!$C$2,"state","TN"),"*"))</f>
        <v>0</v>
      </c>
      <c r="R20" s="575">
        <f>IF((GETPIVOTDATA("Total-New",'Distrib pivot table'!$C$2,"state","TX","group","1c3")/GETPIVOTDATA("Total-New",'Distrib pivot table'!$C$2,"state","TX"))=0,,IF(GETPIVOTDATA("Total-New",'Distrib pivot table'!$C$2,"state","TX","group","1c3")/GETPIVOTDATA("Total-New",'Distrib pivot table'!$C$2,"state","TX")&gt;0.0005,GETPIVOTDATA("Total-New",'Distrib pivot table'!$C$2,"state","TX","group","1c3")/GETPIVOTDATA("Total-New",'Distrib pivot table'!$C$2,"state","TX"),"*"))</f>
        <v>0</v>
      </c>
      <c r="S20" s="575">
        <f>IF((GETPIVOTDATA("Total-New",'Distrib pivot table'!$C$2,"state","VA","group","1c3")/GETPIVOTDATA("Total-New",'Distrib pivot table'!$C$2,"state","VA"))=0,,IF(GETPIVOTDATA("Total-New",'Distrib pivot table'!$C$2,"state","VA","group","1c3")/GETPIVOTDATA("Total-New",'Distrib pivot table'!$C$2,"state","VA")&gt;0.0005,GETPIVOTDATA("Total-New",'Distrib pivot table'!$C$2,"state","VA","group","1c3")/GETPIVOTDATA("Total-New",'Distrib pivot table'!$C$2,"state","VA"),"*"))</f>
        <v>0</v>
      </c>
      <c r="T20" s="575">
        <f>IF((GETPIVOTDATA("Total-New",'Distrib pivot table'!$C$2,"state","WV","group","1c3")/GETPIVOTDATA("Total-New",'Distrib pivot table'!$C$2,"state","WV"))=0,,IF(GETPIVOTDATA("Total-New",'Distrib pivot table'!$C$2,"state","WV","group","1c3")/GETPIVOTDATA("Total-New",'Distrib pivot table'!$C$2,"state","WV")&gt;0.0005,GETPIVOTDATA("Total-New",'Distrib pivot table'!$C$2,"state","WV","group","1c3")/GETPIVOTDATA("Total-New",'Distrib pivot table'!$C$2,"state","WV"),"*"))</f>
        <v>0</v>
      </c>
      <c r="U20" s="576"/>
      <c r="V20" s="576"/>
      <c r="W20" s="576"/>
      <c r="X20" s="576"/>
      <c r="Y20" s="576"/>
      <c r="Z20" s="576"/>
      <c r="AA20" s="576"/>
      <c r="AB20" s="576"/>
      <c r="AC20" s="576"/>
      <c r="AD20" s="576"/>
      <c r="AE20" s="576"/>
      <c r="AF20" s="576"/>
      <c r="AG20" s="576"/>
      <c r="AH20" s="576"/>
      <c r="AI20" s="576"/>
      <c r="AJ20" s="576"/>
      <c r="AK20" s="576"/>
      <c r="AL20" s="576"/>
      <c r="AM20" s="576"/>
      <c r="AN20" s="576"/>
      <c r="AO20" s="576"/>
      <c r="AP20" s="576"/>
      <c r="AQ20" s="576"/>
      <c r="AR20" s="576"/>
      <c r="AS20" s="576"/>
      <c r="AT20" s="576"/>
      <c r="AU20" s="576"/>
      <c r="AV20" s="576"/>
      <c r="AW20" s="576"/>
      <c r="AX20" s="576"/>
    </row>
    <row r="21" spans="1:50" ht="12.65" customHeight="1">
      <c r="A21" s="1223"/>
      <c r="B21" s="573" t="s">
        <v>752</v>
      </c>
      <c r="C21" s="574" t="s">
        <v>749</v>
      </c>
      <c r="D21" s="575" t="str">
        <f>IF(GETPIVOTDATA("Total-New",'Distrib pivot table'!$C$2,"group","1c5")/GETPIVOTDATA("Total-New",'Distrib pivot table'!$C$2)=0,,IF(GETPIVOTDATA("Total-New",'Distrib pivot table'!$C$2,"group","1c5")/GETPIVOTDATA("Total-New",'Distrib pivot table'!$C$2)&gt;0.0005,GETPIVOTDATA("Total-New",'Distrib pivot table'!$C$2,"group","1c5")/GETPIVOTDATA("Total-New",'Distrib pivot table'!$C$2),"*"))</f>
        <v>*</v>
      </c>
      <c r="E21" s="575">
        <f>IF((GETPIVOTDATA("Total-New",'Distrib pivot table'!$C$2,"state","AL","group","1c5")/GETPIVOTDATA("Total-New",'Distrib pivot table'!$C$2,"state","AL"))=0,,IF(GETPIVOTDATA("Total-New",'Distrib pivot table'!$C$2,"state","AL","group","1c5")/GETPIVOTDATA("Total-New",'Distrib pivot table'!$C$2,"state","AL")&gt;0.0005,GETPIVOTDATA("Total-New",'Distrib pivot table'!$C$2,"state","AL","group","1c5")/GETPIVOTDATA("Total-New",'Distrib pivot table'!$C$2,"state","AL"),"*"))</f>
        <v>0</v>
      </c>
      <c r="F21" s="575">
        <f>IF((GETPIVOTDATA("Total-New",'Distrib pivot table'!$C$2,"state","AR","group","1c5")/GETPIVOTDATA("Total-New",'Distrib pivot table'!$C$2,"state","AR"))=0,,IF(GETPIVOTDATA("Total-New",'Distrib pivot table'!$C$2,"state","AR","group","1c5")/GETPIVOTDATA("Total-New",'Distrib pivot table'!$C$2,"state","AR")&gt;0.0005,GETPIVOTDATA("Total-New",'Distrib pivot table'!$C$2,"state","AR","group","1c5")/GETPIVOTDATA("Total-New",'Distrib pivot table'!$C$2,"state","AR"),"*"))</f>
        <v>0</v>
      </c>
      <c r="G21" s="575">
        <f>IF((GETPIVOTDATA("Total-New",'Distrib pivot table'!$C$2,"state","DE","group","1c5")/GETPIVOTDATA("Total-New",'Distrib pivot table'!$C$2,"state","DE"))=0,,IF(GETPIVOTDATA("Total-New",'Distrib pivot table'!$C$2,"state","DE","group","1c5")/GETPIVOTDATA("Total-New",'Distrib pivot table'!$C$2,"state","DE")&gt;0.0005,GETPIVOTDATA("Total-New",'Distrib pivot table'!$C$2,"state","DE","group","1c5")/GETPIVOTDATA("Total-New",'Distrib pivot table'!$C$2,"state","DE"),"*"))</f>
        <v>0</v>
      </c>
      <c r="H21" s="575">
        <f>IF((GETPIVOTDATA("Total-New",'Distrib pivot table'!$C$2,"state","FL","group","1c5")/GETPIVOTDATA("Total-New",'Distrib pivot table'!$C$2,"state","FL"))=0,,IF(GETPIVOTDATA("Total-New",'Distrib pivot table'!$C$2,"state","FL","group","1c5")/GETPIVOTDATA("Total-New",'Distrib pivot table'!$C$2,"state","FL")&gt;0.0005,GETPIVOTDATA("Total-New",'Distrib pivot table'!$C$2,"state","FL","group","1c5")/GETPIVOTDATA("Total-New",'Distrib pivot table'!$C$2,"state","FL"),"*"))</f>
        <v>0</v>
      </c>
      <c r="I21" s="575">
        <f>IF((GETPIVOTDATA("Total-New",'Distrib pivot table'!$C$2,"state","GA","group","1c5")/GETPIVOTDATA("Total-New",'Distrib pivot table'!$C$2,"state","GA"))=0,,IF(GETPIVOTDATA("Total-New",'Distrib pivot table'!$C$2,"state","GA","group","1c5")/GETPIVOTDATA("Total-New",'Distrib pivot table'!$C$2,"state","GA")&gt;0.0005,GETPIVOTDATA("Total-New",'Distrib pivot table'!$C$2,"state","GA","group","1c5")/GETPIVOTDATA("Total-New",'Distrib pivot table'!$C$2,"state","GA"),"*"))</f>
        <v>0</v>
      </c>
      <c r="J21" s="575">
        <f>IF((GETPIVOTDATA("Total-New",'Distrib pivot table'!$C$2,"state","KY","group","1c5")/GETPIVOTDATA("Total-New",'Distrib pivot table'!$C$2,"state","KY"))=0,,IF(GETPIVOTDATA("Total-New",'Distrib pivot table'!$C$2,"state","KY","group","1c5")/GETPIVOTDATA("Total-New",'Distrib pivot table'!$C$2,"state","KY")&gt;0.0005,GETPIVOTDATA("Total-New",'Distrib pivot table'!$C$2,"state","KY","group","1c5")/GETPIVOTDATA("Total-New",'Distrib pivot table'!$C$2,"state","KY"),"*"))</f>
        <v>0</v>
      </c>
      <c r="K21" s="575">
        <f>IF((GETPIVOTDATA("Total-New",'Distrib pivot table'!$C$2,"state","LA","group","1c5")/GETPIVOTDATA("Total-New",'Distrib pivot table'!$C$2,"state","LA"))=0,,IF(GETPIVOTDATA("Total-New",'Distrib pivot table'!$C$2,"state","LA","group","1c5")/GETPIVOTDATA("Total-New",'Distrib pivot table'!$C$2,"state","LA")&gt;0.0005,GETPIVOTDATA("Total-New",'Distrib pivot table'!$C$2,"state","LA","group","1c5")/GETPIVOTDATA("Total-New",'Distrib pivot table'!$C$2,"state","LA"),"*"))</f>
        <v>0</v>
      </c>
      <c r="L21" s="575">
        <f>IF((GETPIVOTDATA("Total-New",'Distrib pivot table'!$C$2,"state","MD","group","1c5")/GETPIVOTDATA("Total-New",'Distrib pivot table'!$C$2,"state","MD"))=0,,IF(GETPIVOTDATA("Total-New",'Distrib pivot table'!$C$2,"state","MD","group","1c5")/GETPIVOTDATA("Total-New",'Distrib pivot table'!$C$2,"state","MD")&gt;0.0005,GETPIVOTDATA("Total-New",'Distrib pivot table'!$C$2,"state","MD","group","1c5")/GETPIVOTDATA("Total-New",'Distrib pivot table'!$C$2,"state","MD"),"*"))</f>
        <v>0</v>
      </c>
      <c r="M21" s="575">
        <f>IF((GETPIVOTDATA("Total-New",'Distrib pivot table'!$C$2,"state","MS","group","1c5")/GETPIVOTDATA("Total-New",'Distrib pivot table'!$C$2,"state","MS"))=0,,IF(GETPIVOTDATA("Total-New",'Distrib pivot table'!$C$2,"state","MS","group","1c5")/GETPIVOTDATA("Total-New",'Distrib pivot table'!$C$2,"state","MS")&gt;0.0005,GETPIVOTDATA("Total-New",'Distrib pivot table'!$C$2,"state","MS","group","1c5")/GETPIVOTDATA("Total-New",'Distrib pivot table'!$C$2,"state","MS"),"*"))</f>
        <v>0</v>
      </c>
      <c r="N21" s="575">
        <f>IF((GETPIVOTDATA("Total-New",'Distrib pivot table'!$C$2,"state","NC","group","1c5")/GETPIVOTDATA("Total-New",'Distrib pivot table'!$C$2,"state","NC"))=0,,IF(GETPIVOTDATA("Total-New",'Distrib pivot table'!$C$2,"state","NC","group","1c5")/GETPIVOTDATA("Total-New",'Distrib pivot table'!$C$2,"state","NC")&gt;0.0005,GETPIVOTDATA("Total-New",'Distrib pivot table'!$C$2,"state","NC","group","1c5")/GETPIVOTDATA("Total-New",'Distrib pivot table'!$C$2,"state","NC"),"*"))</f>
        <v>0</v>
      </c>
      <c r="O21" s="575">
        <f>IF((GETPIVOTDATA("Total-New",'Distrib pivot table'!$C$2,"state","OK","group","1c5")/GETPIVOTDATA("Total-New",'Distrib pivot table'!$C$2,"state","OK"))=0,,IF(GETPIVOTDATA("Total-New",'Distrib pivot table'!$C$2,"state","OK","group","1c5")/GETPIVOTDATA("Total-New",'Distrib pivot table'!$C$2,"state","OK")&gt;0.0005,GETPIVOTDATA("Total-New",'Distrib pivot table'!$C$2,"state","OK","group","1c5")/GETPIVOTDATA("Total-New",'Distrib pivot table'!$C$2,"state","OK"),"*"))</f>
        <v>0</v>
      </c>
      <c r="P21" s="575">
        <f>IF((GETPIVOTDATA("Total-New",'Distrib pivot table'!$C$2,"state","SC","group","1c5")/GETPIVOTDATA("Total-New",'Distrib pivot table'!$C$2,"state","SC"))=0,,IF(GETPIVOTDATA("Total-New",'Distrib pivot table'!$C$2,"state","SC","group","1c5")/GETPIVOTDATA("Total-New",'Distrib pivot table'!$C$2,"state","SC")&gt;0.0005,GETPIVOTDATA("Total-New",'Distrib pivot table'!$C$2,"state","SC","group","1c5")/GETPIVOTDATA("Total-New",'Distrib pivot table'!$C$2,"state","SC"),"*"))</f>
        <v>0</v>
      </c>
      <c r="Q21" s="575">
        <f>IF((GETPIVOTDATA("Total-New",'Distrib pivot table'!$C$2,"state","TN","group","1c5")/GETPIVOTDATA("Total-New",'Distrib pivot table'!$C$2,"state","TN"))=0,,IF(GETPIVOTDATA("Total-New",'Distrib pivot table'!$C$2,"state","TN","group","1c5")/GETPIVOTDATA("Total-New",'Distrib pivot table'!$C$2,"state","TN")&gt;0.0005,GETPIVOTDATA("Total-New",'Distrib pivot table'!$C$2,"state","TN","group","1c5")/GETPIVOTDATA("Total-New",'Distrib pivot table'!$C$2,"state","TN"),"*"))</f>
        <v>0</v>
      </c>
      <c r="R21" s="575">
        <f>IF((GETPIVOTDATA("Total-New",'Distrib pivot table'!$C$2,"state","TX","group","1c5")/GETPIVOTDATA("Total-New",'Distrib pivot table'!$C$2,"state","TX"))=0,,IF(GETPIVOTDATA("Total-New",'Distrib pivot table'!$C$2,"state","TX","group","1c5")/GETPIVOTDATA("Total-New",'Distrib pivot table'!$C$2,"state","TX")&gt;0.0005,GETPIVOTDATA("Total-New",'Distrib pivot table'!$C$2,"state","TX","group","1c5")/GETPIVOTDATA("Total-New",'Distrib pivot table'!$C$2,"state","TX"),"*"))</f>
        <v>6.0459471793228975E-4</v>
      </c>
      <c r="S21" s="575">
        <f>IF((GETPIVOTDATA("Total-New",'Distrib pivot table'!$C$2,"state","VA","group","1c5")/GETPIVOTDATA("Total-New",'Distrib pivot table'!$C$2,"state","VA"))=0,,IF(GETPIVOTDATA("Total-New",'Distrib pivot table'!$C$2,"state","VA","group","1c5")/GETPIVOTDATA("Total-New",'Distrib pivot table'!$C$2,"state","VA")&gt;0.0005,GETPIVOTDATA("Total-New",'Distrib pivot table'!$C$2,"state","VA","group","1c5")/GETPIVOTDATA("Total-New",'Distrib pivot table'!$C$2,"state","VA"),"*"))</f>
        <v>0</v>
      </c>
      <c r="T21" s="575">
        <f>IF((GETPIVOTDATA("Total-New",'Distrib pivot table'!$C$2,"state","WV","group","1c5")/GETPIVOTDATA("Total-New",'Distrib pivot table'!$C$2,"state","WV"))=0,,IF(GETPIVOTDATA("Total-New",'Distrib pivot table'!$C$2,"state","WV","group","1c5")/GETPIVOTDATA("Total-New",'Distrib pivot table'!$C$2,"state","WV")&gt;0.0005,GETPIVOTDATA("Total-New",'Distrib pivot table'!$C$2,"state","WV","group","1c5")/GETPIVOTDATA("Total-New",'Distrib pivot table'!$C$2,"state","WV"),"*"))</f>
        <v>0</v>
      </c>
      <c r="U21" s="576"/>
      <c r="V21" s="576"/>
      <c r="W21" s="576"/>
      <c r="X21" s="576"/>
      <c r="Y21" s="576"/>
      <c r="Z21" s="576"/>
      <c r="AA21" s="576"/>
      <c r="AB21" s="576"/>
      <c r="AC21" s="576"/>
      <c r="AD21" s="576"/>
      <c r="AE21" s="576"/>
      <c r="AF21" s="576"/>
      <c r="AG21" s="576"/>
      <c r="AH21" s="576"/>
      <c r="AI21" s="576"/>
      <c r="AJ21" s="576"/>
      <c r="AK21" s="576"/>
      <c r="AL21" s="576"/>
      <c r="AM21" s="576"/>
      <c r="AN21" s="576"/>
      <c r="AO21" s="576"/>
      <c r="AP21" s="576"/>
      <c r="AQ21" s="576"/>
      <c r="AR21" s="576"/>
      <c r="AS21" s="576"/>
      <c r="AT21" s="576"/>
      <c r="AU21" s="576"/>
      <c r="AV21" s="576"/>
      <c r="AW21" s="576"/>
      <c r="AX21" s="576"/>
    </row>
    <row r="22" spans="1:50" ht="12.65" customHeight="1">
      <c r="A22" s="1223"/>
      <c r="B22" s="573" t="s">
        <v>79</v>
      </c>
      <c r="C22" s="574" t="s">
        <v>120</v>
      </c>
      <c r="D22" s="575">
        <f>IF(GETPIVOTDATA("Total-New",'Distrib pivot table'!$C$2,"group","1c6")/GETPIVOTDATA("Total-New",'Distrib pivot table'!$C$2)=0,,IF(GETPIVOTDATA("Total-New",'Distrib pivot table'!$C$2,"group","1c6")/GETPIVOTDATA("Total-New",'Distrib pivot table'!$C$2)&gt;0.0005,GETPIVOTDATA("Total-New",'Distrib pivot table'!$C$2,"group","1c6")/GETPIVOTDATA("Total-New",'Distrib pivot table'!$C$2),"*"))</f>
        <v>2.1918965971699806E-3</v>
      </c>
      <c r="E22" s="575">
        <f>IF((GETPIVOTDATA("Total-New",'Distrib pivot table'!$C$2,"state","AL","group","1c6")/GETPIVOTDATA("Total-New",'Distrib pivot table'!$C$2,"state","AL"))=0,,IF(GETPIVOTDATA("Total-New",'Distrib pivot table'!$C$2,"state","AL","group","1c6")/GETPIVOTDATA("Total-New",'Distrib pivot table'!$C$2,"state","AL")&gt;0.0005,GETPIVOTDATA("Total-New",'Distrib pivot table'!$C$2,"state","AL","group","1c6")/GETPIVOTDATA("Total-New",'Distrib pivot table'!$C$2,"state","AL"),"*"))</f>
        <v>1.874822166961684E-3</v>
      </c>
      <c r="F22" s="575">
        <f>IF((GETPIVOTDATA("Total-New",'Distrib pivot table'!$C$2,"state","AR","group","1c6")/GETPIVOTDATA("Total-New",'Distrib pivot table'!$C$2,"state","AR"))=0,,IF(GETPIVOTDATA("Total-New",'Distrib pivot table'!$C$2,"state","AR","group","1c6")/GETPIVOTDATA("Total-New",'Distrib pivot table'!$C$2,"state","AR")&gt;0.0005,GETPIVOTDATA("Total-New",'Distrib pivot table'!$C$2,"state","AR","group","1c6")/GETPIVOTDATA("Total-New",'Distrib pivot table'!$C$2,"state","AR"),"*"))</f>
        <v>2.3593920614753878E-3</v>
      </c>
      <c r="G22" s="575">
        <f>IF((GETPIVOTDATA("Total-New",'Distrib pivot table'!$C$2,"state","DE","group","1c6")/GETPIVOTDATA("Total-New",'Distrib pivot table'!$C$2,"state","DE"))=0,,IF(GETPIVOTDATA("Total-New",'Distrib pivot table'!$C$2,"state","DE","group","1c6")/GETPIVOTDATA("Total-New",'Distrib pivot table'!$C$2,"state","DE")&gt;0.0005,GETPIVOTDATA("Total-New",'Distrib pivot table'!$C$2,"state","DE","group","1c6")/GETPIVOTDATA("Total-New",'Distrib pivot table'!$C$2,"state","DE"),"*"))</f>
        <v>0</v>
      </c>
      <c r="H22" s="575">
        <f>IF((GETPIVOTDATA("Total-New",'Distrib pivot table'!$C$2,"state","FL","group","1c6")/GETPIVOTDATA("Total-New",'Distrib pivot table'!$C$2,"state","FL"))=0,,IF(GETPIVOTDATA("Total-New",'Distrib pivot table'!$C$2,"state","FL","group","1c6")/GETPIVOTDATA("Total-New",'Distrib pivot table'!$C$2,"state","FL")&gt;0.0005,GETPIVOTDATA("Total-New",'Distrib pivot table'!$C$2,"state","FL","group","1c6")/GETPIVOTDATA("Total-New",'Distrib pivot table'!$C$2,"state","FL"),"*"))</f>
        <v>0</v>
      </c>
      <c r="I22" s="575">
        <f>IF((GETPIVOTDATA("Total-New",'Distrib pivot table'!$C$2,"state","GA","group","1c6")/GETPIVOTDATA("Total-New",'Distrib pivot table'!$C$2,"state","GA"))=0,,IF(GETPIVOTDATA("Total-New",'Distrib pivot table'!$C$2,"state","GA","group","1c6")/GETPIVOTDATA("Total-New",'Distrib pivot table'!$C$2,"state","GA")&gt;0.0005,GETPIVOTDATA("Total-New",'Distrib pivot table'!$C$2,"state","GA","group","1c6")/GETPIVOTDATA("Total-New",'Distrib pivot table'!$C$2,"state","GA"),"*"))</f>
        <v>7.1060561529951516E-3</v>
      </c>
      <c r="J22" s="575">
        <f>IF((GETPIVOTDATA("Total-New",'Distrib pivot table'!$C$2,"state","KY","group","1c6")/GETPIVOTDATA("Total-New",'Distrib pivot table'!$C$2,"state","KY"))=0,,IF(GETPIVOTDATA("Total-New",'Distrib pivot table'!$C$2,"state","KY","group","1c6")/GETPIVOTDATA("Total-New",'Distrib pivot table'!$C$2,"state","KY")&gt;0.0005,GETPIVOTDATA("Total-New",'Distrib pivot table'!$C$2,"state","KY","group","1c6")/GETPIVOTDATA("Total-New",'Distrib pivot table'!$C$2,"state","KY"),"*"))</f>
        <v>0</v>
      </c>
      <c r="K22" s="575">
        <f>IF((GETPIVOTDATA("Total-New",'Distrib pivot table'!$C$2,"state","LA","group","1c6")/GETPIVOTDATA("Total-New",'Distrib pivot table'!$C$2,"state","LA"))=0,,IF(GETPIVOTDATA("Total-New",'Distrib pivot table'!$C$2,"state","LA","group","1c6")/GETPIVOTDATA("Total-New",'Distrib pivot table'!$C$2,"state","LA")&gt;0.0005,GETPIVOTDATA("Total-New",'Distrib pivot table'!$C$2,"state","LA","group","1c6")/GETPIVOTDATA("Total-New",'Distrib pivot table'!$C$2,"state","LA"),"*"))</f>
        <v>8.484213747256204E-3</v>
      </c>
      <c r="L22" s="575">
        <f>IF((GETPIVOTDATA("Total-New",'Distrib pivot table'!$C$2,"state","MD","group","1c6")/GETPIVOTDATA("Total-New",'Distrib pivot table'!$C$2,"state","MD"))=0,,IF(GETPIVOTDATA("Total-New",'Distrib pivot table'!$C$2,"state","MD","group","1c6")/GETPIVOTDATA("Total-New",'Distrib pivot table'!$C$2,"state","MD")&gt;0.0005,GETPIVOTDATA("Total-New",'Distrib pivot table'!$C$2,"state","MD","group","1c6")/GETPIVOTDATA("Total-New",'Distrib pivot table'!$C$2,"state","MD"),"*"))</f>
        <v>0</v>
      </c>
      <c r="M22" s="575">
        <f>IF((GETPIVOTDATA("Total-New",'Distrib pivot table'!$C$2,"state","MS","group","1c6")/GETPIVOTDATA("Total-New",'Distrib pivot table'!$C$2,"state","MS"))=0,,IF(GETPIVOTDATA("Total-New",'Distrib pivot table'!$C$2,"state","MS","group","1c6")/GETPIVOTDATA("Total-New",'Distrib pivot table'!$C$2,"state","MS")&gt;0.0005,GETPIVOTDATA("Total-New",'Distrib pivot table'!$C$2,"state","MS","group","1c6")/GETPIVOTDATA("Total-New",'Distrib pivot table'!$C$2,"state","MS"),"*"))</f>
        <v>0</v>
      </c>
      <c r="N22" s="575">
        <f>IF((GETPIVOTDATA("Total-New",'Distrib pivot table'!$C$2,"state","NC","group","1c6")/GETPIVOTDATA("Total-New",'Distrib pivot table'!$C$2,"state","NC"))=0,,IF(GETPIVOTDATA("Total-New",'Distrib pivot table'!$C$2,"state","NC","group","1c6")/GETPIVOTDATA("Total-New",'Distrib pivot table'!$C$2,"state","NC")&gt;0.0005,GETPIVOTDATA("Total-New",'Distrib pivot table'!$C$2,"state","NC","group","1c6")/GETPIVOTDATA("Total-New",'Distrib pivot table'!$C$2,"state","NC"),"*"))</f>
        <v>7.3625286050952254E-4</v>
      </c>
      <c r="O22" s="575">
        <f>IF((GETPIVOTDATA("Total-New",'Distrib pivot table'!$C$2,"state","OK","group","1c6")/GETPIVOTDATA("Total-New",'Distrib pivot table'!$C$2,"state","OK"))=0,,IF(GETPIVOTDATA("Total-New",'Distrib pivot table'!$C$2,"state","OK","group","1c6")/GETPIVOTDATA("Total-New",'Distrib pivot table'!$C$2,"state","OK")&gt;0.0005,GETPIVOTDATA("Total-New",'Distrib pivot table'!$C$2,"state","OK","group","1c6")/GETPIVOTDATA("Total-New",'Distrib pivot table'!$C$2,"state","OK"),"*"))</f>
        <v>0</v>
      </c>
      <c r="P22" s="575">
        <f>IF((GETPIVOTDATA("Total-New",'Distrib pivot table'!$C$2,"state","SC","group","1c6")/GETPIVOTDATA("Total-New",'Distrib pivot table'!$C$2,"state","SC"))=0,,IF(GETPIVOTDATA("Total-New",'Distrib pivot table'!$C$2,"state","SC","group","1c6")/GETPIVOTDATA("Total-New",'Distrib pivot table'!$C$2,"state","SC")&gt;0.0005,GETPIVOTDATA("Total-New",'Distrib pivot table'!$C$2,"state","SC","group","1c6")/GETPIVOTDATA("Total-New",'Distrib pivot table'!$C$2,"state","SC"),"*"))</f>
        <v>0</v>
      </c>
      <c r="Q22" s="575">
        <f>IF((GETPIVOTDATA("Total-New",'Distrib pivot table'!$C$2,"state","TN","group","1c6")/GETPIVOTDATA("Total-New",'Distrib pivot table'!$C$2,"state","TN"))=0,,IF(GETPIVOTDATA("Total-New",'Distrib pivot table'!$C$2,"state","TN","group","1c6")/GETPIVOTDATA("Total-New",'Distrib pivot table'!$C$2,"state","TN")&gt;0.0005,GETPIVOTDATA("Total-New",'Distrib pivot table'!$C$2,"state","TN","group","1c6")/GETPIVOTDATA("Total-New",'Distrib pivot table'!$C$2,"state","TN"),"*"))</f>
        <v>0</v>
      </c>
      <c r="R22" s="575">
        <f>IF((GETPIVOTDATA("Total-New",'Distrib pivot table'!$C$2,"state","TX","group","1c6")/GETPIVOTDATA("Total-New",'Distrib pivot table'!$C$2,"state","TX"))=0,,IF(GETPIVOTDATA("Total-New",'Distrib pivot table'!$C$2,"state","TX","group","1c6")/GETPIVOTDATA("Total-New",'Distrib pivot table'!$C$2,"state","TX")&gt;0.0005,GETPIVOTDATA("Total-New",'Distrib pivot table'!$C$2,"state","TX","group","1c6")/GETPIVOTDATA("Total-New",'Distrib pivot table'!$C$2,"state","TX"),"*"))</f>
        <v>0</v>
      </c>
      <c r="S22" s="575">
        <f>IF((GETPIVOTDATA("Total-New",'Distrib pivot table'!$C$2,"state","VA","group","1c6")/GETPIVOTDATA("Total-New",'Distrib pivot table'!$C$2,"state","VA"))=0,,IF(GETPIVOTDATA("Total-New",'Distrib pivot table'!$C$2,"state","VA","group","1c6")/GETPIVOTDATA("Total-New",'Distrib pivot table'!$C$2,"state","VA")&gt;0.0005,GETPIVOTDATA("Total-New",'Distrib pivot table'!$C$2,"state","VA","group","1c6")/GETPIVOTDATA("Total-New",'Distrib pivot table'!$C$2,"state","VA"),"*"))</f>
        <v>9.2187933693611557E-3</v>
      </c>
      <c r="T22" s="575">
        <f>IF((GETPIVOTDATA("Total-New",'Distrib pivot table'!$C$2,"state","WV","group","1c6")/GETPIVOTDATA("Total-New",'Distrib pivot table'!$C$2,"state","WV"))=0,,IF(GETPIVOTDATA("Total-New",'Distrib pivot table'!$C$2,"state","WV","group","1c6")/GETPIVOTDATA("Total-New",'Distrib pivot table'!$C$2,"state","WV")&gt;0.0005,GETPIVOTDATA("Total-New",'Distrib pivot table'!$C$2,"state","WV","group","1c6")/GETPIVOTDATA("Total-New",'Distrib pivot table'!$C$2,"state","WV"),"*"))</f>
        <v>0</v>
      </c>
      <c r="U22" s="576"/>
      <c r="V22" s="576"/>
      <c r="W22" s="576"/>
      <c r="X22" s="576"/>
      <c r="Y22" s="576"/>
      <c r="Z22" s="576"/>
      <c r="AA22" s="576"/>
      <c r="AB22" s="576"/>
      <c r="AC22" s="576"/>
      <c r="AD22" s="576"/>
      <c r="AE22" s="576"/>
      <c r="AF22" s="576"/>
      <c r="AG22" s="576"/>
      <c r="AH22" s="576"/>
      <c r="AI22" s="576"/>
      <c r="AJ22" s="576"/>
      <c r="AK22" s="576"/>
      <c r="AL22" s="576"/>
      <c r="AM22" s="576"/>
      <c r="AN22" s="576"/>
      <c r="AO22" s="576"/>
      <c r="AP22" s="576"/>
      <c r="AQ22" s="576"/>
      <c r="AR22" s="576"/>
      <c r="AS22" s="576"/>
      <c r="AT22" s="576"/>
      <c r="AU22" s="576"/>
      <c r="AV22" s="576"/>
      <c r="AW22" s="576"/>
      <c r="AX22" s="576"/>
    </row>
    <row r="23" spans="1:50" ht="12.65" customHeight="1">
      <c r="A23" s="1223"/>
      <c r="B23" s="573" t="s">
        <v>847</v>
      </c>
      <c r="C23" s="574" t="s">
        <v>123</v>
      </c>
      <c r="D23" s="575">
        <f>IF(GETPIVOTDATA("Total-New",'Distrib pivot table'!$C$2,"group","1c7")/GETPIVOTDATA("Total-New",'Distrib pivot table'!$C$2)=0,,IF(GETPIVOTDATA("Total-New",'Distrib pivot table'!$C$2,"group","1c7")/GETPIVOTDATA("Total-New",'Distrib pivot table'!$C$2)&gt;0.0005,GETPIVOTDATA("Total-New",'Distrib pivot table'!$C$2,"group","1c7")/GETPIVOTDATA("Total-New",'Distrib pivot table'!$C$2),"*"))</f>
        <v>1.6650961251100714E-3</v>
      </c>
      <c r="E23" s="580">
        <f>IF((GETPIVOTDATA("Total-New",'Distrib pivot table'!$C$2,"state","AL","group","1c7")/GETPIVOTDATA("Total-New",'Distrib pivot table'!$C$2,"state","AL"))=0,,IF(GETPIVOTDATA("Total-New",'Distrib pivot table'!$C$2,"state","AL","group","1c7")/GETPIVOTDATA("Total-New",'Distrib pivot table'!$C$2,"state","AL")&gt;0.0005,GETPIVOTDATA("Total-New",'Distrib pivot table'!$C$2,"state","AL","group","1c7")/GETPIVOTDATA("Total-New",'Distrib pivot table'!$C$2,"state","AL"),"*"))</f>
        <v>1.5913873938511399E-2</v>
      </c>
      <c r="F23" s="580">
        <f>IF((GETPIVOTDATA("Total-New",'Distrib pivot table'!$C$2,"state","AR","group","1c7")/GETPIVOTDATA("Total-New",'Distrib pivot table'!$C$2,"state","AR"))=0,,IF(GETPIVOTDATA("Total-New",'Distrib pivot table'!$C$2,"state","AR","group","1c7")/GETPIVOTDATA("Total-New",'Distrib pivot table'!$C$2,"state","AR")&gt;0.0005,GETPIVOTDATA("Total-New",'Distrib pivot table'!$C$2,"state","AR","group","1c7")/GETPIVOTDATA("Total-New",'Distrib pivot table'!$C$2,"state","AR"),"*"))</f>
        <v>0</v>
      </c>
      <c r="G23" s="580">
        <f>IF((GETPIVOTDATA("Total-New",'Distrib pivot table'!$C$2,"state","DE","group","1c7")/GETPIVOTDATA("Total-New",'Distrib pivot table'!$C$2,"state","DE"))=0,,IF(GETPIVOTDATA("Total-New",'Distrib pivot table'!$C$2,"state","DE","group","1c7")/GETPIVOTDATA("Total-New",'Distrib pivot table'!$C$2,"state","DE")&gt;0.0005,GETPIVOTDATA("Total-New",'Distrib pivot table'!$C$2,"state","DE","group","1c7")/GETPIVOTDATA("Total-New",'Distrib pivot table'!$C$2,"state","DE"),"*"))</f>
        <v>0</v>
      </c>
      <c r="H23" s="580">
        <f>IF((GETPIVOTDATA("Total-New",'Distrib pivot table'!$C$2,"state","FL","group","1c7")/GETPIVOTDATA("Total-New",'Distrib pivot table'!$C$2,"state","FL"))=0,,IF(GETPIVOTDATA("Total-New",'Distrib pivot table'!$C$2,"state","FL","group","1c7")/GETPIVOTDATA("Total-New",'Distrib pivot table'!$C$2,"state","FL")&gt;0.0005,GETPIVOTDATA("Total-New",'Distrib pivot table'!$C$2,"state","FL","group","1c7")/GETPIVOTDATA("Total-New",'Distrib pivot table'!$C$2,"state","FL"),"*"))</f>
        <v>0</v>
      </c>
      <c r="I23" s="580">
        <f>IF((GETPIVOTDATA("Total-New",'Distrib pivot table'!$C$2,"state","GA","group","1c7")/GETPIVOTDATA("Total-New",'Distrib pivot table'!$C$2,"state","GA"))=0,,IF(GETPIVOTDATA("Total-New",'Distrib pivot table'!$C$2,"state","GA","group","1c7")/GETPIVOTDATA("Total-New",'Distrib pivot table'!$C$2,"state","GA")&gt;0.0005,GETPIVOTDATA("Total-New",'Distrib pivot table'!$C$2,"state","GA","group","1c7")/GETPIVOTDATA("Total-New",'Distrib pivot table'!$C$2,"state","GA"),"*"))</f>
        <v>0</v>
      </c>
      <c r="J23" s="580">
        <f>IF((GETPIVOTDATA("Total-New",'Distrib pivot table'!$C$2,"state","KY","group","1c7")/GETPIVOTDATA("Total-New",'Distrib pivot table'!$C$2,"state","KY"))=0,,IF(GETPIVOTDATA("Total-New",'Distrib pivot table'!$C$2,"state","KY","group","1c7")/GETPIVOTDATA("Total-New",'Distrib pivot table'!$C$2,"state","KY")&gt;0.0005,GETPIVOTDATA("Total-New",'Distrib pivot table'!$C$2,"state","KY","group","1c7")/GETPIVOTDATA("Total-New",'Distrib pivot table'!$C$2,"state","KY"),"*"))</f>
        <v>0</v>
      </c>
      <c r="K23" s="580">
        <f>IF((GETPIVOTDATA("Total-New",'Distrib pivot table'!$C$2,"state","LA","group","1c7")/GETPIVOTDATA("Total-New",'Distrib pivot table'!$C$2,"state","LA"))=0,,IF(GETPIVOTDATA("Total-New",'Distrib pivot table'!$C$2,"state","LA","group","1c7")/GETPIVOTDATA("Total-New",'Distrib pivot table'!$C$2,"state","LA")&gt;0.0005,GETPIVOTDATA("Total-New",'Distrib pivot table'!$C$2,"state","LA","group","1c7")/GETPIVOTDATA("Total-New",'Distrib pivot table'!$C$2,"state","LA"),"*"))</f>
        <v>0</v>
      </c>
      <c r="L23" s="580">
        <f>IF((GETPIVOTDATA("Total-New",'Distrib pivot table'!$C$2,"state","MD","group","1c7")/GETPIVOTDATA("Total-New",'Distrib pivot table'!$C$2,"state","MD"))=0,,IF(GETPIVOTDATA("Total-New",'Distrib pivot table'!$C$2,"state","MD","group","1c7")/GETPIVOTDATA("Total-New",'Distrib pivot table'!$C$2,"state","MD")&gt;0.0005,GETPIVOTDATA("Total-New",'Distrib pivot table'!$C$2,"state","MD","group","1c7")/GETPIVOTDATA("Total-New",'Distrib pivot table'!$C$2,"state","MD"),"*"))</f>
        <v>0</v>
      </c>
      <c r="M23" s="580">
        <f>IF((GETPIVOTDATA("Total-New",'Distrib pivot table'!$C$2,"state","MS","group","1c7")/GETPIVOTDATA("Total-New",'Distrib pivot table'!$C$2,"state","MS"))=0,,IF(GETPIVOTDATA("Total-New",'Distrib pivot table'!$C$2,"state","MS","group","1c7")/GETPIVOTDATA("Total-New",'Distrib pivot table'!$C$2,"state","MS")&gt;0.0005,GETPIVOTDATA("Total-New",'Distrib pivot table'!$C$2,"state","MS","group","1c7")/GETPIVOTDATA("Total-New",'Distrib pivot table'!$C$2,"state","MS"),"*"))</f>
        <v>0</v>
      </c>
      <c r="N23" s="580">
        <f>IF((GETPIVOTDATA("Total-New",'Distrib pivot table'!$C$2,"state","NC","group","1c7")/GETPIVOTDATA("Total-New",'Distrib pivot table'!$C$2,"state","NC"))=0,,IF(GETPIVOTDATA("Total-New",'Distrib pivot table'!$C$2,"state","NC","group","1c7")/GETPIVOTDATA("Total-New",'Distrib pivot table'!$C$2,"state","NC")&gt;0.0005,GETPIVOTDATA("Total-New",'Distrib pivot table'!$C$2,"state","NC","group","1c7")/GETPIVOTDATA("Total-New",'Distrib pivot table'!$C$2,"state","NC"),"*"))</f>
        <v>3.267653823383117E-3</v>
      </c>
      <c r="O23" s="580">
        <f>IF((GETPIVOTDATA("Total-New",'Distrib pivot table'!$C$2,"state","OK","group","1c7")/GETPIVOTDATA("Total-New",'Distrib pivot table'!$C$2,"state","OK"))=0,,IF(GETPIVOTDATA("Total-New",'Distrib pivot table'!$C$2,"state","OK","group","1c7")/GETPIVOTDATA("Total-New",'Distrib pivot table'!$C$2,"state","OK")&gt;0.0005,GETPIVOTDATA("Total-New",'Distrib pivot table'!$C$2,"state","OK","group","1c7")/GETPIVOTDATA("Total-New",'Distrib pivot table'!$C$2,"state","OK"),"*"))</f>
        <v>0</v>
      </c>
      <c r="P23" s="580">
        <f>IF((GETPIVOTDATA("Total-New",'Distrib pivot table'!$C$2,"state","SC","group","1c7")/GETPIVOTDATA("Total-New",'Distrib pivot table'!$C$2,"state","SC"))=0,,IF(GETPIVOTDATA("Total-New",'Distrib pivot table'!$C$2,"state","SC","group","1c7")/GETPIVOTDATA("Total-New",'Distrib pivot table'!$C$2,"state","SC")&gt;0.0005,GETPIVOTDATA("Total-New",'Distrib pivot table'!$C$2,"state","SC","group","1c7")/GETPIVOTDATA("Total-New",'Distrib pivot table'!$C$2,"state","SC"),"*"))</f>
        <v>0</v>
      </c>
      <c r="Q23" s="580">
        <f>IF((GETPIVOTDATA("Total-New",'Distrib pivot table'!$C$2,"state","TN","group","1c7")/GETPIVOTDATA("Total-New",'Distrib pivot table'!$C$2,"state","TN"))=0,,IF(GETPIVOTDATA("Total-New",'Distrib pivot table'!$C$2,"state","TN","group","1c7")/GETPIVOTDATA("Total-New",'Distrib pivot table'!$C$2,"state","TN")&gt;0.0005,GETPIVOTDATA("Total-New",'Distrib pivot table'!$C$2,"state","TN","group","1c7")/GETPIVOTDATA("Total-New",'Distrib pivot table'!$C$2,"state","TN"),"*"))</f>
        <v>0</v>
      </c>
      <c r="R23" s="580">
        <f>IF((GETPIVOTDATA("Total-New",'Distrib pivot table'!$C$2,"state","TX","group","1c7")/GETPIVOTDATA("Total-New",'Distrib pivot table'!$C$2,"state","TX"))=0,,IF(GETPIVOTDATA("Total-New",'Distrib pivot table'!$C$2,"state","TX","group","1c7")/GETPIVOTDATA("Total-New",'Distrib pivot table'!$C$2,"state","TX")&gt;0.0005,GETPIVOTDATA("Total-New",'Distrib pivot table'!$C$2,"state","TX","group","1c7")/GETPIVOTDATA("Total-New",'Distrib pivot table'!$C$2,"state","TX"),"*"))</f>
        <v>1.0529270853760699E-3</v>
      </c>
      <c r="S23" s="580">
        <f>IF((GETPIVOTDATA("Total-New",'Distrib pivot table'!$C$2,"state","VA","group","1c7")/GETPIVOTDATA("Total-New",'Distrib pivot table'!$C$2,"state","VA"))=0,,IF(GETPIVOTDATA("Total-New",'Distrib pivot table'!$C$2,"state","VA","group","1c7")/GETPIVOTDATA("Total-New",'Distrib pivot table'!$C$2,"state","VA")&gt;0.0005,GETPIVOTDATA("Total-New",'Distrib pivot table'!$C$2,"state","VA","group","1c7")/GETPIVOTDATA("Total-New",'Distrib pivot table'!$C$2,"state","VA"),"*"))</f>
        <v>0</v>
      </c>
      <c r="T23" s="581">
        <f>IF((GETPIVOTDATA("Total-New",'Distrib pivot table'!$C$2,"state","WV","group","1c7")/GETPIVOTDATA("Total-New",'Distrib pivot table'!$C$2,"state","WV"))=0,,IF(GETPIVOTDATA("Total-New",'Distrib pivot table'!$C$2,"state","WV","group","1c7")/GETPIVOTDATA("Total-New",'Distrib pivot table'!$C$2,"state","WV")&gt;0.0005,GETPIVOTDATA("Total-New",'Distrib pivot table'!$C$2,"state","WV","group","1c7")/GETPIVOTDATA("Total-New",'Distrib pivot table'!$C$2,"state","WV"),"*"))</f>
        <v>0</v>
      </c>
      <c r="U23" s="576"/>
      <c r="V23" s="576"/>
      <c r="W23" s="576"/>
      <c r="X23" s="576"/>
      <c r="Y23" s="576"/>
      <c r="Z23" s="576"/>
      <c r="AA23" s="576"/>
      <c r="AB23" s="576"/>
      <c r="AC23" s="576"/>
      <c r="AD23" s="576"/>
      <c r="AE23" s="576"/>
      <c r="AF23" s="576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576"/>
      <c r="AS23" s="576"/>
      <c r="AT23" s="576"/>
      <c r="AU23" s="576"/>
      <c r="AV23" s="576"/>
      <c r="AW23" s="576"/>
      <c r="AX23" s="576"/>
    </row>
    <row r="24" spans="1:50" ht="25.5" customHeight="1">
      <c r="A24" s="1224"/>
      <c r="B24" s="582" t="s">
        <v>297</v>
      </c>
      <c r="C24" s="583" t="s">
        <v>132</v>
      </c>
      <c r="D24" s="584">
        <f>IF(GETPIVOTDATA("Total-New",'Distrib pivot table'!$C$2,"group","1g")/GETPIVOTDATA("Total-New",'Distrib pivot table'!$C$2)=0,,IF(GETPIVOTDATA("Total-New",'Distrib pivot table'!$C$2,"group","1g")/GETPIVOTDATA("Total-New",'Distrib pivot table'!$C$2)&gt;0.0005,GETPIVOTDATA("Total-New",'Distrib pivot table'!$C$2,"group","1g")/GETPIVOTDATA("Total-New",'Distrib pivot table'!$C$2),"*"))</f>
        <v>4.6206284671252403E-3</v>
      </c>
      <c r="E24" s="584" t="str">
        <f>IF((GETPIVOTDATA("Total-New",'Distrib pivot table'!$C$2,"state","AL","group","1g")/GETPIVOTDATA("Total-New",'Distrib pivot table'!$C$2,"state","AL"))=0,,IF(GETPIVOTDATA("Total-New",'Distrib pivot table'!$C$2,"state","AL","group","1g")/GETPIVOTDATA("Total-New",'Distrib pivot table'!$C$2,"state","AL")&gt;0.0005,GETPIVOTDATA("Total-New",'Distrib pivot table'!$C$2,"state","AL","group","1g")/GETPIVOTDATA("Total-New",'Distrib pivot table'!$C$2,"state","AL"),"*"))</f>
        <v>*</v>
      </c>
      <c r="F24" s="584" t="str">
        <f>IF((GETPIVOTDATA("Total-New",'Distrib pivot table'!$C$2,"state","AR","group","1g")/GETPIVOTDATA("Total-New",'Distrib pivot table'!$C$2,"state","AR"))=0,,IF(GETPIVOTDATA("Total-New",'Distrib pivot table'!$C$2,"state","AR","group","1g")/GETPIVOTDATA("Total-New",'Distrib pivot table'!$C$2,"state","AR")&gt;0.0005,GETPIVOTDATA("Total-New",'Distrib pivot table'!$C$2,"state","AR","group","1g")/GETPIVOTDATA("Total-New",'Distrib pivot table'!$C$2,"state","AR"),"*"))</f>
        <v>*</v>
      </c>
      <c r="G24" s="584">
        <f>IF((GETPIVOTDATA("Total-New",'Distrib pivot table'!$C$2,"state","DE","group","1g")/GETPIVOTDATA("Total-New",'Distrib pivot table'!$C$2,"state","DE"))=0,,IF(GETPIVOTDATA("Total-New",'Distrib pivot table'!$C$2,"state","DE","group","1g")/GETPIVOTDATA("Total-New",'Distrib pivot table'!$C$2,"state","DE")&gt;0.0005,GETPIVOTDATA("Total-New",'Distrib pivot table'!$C$2,"state","DE","group","1g")/GETPIVOTDATA("Total-New",'Distrib pivot table'!$C$2,"state","DE"),"*"))</f>
        <v>1.7616114068361153E-3</v>
      </c>
      <c r="H24" s="584">
        <f>IF((GETPIVOTDATA("Total-New",'Distrib pivot table'!$C$2,"state","FL","group","1g")/GETPIVOTDATA("Total-New",'Distrib pivot table'!$C$2,"state","FL"))=0,,IF(GETPIVOTDATA("Total-New",'Distrib pivot table'!$C$2,"state","FL","group","1g")/GETPIVOTDATA("Total-New",'Distrib pivot table'!$C$2,"state","FL")&gt;0.0005,GETPIVOTDATA("Total-New",'Distrib pivot table'!$C$2,"state","FL","group","1g")/GETPIVOTDATA("Total-New",'Distrib pivot table'!$C$2,"state","FL"),"*"))</f>
        <v>0</v>
      </c>
      <c r="I24" s="584">
        <f>IF((GETPIVOTDATA("Total-New",'Distrib pivot table'!$C$2,"state","GA","group","1g")/GETPIVOTDATA("Total-New",'Distrib pivot table'!$C$2,"state","GA"))=0,,IF(GETPIVOTDATA("Total-New",'Distrib pivot table'!$C$2,"state","GA","group","1g")/GETPIVOTDATA("Total-New",'Distrib pivot table'!$C$2,"state","GA")&gt;0.0005,GETPIVOTDATA("Total-New",'Distrib pivot table'!$C$2,"state","GA","group","1g")/GETPIVOTDATA("Total-New",'Distrib pivot table'!$C$2,"state","GA"),"*"))</f>
        <v>1.1301208780252302E-2</v>
      </c>
      <c r="J24" s="584">
        <f>IF((GETPIVOTDATA("Total-New",'Distrib pivot table'!$C$2,"state","KY","group","1g")/GETPIVOTDATA("Total-New",'Distrib pivot table'!$C$2,"state","KY"))=0,,IF(GETPIVOTDATA("Total-New",'Distrib pivot table'!$C$2,"state","KY","group","1g")/GETPIVOTDATA("Total-New",'Distrib pivot table'!$C$2,"state","KY")&gt;0.0005,GETPIVOTDATA("Total-New",'Distrib pivot table'!$C$2,"state","KY","group","1g")/GETPIVOTDATA("Total-New",'Distrib pivot table'!$C$2,"state","KY"),"*"))</f>
        <v>9.0165501102564775E-3</v>
      </c>
      <c r="K24" s="584">
        <f>IF((GETPIVOTDATA("Total-New",'Distrib pivot table'!$C$2,"state","LA","group","1g")/GETPIVOTDATA("Total-New",'Distrib pivot table'!$C$2,"state","LA"))=0,,IF(GETPIVOTDATA("Total-New",'Distrib pivot table'!$C$2,"state","LA","group","1g")/GETPIVOTDATA("Total-New",'Distrib pivot table'!$C$2,"state","LA")&gt;0.0005,GETPIVOTDATA("Total-New",'Distrib pivot table'!$C$2,"state","LA","group","1g")/GETPIVOTDATA("Total-New",'Distrib pivot table'!$C$2,"state","LA"),"*"))</f>
        <v>3.9720773422987302E-3</v>
      </c>
      <c r="L24" s="584">
        <f>IF((GETPIVOTDATA("Total-New",'Distrib pivot table'!$C$2,"state","MD","group","1g")/GETPIVOTDATA("Total-New",'Distrib pivot table'!$C$2,"state","MD"))=0,,IF(GETPIVOTDATA("Total-New",'Distrib pivot table'!$C$2,"state","MD","group","1g")/GETPIVOTDATA("Total-New",'Distrib pivot table'!$C$2,"state","MD")&gt;0.0005,GETPIVOTDATA("Total-New",'Distrib pivot table'!$C$2,"state","MD","group","1g")/GETPIVOTDATA("Total-New",'Distrib pivot table'!$C$2,"state","MD"),"*"))</f>
        <v>1.2176767019308355E-3</v>
      </c>
      <c r="M24" s="584">
        <f>IF((GETPIVOTDATA("Total-New",'Distrib pivot table'!$C$2,"state","MS","group","1g")/GETPIVOTDATA("Total-New",'Distrib pivot table'!$C$2,"state","MS"))=0,,IF(GETPIVOTDATA("Total-New",'Distrib pivot table'!$C$2,"state","MS","group","1g")/GETPIVOTDATA("Total-New",'Distrib pivot table'!$C$2,"state","MS")&gt;0.0005,GETPIVOTDATA("Total-New",'Distrib pivot table'!$C$2,"state","MS","group","1g")/GETPIVOTDATA("Total-New",'Distrib pivot table'!$C$2,"state","MS"),"*"))</f>
        <v>0</v>
      </c>
      <c r="N24" s="584">
        <f>IF((GETPIVOTDATA("Total-New",'Distrib pivot table'!$C$2,"state","NC","group","1g")/GETPIVOTDATA("Total-New",'Distrib pivot table'!$C$2,"state","NC"))=0,,IF(GETPIVOTDATA("Total-New",'Distrib pivot table'!$C$2,"state","NC","group","1g")/GETPIVOTDATA("Total-New",'Distrib pivot table'!$C$2,"state","NC")&gt;0.0005,GETPIVOTDATA("Total-New",'Distrib pivot table'!$C$2,"state","NC","group","1g")/GETPIVOTDATA("Total-New",'Distrib pivot table'!$C$2,"state","NC"),"*"))</f>
        <v>4.5806584759798081E-3</v>
      </c>
      <c r="O24" s="584">
        <f>IF((GETPIVOTDATA("Total-New",'Distrib pivot table'!$C$2,"state","OK","group","1g")/GETPIVOTDATA("Total-New",'Distrib pivot table'!$C$2,"state","OK"))=0,,IF(GETPIVOTDATA("Total-New",'Distrib pivot table'!$C$2,"state","OK","group","1g")/GETPIVOTDATA("Total-New",'Distrib pivot table'!$C$2,"state","OK")&gt;0.0005,GETPIVOTDATA("Total-New",'Distrib pivot table'!$C$2,"state","OK","group","1g")/GETPIVOTDATA("Total-New",'Distrib pivot table'!$C$2,"state","OK"),"*"))</f>
        <v>0</v>
      </c>
      <c r="P24" s="584">
        <f>IF((GETPIVOTDATA("Total-New",'Distrib pivot table'!$C$2,"state","SC","group","1g")/GETPIVOTDATA("Total-New",'Distrib pivot table'!$C$2,"state","SC"))=0,,IF(GETPIVOTDATA("Total-New",'Distrib pivot table'!$C$2,"state","SC","group","1g")/GETPIVOTDATA("Total-New",'Distrib pivot table'!$C$2,"state","SC")&gt;0.0005,GETPIVOTDATA("Total-New",'Distrib pivot table'!$C$2,"state","SC","group","1g")/GETPIVOTDATA("Total-New",'Distrib pivot table'!$C$2,"state","SC"),"*"))</f>
        <v>1.2006376477595279E-3</v>
      </c>
      <c r="Q24" s="584" t="str">
        <f>IF((GETPIVOTDATA("Total-New",'Distrib pivot table'!$C$2,"state","TN","group","1g")/GETPIVOTDATA("Total-New",'Distrib pivot table'!$C$2,"state","TN"))=0,,IF(GETPIVOTDATA("Total-New",'Distrib pivot table'!$C$2,"state","TN","group","1g")/GETPIVOTDATA("Total-New",'Distrib pivot table'!$C$2,"state","TN")&gt;0.0005,GETPIVOTDATA("Total-New",'Distrib pivot table'!$C$2,"state","TN","group","1g")/GETPIVOTDATA("Total-New",'Distrib pivot table'!$C$2,"state","TN"),"*"))</f>
        <v>*</v>
      </c>
      <c r="R24" s="584">
        <f>IF((GETPIVOTDATA("Total-New",'Distrib pivot table'!$C$2,"state","TX","group","1g")/GETPIVOTDATA("Total-New",'Distrib pivot table'!$C$2,"state","TX"))=0,,IF(GETPIVOTDATA("Total-New",'Distrib pivot table'!$C$2,"state","TX","group","1g")/GETPIVOTDATA("Total-New",'Distrib pivot table'!$C$2,"state","TX")&gt;0.0005,GETPIVOTDATA("Total-New",'Distrib pivot table'!$C$2,"state","TX","group","1g")/GETPIVOTDATA("Total-New",'Distrib pivot table'!$C$2,"state","TX"),"*"))</f>
        <v>0</v>
      </c>
      <c r="S24" s="584">
        <f>IF((GETPIVOTDATA("Total-New",'Distrib pivot table'!$C$2,"state","VA","group","1g")/GETPIVOTDATA("Total-New",'Distrib pivot table'!$C$2,"state","VA"))=0,,IF(GETPIVOTDATA("Total-New",'Distrib pivot table'!$C$2,"state","VA","group","1g")/GETPIVOTDATA("Total-New",'Distrib pivot table'!$C$2,"state","VA")&gt;0.0005,GETPIVOTDATA("Total-New",'Distrib pivot table'!$C$2,"state","VA","group","1g")/GETPIVOTDATA("Total-New",'Distrib pivot table'!$C$2,"state","VA"),"*"))</f>
        <v>2.1768936824952748E-2</v>
      </c>
      <c r="T24" s="584">
        <f>IF((GETPIVOTDATA("Total-New",'Distrib pivot table'!$C$2,"state","WV","group","1g")/GETPIVOTDATA("Total-New",'Distrib pivot table'!$C$2,"state","WV"))=0,,IF(GETPIVOTDATA("Total-New",'Distrib pivot table'!$C$2,"state","WV","group","1g")/GETPIVOTDATA("Total-New",'Distrib pivot table'!$C$2,"state","WV")&gt;0.0005,GETPIVOTDATA("Total-New",'Distrib pivot table'!$C$2,"state","WV","group","1g")/GETPIVOTDATA("Total-New",'Distrib pivot table'!$C$2,"state","WV"),"*"))</f>
        <v>5.7919412394650946E-3</v>
      </c>
      <c r="U24" s="576"/>
      <c r="V24" s="576"/>
      <c r="W24" s="576"/>
      <c r="X24" s="576"/>
      <c r="Y24" s="576"/>
      <c r="Z24" s="576"/>
      <c r="AA24" s="576"/>
      <c r="AB24" s="576"/>
      <c r="AC24" s="576"/>
      <c r="AD24" s="576"/>
      <c r="AE24" s="576"/>
      <c r="AF24" s="576"/>
      <c r="AG24" s="576"/>
      <c r="AH24" s="576"/>
      <c r="AI24" s="576"/>
      <c r="AJ24" s="576"/>
      <c r="AK24" s="576"/>
      <c r="AL24" s="576"/>
      <c r="AM24" s="576"/>
      <c r="AN24" s="576"/>
      <c r="AO24" s="576"/>
      <c r="AP24" s="576"/>
      <c r="AQ24" s="576"/>
      <c r="AR24" s="576"/>
      <c r="AS24" s="576"/>
      <c r="AT24" s="576"/>
      <c r="AU24" s="576"/>
      <c r="AV24" s="576"/>
      <c r="AW24" s="576"/>
      <c r="AX24" s="576"/>
    </row>
    <row r="25" spans="1:50" ht="39.75" customHeight="1">
      <c r="A25" s="1220" t="s">
        <v>1023</v>
      </c>
      <c r="B25" s="1221"/>
      <c r="C25" s="1221"/>
      <c r="D25" s="1221"/>
      <c r="E25" s="1221"/>
      <c r="F25" s="1221"/>
      <c r="G25" s="1221"/>
      <c r="H25" s="1221"/>
      <c r="I25" s="1221"/>
      <c r="J25" s="1221"/>
      <c r="K25" s="1221"/>
      <c r="L25" s="1221"/>
      <c r="M25" s="1221"/>
      <c r="N25" s="1221"/>
      <c r="O25" s="1221"/>
      <c r="P25" s="1221"/>
      <c r="Q25" s="1221"/>
      <c r="R25" s="1221"/>
      <c r="S25" s="1221"/>
      <c r="T25" s="1221"/>
    </row>
    <row r="26" spans="1:50" ht="15.75" customHeight="1">
      <c r="A26" s="585" t="s">
        <v>1024</v>
      </c>
      <c r="B26" s="287"/>
      <c r="C26" s="566"/>
      <c r="D26" s="566"/>
      <c r="E26" s="566"/>
      <c r="F26" s="566"/>
      <c r="G26" s="566"/>
      <c r="H26" s="566"/>
      <c r="I26" s="566"/>
      <c r="J26" s="566"/>
      <c r="K26" s="566"/>
      <c r="L26" s="566"/>
      <c r="M26" s="566"/>
      <c r="N26" s="566"/>
      <c r="O26" s="566"/>
      <c r="P26" s="566"/>
      <c r="Q26" s="566"/>
      <c r="R26" s="566"/>
      <c r="S26" s="566"/>
      <c r="T26" s="566"/>
    </row>
    <row r="27" spans="1:50" ht="15.75" customHeight="1">
      <c r="A27" s="566" t="s">
        <v>1011</v>
      </c>
      <c r="B27" s="287"/>
      <c r="C27" s="566"/>
      <c r="D27" s="566"/>
      <c r="E27" s="566"/>
      <c r="F27" s="566"/>
      <c r="G27" s="566"/>
      <c r="H27" s="566"/>
      <c r="I27" s="566"/>
      <c r="J27" s="566"/>
      <c r="K27" s="566"/>
      <c r="L27" s="566"/>
      <c r="M27" s="566"/>
      <c r="N27" s="566"/>
      <c r="O27" s="566"/>
      <c r="P27" s="566"/>
      <c r="Q27" s="566"/>
      <c r="R27" s="566"/>
      <c r="S27" s="566"/>
      <c r="T27" s="370" t="s">
        <v>1814</v>
      </c>
    </row>
    <row r="28" spans="1:50" ht="14.25" customHeight="1">
      <c r="B28" s="287"/>
      <c r="C28" s="566"/>
      <c r="D28" s="566"/>
      <c r="E28" s="566"/>
      <c r="F28" s="566"/>
      <c r="G28" s="566"/>
      <c r="H28" s="566"/>
      <c r="I28" s="566"/>
      <c r="J28" s="566"/>
      <c r="K28" s="566"/>
      <c r="L28" s="566"/>
      <c r="M28" s="566"/>
      <c r="N28" s="566"/>
      <c r="O28" s="566"/>
      <c r="P28" s="566"/>
      <c r="Q28" s="566"/>
      <c r="R28" s="566"/>
      <c r="S28" s="566"/>
    </row>
    <row r="29" spans="1:50" s="571" customFormat="1" ht="12.65" customHeight="1">
      <c r="A29" s="1222" t="s">
        <v>825</v>
      </c>
      <c r="B29" s="610" t="s">
        <v>301</v>
      </c>
      <c r="C29" s="587" t="s">
        <v>138</v>
      </c>
      <c r="D29" s="588">
        <f>SUM(D30:D33)</f>
        <v>9.069666315743909E-3</v>
      </c>
      <c r="E29" s="588">
        <f>SUM(E30:E33)</f>
        <v>6.5431016773445537E-3</v>
      </c>
      <c r="F29" s="588">
        <f t="shared" ref="F29:T29" si="3">SUM(F30:F33)</f>
        <v>5.0439791126924123E-3</v>
      </c>
      <c r="G29" s="588">
        <f t="shared" si="3"/>
        <v>1.2800527828345364E-2</v>
      </c>
      <c r="H29" s="588">
        <f t="shared" si="3"/>
        <v>1.2354310428109815E-3</v>
      </c>
      <c r="I29" s="588">
        <f t="shared" si="3"/>
        <v>1.7459183297722923E-3</v>
      </c>
      <c r="J29" s="588">
        <f t="shared" si="3"/>
        <v>1.0414435332175381E-2</v>
      </c>
      <c r="K29" s="588">
        <f t="shared" si="3"/>
        <v>1.6082335554263794E-2</v>
      </c>
      <c r="L29" s="588">
        <f t="shared" si="3"/>
        <v>4.0692228699372021E-3</v>
      </c>
      <c r="M29" s="588">
        <f t="shared" si="3"/>
        <v>5.2614582279120851E-3</v>
      </c>
      <c r="N29" s="588">
        <f t="shared" si="3"/>
        <v>4.5622614703195912E-3</v>
      </c>
      <c r="O29" s="588">
        <f>IF((GETPIVOTDATA("Total-New",'Distrib pivot table'!$C$2,"state","OK","group","2a")/GETPIVOTDATA("Total-New",'Distrib pivot table'!$C$2,"state","OK"))=0,,IF(GETPIVOTDATA("Total-New",'Distrib pivot table'!$C$2,"state","OK","group","2a")/GETPIVOTDATA("Total-New",'Distrib pivot table'!$C$2,"state","OK")&gt;0.0005,GETPIVOTDATA("Total-New",'Distrib pivot table'!$C$2,"state","OK","group","2a")/GETPIVOTDATA("Total-New",'Distrib pivot table'!$C$2,"state","OK"),"*"))</f>
        <v>0.49986404934823575</v>
      </c>
      <c r="P29" s="588">
        <f>SUM(P30:P33)</f>
        <v>6.7439057477732059E-3</v>
      </c>
      <c r="Q29" s="588">
        <f t="shared" si="3"/>
        <v>7.8536260627661818E-3</v>
      </c>
      <c r="R29" s="588">
        <f t="shared" si="3"/>
        <v>1.9328525099341624E-2</v>
      </c>
      <c r="S29" s="588">
        <f t="shared" si="3"/>
        <v>7.3325112818232235E-3</v>
      </c>
      <c r="T29" s="588">
        <f t="shared" si="3"/>
        <v>9.1112179560564888E-3</v>
      </c>
      <c r="U29" s="570"/>
      <c r="V29" s="570"/>
      <c r="W29" s="570"/>
      <c r="X29" s="570"/>
      <c r="Y29" s="570"/>
      <c r="Z29" s="570"/>
      <c r="AA29" s="570"/>
      <c r="AB29" s="570"/>
      <c r="AC29" s="570"/>
      <c r="AD29" s="570"/>
      <c r="AE29" s="570"/>
      <c r="AF29" s="570"/>
      <c r="AG29" s="570"/>
      <c r="AH29" s="570"/>
      <c r="AI29" s="570"/>
      <c r="AJ29" s="570"/>
      <c r="AK29" s="570"/>
      <c r="AL29" s="570"/>
      <c r="AM29" s="570"/>
      <c r="AN29" s="570"/>
      <c r="AO29" s="570"/>
      <c r="AP29" s="570"/>
      <c r="AQ29" s="570"/>
      <c r="AR29" s="570"/>
      <c r="AS29" s="570"/>
      <c r="AT29" s="570"/>
      <c r="AU29" s="570"/>
      <c r="AV29" s="570"/>
      <c r="AW29" s="570"/>
      <c r="AX29" s="570"/>
    </row>
    <row r="30" spans="1:50" ht="12.65" customHeight="1">
      <c r="A30" s="1225"/>
      <c r="B30" s="573" t="s">
        <v>141</v>
      </c>
      <c r="C30" s="589" t="s">
        <v>140</v>
      </c>
      <c r="D30" s="575">
        <f>IF(GETPIVOTDATA("Total-New",'Distrib pivot table'!$C$2,"group","2a1")/GETPIVOTDATA("Total-New",'Distrib pivot table'!$C$2)=0,,IF(GETPIVOTDATA("Total-New",'Distrib pivot table'!$C$2,"group","2a1")/GETPIVOTDATA("Total-New",'Distrib pivot table'!$C$2)&gt;0.0005,GETPIVOTDATA("Total-New",'Distrib pivot table'!$C$2,"group","2a1")/GETPIVOTDATA("Total-New",'Distrib pivot table'!$C$2),"*"))</f>
        <v>6.7698923916960051E-3</v>
      </c>
      <c r="E30" s="575">
        <f>IF((GETPIVOTDATA("Total-New",'Distrib pivot table'!$C$2,"state","AL","group","2a1")/GETPIVOTDATA("Total-New",'Distrib pivot table'!$C$2,"state","AL"))=0,,IF(GETPIVOTDATA("Total-New",'Distrib pivot table'!$C$2,"state","AL","group","2a1")/GETPIVOTDATA("Total-New",'Distrib pivot table'!$C$2,"state","AL")&gt;0.0005,GETPIVOTDATA("Total-New",'Distrib pivot table'!$C$2,"state","AL","group","2a1")/GETPIVOTDATA("Total-New",'Distrib pivot table'!$C$2,"state","AL"),"*"))</f>
        <v>9.0770337805733939E-4</v>
      </c>
      <c r="F30" s="575">
        <f>IF((GETPIVOTDATA("Total-New",'Distrib pivot table'!$C$2,"state","AR","group","2a1")/GETPIVOTDATA("Total-New",'Distrib pivot table'!$C$2,"state","AR"))=0,,IF(GETPIVOTDATA("Total-New",'Distrib pivot table'!$C$2,"state","AR","group","2a1")/GETPIVOTDATA("Total-New",'Distrib pivot table'!$C$2,"state","AR")&gt;0.0005,GETPIVOTDATA("Total-New",'Distrib pivot table'!$C$2,"state","AR","group","2a1")/GETPIVOTDATA("Total-New",'Distrib pivot table'!$C$2,"state","AR"),"*"))</f>
        <v>5.0439791126924123E-3</v>
      </c>
      <c r="G30" s="575" t="str">
        <f>IF((GETPIVOTDATA("Total-New",'Distrib pivot table'!$C$2,"state","DE","group","2a1")/GETPIVOTDATA("Total-New",'Distrib pivot table'!$C$2,"state","DE"))=0,,IF(GETPIVOTDATA("Total-New",'Distrib pivot table'!$C$2,"state","DE","group","2a1")/GETPIVOTDATA("Total-New",'Distrib pivot table'!$C$2,"state","DE")&gt;0.0005,GETPIVOTDATA("Total-New",'Distrib pivot table'!$C$2,"state","DE","group","2a1")/GETPIVOTDATA("Total-New",'Distrib pivot table'!$C$2,"state","DE"),"*"))</f>
        <v>*</v>
      </c>
      <c r="H30" s="575">
        <f>IF((GETPIVOTDATA("Total-New",'Distrib pivot table'!$C$2,"state","FL","group","2a1")/GETPIVOTDATA("Total-New",'Distrib pivot table'!$C$2,"state","FL"))=0,,IF(GETPIVOTDATA("Total-New",'Distrib pivot table'!$C$2,"state","FL","group","2a1")/GETPIVOTDATA("Total-New",'Distrib pivot table'!$C$2,"state","FL")&gt;0.0005,GETPIVOTDATA("Total-New",'Distrib pivot table'!$C$2,"state","FL","group","2a1")/GETPIVOTDATA("Total-New",'Distrib pivot table'!$C$2,"state","FL"),"*"))</f>
        <v>0</v>
      </c>
      <c r="I30" s="575">
        <f>IF((GETPIVOTDATA("Total-New",'Distrib pivot table'!$C$2,"state","GA","group","2a1")/GETPIVOTDATA("Total-New",'Distrib pivot table'!$C$2,"state","GA"))=0,,IF(GETPIVOTDATA("Total-New",'Distrib pivot table'!$C$2,"state","GA","group","2a1")/GETPIVOTDATA("Total-New",'Distrib pivot table'!$C$2,"state","GA")&gt;0.0005,GETPIVOTDATA("Total-New",'Distrib pivot table'!$C$2,"state","GA","group","2a1")/GETPIVOTDATA("Total-New",'Distrib pivot table'!$C$2,"state","GA"),"*"))</f>
        <v>1.7459183297722923E-3</v>
      </c>
      <c r="J30" s="575">
        <f>IF((GETPIVOTDATA("Total-New",'Distrib pivot table'!$C$2,"state","KY","group","2a1")/GETPIVOTDATA("Total-New",'Distrib pivot table'!$C$2,"state","KY"))=0,,IF(GETPIVOTDATA("Total-New",'Distrib pivot table'!$C$2,"state","KY","group","2a1")/GETPIVOTDATA("Total-New",'Distrib pivot table'!$C$2,"state","KY")&gt;0.0005,GETPIVOTDATA("Total-New",'Distrib pivot table'!$C$2,"state","KY","group","2a1")/GETPIVOTDATA("Total-New",'Distrib pivot table'!$C$2,"state","KY"),"*"))</f>
        <v>1.4894969531607358E-3</v>
      </c>
      <c r="K30" s="575">
        <f>IF((GETPIVOTDATA("Total-New",'Distrib pivot table'!$C$2,"state","LA","group","2a1")/GETPIVOTDATA("Total-New",'Distrib pivot table'!$C$2,"state","LA"))=0,,IF(GETPIVOTDATA("Total-New",'Distrib pivot table'!$C$2,"state","LA","group","2a1")/GETPIVOTDATA("Total-New",'Distrib pivot table'!$C$2,"state","LA")&gt;0.0005,GETPIVOTDATA("Total-New",'Distrib pivot table'!$C$2,"state","LA","group","2a1")/GETPIVOTDATA("Total-New",'Distrib pivot table'!$C$2,"state","LA"),"*"))</f>
        <v>4.9247557250334459E-3</v>
      </c>
      <c r="L30" s="575">
        <f>IF((GETPIVOTDATA("Total-New",'Distrib pivot table'!$C$2,"state","MD","group","2a1")/GETPIVOTDATA("Total-New",'Distrib pivot table'!$C$2,"state","MD"))=0,,IF(GETPIVOTDATA("Total-New",'Distrib pivot table'!$C$2,"state","MD","group","2a1")/GETPIVOTDATA("Total-New",'Distrib pivot table'!$C$2,"state","MD")&gt;0.0005,GETPIVOTDATA("Total-New",'Distrib pivot table'!$C$2,"state","MD","group","2a1")/GETPIVOTDATA("Total-New",'Distrib pivot table'!$C$2,"state","MD"),"*"))</f>
        <v>4.0692228699372021E-3</v>
      </c>
      <c r="M30" s="575">
        <f>IF((GETPIVOTDATA("Total-New",'Distrib pivot table'!$C$2,"state","MS","group","2a1")/GETPIVOTDATA("Total-New",'Distrib pivot table'!$C$2,"state","MS"))=0,,IF(GETPIVOTDATA("Total-New",'Distrib pivot table'!$C$2,"state","MS","group","2a1")/GETPIVOTDATA("Total-New",'Distrib pivot table'!$C$2,"state","MS")&gt;0.0005,GETPIVOTDATA("Total-New",'Distrib pivot table'!$C$2,"state","MS","group","2a1")/GETPIVOTDATA("Total-New",'Distrib pivot table'!$C$2,"state","MS"),"*"))</f>
        <v>4.5597758677845867E-3</v>
      </c>
      <c r="N30" s="575">
        <f>IF((GETPIVOTDATA("Total-New",'Distrib pivot table'!$C$2,"state","NC","group","2a1")/GETPIVOTDATA("Total-New",'Distrib pivot table'!$C$2,"state","NC"))=0,,IF(GETPIVOTDATA("Total-New",'Distrib pivot table'!$C$2,"state","NC","group","2a1")/GETPIVOTDATA("Total-New",'Distrib pivot table'!$C$2,"state","NC")&gt;0.0005,GETPIVOTDATA("Total-New",'Distrib pivot table'!$C$2,"state","NC","group","2a1")/GETPIVOTDATA("Total-New",'Distrib pivot table'!$C$2,"state","NC"),"*"))</f>
        <v>4.5622614703195912E-3</v>
      </c>
      <c r="O30" s="575" t="s">
        <v>1812</v>
      </c>
      <c r="P30" s="575">
        <f>IF((GETPIVOTDATA("Total-New",'Distrib pivot table'!$C$2,"state","SC","group","2a1")/GETPIVOTDATA("Total-New",'Distrib pivot table'!$C$2,"state","SC"))=0,,IF(GETPIVOTDATA("Total-New",'Distrib pivot table'!$C$2,"state","SC","group","2a1")/GETPIVOTDATA("Total-New",'Distrib pivot table'!$C$2,"state","SC")&gt;0.0005,GETPIVOTDATA("Total-New",'Distrib pivot table'!$C$2,"state","SC","group","2a1")/GETPIVOTDATA("Total-New",'Distrib pivot table'!$C$2,"state","SC"),"*"))</f>
        <v>1.0810203121116553E-3</v>
      </c>
      <c r="Q30" s="575">
        <f>IF((GETPIVOTDATA("Total-New",'Distrib pivot table'!$C$2,"state","TN","group","2a1")/GETPIVOTDATA("Total-New",'Distrib pivot table'!$C$2,"state","TN"))=0,,IF(GETPIVOTDATA("Total-New",'Distrib pivot table'!$C$2,"state","TN","group","2a1")/GETPIVOTDATA("Total-New",'Distrib pivot table'!$C$2,"state","TN")&gt;0.0005,GETPIVOTDATA("Total-New",'Distrib pivot table'!$C$2,"state","TN","group","2a1")/GETPIVOTDATA("Total-New",'Distrib pivot table'!$C$2,"state","TN"),"*"))</f>
        <v>7.2734775907376996E-3</v>
      </c>
      <c r="R30" s="575">
        <f>IF((GETPIVOTDATA("Total-New",'Distrib pivot table'!$C$2,"state","TX","group","2a1")/GETPIVOTDATA("Total-New",'Distrib pivot table'!$C$2,"state","TX"))=0,,IF(GETPIVOTDATA("Total-New",'Distrib pivot table'!$C$2,"state","TX","group","2a1")/GETPIVOTDATA("Total-New",'Distrib pivot table'!$C$2,"state","TX")&gt;0.0005,GETPIVOTDATA("Total-New",'Distrib pivot table'!$C$2,"state","TX","group","2a1")/GETPIVOTDATA("Total-New",'Distrib pivot table'!$C$2,"state","TX"),"*"))</f>
        <v>1.8761249655393591E-2</v>
      </c>
      <c r="S30" s="575">
        <f>IF((GETPIVOTDATA("Total-New",'Distrib pivot table'!$C$2,"state","VA","group","2a1")/GETPIVOTDATA("Total-New",'Distrib pivot table'!$C$2,"state","VA"))=0,,IF(GETPIVOTDATA("Total-New",'Distrib pivot table'!$C$2,"state","VA","group","2a1")/GETPIVOTDATA("Total-New",'Distrib pivot table'!$C$2,"state","VA")&gt;0.0005,GETPIVOTDATA("Total-New",'Distrib pivot table'!$C$2,"state","VA","group","2a1")/GETPIVOTDATA("Total-New",'Distrib pivot table'!$C$2,"state","VA"),"*"))</f>
        <v>1.1333447061550354E-3</v>
      </c>
      <c r="T30" s="575">
        <f>IF((GETPIVOTDATA("Total-New",'Distrib pivot table'!$C$2,"state","WV","group","2a1")/GETPIVOTDATA("Total-New",'Distrib pivot table'!$C$2,"state","WV"))=0,,IF(GETPIVOTDATA("Total-New",'Distrib pivot table'!$C$2,"state","WV","group","2a1")/GETPIVOTDATA("Total-New",'Distrib pivot table'!$C$2,"state","WV")&gt;0.0005,GETPIVOTDATA("Total-New",'Distrib pivot table'!$C$2,"state","WV","group","2a1")/GETPIVOTDATA("Total-New",'Distrib pivot table'!$C$2,"state","WV"),"*"))</f>
        <v>5.3207551606644461E-3</v>
      </c>
      <c r="U30" s="576"/>
      <c r="V30" s="576"/>
      <c r="W30" s="576"/>
      <c r="X30" s="576"/>
      <c r="Y30" s="576"/>
      <c r="Z30" s="576"/>
      <c r="AA30" s="576"/>
      <c r="AB30" s="576"/>
      <c r="AC30" s="576"/>
      <c r="AD30" s="576"/>
      <c r="AE30" s="576"/>
      <c r="AF30" s="576"/>
      <c r="AG30" s="576"/>
      <c r="AH30" s="576"/>
      <c r="AI30" s="576"/>
      <c r="AJ30" s="576"/>
      <c r="AK30" s="576"/>
      <c r="AL30" s="576"/>
      <c r="AM30" s="576"/>
      <c r="AN30" s="576"/>
      <c r="AO30" s="576"/>
      <c r="AP30" s="576"/>
      <c r="AQ30" s="576"/>
      <c r="AR30" s="576"/>
      <c r="AS30" s="576"/>
      <c r="AT30" s="576"/>
      <c r="AU30" s="576"/>
      <c r="AV30" s="576"/>
      <c r="AW30" s="576"/>
      <c r="AX30" s="576"/>
    </row>
    <row r="31" spans="1:50" ht="12.65" customHeight="1">
      <c r="A31" s="1225"/>
      <c r="B31" s="573" t="s">
        <v>143</v>
      </c>
      <c r="C31" s="589" t="s">
        <v>142</v>
      </c>
      <c r="D31" s="575">
        <f>IF(GETPIVOTDATA("Total-New",'Distrib pivot table'!$C$2,"group","2a2")/GETPIVOTDATA("Total-New",'Distrib pivot table'!$C$2)=0,,IF(GETPIVOTDATA("Total-New",'Distrib pivot table'!$C$2,"group","2a2")/GETPIVOTDATA("Total-New",'Distrib pivot table'!$C$2)&gt;0.0005,GETPIVOTDATA("Total-New",'Distrib pivot table'!$C$2,"group","2a2")/GETPIVOTDATA("Total-New",'Distrib pivot table'!$C$2),"*"))</f>
        <v>2.2997739240479039E-3</v>
      </c>
      <c r="E31" s="575">
        <f>IF((GETPIVOTDATA("Total-New",'Distrib pivot table'!$C$2,"state","AL","group","2a2")/GETPIVOTDATA("Total-New",'Distrib pivot table'!$C$2,"state","AL"))=0,,IF(GETPIVOTDATA("Total-New",'Distrib pivot table'!$C$2,"state","AL","group","2a2")/GETPIVOTDATA("Total-New",'Distrib pivot table'!$C$2,"state","AL")&gt;0.0005,GETPIVOTDATA("Total-New",'Distrib pivot table'!$C$2,"state","AL","group","2a2")/GETPIVOTDATA("Total-New",'Distrib pivot table'!$C$2,"state","AL"),"*"))</f>
        <v>5.6353982992872146E-3</v>
      </c>
      <c r="F31" s="575">
        <f>IF((GETPIVOTDATA("Total-New",'Distrib pivot table'!$C$2,"state","AR","group","2a2")/GETPIVOTDATA("Total-New",'Distrib pivot table'!$C$2,"state","AR"))=0,,IF(GETPIVOTDATA("Total-New",'Distrib pivot table'!$C$2,"state","AR","group","2a2")/GETPIVOTDATA("Total-New",'Distrib pivot table'!$C$2,"state","AR")&gt;0.0005,GETPIVOTDATA("Total-New",'Distrib pivot table'!$C$2,"state","AR","group","2a2")/GETPIVOTDATA("Total-New",'Distrib pivot table'!$C$2,"state","AR"),"*"))</f>
        <v>0</v>
      </c>
      <c r="G31" s="575">
        <f>IF((GETPIVOTDATA("Total-New",'Distrib pivot table'!$C$2,"state","DE","group","2a2")/GETPIVOTDATA("Total-New",'Distrib pivot table'!$C$2,"state","DE"))=0,,IF(GETPIVOTDATA("Total-New",'Distrib pivot table'!$C$2,"state","DE","group","2a2")/GETPIVOTDATA("Total-New",'Distrib pivot table'!$C$2,"state","DE")&gt;0.0005,GETPIVOTDATA("Total-New",'Distrib pivot table'!$C$2,"state","DE","group","2a2")/GETPIVOTDATA("Total-New",'Distrib pivot table'!$C$2,"state","DE"),"*"))</f>
        <v>1.2800527828345364E-2</v>
      </c>
      <c r="H31" s="575">
        <f>IF((GETPIVOTDATA("Total-New",'Distrib pivot table'!$C$2,"state","FL","group","2a2")/GETPIVOTDATA("Total-New",'Distrib pivot table'!$C$2,"state","FL"))=0,,IF(GETPIVOTDATA("Total-New",'Distrib pivot table'!$C$2,"state","FL","group","2a2")/GETPIVOTDATA("Total-New",'Distrib pivot table'!$C$2,"state","FL")&gt;0.0005,GETPIVOTDATA("Total-New",'Distrib pivot table'!$C$2,"state","FL","group","2a2")/GETPIVOTDATA("Total-New",'Distrib pivot table'!$C$2,"state","FL"),"*"))</f>
        <v>1.2354310428109815E-3</v>
      </c>
      <c r="I31" s="575">
        <f>IF((GETPIVOTDATA("Total-New",'Distrib pivot table'!$C$2,"state","GA","group","2a2")/GETPIVOTDATA("Total-New",'Distrib pivot table'!$C$2,"state","GA"))=0,,IF(GETPIVOTDATA("Total-New",'Distrib pivot table'!$C$2,"state","GA","group","2a2")/GETPIVOTDATA("Total-New",'Distrib pivot table'!$C$2,"state","GA")&gt;0.0005,GETPIVOTDATA("Total-New",'Distrib pivot table'!$C$2,"state","GA","group","2a2")/GETPIVOTDATA("Total-New",'Distrib pivot table'!$C$2,"state","GA"),"*"))</f>
        <v>0</v>
      </c>
      <c r="J31" s="575">
        <f>IF((GETPIVOTDATA("Total-New",'Distrib pivot table'!$C$2,"state","KY","group","2a2")/GETPIVOTDATA("Total-New",'Distrib pivot table'!$C$2,"state","KY"))=0,,IF(GETPIVOTDATA("Total-New",'Distrib pivot table'!$C$2,"state","KY","group","2a2")/GETPIVOTDATA("Total-New",'Distrib pivot table'!$C$2,"state","KY")&gt;0.0005,GETPIVOTDATA("Total-New",'Distrib pivot table'!$C$2,"state","KY","group","2a2")/GETPIVOTDATA("Total-New",'Distrib pivot table'!$C$2,"state","KY"),"*"))</f>
        <v>8.9249383790146446E-3</v>
      </c>
      <c r="K31" s="575">
        <f>IF((GETPIVOTDATA("Total-New",'Distrib pivot table'!$C$2,"state","LA","group","2a2")/GETPIVOTDATA("Total-New",'Distrib pivot table'!$C$2,"state","LA"))=0,,IF(GETPIVOTDATA("Total-New",'Distrib pivot table'!$C$2,"state","LA","group","2a2")/GETPIVOTDATA("Total-New",'Distrib pivot table'!$C$2,"state","LA")&gt;0.0005,GETPIVOTDATA("Total-New",'Distrib pivot table'!$C$2,"state","LA","group","2a2")/GETPIVOTDATA("Total-New",'Distrib pivot table'!$C$2,"state","LA"),"*"))</f>
        <v>7.1495872692301293E-3</v>
      </c>
      <c r="L31" s="575">
        <f>IF((GETPIVOTDATA("Total-New",'Distrib pivot table'!$C$2,"state","MD","group","2a2")/GETPIVOTDATA("Total-New",'Distrib pivot table'!$C$2,"state","MD"))=0,,IF(GETPIVOTDATA("Total-New",'Distrib pivot table'!$C$2,"state","MD","group","2a2")/GETPIVOTDATA("Total-New",'Distrib pivot table'!$C$2,"state","MD")&gt;0.0005,GETPIVOTDATA("Total-New",'Distrib pivot table'!$C$2,"state","MD","group","2a2")/GETPIVOTDATA("Total-New",'Distrib pivot table'!$C$2,"state","MD"),"*"))</f>
        <v>0</v>
      </c>
      <c r="M31" s="575">
        <f>IF((GETPIVOTDATA("Total-New",'Distrib pivot table'!$C$2,"state","MS","group","2a2")/GETPIVOTDATA("Total-New",'Distrib pivot table'!$C$2,"state","MS"))=0,,IF(GETPIVOTDATA("Total-New",'Distrib pivot table'!$C$2,"state","MS","group","2a2")/GETPIVOTDATA("Total-New",'Distrib pivot table'!$C$2,"state","MS")&gt;0.0005,GETPIVOTDATA("Total-New",'Distrib pivot table'!$C$2,"state","MS","group","2a2")/GETPIVOTDATA("Total-New",'Distrib pivot table'!$C$2,"state","MS"),"*"))</f>
        <v>0</v>
      </c>
      <c r="N31" s="575">
        <f>IF((GETPIVOTDATA("Total-New",'Distrib pivot table'!$C$2,"state","NC","group","2a2")/GETPIVOTDATA("Total-New",'Distrib pivot table'!$C$2,"state","NC"))=0,,IF(GETPIVOTDATA("Total-New",'Distrib pivot table'!$C$2,"state","NC","group","2a2")/GETPIVOTDATA("Total-New",'Distrib pivot table'!$C$2,"state","NC")&gt;0.0005,GETPIVOTDATA("Total-New",'Distrib pivot table'!$C$2,"state","NC","group","2a2")/GETPIVOTDATA("Total-New",'Distrib pivot table'!$C$2,"state","NC"),"*"))</f>
        <v>0</v>
      </c>
      <c r="O31" s="575" t="s">
        <v>1812</v>
      </c>
      <c r="P31" s="575">
        <f>IF((GETPIVOTDATA("Total-New",'Distrib pivot table'!$C$2,"state","SC","group","2a2")/GETPIVOTDATA("Total-New",'Distrib pivot table'!$C$2,"state","SC"))=0,,IF(GETPIVOTDATA("Total-New",'Distrib pivot table'!$C$2,"state","SC","group","2a2")/GETPIVOTDATA("Total-New",'Distrib pivot table'!$C$2,"state","SC")&gt;0.0005,GETPIVOTDATA("Total-New",'Distrib pivot table'!$C$2,"state","SC","group","2a2")/GETPIVOTDATA("Total-New",'Distrib pivot table'!$C$2,"state","SC"),"*"))</f>
        <v>5.6628854356615506E-3</v>
      </c>
      <c r="Q31" s="575">
        <f>IF((GETPIVOTDATA("Total-New",'Distrib pivot table'!$C$2,"state","TN","group","2a2")/GETPIVOTDATA("Total-New",'Distrib pivot table'!$C$2,"state","TN"))=0,,IF(GETPIVOTDATA("Total-New",'Distrib pivot table'!$C$2,"state","TN","group","2a2")/GETPIVOTDATA("Total-New",'Distrib pivot table'!$C$2,"state","TN")&gt;0.0005,GETPIVOTDATA("Total-New",'Distrib pivot table'!$C$2,"state","TN","group","2a2")/GETPIVOTDATA("Total-New",'Distrib pivot table'!$C$2,"state","TN"),"*"))</f>
        <v>0</v>
      </c>
      <c r="R31" s="575">
        <f>IF((GETPIVOTDATA("Total-New",'Distrib pivot table'!$C$2,"state","TX","group","2a2")/GETPIVOTDATA("Total-New",'Distrib pivot table'!$C$2,"state","TX"))=0,,IF(GETPIVOTDATA("Total-New",'Distrib pivot table'!$C$2,"state","TX","group","2a2")/GETPIVOTDATA("Total-New",'Distrib pivot table'!$C$2,"state","TX")&gt;0.0005,GETPIVOTDATA("Total-New",'Distrib pivot table'!$C$2,"state","TX","group","2a2")/GETPIVOTDATA("Total-New",'Distrib pivot table'!$C$2,"state","TX"),"*"))</f>
        <v>5.6727544394803448E-4</v>
      </c>
      <c r="S31" s="575">
        <f>IF((GETPIVOTDATA("Total-New",'Distrib pivot table'!$C$2,"state","VA","group","2a2")/GETPIVOTDATA("Total-New",'Distrib pivot table'!$C$2,"state","VA"))=0,,IF(GETPIVOTDATA("Total-New",'Distrib pivot table'!$C$2,"state","VA","group","2a2")/GETPIVOTDATA("Total-New",'Distrib pivot table'!$C$2,"state","VA")&gt;0.0005,GETPIVOTDATA("Total-New",'Distrib pivot table'!$C$2,"state","VA","group","2a2")/GETPIVOTDATA("Total-New",'Distrib pivot table'!$C$2,"state","VA"),"*"))</f>
        <v>5.102271584651619E-3</v>
      </c>
      <c r="T31" s="575">
        <f>IF((GETPIVOTDATA("Total-New",'Distrib pivot table'!$C$2,"state","WV","group","2a2")/GETPIVOTDATA("Total-New",'Distrib pivot table'!$C$2,"state","WV"))=0,,IF(GETPIVOTDATA("Total-New",'Distrib pivot table'!$C$2,"state","WV","group","2a2")/GETPIVOTDATA("Total-New",'Distrib pivot table'!$C$2,"state","WV")&gt;0.0005,GETPIVOTDATA("Total-New",'Distrib pivot table'!$C$2,"state","WV","group","2a2")/GETPIVOTDATA("Total-New",'Distrib pivot table'!$C$2,"state","WV"),"*"))</f>
        <v>2.3448286813125985E-3</v>
      </c>
      <c r="U31" s="576"/>
      <c r="V31" s="576"/>
      <c r="W31" s="576"/>
      <c r="X31" s="576"/>
      <c r="Y31" s="576"/>
      <c r="Z31" s="576"/>
      <c r="AA31" s="576"/>
      <c r="AB31" s="576"/>
      <c r="AC31" s="576"/>
      <c r="AD31" s="576"/>
      <c r="AE31" s="576"/>
      <c r="AF31" s="576"/>
      <c r="AG31" s="576"/>
      <c r="AH31" s="576"/>
      <c r="AI31" s="576"/>
      <c r="AJ31" s="576"/>
      <c r="AK31" s="576"/>
      <c r="AL31" s="576"/>
      <c r="AM31" s="576"/>
      <c r="AN31" s="576"/>
      <c r="AO31" s="576"/>
      <c r="AP31" s="576"/>
      <c r="AQ31" s="576"/>
      <c r="AR31" s="576"/>
      <c r="AS31" s="576"/>
      <c r="AT31" s="576"/>
      <c r="AU31" s="576"/>
      <c r="AV31" s="576"/>
      <c r="AW31" s="576"/>
      <c r="AX31" s="576"/>
    </row>
    <row r="32" spans="1:50" ht="23">
      <c r="A32" s="1225"/>
      <c r="B32" s="590" t="s">
        <v>146</v>
      </c>
      <c r="C32" s="589" t="s">
        <v>145</v>
      </c>
      <c r="D32" s="575" t="str">
        <f>IF(GETPIVOTDATA("Total-New",'Distrib pivot table'!$C$2,"group","2a3")/GETPIVOTDATA("Total-New",'Distrib pivot table'!$C$2)=0,,IF(GETPIVOTDATA("Total-New",'Distrib pivot table'!$C$2,"group","2a3")/GETPIVOTDATA("Total-New",'Distrib pivot table'!$C$2)&gt;0.0005,GETPIVOTDATA("Total-New",'Distrib pivot table'!$C$2,"group","2a3")/GETPIVOTDATA("Total-New",'Distrib pivot table'!$C$2),"*"))</f>
        <v>*</v>
      </c>
      <c r="E32" s="575" t="str">
        <f>IF((GETPIVOTDATA("Total-New",'Distrib pivot table'!$C$2,"state","AL","group","2a3")/GETPIVOTDATA("Total-New",'Distrib pivot table'!$C$2,"state","AL"))=0,,IF(GETPIVOTDATA("Total-New",'Distrib pivot table'!$C$2,"state","AL","group","2a3")/GETPIVOTDATA("Total-New",'Distrib pivot table'!$C$2,"state","AL")&gt;0.0005,GETPIVOTDATA("Total-New",'Distrib pivot table'!$C$2,"state","AL","group","2a3")/GETPIVOTDATA("Total-New",'Distrib pivot table'!$C$2,"state","AL"),"*"))</f>
        <v>*</v>
      </c>
      <c r="F32" s="575">
        <f>IF((GETPIVOTDATA("Total-New",'Distrib pivot table'!$C$2,"state","AR","group","2a3")/GETPIVOTDATA("Total-New",'Distrib pivot table'!$C$2,"state","AR"))=0,,IF(GETPIVOTDATA("Total-New",'Distrib pivot table'!$C$2,"state","AR","group","2a3")/GETPIVOTDATA("Total-New",'Distrib pivot table'!$C$2,"state","AR")&gt;0.0005,GETPIVOTDATA("Total-New",'Distrib pivot table'!$C$2,"state","AR","group","2a3")/GETPIVOTDATA("Total-New",'Distrib pivot table'!$C$2,"state","AR"),"*"))</f>
        <v>0</v>
      </c>
      <c r="G32" s="575" t="str">
        <f>IF((GETPIVOTDATA("Total-New",'Distrib pivot table'!$C$2,"state","DE","group","2a3")/GETPIVOTDATA("Total-New",'Distrib pivot table'!$C$2,"state","DE"))=0,,IF(GETPIVOTDATA("Total-New",'Distrib pivot table'!$C$2,"state","DE","group","2a3")/GETPIVOTDATA("Total-New",'Distrib pivot table'!$C$2,"state","DE")&gt;0.0005,GETPIVOTDATA("Total-New",'Distrib pivot table'!$C$2,"state","DE","group","2a3")/GETPIVOTDATA("Total-New",'Distrib pivot table'!$C$2,"state","DE"),"*"))</f>
        <v>*</v>
      </c>
      <c r="H32" s="575">
        <f>IF((GETPIVOTDATA("Total-New",'Distrib pivot table'!$C$2,"state","FL","group","2a3")/GETPIVOTDATA("Total-New",'Distrib pivot table'!$C$2,"state","FL"))=0,,IF(GETPIVOTDATA("Total-New",'Distrib pivot table'!$C$2,"state","FL","group","2a3")/GETPIVOTDATA("Total-New",'Distrib pivot table'!$C$2,"state","FL")&gt;0.0005,GETPIVOTDATA("Total-New",'Distrib pivot table'!$C$2,"state","FL","group","2a3")/GETPIVOTDATA("Total-New",'Distrib pivot table'!$C$2,"state","FL"),"*"))</f>
        <v>0</v>
      </c>
      <c r="I32" s="575" t="str">
        <f>IF((GETPIVOTDATA("Total-New",'Distrib pivot table'!$C$2,"state","GA","group","2a3")/GETPIVOTDATA("Total-New",'Distrib pivot table'!$C$2,"state","GA"))=0,,IF(GETPIVOTDATA("Total-New",'Distrib pivot table'!$C$2,"state","GA","group","2a3")/GETPIVOTDATA("Total-New",'Distrib pivot table'!$C$2,"state","GA")&gt;0.0005,GETPIVOTDATA("Total-New",'Distrib pivot table'!$C$2,"state","GA","group","2a3")/GETPIVOTDATA("Total-New",'Distrib pivot table'!$C$2,"state","GA"),"*"))</f>
        <v>*</v>
      </c>
      <c r="J32" s="575" t="str">
        <f>IF((GETPIVOTDATA("Total-New",'Distrib pivot table'!$C$2,"state","KY","group","2a3")/GETPIVOTDATA("Total-New",'Distrib pivot table'!$C$2,"state","KY"))=0,,IF(GETPIVOTDATA("Total-New",'Distrib pivot table'!$C$2,"state","KY","group","2a3")/GETPIVOTDATA("Total-New",'Distrib pivot table'!$C$2,"state","KY")&gt;0.0005,GETPIVOTDATA("Total-New",'Distrib pivot table'!$C$2,"state","KY","group","2a3")/GETPIVOTDATA("Total-New",'Distrib pivot table'!$C$2,"state","KY"),"*"))</f>
        <v>*</v>
      </c>
      <c r="K32" s="575">
        <f>IF((GETPIVOTDATA("Total-New",'Distrib pivot table'!$C$2,"state","LA","group","2a3")/GETPIVOTDATA("Total-New",'Distrib pivot table'!$C$2,"state","LA"))=0,,IF(GETPIVOTDATA("Total-New",'Distrib pivot table'!$C$2,"state","LA","group","2a3")/GETPIVOTDATA("Total-New",'Distrib pivot table'!$C$2,"state","LA")&gt;0.0005,GETPIVOTDATA("Total-New",'Distrib pivot table'!$C$2,"state","LA","group","2a3")/GETPIVOTDATA("Total-New",'Distrib pivot table'!$C$2,"state","LA"),"*"))</f>
        <v>0</v>
      </c>
      <c r="L32" s="575">
        <f>IF((GETPIVOTDATA("Total-New",'Distrib pivot table'!$C$2,"state","MD","group","2a3")/GETPIVOTDATA("Total-New",'Distrib pivot table'!$C$2,"state","MD"))=0,,IF(GETPIVOTDATA("Total-New",'Distrib pivot table'!$C$2,"state","MD","group","2a3")/GETPIVOTDATA("Total-New",'Distrib pivot table'!$C$2,"state","MD")&gt;0.0005,GETPIVOTDATA("Total-New",'Distrib pivot table'!$C$2,"state","MD","group","2a3")/GETPIVOTDATA("Total-New",'Distrib pivot table'!$C$2,"state","MD"),"*"))</f>
        <v>0</v>
      </c>
      <c r="M32" s="575">
        <f>IF((GETPIVOTDATA("Total-New",'Distrib pivot table'!$C$2,"state","MS","group","2a3")/GETPIVOTDATA("Total-New",'Distrib pivot table'!$C$2,"state","MS"))=0,,IF(GETPIVOTDATA("Total-New",'Distrib pivot table'!$C$2,"state","MS","group","2a3")/GETPIVOTDATA("Total-New",'Distrib pivot table'!$C$2,"state","MS")&gt;0.0005,GETPIVOTDATA("Total-New",'Distrib pivot table'!$C$2,"state","MS","group","2a3")/GETPIVOTDATA("Total-New",'Distrib pivot table'!$C$2,"state","MS"),"*"))</f>
        <v>0</v>
      </c>
      <c r="N32" s="575" t="str">
        <f>IF((GETPIVOTDATA("Total-New",'Distrib pivot table'!$C$2,"state","NC","group","2a3")/GETPIVOTDATA("Total-New",'Distrib pivot table'!$C$2,"state","NC"))=0,,IF(GETPIVOTDATA("Total-New",'Distrib pivot table'!$C$2,"state","NC","group","2a3")/GETPIVOTDATA("Total-New",'Distrib pivot table'!$C$2,"state","NC")&gt;0.0005,GETPIVOTDATA("Total-New",'Distrib pivot table'!$C$2,"state","NC","group","2a3")/GETPIVOTDATA("Total-New",'Distrib pivot table'!$C$2,"state","NC"),"*"))</f>
        <v>*</v>
      </c>
      <c r="O32" s="575">
        <f>IF((GETPIVOTDATA("Total-New",'Distrib pivot table'!$C$2,"state","OK","group","2a3")/GETPIVOTDATA("Total-New",'Distrib pivot table'!$C$2,"state","OK"))=0,,IF(GETPIVOTDATA("Total-New",'Distrib pivot table'!$C$2,"state","OK","group","2a3")/GETPIVOTDATA("Total-New",'Distrib pivot table'!$C$2,"state","OK")&gt;0.0005,GETPIVOTDATA("Total-New",'Distrib pivot table'!$C$2,"state","OK","group","2a3")/GETPIVOTDATA("Total-New",'Distrib pivot table'!$C$2,"state","OK"),"*"))</f>
        <v>0</v>
      </c>
      <c r="P32" s="575" t="str">
        <f>IF((GETPIVOTDATA("Total-New",'Distrib pivot table'!$C$2,"state","SC","group","2a3")/GETPIVOTDATA("Total-New",'Distrib pivot table'!$C$2,"state","SC"))=0,,IF(GETPIVOTDATA("Total-New",'Distrib pivot table'!$C$2,"state","SC","group","2a3")/GETPIVOTDATA("Total-New",'Distrib pivot table'!$C$2,"state","SC")&gt;0.0005,GETPIVOTDATA("Total-New",'Distrib pivot table'!$C$2,"state","SC","group","2a3")/GETPIVOTDATA("Total-New",'Distrib pivot table'!$C$2,"state","SC"),"*"))</f>
        <v>*</v>
      </c>
      <c r="Q32" s="575">
        <f>IF((GETPIVOTDATA("Total-New",'Distrib pivot table'!$C$2,"state","TN","group","2a3")/GETPIVOTDATA("Total-New",'Distrib pivot table'!$C$2,"state","TN"))=0,,IF(GETPIVOTDATA("Total-New",'Distrib pivot table'!$C$2,"state","TN","group","2a3")/GETPIVOTDATA("Total-New",'Distrib pivot table'!$C$2,"state","TN")&gt;0.0005,GETPIVOTDATA("Total-New",'Distrib pivot table'!$C$2,"state","TN","group","2a3")/GETPIVOTDATA("Total-New",'Distrib pivot table'!$C$2,"state","TN"),"*"))</f>
        <v>0</v>
      </c>
      <c r="R32" s="575">
        <f>IF((GETPIVOTDATA("Total-New",'Distrib pivot table'!$C$2,"state","TX","group","2a3")/GETPIVOTDATA("Total-New",'Distrib pivot table'!$C$2,"state","TX"))=0,,IF(GETPIVOTDATA("Total-New",'Distrib pivot table'!$C$2,"state","TX","group","2a3")/GETPIVOTDATA("Total-New",'Distrib pivot table'!$C$2,"state","TX")&gt;0.0005,GETPIVOTDATA("Total-New",'Distrib pivot table'!$C$2,"state","TX","group","2a3")/GETPIVOTDATA("Total-New",'Distrib pivot table'!$C$2,"state","TX"),"*"))</f>
        <v>0</v>
      </c>
      <c r="S32" s="575">
        <f>IF((GETPIVOTDATA("Total-New",'Distrib pivot table'!$C$2,"state","VA","group","2a3")/GETPIVOTDATA("Total-New",'Distrib pivot table'!$C$2,"state","VA"))=0,,IF(GETPIVOTDATA("Total-New",'Distrib pivot table'!$C$2,"state","VA","group","2a3")/GETPIVOTDATA("Total-New",'Distrib pivot table'!$C$2,"state","VA")&gt;0.0005,GETPIVOTDATA("Total-New",'Distrib pivot table'!$C$2,"state","VA","group","2a3")/GETPIVOTDATA("Total-New",'Distrib pivot table'!$C$2,"state","VA"),"*"))</f>
        <v>0</v>
      </c>
      <c r="T32" s="575">
        <f>IF((GETPIVOTDATA("Total-New",'Distrib pivot table'!$C$2,"state","WV","group","2a3")/GETPIVOTDATA("Total-New",'Distrib pivot table'!$C$2,"state","WV"))=0,,IF(GETPIVOTDATA("Total-New",'Distrib pivot table'!$C$2,"state","WV","group","2a3")/GETPIVOTDATA("Total-New",'Distrib pivot table'!$C$2,"state","WV")&gt;0.0005,GETPIVOTDATA("Total-New",'Distrib pivot table'!$C$2,"state","WV","group","2a3")/GETPIVOTDATA("Total-New",'Distrib pivot table'!$C$2,"state","WV"),"*"))</f>
        <v>0</v>
      </c>
      <c r="U32" s="576"/>
      <c r="V32" s="576"/>
      <c r="W32" s="576"/>
      <c r="X32" s="576"/>
      <c r="Y32" s="576"/>
      <c r="Z32" s="576"/>
      <c r="AA32" s="576"/>
      <c r="AB32" s="576"/>
      <c r="AC32" s="576"/>
      <c r="AD32" s="576"/>
      <c r="AE32" s="576"/>
      <c r="AF32" s="576"/>
      <c r="AG32" s="576"/>
      <c r="AH32" s="576"/>
      <c r="AI32" s="576"/>
      <c r="AJ32" s="576"/>
      <c r="AK32" s="576"/>
      <c r="AL32" s="576"/>
      <c r="AM32" s="576"/>
      <c r="AN32" s="576"/>
      <c r="AO32" s="576"/>
      <c r="AP32" s="576"/>
      <c r="AQ32" s="576"/>
      <c r="AR32" s="576"/>
      <c r="AS32" s="576"/>
      <c r="AT32" s="576"/>
      <c r="AU32" s="576"/>
      <c r="AV32" s="576"/>
      <c r="AW32" s="576"/>
      <c r="AX32" s="576"/>
    </row>
    <row r="33" spans="1:50" ht="34.5">
      <c r="A33" s="1225"/>
      <c r="B33" s="590" t="s">
        <v>1025</v>
      </c>
      <c r="C33" s="589" t="s">
        <v>149</v>
      </c>
      <c r="D33" s="575" t="str">
        <f>IF(GETPIVOTDATA("Total-New",'Distrib pivot table'!$C$2,"group","2a4")/GETPIVOTDATA("Total-New",'Distrib pivot table'!$C$2)=0,,IF(GETPIVOTDATA("Total-New",'Distrib pivot table'!$C$2,"group","2a4")/GETPIVOTDATA("Total-New",'Distrib pivot table'!$C$2)&gt;0.0005,GETPIVOTDATA("Total-New",'Distrib pivot table'!$C$2,"group","2a4")/GETPIVOTDATA("Total-New",'Distrib pivot table'!$C$2),"*"))</f>
        <v>*</v>
      </c>
      <c r="E33" s="575" t="str">
        <f>IF((GETPIVOTDATA("Total-New",'Distrib pivot table'!$C$2,"state","AL","group","2a4")/GETPIVOTDATA("Total-New",'Distrib pivot table'!$C$2,"state","AL"))=0,,IF(GETPIVOTDATA("Total-New",'Distrib pivot table'!$C$2,"state","AL","group","2a4")/GETPIVOTDATA("Total-New",'Distrib pivot table'!$C$2,"state","AL")&gt;0.0005,GETPIVOTDATA("Total-New",'Distrib pivot table'!$C$2,"state","AL","group","2a4")/GETPIVOTDATA("Total-New",'Distrib pivot table'!$C$2,"state","AL"),"*"))</f>
        <v>*</v>
      </c>
      <c r="F33" s="575">
        <f>IF((GETPIVOTDATA("Total-New",'Distrib pivot table'!$C$2,"state","AR","group","2a4")/GETPIVOTDATA("Total-New",'Distrib pivot table'!$C$2,"state","AR"))=0,,IF(GETPIVOTDATA("Total-New",'Distrib pivot table'!$C$2,"state","AR","group","2a4")/GETPIVOTDATA("Total-New",'Distrib pivot table'!$C$2,"state","AR")&gt;0.0005,GETPIVOTDATA("Total-New",'Distrib pivot table'!$C$2,"state","AR","group","2a4")/GETPIVOTDATA("Total-New",'Distrib pivot table'!$C$2,"state","AR"),"*"))</f>
        <v>0</v>
      </c>
      <c r="G33" s="575">
        <f>IF((GETPIVOTDATA("Total-New",'Distrib pivot table'!$C$2,"state","DE","group","2a4")/GETPIVOTDATA("Total-New",'Distrib pivot table'!$C$2,"state","DE"))=0,,IF(GETPIVOTDATA("Total-New",'Distrib pivot table'!$C$2,"state","DE","group","2a4")/GETPIVOTDATA("Total-New",'Distrib pivot table'!$C$2,"state","DE")&gt;0.0005,GETPIVOTDATA("Total-New",'Distrib pivot table'!$C$2,"state","DE","group","2a4")/GETPIVOTDATA("Total-New",'Distrib pivot table'!$C$2,"state","DE"),"*"))</f>
        <v>0</v>
      </c>
      <c r="H33" s="575">
        <f>IF((GETPIVOTDATA("Total-New",'Distrib pivot table'!$C$2,"state","FL","group","2a4")/GETPIVOTDATA("Total-New",'Distrib pivot table'!$C$2,"state","FL"))=0,,IF(GETPIVOTDATA("Total-New",'Distrib pivot table'!$C$2,"state","FL","group","2a4")/GETPIVOTDATA("Total-New",'Distrib pivot table'!$C$2,"state","FL")&gt;0.0005,GETPIVOTDATA("Total-New",'Distrib pivot table'!$C$2,"state","FL","group","2a4")/GETPIVOTDATA("Total-New",'Distrib pivot table'!$C$2,"state","FL"),"*"))</f>
        <v>0</v>
      </c>
      <c r="I33" s="575">
        <f>IF((GETPIVOTDATA("Total-New",'Distrib pivot table'!$C$2,"state","GA","group","2a4")/GETPIVOTDATA("Total-New",'Distrib pivot table'!$C$2,"state","GA"))=0,,IF(GETPIVOTDATA("Total-New",'Distrib pivot table'!$C$2,"state","GA","group","2a4")/GETPIVOTDATA("Total-New",'Distrib pivot table'!$C$2,"state","GA")&gt;0.0005,GETPIVOTDATA("Total-New",'Distrib pivot table'!$C$2,"state","GA","group","2a4")/GETPIVOTDATA("Total-New",'Distrib pivot table'!$C$2,"state","GA"),"*"))</f>
        <v>0</v>
      </c>
      <c r="J33" s="575">
        <f>IF((GETPIVOTDATA("Total-New",'Distrib pivot table'!$C$2,"state","KY","group","2a4")/GETPIVOTDATA("Total-New",'Distrib pivot table'!$C$2,"state","KY"))=0,,IF(GETPIVOTDATA("Total-New",'Distrib pivot table'!$C$2,"state","KY","group","2a4")/GETPIVOTDATA("Total-New",'Distrib pivot table'!$C$2,"state","KY")&gt;0.0005,GETPIVOTDATA("Total-New",'Distrib pivot table'!$C$2,"state","KY","group","2a4")/GETPIVOTDATA("Total-New",'Distrib pivot table'!$C$2,"state","KY"),"*"))</f>
        <v>0</v>
      </c>
      <c r="K33" s="575">
        <f>IF((GETPIVOTDATA("Total-New",'Distrib pivot table'!$C$2,"state","LA","group","2a4")/GETPIVOTDATA("Total-New",'Distrib pivot table'!$C$2,"state","LA"))=0,,IF(GETPIVOTDATA("Total-New",'Distrib pivot table'!$C$2,"state","LA","group","2a4")/GETPIVOTDATA("Total-New",'Distrib pivot table'!$C$2,"state","LA")&gt;0.0005,GETPIVOTDATA("Total-New",'Distrib pivot table'!$C$2,"state","LA","group","2a4")/GETPIVOTDATA("Total-New",'Distrib pivot table'!$C$2,"state","LA"),"*"))</f>
        <v>4.0079925600002174E-3</v>
      </c>
      <c r="L33" s="575">
        <f>IF((GETPIVOTDATA("Total-New",'Distrib pivot table'!$C$2,"state","MD","group","2a4")/GETPIVOTDATA("Total-New",'Distrib pivot table'!$C$2,"state","MD"))=0,,IF(GETPIVOTDATA("Total-New",'Distrib pivot table'!$C$2,"state","MD","group","2a4")/GETPIVOTDATA("Total-New",'Distrib pivot table'!$C$2,"state","MD")&gt;0.0005,GETPIVOTDATA("Total-New",'Distrib pivot table'!$C$2,"state","MD","group","2a4")/GETPIVOTDATA("Total-New",'Distrib pivot table'!$C$2,"state","MD"),"*"))</f>
        <v>0</v>
      </c>
      <c r="M33" s="575">
        <f>IF((GETPIVOTDATA("Total-New",'Distrib pivot table'!$C$2,"state","MS","group","2a4")/GETPIVOTDATA("Total-New",'Distrib pivot table'!$C$2,"state","MS"))=0,,IF(GETPIVOTDATA("Total-New",'Distrib pivot table'!$C$2,"state","MS","group","2a4")/GETPIVOTDATA("Total-New",'Distrib pivot table'!$C$2,"state","MS")&gt;0.0005,GETPIVOTDATA("Total-New",'Distrib pivot table'!$C$2,"state","MS","group","2a4")/GETPIVOTDATA("Total-New",'Distrib pivot table'!$C$2,"state","MS"),"*"))</f>
        <v>7.0168236012749827E-4</v>
      </c>
      <c r="N33" s="575">
        <f>IF((GETPIVOTDATA("Total-New",'Distrib pivot table'!$C$2,"state","NC","group","2a4")/GETPIVOTDATA("Total-New",'Distrib pivot table'!$C$2,"state","NC"))=0,,IF(GETPIVOTDATA("Total-New",'Distrib pivot table'!$C$2,"state","NC","group","2a4")/GETPIVOTDATA("Total-New",'Distrib pivot table'!$C$2,"state","NC")&gt;0.0005,GETPIVOTDATA("Total-New",'Distrib pivot table'!$C$2,"state","NC","group","2a4")/GETPIVOTDATA("Total-New",'Distrib pivot table'!$C$2,"state","NC"),"*"))</f>
        <v>0</v>
      </c>
      <c r="O33" s="575">
        <f>IF((GETPIVOTDATA("Total-New",'Distrib pivot table'!$C$2,"state","OK","group","2a4")/GETPIVOTDATA("Total-New",'Distrib pivot table'!$C$2,"state","OK"))=0,,IF(GETPIVOTDATA("Total-New",'Distrib pivot table'!$C$2,"state","OK","group","2a4")/GETPIVOTDATA("Total-New",'Distrib pivot table'!$C$2,"state","OK")&gt;0.0005,GETPIVOTDATA("Total-New",'Distrib pivot table'!$C$2,"state","OK","group","2a4")/GETPIVOTDATA("Total-New",'Distrib pivot table'!$C$2,"state","OK"),"*"))</f>
        <v>0</v>
      </c>
      <c r="P33" s="575">
        <f>IF((GETPIVOTDATA("Total-New",'Distrib pivot table'!$C$2,"state","SC","group","2a4")/GETPIVOTDATA("Total-New",'Distrib pivot table'!$C$2,"state","SC"))=0,,IF(GETPIVOTDATA("Total-New",'Distrib pivot table'!$C$2,"state","SC","group","2a4")/GETPIVOTDATA("Total-New",'Distrib pivot table'!$C$2,"state","SC")&gt;0.0005,GETPIVOTDATA("Total-New",'Distrib pivot table'!$C$2,"state","SC","group","2a4")/GETPIVOTDATA("Total-New",'Distrib pivot table'!$C$2,"state","SC"),"*"))</f>
        <v>0</v>
      </c>
      <c r="Q33" s="575">
        <f>IF((GETPIVOTDATA("Total-New",'Distrib pivot table'!$C$2,"state","TN","group","2a4")/GETPIVOTDATA("Total-New",'Distrib pivot table'!$C$2,"state","TN"))=0,,IF(GETPIVOTDATA("Total-New",'Distrib pivot table'!$C$2,"state","TN","group","2a4")/GETPIVOTDATA("Total-New",'Distrib pivot table'!$C$2,"state","TN")&gt;0.0005,GETPIVOTDATA("Total-New",'Distrib pivot table'!$C$2,"state","TN","group","2a4")/GETPIVOTDATA("Total-New",'Distrib pivot table'!$C$2,"state","TN"),"*"))</f>
        <v>5.8014847202848266E-4</v>
      </c>
      <c r="R33" s="575">
        <f>IF((GETPIVOTDATA("Total-New",'Distrib pivot table'!$C$2,"state","TX","group","2a4")/GETPIVOTDATA("Total-New",'Distrib pivot table'!$C$2,"state","TX"))=0,,IF(GETPIVOTDATA("Total-New",'Distrib pivot table'!$C$2,"state","TX","group","2a4")/GETPIVOTDATA("Total-New",'Distrib pivot table'!$C$2,"state","TX")&gt;0.0005,GETPIVOTDATA("Total-New",'Distrib pivot table'!$C$2,"state","TX","group","2a4")/GETPIVOTDATA("Total-New",'Distrib pivot table'!$C$2,"state","TX"),"*"))</f>
        <v>0</v>
      </c>
      <c r="S33" s="575">
        <f>IF((GETPIVOTDATA("Total-New",'Distrib pivot table'!$C$2,"state","VA","group","2a4")/GETPIVOTDATA("Total-New",'Distrib pivot table'!$C$2,"state","VA"))=0,,IF(GETPIVOTDATA("Total-New",'Distrib pivot table'!$C$2,"state","VA","group","2a4")/GETPIVOTDATA("Total-New",'Distrib pivot table'!$C$2,"state","VA")&gt;0.0005,GETPIVOTDATA("Total-New",'Distrib pivot table'!$C$2,"state","VA","group","2a4")/GETPIVOTDATA("Total-New",'Distrib pivot table'!$C$2,"state","VA"),"*"))</f>
        <v>1.0968949910165691E-3</v>
      </c>
      <c r="T33" s="575">
        <f>IF((GETPIVOTDATA("Total-New",'Distrib pivot table'!$C$2,"state","WV","group","2a4")/GETPIVOTDATA("Total-New",'Distrib pivot table'!$C$2,"state","WV"))=0,,IF(GETPIVOTDATA("Total-New",'Distrib pivot table'!$C$2,"state","WV","group","2a4")/GETPIVOTDATA("Total-New",'Distrib pivot table'!$C$2,"state","WV")&gt;0.0005,GETPIVOTDATA("Total-New",'Distrib pivot table'!$C$2,"state","WV","group","2a4")/GETPIVOTDATA("Total-New",'Distrib pivot table'!$C$2,"state","WV"),"*"))</f>
        <v>1.4456341140794433E-3</v>
      </c>
      <c r="U33" s="576"/>
      <c r="V33" s="576"/>
      <c r="W33" s="576"/>
      <c r="X33" s="576"/>
      <c r="Y33" s="576"/>
      <c r="Z33" s="576"/>
      <c r="AA33" s="576"/>
      <c r="AB33" s="576"/>
      <c r="AC33" s="576"/>
      <c r="AD33" s="576"/>
      <c r="AE33" s="576"/>
      <c r="AF33" s="576"/>
      <c r="AG33" s="576"/>
      <c r="AH33" s="576"/>
      <c r="AI33" s="576"/>
      <c r="AJ33" s="576"/>
      <c r="AK33" s="576"/>
      <c r="AL33" s="576"/>
      <c r="AM33" s="576"/>
      <c r="AN33" s="576"/>
      <c r="AO33" s="576"/>
      <c r="AP33" s="576"/>
      <c r="AQ33" s="576"/>
      <c r="AR33" s="576"/>
      <c r="AS33" s="576"/>
      <c r="AT33" s="576"/>
      <c r="AU33" s="576"/>
      <c r="AV33" s="576"/>
      <c r="AW33" s="576"/>
      <c r="AX33" s="576"/>
    </row>
    <row r="34" spans="1:50" ht="26.25" customHeight="1">
      <c r="A34" s="1225"/>
      <c r="B34" s="591" t="s">
        <v>306</v>
      </c>
      <c r="C34" s="589" t="s">
        <v>151</v>
      </c>
      <c r="D34" s="592">
        <f>IF(GETPIVOTDATA("Total-New",'Distrib pivot table'!$C$2,"group","2b")/GETPIVOTDATA("Total-New",'Distrib pivot table'!$C$2)=0,,IF(GETPIVOTDATA("Total-New",'Distrib pivot table'!$C$2,"group","2b")/GETPIVOTDATA("Total-New",'Distrib pivot table'!$C$2)&gt;0.0005,GETPIVOTDATA("Total-New",'Distrib pivot table'!$C$2,"group","2b")/GETPIVOTDATA("Total-New",'Distrib pivot table'!$C$2),"*"))</f>
        <v>2.8945326983273994E-3</v>
      </c>
      <c r="E34" s="592">
        <f>IF((GETPIVOTDATA("Total-New",'Distrib pivot table'!$C$2,"state","AL","group","2b")/GETPIVOTDATA("Total-New",'Distrib pivot table'!$C$2,"state","AL"))=0,,IF(GETPIVOTDATA("Total-New",'Distrib pivot table'!$C$2,"state","AL","group","2b")/GETPIVOTDATA("Total-New",'Distrib pivot table'!$C$2,"state","AL")&gt;0.0005,GETPIVOTDATA("Total-New",'Distrib pivot table'!$C$2,"state","AL","group","2b")/GETPIVOTDATA("Total-New",'Distrib pivot table'!$C$2,"state","AL"),"*"))</f>
        <v>3.7773221000072634E-3</v>
      </c>
      <c r="F34" s="592">
        <f>IF((GETPIVOTDATA("Total-New",'Distrib pivot table'!$C$2,"state","AR","group","2b")/GETPIVOTDATA("Total-New",'Distrib pivot table'!$C$2,"state","AR"))=0,,IF(GETPIVOTDATA("Total-New",'Distrib pivot table'!$C$2,"state","AR","group","2b")/GETPIVOTDATA("Total-New",'Distrib pivot table'!$C$2,"state","AR")&gt;0.0005,GETPIVOTDATA("Total-New",'Distrib pivot table'!$C$2,"state","AR","group","2b")/GETPIVOTDATA("Total-New",'Distrib pivot table'!$C$2,"state","AR"),"*"))</f>
        <v>0</v>
      </c>
      <c r="G34" s="592">
        <f>IF((GETPIVOTDATA("Total-New",'Distrib pivot table'!$C$2,"state","DE","group","2b")/GETPIVOTDATA("Total-New",'Distrib pivot table'!$C$2,"state","DE"))=0,,IF(GETPIVOTDATA("Total-New",'Distrib pivot table'!$C$2,"state","DE","group","2b")/GETPIVOTDATA("Total-New",'Distrib pivot table'!$C$2,"state","DE")&gt;0.0005,GETPIVOTDATA("Total-New",'Distrib pivot table'!$C$2,"state","DE","group","2b")/GETPIVOTDATA("Total-New",'Distrib pivot table'!$C$2,"state","DE"),"*"))</f>
        <v>0</v>
      </c>
      <c r="H34" s="592">
        <f>IF((GETPIVOTDATA("Total-New",'Distrib pivot table'!$C$2,"state","FL","group","2b")/GETPIVOTDATA("Total-New",'Distrib pivot table'!$C$2,"state","FL"))=0,,IF(GETPIVOTDATA("Total-New",'Distrib pivot table'!$C$2,"state","FL","group","2b")/GETPIVOTDATA("Total-New",'Distrib pivot table'!$C$2,"state","FL")&gt;0.0005,GETPIVOTDATA("Total-New",'Distrib pivot table'!$C$2,"state","FL","group","2b")/GETPIVOTDATA("Total-New",'Distrib pivot table'!$C$2,"state","FL"),"*"))</f>
        <v>0</v>
      </c>
      <c r="I34" s="592">
        <f>IF((GETPIVOTDATA("Total-New",'Distrib pivot table'!$C$2,"state","GA","group","2b")/GETPIVOTDATA("Total-New",'Distrib pivot table'!$C$2,"state","GA"))=0,,IF(GETPIVOTDATA("Total-New",'Distrib pivot table'!$C$2,"state","GA","group","2b")/GETPIVOTDATA("Total-New",'Distrib pivot table'!$C$2,"state","GA")&gt;0.0005,GETPIVOTDATA("Total-New",'Distrib pivot table'!$C$2,"state","GA","group","2b")/GETPIVOTDATA("Total-New",'Distrib pivot table'!$C$2,"state","GA"),"*"))</f>
        <v>9.854986675782388E-3</v>
      </c>
      <c r="J34" s="592">
        <f>IF((GETPIVOTDATA("Total-New",'Distrib pivot table'!$C$2,"state","KY","group","2b")/GETPIVOTDATA("Total-New",'Distrib pivot table'!$C$2,"state","KY"))=0,,IF(GETPIVOTDATA("Total-New",'Distrib pivot table'!$C$2,"state","KY","group","2b")/GETPIVOTDATA("Total-New",'Distrib pivot table'!$C$2,"state","KY")&gt;0.0005,GETPIVOTDATA("Total-New",'Distrib pivot table'!$C$2,"state","KY","group","2b")/GETPIVOTDATA("Total-New",'Distrib pivot table'!$C$2,"state","KY"),"*"))</f>
        <v>0</v>
      </c>
      <c r="K34" s="592">
        <f>IF((GETPIVOTDATA("Total-New",'Distrib pivot table'!$C$2,"state","LA","group","2b")/GETPIVOTDATA("Total-New",'Distrib pivot table'!$C$2,"state","LA"))=0,,IF(GETPIVOTDATA("Total-New",'Distrib pivot table'!$C$2,"state","LA","group","2b")/GETPIVOTDATA("Total-New",'Distrib pivot table'!$C$2,"state","LA")&gt;0.0005,GETPIVOTDATA("Total-New",'Distrib pivot table'!$C$2,"state","LA","group","2b")/GETPIVOTDATA("Total-New",'Distrib pivot table'!$C$2,"state","LA"),"*"))</f>
        <v>0</v>
      </c>
      <c r="L34" s="592">
        <f>IF((GETPIVOTDATA("Total-New",'Distrib pivot table'!$C$2,"state","MD","group","2b")/GETPIVOTDATA("Total-New",'Distrib pivot table'!$C$2,"state","MD"))=0,,IF(GETPIVOTDATA("Total-New",'Distrib pivot table'!$C$2,"state","MD","group","2b")/GETPIVOTDATA("Total-New",'Distrib pivot table'!$C$2,"state","MD")&gt;0.0005,GETPIVOTDATA("Total-New",'Distrib pivot table'!$C$2,"state","MD","group","2b")/GETPIVOTDATA("Total-New",'Distrib pivot table'!$C$2,"state","MD"),"*"))</f>
        <v>1.1978875275363482E-2</v>
      </c>
      <c r="M34" s="592">
        <f>IF((GETPIVOTDATA("Total-New",'Distrib pivot table'!$C$2,"state","MS","group","2b")/GETPIVOTDATA("Total-New",'Distrib pivot table'!$C$2,"state","MS"))=0,,IF(GETPIVOTDATA("Total-New",'Distrib pivot table'!$C$2,"state","MS","group","2b")/GETPIVOTDATA("Total-New",'Distrib pivot table'!$C$2,"state","MS")&gt;0.0005,GETPIVOTDATA("Total-New",'Distrib pivot table'!$C$2,"state","MS","group","2b")/GETPIVOTDATA("Total-New",'Distrib pivot table'!$C$2,"state","MS"),"*"))</f>
        <v>0</v>
      </c>
      <c r="N34" s="592">
        <f>IF((GETPIVOTDATA("Total-New",'Distrib pivot table'!$C$2,"state","NC","group","2b")/GETPIVOTDATA("Total-New",'Distrib pivot table'!$C$2,"state","NC"))=0,,IF(GETPIVOTDATA("Total-New",'Distrib pivot table'!$C$2,"state","NC","group","2b")/GETPIVOTDATA("Total-New",'Distrib pivot table'!$C$2,"state","NC")&gt;0.0005,GETPIVOTDATA("Total-New",'Distrib pivot table'!$C$2,"state","NC","group","2b")/GETPIVOTDATA("Total-New",'Distrib pivot table'!$C$2,"state","NC"),"*"))</f>
        <v>0</v>
      </c>
      <c r="O34" s="592">
        <f>IF((GETPIVOTDATA("Total-New",'Distrib pivot table'!$C$2,"state","OK","group","2b")/GETPIVOTDATA("Total-New",'Distrib pivot table'!$C$2,"state","OK"))=0,,IF(GETPIVOTDATA("Total-New",'Distrib pivot table'!$C$2,"state","OK","group","2b")/GETPIVOTDATA("Total-New",'Distrib pivot table'!$C$2,"state","OK")&gt;0.0005,GETPIVOTDATA("Total-New",'Distrib pivot table'!$C$2,"state","OK","group","2b")/GETPIVOTDATA("Total-New",'Distrib pivot table'!$C$2,"state","OK"),"*"))</f>
        <v>0</v>
      </c>
      <c r="P34" s="592">
        <f>IF((GETPIVOTDATA("Total-New",'Distrib pivot table'!$C$2,"state","SC","group","2b")/GETPIVOTDATA("Total-New",'Distrib pivot table'!$C$2,"state","SC"))=0,,IF(GETPIVOTDATA("Total-New",'Distrib pivot table'!$C$2,"state","SC","group","2b")/GETPIVOTDATA("Total-New",'Distrib pivot table'!$C$2,"state","SC")&gt;0.0005,GETPIVOTDATA("Total-New",'Distrib pivot table'!$C$2,"state","SC","group","2b")/GETPIVOTDATA("Total-New",'Distrib pivot table'!$C$2,"state","SC"),"*"))</f>
        <v>1.5235958971162422E-3</v>
      </c>
      <c r="Q34" s="592">
        <f>IF((GETPIVOTDATA("Total-New",'Distrib pivot table'!$C$2,"state","TN","group","2b")/GETPIVOTDATA("Total-New",'Distrib pivot table'!$C$2,"state","TN"))=0,,IF(GETPIVOTDATA("Total-New",'Distrib pivot table'!$C$2,"state","TN","group","2b")/GETPIVOTDATA("Total-New",'Distrib pivot table'!$C$2,"state","TN")&gt;0.0005,GETPIVOTDATA("Total-New",'Distrib pivot table'!$C$2,"state","TN","group","2b")/GETPIVOTDATA("Total-New",'Distrib pivot table'!$C$2,"state","TN"),"*"))</f>
        <v>0</v>
      </c>
      <c r="R34" s="592">
        <f>IF((GETPIVOTDATA("Total-New",'Distrib pivot table'!$C$2,"state","TX","group","2b")/GETPIVOTDATA("Total-New",'Distrib pivot table'!$C$2,"state","TX"))=0,,IF(GETPIVOTDATA("Total-New",'Distrib pivot table'!$C$2,"state","TX","group","2b")/GETPIVOTDATA("Total-New",'Distrib pivot table'!$C$2,"state","TX")&gt;0.0005,GETPIVOTDATA("Total-New",'Distrib pivot table'!$C$2,"state","TX","group","2b")/GETPIVOTDATA("Total-New",'Distrib pivot table'!$C$2,"state","TX"),"*"))</f>
        <v>3.0188511218695114E-3</v>
      </c>
      <c r="S34" s="592">
        <f>IF((GETPIVOTDATA("Total-New",'Distrib pivot table'!$C$2,"state","VA","group","2b")/GETPIVOTDATA("Total-New",'Distrib pivot table'!$C$2,"state","VA"))=0,,IF(GETPIVOTDATA("Total-New",'Distrib pivot table'!$C$2,"state","VA","group","2b")/GETPIVOTDATA("Total-New",'Distrib pivot table'!$C$2,"state","VA")&gt;0.0005,GETPIVOTDATA("Total-New",'Distrib pivot table'!$C$2,"state","VA","group","2b")/GETPIVOTDATA("Total-New",'Distrib pivot table'!$C$2,"state","VA"),"*"))</f>
        <v>0</v>
      </c>
      <c r="T34" s="592">
        <f>IF((GETPIVOTDATA("Total-New",'Distrib pivot table'!$C$2,"state","WV","group","2b")/GETPIVOTDATA("Total-New",'Distrib pivot table'!$C$2,"state","WV"))=0,,IF(GETPIVOTDATA("Total-New",'Distrib pivot table'!$C$2,"state","WV","group","2b")/GETPIVOTDATA("Total-New",'Distrib pivot table'!$C$2,"state","WV")&gt;0.0005,GETPIVOTDATA("Total-New",'Distrib pivot table'!$C$2,"state","WV","group","2b")/GETPIVOTDATA("Total-New",'Distrib pivot table'!$C$2,"state","WV"),"*"))</f>
        <v>0</v>
      </c>
      <c r="U34" s="576"/>
      <c r="V34" s="576"/>
      <c r="W34" s="576"/>
      <c r="X34" s="576"/>
      <c r="Y34" s="576"/>
      <c r="Z34" s="576"/>
      <c r="AA34" s="576"/>
      <c r="AB34" s="576"/>
      <c r="AC34" s="576"/>
      <c r="AD34" s="576"/>
      <c r="AE34" s="576"/>
      <c r="AF34" s="576"/>
      <c r="AG34" s="576"/>
      <c r="AH34" s="576"/>
      <c r="AI34" s="576"/>
      <c r="AJ34" s="576"/>
      <c r="AK34" s="576"/>
      <c r="AL34" s="576"/>
      <c r="AM34" s="576"/>
      <c r="AN34" s="576"/>
      <c r="AO34" s="576"/>
      <c r="AP34" s="576"/>
      <c r="AQ34" s="576"/>
      <c r="AR34" s="576"/>
      <c r="AS34" s="576"/>
      <c r="AT34" s="576"/>
      <c r="AU34" s="576"/>
      <c r="AV34" s="576"/>
      <c r="AW34" s="576"/>
      <c r="AX34" s="576"/>
    </row>
    <row r="35" spans="1:50" s="571" customFormat="1" ht="12.65" customHeight="1">
      <c r="A35" s="1225"/>
      <c r="B35" s="577" t="s">
        <v>307</v>
      </c>
      <c r="C35" s="593" t="s">
        <v>248</v>
      </c>
      <c r="D35" s="578">
        <f>SUM(D36:D38)</f>
        <v>0</v>
      </c>
      <c r="E35" s="578">
        <f>SUM(E36:E38)</f>
        <v>0</v>
      </c>
      <c r="F35" s="578">
        <f t="shared" ref="F35:T35" si="4">SUM(F36:F38)</f>
        <v>1.9195724261109267E-3</v>
      </c>
      <c r="G35" s="578">
        <f t="shared" si="4"/>
        <v>2.6549717301828624E-3</v>
      </c>
      <c r="H35" s="578">
        <f t="shared" si="4"/>
        <v>0</v>
      </c>
      <c r="I35" s="578">
        <f t="shared" si="4"/>
        <v>6.1645889614395414E-4</v>
      </c>
      <c r="J35" s="578">
        <f t="shared" si="4"/>
        <v>1.6842833944565707E-3</v>
      </c>
      <c r="K35" s="578">
        <f t="shared" si="4"/>
        <v>0</v>
      </c>
      <c r="L35" s="578">
        <f t="shared" si="4"/>
        <v>0</v>
      </c>
      <c r="M35" s="578">
        <f t="shared" si="4"/>
        <v>0</v>
      </c>
      <c r="N35" s="578">
        <f t="shared" si="4"/>
        <v>0</v>
      </c>
      <c r="O35" s="578">
        <f t="shared" si="4"/>
        <v>0</v>
      </c>
      <c r="P35" s="578">
        <f>SUM(P36:P38)</f>
        <v>8.3205083853513139E-4</v>
      </c>
      <c r="Q35" s="578">
        <f t="shared" si="4"/>
        <v>5.4702474027059863E-4</v>
      </c>
      <c r="R35" s="578">
        <f t="shared" si="4"/>
        <v>0</v>
      </c>
      <c r="S35" s="578">
        <f t="shared" si="4"/>
        <v>0</v>
      </c>
      <c r="T35" s="578">
        <f t="shared" si="4"/>
        <v>8.8692078588609321E-4</v>
      </c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79"/>
      <c r="AJ35" s="579"/>
      <c r="AK35" s="579"/>
      <c r="AL35" s="579"/>
      <c r="AM35" s="579"/>
      <c r="AN35" s="579"/>
      <c r="AO35" s="579"/>
      <c r="AP35" s="579"/>
      <c r="AQ35" s="579"/>
      <c r="AR35" s="579"/>
      <c r="AS35" s="579"/>
      <c r="AT35" s="579"/>
      <c r="AU35" s="579"/>
      <c r="AV35" s="579"/>
      <c r="AW35" s="579"/>
      <c r="AX35" s="579"/>
    </row>
    <row r="36" spans="1:50" ht="12.65" customHeight="1">
      <c r="A36" s="1225"/>
      <c r="B36" s="573" t="s">
        <v>1026</v>
      </c>
      <c r="C36" s="589" t="s">
        <v>250</v>
      </c>
      <c r="D36" s="575" t="str">
        <f>IF(GETPIVOTDATA("Total-New",'Distrib pivot table'!$C$2,"group","2c1")/GETPIVOTDATA("Total-New",'Distrib pivot table'!$C$2)=0,,IF(GETPIVOTDATA("Total-New",'Distrib pivot table'!$C$2,"group","2c1")/GETPIVOTDATA("Total-New",'Distrib pivot table'!$C$2)&gt;0.0005,GETPIVOTDATA("Total-New",'Distrib pivot table'!$C$2,"group","2c1")/GETPIVOTDATA("Total-New",'Distrib pivot table'!$C$2),"*"))</f>
        <v>*</v>
      </c>
      <c r="E36" s="575">
        <f>IF((GETPIVOTDATA("Total-New",'Distrib pivot table'!$C$2,"state","AL","group","2c1")/GETPIVOTDATA("Total-New",'Distrib pivot table'!$C$2,"state","AL"))=0,,IF(GETPIVOTDATA("Total-New",'Distrib pivot table'!$C$2,"state","AL","group","2c1")/GETPIVOTDATA("Total-New",'Distrib pivot table'!$C$2,"state","AL")&gt;0.0005,GETPIVOTDATA("Total-New",'Distrib pivot table'!$C$2,"state","AL","group","2c1")/GETPIVOTDATA("Total-New",'Distrib pivot table'!$C$2,"state","AL"),"*"))</f>
        <v>0</v>
      </c>
      <c r="F36" s="575" t="str">
        <f>IF((GETPIVOTDATA("Total-New",'Distrib pivot table'!$C$2,"state","AR","group","2c1")/GETPIVOTDATA("Total-New",'Distrib pivot table'!$C$2,"state","AR"))=0,,IF(GETPIVOTDATA("Total-New",'Distrib pivot table'!$C$2,"state","AR","group","2c1")/GETPIVOTDATA("Total-New",'Distrib pivot table'!$C$2,"state","AR")&gt;0.0005,GETPIVOTDATA("Total-New",'Distrib pivot table'!$C$2,"state","AR","group","2c1")/GETPIVOTDATA("Total-New",'Distrib pivot table'!$C$2,"state","AR"),"*"))</f>
        <v>*</v>
      </c>
      <c r="G36" s="575">
        <f>IF((GETPIVOTDATA("Total-New",'Distrib pivot table'!$C$2,"state","DE","group","2c1")/GETPIVOTDATA("Total-New",'Distrib pivot table'!$C$2,"state","DE"))=0,,IF(GETPIVOTDATA("Total-New",'Distrib pivot table'!$C$2,"state","DE","group","2c1")/GETPIVOTDATA("Total-New",'Distrib pivot table'!$C$2,"state","DE")&gt;0.0005,GETPIVOTDATA("Total-New",'Distrib pivot table'!$C$2,"state","DE","group","2c1")/GETPIVOTDATA("Total-New",'Distrib pivot table'!$C$2,"state","DE"),"*"))</f>
        <v>2.0130087759344887E-3</v>
      </c>
      <c r="H36" s="575">
        <f>IF((GETPIVOTDATA("Total-New",'Distrib pivot table'!$C$2,"state","FL","group","2c1")/GETPIVOTDATA("Total-New",'Distrib pivot table'!$C$2,"state","FL"))=0,,IF(GETPIVOTDATA("Total-New",'Distrib pivot table'!$C$2,"state","FL","group","2c1")/GETPIVOTDATA("Total-New",'Distrib pivot table'!$C$2,"state","FL")&gt;0.0005,GETPIVOTDATA("Total-New",'Distrib pivot table'!$C$2,"state","FL","group","2c1")/GETPIVOTDATA("Total-New",'Distrib pivot table'!$C$2,"state","FL"),"*"))</f>
        <v>0</v>
      </c>
      <c r="I36" s="575" t="str">
        <f>IF((GETPIVOTDATA("Total-New",'Distrib pivot table'!$C$2,"state","GA","group","2c1")/GETPIVOTDATA("Total-New",'Distrib pivot table'!$C$2,"state","GA"))=0,,IF(GETPIVOTDATA("Total-New",'Distrib pivot table'!$C$2,"state","GA","group","2c1")/GETPIVOTDATA("Total-New",'Distrib pivot table'!$C$2,"state","GA")&gt;0.0005,GETPIVOTDATA("Total-New",'Distrib pivot table'!$C$2,"state","GA","group","2c1")/GETPIVOTDATA("Total-New",'Distrib pivot table'!$C$2,"state","GA"),"*"))</f>
        <v>*</v>
      </c>
      <c r="J36" s="575" t="str">
        <f>IF((GETPIVOTDATA("Total-New",'Distrib pivot table'!$C$2,"state","KY","group","2c1")/GETPIVOTDATA("Total-New",'Distrib pivot table'!$C$2,"state","KY"))=0,,IF(GETPIVOTDATA("Total-New",'Distrib pivot table'!$C$2,"state","KY","group","2c1")/GETPIVOTDATA("Total-New",'Distrib pivot table'!$C$2,"state","KY")&gt;0.0005,GETPIVOTDATA("Total-New",'Distrib pivot table'!$C$2,"state","KY","group","2c1")/GETPIVOTDATA("Total-New",'Distrib pivot table'!$C$2,"state","KY"),"*"))</f>
        <v>*</v>
      </c>
      <c r="K36" s="575">
        <f>IF((GETPIVOTDATA("Total-New",'Distrib pivot table'!$C$2,"state","LA","group","2c1")/GETPIVOTDATA("Total-New",'Distrib pivot table'!$C$2,"state","LA"))=0,,IF(GETPIVOTDATA("Total-New",'Distrib pivot table'!$C$2,"state","LA","group","2c1")/GETPIVOTDATA("Total-New",'Distrib pivot table'!$C$2,"state","LA")&gt;0.0005,GETPIVOTDATA("Total-New",'Distrib pivot table'!$C$2,"state","LA","group","2c1")/GETPIVOTDATA("Total-New",'Distrib pivot table'!$C$2,"state","LA"),"*"))</f>
        <v>0</v>
      </c>
      <c r="L36" s="575">
        <f>IF((GETPIVOTDATA("Total-New",'Distrib pivot table'!$C$2,"state","MD","group","2c1")/GETPIVOTDATA("Total-New",'Distrib pivot table'!$C$2,"state","MD"))=0,,IF(GETPIVOTDATA("Total-New",'Distrib pivot table'!$C$2,"state","MD","group","2c1")/GETPIVOTDATA("Total-New",'Distrib pivot table'!$C$2,"state","MD")&gt;0.0005,GETPIVOTDATA("Total-New",'Distrib pivot table'!$C$2,"state","MD","group","2c1")/GETPIVOTDATA("Total-New",'Distrib pivot table'!$C$2,"state","MD"),"*"))</f>
        <v>0</v>
      </c>
      <c r="M36" s="575" t="str">
        <f>IF((GETPIVOTDATA("Total-New",'Distrib pivot table'!$C$2,"state","MS","group","2c1")/GETPIVOTDATA("Total-New",'Distrib pivot table'!$C$2,"state","MS"))=0,,IF(GETPIVOTDATA("Total-New",'Distrib pivot table'!$C$2,"state","MS","group","2c1")/GETPIVOTDATA("Total-New",'Distrib pivot table'!$C$2,"state","MS")&gt;0.0005,GETPIVOTDATA("Total-New",'Distrib pivot table'!$C$2,"state","MS","group","2c1")/GETPIVOTDATA("Total-New",'Distrib pivot table'!$C$2,"state","MS"),"*"))</f>
        <v>*</v>
      </c>
      <c r="N36" s="575">
        <f>IF((GETPIVOTDATA("Total-New",'Distrib pivot table'!$C$2,"state","NC","group","2c1")/GETPIVOTDATA("Total-New",'Distrib pivot table'!$C$2,"state","NC"))=0,,IF(GETPIVOTDATA("Total-New",'Distrib pivot table'!$C$2,"state","NC","group","2c1")/GETPIVOTDATA("Total-New",'Distrib pivot table'!$C$2,"state","NC")&gt;0.0005,GETPIVOTDATA("Total-New",'Distrib pivot table'!$C$2,"state","NC","group","2c1")/GETPIVOTDATA("Total-New",'Distrib pivot table'!$C$2,"state","NC"),"*"))</f>
        <v>0</v>
      </c>
      <c r="O36" s="575">
        <f>IF((GETPIVOTDATA("Total-New",'Distrib pivot table'!$C$2,"state","OK","group","2c1")/GETPIVOTDATA("Total-New",'Distrib pivot table'!$C$2,"state","OK"))=0,,IF(GETPIVOTDATA("Total-New",'Distrib pivot table'!$C$2,"state","OK","group","2c1")/GETPIVOTDATA("Total-New",'Distrib pivot table'!$C$2,"state","OK")&gt;0.0005,GETPIVOTDATA("Total-New",'Distrib pivot table'!$C$2,"state","OK","group","2c1")/GETPIVOTDATA("Total-New",'Distrib pivot table'!$C$2,"state","OK"),"*"))</f>
        <v>0</v>
      </c>
      <c r="P36" s="575" t="str">
        <f>IF((GETPIVOTDATA("Total-New",'Distrib pivot table'!$C$2,"state","SC","group","2c1")/GETPIVOTDATA("Total-New",'Distrib pivot table'!$C$2,"state","SC"))=0,,IF(GETPIVOTDATA("Total-New",'Distrib pivot table'!$C$2,"state","SC","group","2c1")/GETPIVOTDATA("Total-New",'Distrib pivot table'!$C$2,"state","SC")&gt;0.0005,GETPIVOTDATA("Total-New",'Distrib pivot table'!$C$2,"state","SC","group","2c1")/GETPIVOTDATA("Total-New",'Distrib pivot table'!$C$2,"state","SC"),"*"))</f>
        <v>*</v>
      </c>
      <c r="Q36" s="575">
        <f>IF((GETPIVOTDATA("Total-New",'Distrib pivot table'!$C$2,"state","TN","group","2c1")/GETPIVOTDATA("Total-New",'Distrib pivot table'!$C$2,"state","TN"))=0,,IF(GETPIVOTDATA("Total-New",'Distrib pivot table'!$C$2,"state","TN","group","2c1")/GETPIVOTDATA("Total-New",'Distrib pivot table'!$C$2,"state","TN")&gt;0.0005,GETPIVOTDATA("Total-New",'Distrib pivot table'!$C$2,"state","TN","group","2c1")/GETPIVOTDATA("Total-New",'Distrib pivot table'!$C$2,"state","TN"),"*"))</f>
        <v>5.4702474027059863E-4</v>
      </c>
      <c r="R36" s="575">
        <f>IF((GETPIVOTDATA("Total-New",'Distrib pivot table'!$C$2,"state","TX","group","2c1")/GETPIVOTDATA("Total-New",'Distrib pivot table'!$C$2,"state","TX"))=0,,IF(GETPIVOTDATA("Total-New",'Distrib pivot table'!$C$2,"state","TX","group","2c1")/GETPIVOTDATA("Total-New",'Distrib pivot table'!$C$2,"state","TX")&gt;0.0005,GETPIVOTDATA("Total-New",'Distrib pivot table'!$C$2,"state","TX","group","2c1")/GETPIVOTDATA("Total-New",'Distrib pivot table'!$C$2,"state","TX"),"*"))</f>
        <v>0</v>
      </c>
      <c r="S36" s="575" t="str">
        <f>IF((GETPIVOTDATA("Total-New",'Distrib pivot table'!$C$2,"state","VA","group","2c1")/GETPIVOTDATA("Total-New",'Distrib pivot table'!$C$2,"state","VA"))=0,,IF(GETPIVOTDATA("Total-New",'Distrib pivot table'!$C$2,"state","VA","group","2c1")/GETPIVOTDATA("Total-New",'Distrib pivot table'!$C$2,"state","VA")&gt;0.0005,GETPIVOTDATA("Total-New",'Distrib pivot table'!$C$2,"state","VA","group","2c1")/GETPIVOTDATA("Total-New",'Distrib pivot table'!$C$2,"state","VA"),"*"))</f>
        <v>*</v>
      </c>
      <c r="T36" s="575">
        <f>IF((GETPIVOTDATA("Total-New",'Distrib pivot table'!$C$2,"state","WV","group","2c1")/GETPIVOTDATA("Total-New",'Distrib pivot table'!$C$2,"state","WV"))=0,,IF(GETPIVOTDATA("Total-New",'Distrib pivot table'!$C$2,"state","WV","group","2c1")/GETPIVOTDATA("Total-New",'Distrib pivot table'!$C$2,"state","WV")&gt;0.0005,GETPIVOTDATA("Total-New",'Distrib pivot table'!$C$2,"state","WV","group","2c1")/GETPIVOTDATA("Total-New",'Distrib pivot table'!$C$2,"state","WV"),"*"))</f>
        <v>0</v>
      </c>
      <c r="U36" s="576"/>
      <c r="V36" s="576"/>
      <c r="W36" s="576"/>
      <c r="X36" s="576"/>
      <c r="Y36" s="576"/>
      <c r="Z36" s="576"/>
      <c r="AA36" s="576"/>
      <c r="AB36" s="576"/>
      <c r="AC36" s="576"/>
      <c r="AD36" s="576"/>
      <c r="AE36" s="576"/>
      <c r="AF36" s="576"/>
      <c r="AG36" s="576"/>
      <c r="AH36" s="576"/>
      <c r="AI36" s="576"/>
      <c r="AJ36" s="576"/>
      <c r="AK36" s="576"/>
      <c r="AL36" s="576"/>
      <c r="AM36" s="576"/>
      <c r="AN36" s="576"/>
      <c r="AO36" s="576"/>
      <c r="AP36" s="576"/>
      <c r="AQ36" s="576"/>
      <c r="AR36" s="576"/>
      <c r="AS36" s="576"/>
      <c r="AT36" s="576"/>
      <c r="AU36" s="576"/>
      <c r="AV36" s="576"/>
      <c r="AW36" s="576"/>
      <c r="AX36" s="576"/>
    </row>
    <row r="37" spans="1:50" ht="12.65" customHeight="1">
      <c r="A37" s="1225"/>
      <c r="B37" s="573" t="s">
        <v>1027</v>
      </c>
      <c r="C37" s="589" t="s">
        <v>258</v>
      </c>
      <c r="D37" s="575" t="str">
        <f>IF(GETPIVOTDATA("Total-New",'Distrib pivot table'!$C$2,"group","2c2")/GETPIVOTDATA("Total-New",'Distrib pivot table'!$C$2)=0,,IF(GETPIVOTDATA("Total-New",'Distrib pivot table'!$C$2,"group","2c2")/GETPIVOTDATA("Total-New",'Distrib pivot table'!$C$2)&gt;0.0005,GETPIVOTDATA("Total-New",'Distrib pivot table'!$C$2,"group","2c2")/GETPIVOTDATA("Total-New",'Distrib pivot table'!$C$2),"*"))</f>
        <v>*</v>
      </c>
      <c r="E37" s="575">
        <f>IF((GETPIVOTDATA("Total-New",'Distrib pivot table'!$C$2,"state","AL","group","2c2")/GETPIVOTDATA("Total-New",'Distrib pivot table'!$C$2,"state","AL"))=0,,IF(GETPIVOTDATA("Total-New",'Distrib pivot table'!$C$2,"state","AL","group","2c2")/GETPIVOTDATA("Total-New",'Distrib pivot table'!$C$2,"state","AL")&gt;0.0005,GETPIVOTDATA("Total-New",'Distrib pivot table'!$C$2,"state","AL","group","2c2")/GETPIVOTDATA("Total-New",'Distrib pivot table'!$C$2,"state","AL"),"*"))</f>
        <v>0</v>
      </c>
      <c r="F37" s="575">
        <f>IF((GETPIVOTDATA("Total-New",'Distrib pivot table'!$C$2,"state","AR","group","2c2")/GETPIVOTDATA("Total-New",'Distrib pivot table'!$C$2,"state","AR"))=0,,IF(GETPIVOTDATA("Total-New",'Distrib pivot table'!$C$2,"state","AR","group","2c2")/GETPIVOTDATA("Total-New",'Distrib pivot table'!$C$2,"state","AR")&gt;0.0005,GETPIVOTDATA("Total-New",'Distrib pivot table'!$C$2,"state","AR","group","2c2")/GETPIVOTDATA("Total-New",'Distrib pivot table'!$C$2,"state","AR"),"*"))</f>
        <v>1.9195724261109267E-3</v>
      </c>
      <c r="G37" s="575">
        <f>IF((GETPIVOTDATA("Total-New",'Distrib pivot table'!$C$2,"state","DE","group","2c2")/GETPIVOTDATA("Total-New",'Distrib pivot table'!$C$2,"state","DE"))=0,,IF(GETPIVOTDATA("Total-New",'Distrib pivot table'!$C$2,"state","DE","group","2c2")/GETPIVOTDATA("Total-New",'Distrib pivot table'!$C$2,"state","DE")&gt;0.0005,GETPIVOTDATA("Total-New",'Distrib pivot table'!$C$2,"state","DE","group","2c2")/GETPIVOTDATA("Total-New",'Distrib pivot table'!$C$2,"state","DE"),"*"))</f>
        <v>6.4196295424837372E-4</v>
      </c>
      <c r="H37" s="575">
        <f>IF((GETPIVOTDATA("Total-New",'Distrib pivot table'!$C$2,"state","FL","group","2c2")/GETPIVOTDATA("Total-New",'Distrib pivot table'!$C$2,"state","FL"))=0,,IF(GETPIVOTDATA("Total-New",'Distrib pivot table'!$C$2,"state","FL","group","2c2")/GETPIVOTDATA("Total-New",'Distrib pivot table'!$C$2,"state","FL")&gt;0.0005,GETPIVOTDATA("Total-New",'Distrib pivot table'!$C$2,"state","FL","group","2c2")/GETPIVOTDATA("Total-New",'Distrib pivot table'!$C$2,"state","FL"),"*"))</f>
        <v>0</v>
      </c>
      <c r="I37" s="575" t="str">
        <f>IF((GETPIVOTDATA("Total-New",'Distrib pivot table'!$C$2,"state","GA","group","2c2")/GETPIVOTDATA("Total-New",'Distrib pivot table'!$C$2,"state","GA"))=0,,IF(GETPIVOTDATA("Total-New",'Distrib pivot table'!$C$2,"state","GA","group","2c2")/GETPIVOTDATA("Total-New",'Distrib pivot table'!$C$2,"state","GA")&gt;0.0005,GETPIVOTDATA("Total-New",'Distrib pivot table'!$C$2,"state","GA","group","2c2")/GETPIVOTDATA("Total-New",'Distrib pivot table'!$C$2,"state","GA"),"*"))</f>
        <v>*</v>
      </c>
      <c r="J37" s="575">
        <f>IF((GETPIVOTDATA("Total-New",'Distrib pivot table'!$C$2,"state","KY","group","2c2")/GETPIVOTDATA("Total-New",'Distrib pivot table'!$C$2,"state","KY"))=0,,IF(GETPIVOTDATA("Total-New",'Distrib pivot table'!$C$2,"state","KY","group","2c2")/GETPIVOTDATA("Total-New",'Distrib pivot table'!$C$2,"state","KY")&gt;0.0005,GETPIVOTDATA("Total-New",'Distrib pivot table'!$C$2,"state","KY","group","2c2")/GETPIVOTDATA("Total-New",'Distrib pivot table'!$C$2,"state","KY"),"*"))</f>
        <v>1.6842833944565707E-3</v>
      </c>
      <c r="K37" s="575" t="str">
        <f>IF((GETPIVOTDATA("Total-New",'Distrib pivot table'!$C$2,"state","LA","group","2c2")/GETPIVOTDATA("Total-New",'Distrib pivot table'!$C$2,"state","LA"))=0,,IF(GETPIVOTDATA("Total-New",'Distrib pivot table'!$C$2,"state","LA","group","2c2")/GETPIVOTDATA("Total-New",'Distrib pivot table'!$C$2,"state","LA")&gt;0.0005,GETPIVOTDATA("Total-New",'Distrib pivot table'!$C$2,"state","LA","group","2c2")/GETPIVOTDATA("Total-New",'Distrib pivot table'!$C$2,"state","LA"),"*"))</f>
        <v>*</v>
      </c>
      <c r="L37" s="575">
        <f>IF((GETPIVOTDATA("Total-New",'Distrib pivot table'!$C$2,"state","MD","group","2c2")/GETPIVOTDATA("Total-New",'Distrib pivot table'!$C$2,"state","MD"))=0,,IF(GETPIVOTDATA("Total-New",'Distrib pivot table'!$C$2,"state","MD","group","2c2")/GETPIVOTDATA("Total-New",'Distrib pivot table'!$C$2,"state","MD")&gt;0.0005,GETPIVOTDATA("Total-New",'Distrib pivot table'!$C$2,"state","MD","group","2c2")/GETPIVOTDATA("Total-New",'Distrib pivot table'!$C$2,"state","MD"),"*"))</f>
        <v>0</v>
      </c>
      <c r="M37" s="575" t="str">
        <f>IF((GETPIVOTDATA("Total-New",'Distrib pivot table'!$C$2,"state","MS","group","2c2")/GETPIVOTDATA("Total-New",'Distrib pivot table'!$C$2,"state","MS"))=0,,IF(GETPIVOTDATA("Total-New",'Distrib pivot table'!$C$2,"state","MS","group","2c2")/GETPIVOTDATA("Total-New",'Distrib pivot table'!$C$2,"state","MS")&gt;0.0005,GETPIVOTDATA("Total-New",'Distrib pivot table'!$C$2,"state","MS","group","2c2")/GETPIVOTDATA("Total-New",'Distrib pivot table'!$C$2,"state","MS"),"*"))</f>
        <v>*</v>
      </c>
      <c r="N37" s="575">
        <f>IF((GETPIVOTDATA("Total-New",'Distrib pivot table'!$C$2,"state","NC","group","2c2")/GETPIVOTDATA("Total-New",'Distrib pivot table'!$C$2,"state","NC"))=0,,IF(GETPIVOTDATA("Total-New",'Distrib pivot table'!$C$2,"state","NC","group","2c2")/GETPIVOTDATA("Total-New",'Distrib pivot table'!$C$2,"state","NC")&gt;0.0005,GETPIVOTDATA("Total-New",'Distrib pivot table'!$C$2,"state","NC","group","2c2")/GETPIVOTDATA("Total-New",'Distrib pivot table'!$C$2,"state","NC"),"*"))</f>
        <v>0</v>
      </c>
      <c r="O37" s="575">
        <f>IF((GETPIVOTDATA("Total-New",'Distrib pivot table'!$C$2,"state","OK","group","2c2")/GETPIVOTDATA("Total-New",'Distrib pivot table'!$C$2,"state","OK"))=0,,IF(GETPIVOTDATA("Total-New",'Distrib pivot table'!$C$2,"state","OK","group","2c2")/GETPIVOTDATA("Total-New",'Distrib pivot table'!$C$2,"state","OK")&gt;0.0005,GETPIVOTDATA("Total-New",'Distrib pivot table'!$C$2,"state","OK","group","2c2")/GETPIVOTDATA("Total-New",'Distrib pivot table'!$C$2,"state","OK"),"*"))</f>
        <v>0</v>
      </c>
      <c r="P37" s="575">
        <f>IF((GETPIVOTDATA("Total-New",'Distrib pivot table'!$C$2,"state","SC","group","2c2")/GETPIVOTDATA("Total-New",'Distrib pivot table'!$C$2,"state","SC"))=0,,IF(GETPIVOTDATA("Total-New",'Distrib pivot table'!$C$2,"state","SC","group","2c2")/GETPIVOTDATA("Total-New",'Distrib pivot table'!$C$2,"state","SC")&gt;0.0005,GETPIVOTDATA("Total-New",'Distrib pivot table'!$C$2,"state","SC","group","2c2")/GETPIVOTDATA("Total-New",'Distrib pivot table'!$C$2,"state","SC"),"*"))</f>
        <v>8.3205083853513139E-4</v>
      </c>
      <c r="Q37" s="575">
        <f>IF((GETPIVOTDATA("Total-New",'Distrib pivot table'!$C$2,"state","TN","group","2c2")/GETPIVOTDATA("Total-New",'Distrib pivot table'!$C$2,"state","TN"))=0,,IF(GETPIVOTDATA("Total-New",'Distrib pivot table'!$C$2,"state","TN","group","2c2")/GETPIVOTDATA("Total-New",'Distrib pivot table'!$C$2,"state","TN")&gt;0.0005,GETPIVOTDATA("Total-New",'Distrib pivot table'!$C$2,"state","TN","group","2c2")/GETPIVOTDATA("Total-New",'Distrib pivot table'!$C$2,"state","TN"),"*"))</f>
        <v>0</v>
      </c>
      <c r="R37" s="575">
        <f>IF((GETPIVOTDATA("Total-New",'Distrib pivot table'!$C$2,"state","TX","group","2c2")/GETPIVOTDATA("Total-New",'Distrib pivot table'!$C$2,"state","TX"))=0,,IF(GETPIVOTDATA("Total-New",'Distrib pivot table'!$C$2,"state","TX","group","2c2")/GETPIVOTDATA("Total-New",'Distrib pivot table'!$C$2,"state","TX")&gt;0.0005,GETPIVOTDATA("Total-New",'Distrib pivot table'!$C$2,"state","TX","group","2c2")/GETPIVOTDATA("Total-New",'Distrib pivot table'!$C$2,"state","TX"),"*"))</f>
        <v>0</v>
      </c>
      <c r="S37" s="575">
        <f>IF((GETPIVOTDATA("Total-New",'Distrib pivot table'!$C$2,"state","VA","group","2c2")/GETPIVOTDATA("Total-New",'Distrib pivot table'!$C$2,"state","VA"))=0,,IF(GETPIVOTDATA("Total-New",'Distrib pivot table'!$C$2,"state","VA","group","2c2")/GETPIVOTDATA("Total-New",'Distrib pivot table'!$C$2,"state","VA")&gt;0.0005,GETPIVOTDATA("Total-New",'Distrib pivot table'!$C$2,"state","VA","group","2c2")/GETPIVOTDATA("Total-New",'Distrib pivot table'!$C$2,"state","VA"),"*"))</f>
        <v>0</v>
      </c>
      <c r="T37" s="575">
        <f>IF((GETPIVOTDATA("Total-New",'Distrib pivot table'!$C$2,"state","WV","group","2c2")/GETPIVOTDATA("Total-New",'Distrib pivot table'!$C$2,"state","WV"))=0,,IF(GETPIVOTDATA("Total-New",'Distrib pivot table'!$C$2,"state","WV","group","2c2")/GETPIVOTDATA("Total-New",'Distrib pivot table'!$C$2,"state","WV")&gt;0.0005,GETPIVOTDATA("Total-New",'Distrib pivot table'!$C$2,"state","WV","group","2c2")/GETPIVOTDATA("Total-New",'Distrib pivot table'!$C$2,"state","WV"),"*"))</f>
        <v>0</v>
      </c>
      <c r="U37" s="576"/>
      <c r="V37" s="576"/>
      <c r="W37" s="576"/>
      <c r="X37" s="576"/>
      <c r="Y37" s="576"/>
      <c r="Z37" s="576"/>
      <c r="AA37" s="576"/>
      <c r="AB37" s="576"/>
      <c r="AC37" s="576"/>
      <c r="AD37" s="576"/>
      <c r="AE37" s="576"/>
      <c r="AF37" s="576"/>
      <c r="AG37" s="576"/>
      <c r="AH37" s="576"/>
      <c r="AI37" s="576"/>
      <c r="AJ37" s="576"/>
      <c r="AK37" s="576"/>
      <c r="AL37" s="576"/>
      <c r="AM37" s="576"/>
      <c r="AN37" s="576"/>
      <c r="AO37" s="576"/>
      <c r="AP37" s="576"/>
      <c r="AQ37" s="576"/>
      <c r="AR37" s="576"/>
      <c r="AS37" s="576"/>
      <c r="AT37" s="576"/>
      <c r="AU37" s="576"/>
      <c r="AV37" s="576"/>
      <c r="AW37" s="576"/>
      <c r="AX37" s="576"/>
    </row>
    <row r="38" spans="1:50" ht="12.65" customHeight="1">
      <c r="A38" s="1225"/>
      <c r="B38" s="590" t="s">
        <v>158</v>
      </c>
      <c r="C38" s="589" t="s">
        <v>157</v>
      </c>
      <c r="D38" s="575" t="str">
        <f>IF(GETPIVOTDATA("Total-New",'Distrib pivot table'!$C$2,"group","2c3")/GETPIVOTDATA("Total-New",'Distrib pivot table'!$C$2)=0,,IF(GETPIVOTDATA("Total-New",'Distrib pivot table'!$C$2,"group","2c3")/GETPIVOTDATA("Total-New",'Distrib pivot table'!$C$2)&gt;0.0005,GETPIVOTDATA("Total-New",'Distrib pivot table'!$C$2,"group","2c3")/GETPIVOTDATA("Total-New",'Distrib pivot table'!$C$2),"*"))</f>
        <v>*</v>
      </c>
      <c r="E38" s="575">
        <f>IF((GETPIVOTDATA("Total-New",'Distrib pivot table'!$C$2,"state","AL","group","2c3")/GETPIVOTDATA("Total-New",'Distrib pivot table'!$C$2,"state","AL"))=0,,IF(GETPIVOTDATA("Total-New",'Distrib pivot table'!$C$2,"state","AL","group","2c3")/GETPIVOTDATA("Total-New",'Distrib pivot table'!$C$2,"state","AL")&gt;0.0005,GETPIVOTDATA("Total-New",'Distrib pivot table'!$C$2,"state","AL","group","2c3")/GETPIVOTDATA("Total-New",'Distrib pivot table'!$C$2,"state","AL"),"*"))</f>
        <v>0</v>
      </c>
      <c r="F38" s="575">
        <f>IF((GETPIVOTDATA("Total-New",'Distrib pivot table'!$C$2,"state","AR","group","2c3")/GETPIVOTDATA("Total-New",'Distrib pivot table'!$C$2,"state","AR"))=0,,IF(GETPIVOTDATA("Total-New",'Distrib pivot table'!$C$2,"state","AR","group","2c3")/GETPIVOTDATA("Total-New",'Distrib pivot table'!$C$2,"state","AR")&gt;0.0005,GETPIVOTDATA("Total-New",'Distrib pivot table'!$C$2,"state","AR","group","2c3")/GETPIVOTDATA("Total-New",'Distrib pivot table'!$C$2,"state","AR"),"*"))</f>
        <v>0</v>
      </c>
      <c r="G38" s="575">
        <f>IF((GETPIVOTDATA("Total-New",'Distrib pivot table'!$C$2,"state","DE","group","2c3")/GETPIVOTDATA("Total-New",'Distrib pivot table'!$C$2,"state","DE"))=0,,IF(GETPIVOTDATA("Total-New",'Distrib pivot table'!$C$2,"state","DE","group","2c3")/GETPIVOTDATA("Total-New",'Distrib pivot table'!$C$2,"state","DE")&gt;0.0005,GETPIVOTDATA("Total-New",'Distrib pivot table'!$C$2,"state","DE","group","2c3")/GETPIVOTDATA("Total-New",'Distrib pivot table'!$C$2,"state","DE"),"*"))</f>
        <v>0</v>
      </c>
      <c r="H38" s="575">
        <f>IF((GETPIVOTDATA("Total-New",'Distrib pivot table'!$C$2,"state","FL","group","2c3")/GETPIVOTDATA("Total-New",'Distrib pivot table'!$C$2,"state","FL"))=0,,IF(GETPIVOTDATA("Total-New",'Distrib pivot table'!$C$2,"state","FL","group","2c3")/GETPIVOTDATA("Total-New",'Distrib pivot table'!$C$2,"state","FL")&gt;0.0005,GETPIVOTDATA("Total-New",'Distrib pivot table'!$C$2,"state","FL","group","2c3")/GETPIVOTDATA("Total-New",'Distrib pivot table'!$C$2,"state","FL"),"*"))</f>
        <v>0</v>
      </c>
      <c r="I38" s="575">
        <f>IF((GETPIVOTDATA("Total-New",'Distrib pivot table'!$C$2,"state","GA","group","2c3")/GETPIVOTDATA("Total-New",'Distrib pivot table'!$C$2,"state","GA"))=0,,IF(GETPIVOTDATA("Total-New",'Distrib pivot table'!$C$2,"state","GA","group","2c3")/GETPIVOTDATA("Total-New",'Distrib pivot table'!$C$2,"state","GA")&gt;0.0005,GETPIVOTDATA("Total-New",'Distrib pivot table'!$C$2,"state","GA","group","2c3")/GETPIVOTDATA("Total-New",'Distrib pivot table'!$C$2,"state","GA"),"*"))</f>
        <v>6.1645889614395414E-4</v>
      </c>
      <c r="J38" s="575" t="str">
        <f>IF((GETPIVOTDATA("Total-New",'Distrib pivot table'!$C$2,"state","KY","group","2c3")/GETPIVOTDATA("Total-New",'Distrib pivot table'!$C$2,"state","KY"))=0,,IF(GETPIVOTDATA("Total-New",'Distrib pivot table'!$C$2,"state","KY","group","2c3")/GETPIVOTDATA("Total-New",'Distrib pivot table'!$C$2,"state","KY")&gt;0.0005,GETPIVOTDATA("Total-New",'Distrib pivot table'!$C$2,"state","KY","group","2c3")/GETPIVOTDATA("Total-New",'Distrib pivot table'!$C$2,"state","KY"),"*"))</f>
        <v>*</v>
      </c>
      <c r="K38" s="575">
        <f>IF((GETPIVOTDATA("Total-New",'Distrib pivot table'!$C$2,"state","LA","group","2c3")/GETPIVOTDATA("Total-New",'Distrib pivot table'!$C$2,"state","LA"))=0,,IF(GETPIVOTDATA("Total-New",'Distrib pivot table'!$C$2,"state","LA","group","2c3")/GETPIVOTDATA("Total-New",'Distrib pivot table'!$C$2,"state","LA")&gt;0.0005,GETPIVOTDATA("Total-New",'Distrib pivot table'!$C$2,"state","LA","group","2c3")/GETPIVOTDATA("Total-New",'Distrib pivot table'!$C$2,"state","LA"),"*"))</f>
        <v>0</v>
      </c>
      <c r="L38" s="575">
        <f>IF((GETPIVOTDATA("Total-New",'Distrib pivot table'!$C$2,"state","MD","group","2c3")/GETPIVOTDATA("Total-New",'Distrib pivot table'!$C$2,"state","MD"))=0,,IF(GETPIVOTDATA("Total-New",'Distrib pivot table'!$C$2,"state","MD","group","2c3")/GETPIVOTDATA("Total-New",'Distrib pivot table'!$C$2,"state","MD")&gt;0.0005,GETPIVOTDATA("Total-New",'Distrib pivot table'!$C$2,"state","MD","group","2c3")/GETPIVOTDATA("Total-New",'Distrib pivot table'!$C$2,"state","MD"),"*"))</f>
        <v>0</v>
      </c>
      <c r="M38" s="575">
        <f>IF((GETPIVOTDATA("Total-New",'Distrib pivot table'!$C$2,"state","MS","group","2c3")/GETPIVOTDATA("Total-New",'Distrib pivot table'!$C$2,"state","MS"))=0,,IF(GETPIVOTDATA("Total-New",'Distrib pivot table'!$C$2,"state","MS","group","2c3")/GETPIVOTDATA("Total-New",'Distrib pivot table'!$C$2,"state","MS")&gt;0.0005,GETPIVOTDATA("Total-New",'Distrib pivot table'!$C$2,"state","MS","group","2c3")/GETPIVOTDATA("Total-New",'Distrib pivot table'!$C$2,"state","MS"),"*"))</f>
        <v>0</v>
      </c>
      <c r="N38" s="575">
        <f>IF((GETPIVOTDATA("Total-New",'Distrib pivot table'!$C$2,"state","NC","group","2c3")/GETPIVOTDATA("Total-New",'Distrib pivot table'!$C$2,"state","NC"))=0,,IF(GETPIVOTDATA("Total-New",'Distrib pivot table'!$C$2,"state","NC","group","2c3")/GETPIVOTDATA("Total-New",'Distrib pivot table'!$C$2,"state","NC")&gt;0.0005,GETPIVOTDATA("Total-New",'Distrib pivot table'!$C$2,"state","NC","group","2c3")/GETPIVOTDATA("Total-New",'Distrib pivot table'!$C$2,"state","NC"),"*"))</f>
        <v>0</v>
      </c>
      <c r="O38" s="575">
        <f>IF((GETPIVOTDATA("Total-New",'Distrib pivot table'!$C$2,"state","OK","group","2c3")/GETPIVOTDATA("Total-New",'Distrib pivot table'!$C$2,"state","OK"))=0,,IF(GETPIVOTDATA("Total-New",'Distrib pivot table'!$C$2,"state","OK","group","2c3")/GETPIVOTDATA("Total-New",'Distrib pivot table'!$C$2,"state","OK")&gt;0.0005,GETPIVOTDATA("Total-New",'Distrib pivot table'!$C$2,"state","OK","group","2c3")/GETPIVOTDATA("Total-New",'Distrib pivot table'!$C$2,"state","OK"),"*"))</f>
        <v>0</v>
      </c>
      <c r="P38" s="575" t="str">
        <f>IF((GETPIVOTDATA("Total-New",'Distrib pivot table'!$C$2,"state","SC","group","2c3")/GETPIVOTDATA("Total-New",'Distrib pivot table'!$C$2,"state","SC"))=0,,IF(GETPIVOTDATA("Total-New",'Distrib pivot table'!$C$2,"state","SC","group","2c3")/GETPIVOTDATA("Total-New",'Distrib pivot table'!$C$2,"state","SC")&gt;0.0005,GETPIVOTDATA("Total-New",'Distrib pivot table'!$C$2,"state","SC","group","2c3")/GETPIVOTDATA("Total-New",'Distrib pivot table'!$C$2,"state","SC"),"*"))</f>
        <v>*</v>
      </c>
      <c r="Q38" s="575">
        <f>IF((GETPIVOTDATA("Total-New",'Distrib pivot table'!$C$2,"state","TN","group","2c3")/GETPIVOTDATA("Total-New",'Distrib pivot table'!$C$2,"state","TN"))=0,,IF(GETPIVOTDATA("Total-New",'Distrib pivot table'!$C$2,"state","TN","group","2c3")/GETPIVOTDATA("Total-New",'Distrib pivot table'!$C$2,"state","TN")&gt;0.0005,GETPIVOTDATA("Total-New",'Distrib pivot table'!$C$2,"state","TN","group","2c3")/GETPIVOTDATA("Total-New",'Distrib pivot table'!$C$2,"state","TN"),"*"))</f>
        <v>0</v>
      </c>
      <c r="R38" s="575">
        <f>IF((GETPIVOTDATA("Total-New",'Distrib pivot table'!$C$2,"state","TX","group","2c3")/GETPIVOTDATA("Total-New",'Distrib pivot table'!$C$2,"state","TX"))=0,,IF(GETPIVOTDATA("Total-New",'Distrib pivot table'!$C$2,"state","TX","group","2c3")/GETPIVOTDATA("Total-New",'Distrib pivot table'!$C$2,"state","TX")&gt;0.0005,GETPIVOTDATA("Total-New",'Distrib pivot table'!$C$2,"state","TX","group","2c3")/GETPIVOTDATA("Total-New",'Distrib pivot table'!$C$2,"state","TX"),"*"))</f>
        <v>0</v>
      </c>
      <c r="S38" s="575" t="str">
        <f>IF((GETPIVOTDATA("Total-New",'Distrib pivot table'!$C$2,"state","VA","group","2c3")/GETPIVOTDATA("Total-New",'Distrib pivot table'!$C$2,"state","VA"))=0,,IF(GETPIVOTDATA("Total-New",'Distrib pivot table'!$C$2,"state","VA","group","2c3")/GETPIVOTDATA("Total-New",'Distrib pivot table'!$C$2,"state","VA")&gt;0.0005,GETPIVOTDATA("Total-New",'Distrib pivot table'!$C$2,"state","VA","group","2c3")/GETPIVOTDATA("Total-New",'Distrib pivot table'!$C$2,"state","VA"),"*"))</f>
        <v>*</v>
      </c>
      <c r="T38" s="575">
        <f>IF((GETPIVOTDATA("Total-New",'Distrib pivot table'!$C$2,"state","WV","group","2c3")/GETPIVOTDATA("Total-New",'Distrib pivot table'!$C$2,"state","WV"))=0,,IF(GETPIVOTDATA("Total-New",'Distrib pivot table'!$C$2,"state","WV","group","2c3")/GETPIVOTDATA("Total-New",'Distrib pivot table'!$C$2,"state","WV")&gt;0.0005,GETPIVOTDATA("Total-New",'Distrib pivot table'!$C$2,"state","WV","group","2c3")/GETPIVOTDATA("Total-New",'Distrib pivot table'!$C$2,"state","WV"),"*"))</f>
        <v>8.8692078588609321E-4</v>
      </c>
      <c r="U38" s="576"/>
      <c r="V38" s="576"/>
      <c r="W38" s="576"/>
      <c r="X38" s="576"/>
      <c r="Y38" s="576"/>
      <c r="Z38" s="576"/>
      <c r="AA38" s="576"/>
      <c r="AB38" s="576"/>
      <c r="AC38" s="576"/>
      <c r="AD38" s="576"/>
      <c r="AE38" s="576"/>
      <c r="AF38" s="576"/>
      <c r="AG38" s="576"/>
      <c r="AH38" s="576"/>
      <c r="AI38" s="576"/>
      <c r="AJ38" s="576"/>
      <c r="AK38" s="576"/>
      <c r="AL38" s="576"/>
      <c r="AM38" s="576"/>
      <c r="AN38" s="576"/>
      <c r="AO38" s="576"/>
      <c r="AP38" s="576"/>
      <c r="AQ38" s="576"/>
      <c r="AR38" s="576"/>
      <c r="AS38" s="576"/>
      <c r="AT38" s="576"/>
      <c r="AU38" s="576"/>
      <c r="AV38" s="576"/>
      <c r="AW38" s="576"/>
      <c r="AX38" s="576"/>
    </row>
    <row r="39" spans="1:50" s="571" customFormat="1" ht="23">
      <c r="A39" s="1225"/>
      <c r="B39" s="577" t="s">
        <v>1028</v>
      </c>
      <c r="C39" s="593" t="s">
        <v>159</v>
      </c>
      <c r="D39" s="578">
        <f>SUM(D40:D54)</f>
        <v>6.1206706102036518E-2</v>
      </c>
      <c r="E39" s="578">
        <f>SUM(E40:E54)</f>
        <v>2.3343019986258214E-2</v>
      </c>
      <c r="F39" s="578">
        <f t="shared" ref="F39:T39" si="5">SUM(F40:F54)</f>
        <v>5.7268479986820373E-2</v>
      </c>
      <c r="G39" s="578">
        <f t="shared" si="5"/>
        <v>4.6130146519032435E-3</v>
      </c>
      <c r="H39" s="578">
        <f t="shared" si="5"/>
        <v>0</v>
      </c>
      <c r="I39" s="578">
        <f t="shared" si="5"/>
        <v>0.13241241356028144</v>
      </c>
      <c r="J39" s="578">
        <f t="shared" si="5"/>
        <v>8.3742592331746996E-2</v>
      </c>
      <c r="K39" s="578">
        <f t="shared" si="5"/>
        <v>0.13630581919684626</v>
      </c>
      <c r="L39" s="578">
        <f t="shared" si="5"/>
        <v>4.0076088550063477E-2</v>
      </c>
      <c r="M39" s="578">
        <f t="shared" si="5"/>
        <v>2.8124151714267985E-2</v>
      </c>
      <c r="N39" s="578">
        <f t="shared" si="5"/>
        <v>3.6111282239815953E-2</v>
      </c>
      <c r="O39" s="578">
        <f t="shared" si="5"/>
        <v>0</v>
      </c>
      <c r="P39" s="578">
        <f>SUM(P40:P54)</f>
        <v>0.11685868227015023</v>
      </c>
      <c r="Q39" s="578">
        <f t="shared" si="5"/>
        <v>0.13018935520672958</v>
      </c>
      <c r="R39" s="578">
        <f t="shared" si="5"/>
        <v>3.424349172555842E-2</v>
      </c>
      <c r="S39" s="578">
        <f t="shared" si="5"/>
        <v>5.1036163890081657E-2</v>
      </c>
      <c r="T39" s="578">
        <f t="shared" si="5"/>
        <v>7.2400954097477419E-2</v>
      </c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79"/>
      <c r="AJ39" s="579"/>
      <c r="AK39" s="579"/>
      <c r="AL39" s="579"/>
      <c r="AM39" s="579"/>
      <c r="AN39" s="579"/>
      <c r="AO39" s="579"/>
      <c r="AP39" s="579"/>
      <c r="AQ39" s="579"/>
      <c r="AR39" s="579"/>
      <c r="AS39" s="579"/>
      <c r="AT39" s="579"/>
      <c r="AU39" s="579"/>
      <c r="AV39" s="579"/>
      <c r="AW39" s="579"/>
      <c r="AX39" s="579"/>
    </row>
    <row r="40" spans="1:50" ht="12.65" customHeight="1">
      <c r="A40" s="1225"/>
      <c r="B40" s="573" t="s">
        <v>1029</v>
      </c>
      <c r="C40" s="589" t="s">
        <v>161</v>
      </c>
      <c r="D40" s="575">
        <f>IF(GETPIVOTDATA("Total-New",'Distrib pivot table'!$C$2,"group","2d1")/GETPIVOTDATA("Total-New",'Distrib pivot table'!$C$2)=0,,IF(GETPIVOTDATA("Total-New",'Distrib pivot table'!$C$2,"group","2d1")/GETPIVOTDATA("Total-New",'Distrib pivot table'!$C$2)&gt;0.0005,GETPIVOTDATA("Total-New",'Distrib pivot table'!$C$2,"group","2d1")/GETPIVOTDATA("Total-New",'Distrib pivot table'!$C$2),"*"))</f>
        <v>8.0387194983697861E-3</v>
      </c>
      <c r="E40" s="575">
        <f>IF((GETPIVOTDATA("Total-New",'Distrib pivot table'!$C$2,"state","AL","group","2d1")/GETPIVOTDATA("Total-New",'Distrib pivot table'!$C$2,"state","AL"))=0,,IF(GETPIVOTDATA("Total-New",'Distrib pivot table'!$C$2,"state","AL","group","2d1")/GETPIVOTDATA("Total-New",'Distrib pivot table'!$C$2,"state","AL")&gt;0.0005,GETPIVOTDATA("Total-New",'Distrib pivot table'!$C$2,"state","AL","group","2d1")/GETPIVOTDATA("Total-New",'Distrib pivot table'!$C$2,"state","AL"),"*"))</f>
        <v>0</v>
      </c>
      <c r="F40" s="575">
        <f>IF((GETPIVOTDATA("Total-New",'Distrib pivot table'!$C$2,"state","AR","group","2d1")/GETPIVOTDATA("Total-New",'Distrib pivot table'!$C$2,"state","AR"))=0,,IF(GETPIVOTDATA("Total-New",'Distrib pivot table'!$C$2,"state","AR","group","2d1")/GETPIVOTDATA("Total-New",'Distrib pivot table'!$C$2,"state","AR")&gt;0.0005,GETPIVOTDATA("Total-New",'Distrib pivot table'!$C$2,"state","AR","group","2d1")/GETPIVOTDATA("Total-New",'Distrib pivot table'!$C$2,"state","AR"),"*"))</f>
        <v>0</v>
      </c>
      <c r="G40" s="575">
        <f>IF((GETPIVOTDATA("Total-New",'Distrib pivot table'!$C$2,"state","DE","group","2d1")/GETPIVOTDATA("Total-New",'Distrib pivot table'!$C$2,"state","DE"))=0,,IF(GETPIVOTDATA("Total-New",'Distrib pivot table'!$C$2,"state","DE","group","2d1")/GETPIVOTDATA("Total-New",'Distrib pivot table'!$C$2,"state","DE")&gt;0.0005,GETPIVOTDATA("Total-New",'Distrib pivot table'!$C$2,"state","DE","group","2d1")/GETPIVOTDATA("Total-New",'Distrib pivot table'!$C$2,"state","DE"),"*"))</f>
        <v>0</v>
      </c>
      <c r="H40" s="575">
        <f>IF((GETPIVOTDATA("Total-New",'Distrib pivot table'!$C$2,"state","FL","group","2d1")/GETPIVOTDATA("Total-New",'Distrib pivot table'!$C$2,"state","FL"))=0,,IF(GETPIVOTDATA("Total-New",'Distrib pivot table'!$C$2,"state","FL","group","2d1")/GETPIVOTDATA("Total-New",'Distrib pivot table'!$C$2,"state","FL")&gt;0.0005,GETPIVOTDATA("Total-New",'Distrib pivot table'!$C$2,"state","FL","group","2d1")/GETPIVOTDATA("Total-New",'Distrib pivot table'!$C$2,"state","FL"),"*"))</f>
        <v>0</v>
      </c>
      <c r="I40" s="575">
        <f>IF((GETPIVOTDATA("Total-New",'Distrib pivot table'!$C$2,"state","GA","group","2d1")/GETPIVOTDATA("Total-New",'Distrib pivot table'!$C$2,"state","GA"))=0,,IF(GETPIVOTDATA("Total-New",'Distrib pivot table'!$C$2,"state","GA","group","2d1")/GETPIVOTDATA("Total-New",'Distrib pivot table'!$C$2,"state","GA")&gt;0.0005,GETPIVOTDATA("Total-New",'Distrib pivot table'!$C$2,"state","GA","group","2d1")/GETPIVOTDATA("Total-New",'Distrib pivot table'!$C$2,"state","GA"),"*"))</f>
        <v>0</v>
      </c>
      <c r="J40" s="575">
        <f>IF((GETPIVOTDATA("Total-New",'Distrib pivot table'!$C$2,"state","KY","group","2d1")/GETPIVOTDATA("Total-New",'Distrib pivot table'!$C$2,"state","KY"))=0,,IF(GETPIVOTDATA("Total-New",'Distrib pivot table'!$C$2,"state","KY","group","2d1")/GETPIVOTDATA("Total-New",'Distrib pivot table'!$C$2,"state","KY")&gt;0.0005,GETPIVOTDATA("Total-New",'Distrib pivot table'!$C$2,"state","KY","group","2d1")/GETPIVOTDATA("Total-New",'Distrib pivot table'!$C$2,"state","KY"),"*"))</f>
        <v>0</v>
      </c>
      <c r="K40" s="575">
        <f>IF((GETPIVOTDATA("Total-New",'Distrib pivot table'!$C$2,"state","LA","group","2d1")/GETPIVOTDATA("Total-New",'Distrib pivot table'!$C$2,"state","LA"))=0,,IF(GETPIVOTDATA("Total-New",'Distrib pivot table'!$C$2,"state","LA","group","2d1")/GETPIVOTDATA("Total-New",'Distrib pivot table'!$C$2,"state","LA")&gt;0.0005,GETPIVOTDATA("Total-New",'Distrib pivot table'!$C$2,"state","LA","group","2d1")/GETPIVOTDATA("Total-New",'Distrib pivot table'!$C$2,"state","LA"),"*"))</f>
        <v>0</v>
      </c>
      <c r="L40" s="575">
        <f>IF((GETPIVOTDATA("Total-New",'Distrib pivot table'!$C$2,"state","MD","group","2d1")/GETPIVOTDATA("Total-New",'Distrib pivot table'!$C$2,"state","MD"))=0,,IF(GETPIVOTDATA("Total-New",'Distrib pivot table'!$C$2,"state","MD","group","2d1")/GETPIVOTDATA("Total-New",'Distrib pivot table'!$C$2,"state","MD")&gt;0.0005,GETPIVOTDATA("Total-New",'Distrib pivot table'!$C$2,"state","MD","group","2d1")/GETPIVOTDATA("Total-New",'Distrib pivot table'!$C$2,"state","MD"),"*"))</f>
        <v>0</v>
      </c>
      <c r="M40" s="575">
        <f>IF((GETPIVOTDATA("Total-New",'Distrib pivot table'!$C$2,"state","MS","group","2d1")/GETPIVOTDATA("Total-New",'Distrib pivot table'!$C$2,"state","MS"))=0,,IF(GETPIVOTDATA("Total-New",'Distrib pivot table'!$C$2,"state","MS","group","2d1")/GETPIVOTDATA("Total-New",'Distrib pivot table'!$C$2,"state","MS")&gt;0.0005,GETPIVOTDATA("Total-New",'Distrib pivot table'!$C$2,"state","MS","group","2d1")/GETPIVOTDATA("Total-New",'Distrib pivot table'!$C$2,"state","MS"),"*"))</f>
        <v>0</v>
      </c>
      <c r="N40" s="575">
        <f>IF((GETPIVOTDATA("Total-New",'Distrib pivot table'!$C$2,"state","NC","group","2d1")/GETPIVOTDATA("Total-New",'Distrib pivot table'!$C$2,"state","NC"))=0,,IF(GETPIVOTDATA("Total-New",'Distrib pivot table'!$C$2,"state","NC","group","2d1")/GETPIVOTDATA("Total-New",'Distrib pivot table'!$C$2,"state","NC")&gt;0.0005,GETPIVOTDATA("Total-New",'Distrib pivot table'!$C$2,"state","NC","group","2d1")/GETPIVOTDATA("Total-New",'Distrib pivot table'!$C$2,"state","NC"),"*"))</f>
        <v>0</v>
      </c>
      <c r="O40" s="575">
        <f>IF((GETPIVOTDATA("Total-New",'Distrib pivot table'!$C$2,"state","OK","group","2d1")/GETPIVOTDATA("Total-New",'Distrib pivot table'!$C$2,"state","OK"))=0,,IF(GETPIVOTDATA("Total-New",'Distrib pivot table'!$C$2,"state","OK","group","2d1")/GETPIVOTDATA("Total-New",'Distrib pivot table'!$C$2,"state","OK")&gt;0.0005,GETPIVOTDATA("Total-New",'Distrib pivot table'!$C$2,"state","OK","group","2d1")/GETPIVOTDATA("Total-New",'Distrib pivot table'!$C$2,"state","OK"),"*"))</f>
        <v>0</v>
      </c>
      <c r="P40" s="575">
        <f>IF((GETPIVOTDATA("Total-New",'Distrib pivot table'!$C$2,"state","SC","group","2d1")/GETPIVOTDATA("Total-New",'Distrib pivot table'!$C$2,"state","SC"))=0,,IF(GETPIVOTDATA("Total-New",'Distrib pivot table'!$C$2,"state","SC","group","2d1")/GETPIVOTDATA("Total-New",'Distrib pivot table'!$C$2,"state","SC")&gt;0.0005,GETPIVOTDATA("Total-New",'Distrib pivot table'!$C$2,"state","SC","group","2d1")/GETPIVOTDATA("Total-New",'Distrib pivot table'!$C$2,"state","SC"),"*"))</f>
        <v>0</v>
      </c>
      <c r="Q40" s="575">
        <f>IF((GETPIVOTDATA("Total-New",'Distrib pivot table'!$C$2,"state","TN","group","2d1")/GETPIVOTDATA("Total-New",'Distrib pivot table'!$C$2,"state","TN"))=0,,IF(GETPIVOTDATA("Total-New",'Distrib pivot table'!$C$2,"state","TN","group","2d1")/GETPIVOTDATA("Total-New",'Distrib pivot table'!$C$2,"state","TN")&gt;0.0005,GETPIVOTDATA("Total-New",'Distrib pivot table'!$C$2,"state","TN","group","2d1")/GETPIVOTDATA("Total-New",'Distrib pivot table'!$C$2,"state","TN"),"*"))</f>
        <v>0</v>
      </c>
      <c r="R40" s="575">
        <f>IF((GETPIVOTDATA("Total-New",'Distrib pivot table'!$C$2,"state","TX","group","2d1")/GETPIVOTDATA("Total-New",'Distrib pivot table'!$C$2,"state","TX"))=0,,IF(GETPIVOTDATA("Total-New",'Distrib pivot table'!$C$2,"state","TX","group","2d1")/GETPIVOTDATA("Total-New",'Distrib pivot table'!$C$2,"state","TX")&gt;0.0005,GETPIVOTDATA("Total-New",'Distrib pivot table'!$C$2,"state","TX","group","2d1")/GETPIVOTDATA("Total-New",'Distrib pivot table'!$C$2,"state","TX"),"*"))</f>
        <v>3.3095210208433312E-2</v>
      </c>
      <c r="S40" s="575">
        <f>IF((GETPIVOTDATA("Total-New",'Distrib pivot table'!$C$2,"state","VA","group","2d1")/GETPIVOTDATA("Total-New",'Distrib pivot table'!$C$2,"state","VA"))=0,,IF(GETPIVOTDATA("Total-New",'Distrib pivot table'!$C$2,"state","VA","group","2d1")/GETPIVOTDATA("Total-New",'Distrib pivot table'!$C$2,"state","VA")&gt;0.0005,GETPIVOTDATA("Total-New",'Distrib pivot table'!$C$2,"state","VA","group","2d1")/GETPIVOTDATA("Total-New",'Distrib pivot table'!$C$2,"state","VA"),"*"))</f>
        <v>0</v>
      </c>
      <c r="T40" s="575">
        <f>IF((GETPIVOTDATA("Total-New",'Distrib pivot table'!$C$2,"state","WV","group","2d1")/GETPIVOTDATA("Total-New",'Distrib pivot table'!$C$2,"state","WV"))=0,,IF(GETPIVOTDATA("Total-New",'Distrib pivot table'!$C$2,"state","WV","group","2d1")/GETPIVOTDATA("Total-New",'Distrib pivot table'!$C$2,"state","WV")&gt;0.0005,GETPIVOTDATA("Total-New",'Distrib pivot table'!$C$2,"state","WV","group","2d1")/GETPIVOTDATA("Total-New",'Distrib pivot table'!$C$2,"state","WV"),"*"))</f>
        <v>0</v>
      </c>
      <c r="U40" s="576"/>
      <c r="V40" s="576"/>
      <c r="W40" s="576"/>
      <c r="X40" s="576"/>
      <c r="Y40" s="576"/>
      <c r="Z40" s="576"/>
      <c r="AA40" s="576"/>
      <c r="AB40" s="576"/>
      <c r="AC40" s="576"/>
      <c r="AD40" s="576"/>
      <c r="AE40" s="576"/>
      <c r="AF40" s="576"/>
      <c r="AG40" s="576"/>
      <c r="AH40" s="576"/>
      <c r="AI40" s="576"/>
      <c r="AJ40" s="576"/>
      <c r="AK40" s="576"/>
      <c r="AL40" s="576"/>
      <c r="AM40" s="576"/>
      <c r="AN40" s="576"/>
      <c r="AO40" s="576"/>
      <c r="AP40" s="576"/>
      <c r="AQ40" s="576"/>
      <c r="AR40" s="576"/>
      <c r="AS40" s="576"/>
      <c r="AT40" s="576"/>
      <c r="AU40" s="576"/>
      <c r="AV40" s="576"/>
      <c r="AW40" s="576"/>
      <c r="AX40" s="576"/>
    </row>
    <row r="41" spans="1:50" ht="12.65" customHeight="1">
      <c r="A41" s="1225"/>
      <c r="B41" s="573" t="s">
        <v>165</v>
      </c>
      <c r="C41" s="589" t="s">
        <v>164</v>
      </c>
      <c r="D41" s="575" t="str">
        <f>IF(GETPIVOTDATA("Total-New",'Distrib pivot table'!$C$2,"group","2d1a")/GETPIVOTDATA("Total-New",'Distrib pivot table'!$C$2)=0,,IF(GETPIVOTDATA("Total-New",'Distrib pivot table'!$C$2,"group","2d1a")/GETPIVOTDATA("Total-New",'Distrib pivot table'!$C$2)&gt;0.0005,GETPIVOTDATA("Total-New",'Distrib pivot table'!$C$2,"group","2d1a")/GETPIVOTDATA("Total-New",'Distrib pivot table'!$C$2),"*"))</f>
        <v>*</v>
      </c>
      <c r="E41" s="575" t="str">
        <f>IF((GETPIVOTDATA("Total-New",'Distrib pivot table'!$C$2,"state","AL","group","2d1a")/GETPIVOTDATA("Total-New",'Distrib pivot table'!$C$2,"state","AL"))=0,,IF(GETPIVOTDATA("Total-New",'Distrib pivot table'!$C$2,"state","AL","group","2d1a")/GETPIVOTDATA("Total-New",'Distrib pivot table'!$C$2,"state","AL")&gt;0.0005,GETPIVOTDATA("Total-New",'Distrib pivot table'!$C$2,"state","AL","group","2d1a")/GETPIVOTDATA("Total-New",'Distrib pivot table'!$C$2,"state","AL"),"*"))</f>
        <v>*</v>
      </c>
      <c r="F41" s="575">
        <f>IF((GETPIVOTDATA("Total-New",'Distrib pivot table'!$C$2,"state","AR","group","2d1a")/GETPIVOTDATA("Total-New",'Distrib pivot table'!$C$2,"state","AR"))=0,,IF(GETPIVOTDATA("Total-New",'Distrib pivot table'!$C$2,"state","AR","group","2d1a")/GETPIVOTDATA("Total-New",'Distrib pivot table'!$C$2,"state","AR")&gt;0.0005,GETPIVOTDATA("Total-New",'Distrib pivot table'!$C$2,"state","AR","group","2d1a")/GETPIVOTDATA("Total-New",'Distrib pivot table'!$C$2,"state","AR"),"*"))</f>
        <v>0</v>
      </c>
      <c r="G41" s="575">
        <f>IF((GETPIVOTDATA("Total-New",'Distrib pivot table'!$C$2,"state","DE","group","2d1a")/GETPIVOTDATA("Total-New",'Distrib pivot table'!$C$2,"state","DE"))=0,,IF(GETPIVOTDATA("Total-New",'Distrib pivot table'!$C$2,"state","DE","group","2d1a")/GETPIVOTDATA("Total-New",'Distrib pivot table'!$C$2,"state","DE")&gt;0.0005,GETPIVOTDATA("Total-New",'Distrib pivot table'!$C$2,"state","DE","group","2d1a")/GETPIVOTDATA("Total-New",'Distrib pivot table'!$C$2,"state","DE"),"*"))</f>
        <v>0</v>
      </c>
      <c r="H41" s="575">
        <f>IF((GETPIVOTDATA("Total-New",'Distrib pivot table'!$C$2,"state","FL","group","2d1a")/GETPIVOTDATA("Total-New",'Distrib pivot table'!$C$2,"state","FL"))=0,,IF(GETPIVOTDATA("Total-New",'Distrib pivot table'!$C$2,"state","FL","group","2d1a")/GETPIVOTDATA("Total-New",'Distrib pivot table'!$C$2,"state","FL")&gt;0.0005,GETPIVOTDATA("Total-New",'Distrib pivot table'!$C$2,"state","FL","group","2d1a")/GETPIVOTDATA("Total-New",'Distrib pivot table'!$C$2,"state","FL"),"*"))</f>
        <v>0</v>
      </c>
      <c r="I41" s="575">
        <f>IF((GETPIVOTDATA("Total-New",'Distrib pivot table'!$C$2,"state","GA","group","2d1a")/GETPIVOTDATA("Total-New",'Distrib pivot table'!$C$2,"state","GA"))=0,,IF(GETPIVOTDATA("Total-New",'Distrib pivot table'!$C$2,"state","GA","group","2d1a")/GETPIVOTDATA("Total-New",'Distrib pivot table'!$C$2,"state","GA")&gt;0.0005,GETPIVOTDATA("Total-New",'Distrib pivot table'!$C$2,"state","GA","group","2d1a")/GETPIVOTDATA("Total-New",'Distrib pivot table'!$C$2,"state","GA"),"*"))</f>
        <v>0</v>
      </c>
      <c r="J41" s="575">
        <f>IF((GETPIVOTDATA("Total-New",'Distrib pivot table'!$C$2,"state","KY","group","2d1a")/GETPIVOTDATA("Total-New",'Distrib pivot table'!$C$2,"state","KY"))=0,,IF(GETPIVOTDATA("Total-New",'Distrib pivot table'!$C$2,"state","KY","group","2d1a")/GETPIVOTDATA("Total-New",'Distrib pivot table'!$C$2,"state","KY")&gt;0.0005,GETPIVOTDATA("Total-New",'Distrib pivot table'!$C$2,"state","KY","group","2d1a")/GETPIVOTDATA("Total-New",'Distrib pivot table'!$C$2,"state","KY"),"*"))</f>
        <v>0</v>
      </c>
      <c r="K41" s="575">
        <f>IF((GETPIVOTDATA("Total-New",'Distrib pivot table'!$C$2,"state","LA","group","2d1a")/GETPIVOTDATA("Total-New",'Distrib pivot table'!$C$2,"state","LA"))=0,,IF(GETPIVOTDATA("Total-New",'Distrib pivot table'!$C$2,"state","LA","group","2d1a")/GETPIVOTDATA("Total-New",'Distrib pivot table'!$C$2,"state","LA")&gt;0.0005,GETPIVOTDATA("Total-New",'Distrib pivot table'!$C$2,"state","LA","group","2d1a")/GETPIVOTDATA("Total-New",'Distrib pivot table'!$C$2,"state","LA"),"*"))</f>
        <v>0</v>
      </c>
      <c r="L41" s="575">
        <f>IF((GETPIVOTDATA("Total-New",'Distrib pivot table'!$C$2,"state","MD","group","2d1a")/GETPIVOTDATA("Total-New",'Distrib pivot table'!$C$2,"state","MD"))=0,,IF(GETPIVOTDATA("Total-New",'Distrib pivot table'!$C$2,"state","MD","group","2d1a")/GETPIVOTDATA("Total-New",'Distrib pivot table'!$C$2,"state","MD")&gt;0.0005,GETPIVOTDATA("Total-New",'Distrib pivot table'!$C$2,"state","MD","group","2d1a")/GETPIVOTDATA("Total-New",'Distrib pivot table'!$C$2,"state","MD"),"*"))</f>
        <v>0</v>
      </c>
      <c r="M41" s="575">
        <f>IF((GETPIVOTDATA("Total-New",'Distrib pivot table'!$C$2,"state","MS","group","2d1a")/GETPIVOTDATA("Total-New",'Distrib pivot table'!$C$2,"state","MS"))=0,,IF(GETPIVOTDATA("Total-New",'Distrib pivot table'!$C$2,"state","MS","group","2d1a")/GETPIVOTDATA("Total-New",'Distrib pivot table'!$C$2,"state","MS")&gt;0.0005,GETPIVOTDATA("Total-New",'Distrib pivot table'!$C$2,"state","MS","group","2d1a")/GETPIVOTDATA("Total-New",'Distrib pivot table'!$C$2,"state","MS"),"*"))</f>
        <v>0</v>
      </c>
      <c r="N41" s="575">
        <f>IF((GETPIVOTDATA("Total-New",'Distrib pivot table'!$C$2,"state","NC","group","2d1a")/GETPIVOTDATA("Total-New",'Distrib pivot table'!$C$2,"state","NC"))=0,,IF(GETPIVOTDATA("Total-New",'Distrib pivot table'!$C$2,"state","NC","group","2d1a")/GETPIVOTDATA("Total-New",'Distrib pivot table'!$C$2,"state","NC")&gt;0.0005,GETPIVOTDATA("Total-New",'Distrib pivot table'!$C$2,"state","NC","group","2d1a")/GETPIVOTDATA("Total-New",'Distrib pivot table'!$C$2,"state","NC"),"*"))</f>
        <v>0</v>
      </c>
      <c r="O41" s="575">
        <f>IF((GETPIVOTDATA("Total-New",'Distrib pivot table'!$C$2,"state","OK","group","2d1a")/GETPIVOTDATA("Total-New",'Distrib pivot table'!$C$2,"state","OK"))=0,,IF(GETPIVOTDATA("Total-New",'Distrib pivot table'!$C$2,"state","OK","group","2d1a")/GETPIVOTDATA("Total-New",'Distrib pivot table'!$C$2,"state","OK")&gt;0.0005,GETPIVOTDATA("Total-New",'Distrib pivot table'!$C$2,"state","OK","group","2d1a")/GETPIVOTDATA("Total-New",'Distrib pivot table'!$C$2,"state","OK"),"*"))</f>
        <v>0</v>
      </c>
      <c r="P41" s="575">
        <f>IF((GETPIVOTDATA("Total-New",'Distrib pivot table'!$C$2,"state","SC","group","2d1a")/GETPIVOTDATA("Total-New",'Distrib pivot table'!$C$2,"state","SC"))=0,,IF(GETPIVOTDATA("Total-New",'Distrib pivot table'!$C$2,"state","SC","group","2d1a")/GETPIVOTDATA("Total-New",'Distrib pivot table'!$C$2,"state","SC")&gt;0.0005,GETPIVOTDATA("Total-New",'Distrib pivot table'!$C$2,"state","SC","group","2d1a")/GETPIVOTDATA("Total-New",'Distrib pivot table'!$C$2,"state","SC"),"*"))</f>
        <v>0</v>
      </c>
      <c r="Q41" s="575">
        <f>IF((GETPIVOTDATA("Total-New",'Distrib pivot table'!$C$2,"state","TN","group","2d1a")/GETPIVOTDATA("Total-New",'Distrib pivot table'!$C$2,"state","TN"))=0,,IF(GETPIVOTDATA("Total-New",'Distrib pivot table'!$C$2,"state","TN","group","2d1a")/GETPIVOTDATA("Total-New",'Distrib pivot table'!$C$2,"state","TN")&gt;0.0005,GETPIVOTDATA("Total-New",'Distrib pivot table'!$C$2,"state","TN","group","2d1a")/GETPIVOTDATA("Total-New",'Distrib pivot table'!$C$2,"state","TN"),"*"))</f>
        <v>0</v>
      </c>
      <c r="R41" s="575">
        <f>IF((GETPIVOTDATA("Total-New",'Distrib pivot table'!$C$2,"state","TX","group","2d1a")/GETPIVOTDATA("Total-New",'Distrib pivot table'!$C$2,"state","TX"))=0,,IF(GETPIVOTDATA("Total-New",'Distrib pivot table'!$C$2,"state","TX","group","2d1a")/GETPIVOTDATA("Total-New",'Distrib pivot table'!$C$2,"state","TX")&gt;0.0005,GETPIVOTDATA("Total-New",'Distrib pivot table'!$C$2,"state","TX","group","2d1a")/GETPIVOTDATA("Total-New",'Distrib pivot table'!$C$2,"state","TX"),"*"))</f>
        <v>0</v>
      </c>
      <c r="S41" s="575">
        <f>IF((GETPIVOTDATA("Total-New",'Distrib pivot table'!$C$2,"state","VA","group","2d1a")/GETPIVOTDATA("Total-New",'Distrib pivot table'!$C$2,"state","VA"))=0,,IF(GETPIVOTDATA("Total-New",'Distrib pivot table'!$C$2,"state","VA","group","2d1a")/GETPIVOTDATA("Total-New",'Distrib pivot table'!$C$2,"state","VA")&gt;0.0005,GETPIVOTDATA("Total-New",'Distrib pivot table'!$C$2,"state","VA","group","2d1a")/GETPIVOTDATA("Total-New",'Distrib pivot table'!$C$2,"state","VA"),"*"))</f>
        <v>0</v>
      </c>
      <c r="T41" s="575">
        <f>IF((GETPIVOTDATA("Total-New",'Distrib pivot table'!$C$2,"state","WV","group","2d1a")/GETPIVOTDATA("Total-New",'Distrib pivot table'!$C$2,"state","WV"))=0,,IF(GETPIVOTDATA("Total-New",'Distrib pivot table'!$C$2,"state","WV","group","2d1a")/GETPIVOTDATA("Total-New",'Distrib pivot table'!$C$2,"state","WV")&gt;0.0005,GETPIVOTDATA("Total-New",'Distrib pivot table'!$C$2,"state","WV","group","2d1a")/GETPIVOTDATA("Total-New",'Distrib pivot table'!$C$2,"state","WV"),"*"))</f>
        <v>0</v>
      </c>
      <c r="U41" s="576"/>
      <c r="V41" s="576"/>
      <c r="W41" s="576"/>
      <c r="X41" s="576"/>
      <c r="Y41" s="576"/>
      <c r="Z41" s="576"/>
      <c r="AA41" s="576"/>
      <c r="AB41" s="576"/>
      <c r="AC41" s="576"/>
      <c r="AD41" s="576"/>
      <c r="AE41" s="576"/>
      <c r="AF41" s="576"/>
      <c r="AG41" s="576"/>
      <c r="AH41" s="576"/>
      <c r="AI41" s="576"/>
      <c r="AJ41" s="576"/>
      <c r="AK41" s="576"/>
      <c r="AL41" s="576"/>
      <c r="AM41" s="576"/>
      <c r="AN41" s="576"/>
      <c r="AO41" s="576"/>
      <c r="AP41" s="576"/>
      <c r="AQ41" s="576"/>
      <c r="AR41" s="576"/>
      <c r="AS41" s="576"/>
      <c r="AT41" s="576"/>
      <c r="AU41" s="576"/>
      <c r="AV41" s="576"/>
      <c r="AW41" s="576"/>
      <c r="AX41" s="576"/>
    </row>
    <row r="42" spans="1:50" ht="12.65" customHeight="1">
      <c r="A42" s="1225"/>
      <c r="B42" s="573" t="s">
        <v>167</v>
      </c>
      <c r="C42" s="589" t="s">
        <v>166</v>
      </c>
      <c r="D42" s="575">
        <f>IF(GETPIVOTDATA("Total-New",'Distrib pivot table'!$C$2,"group","2d1b")/GETPIVOTDATA("Total-New",'Distrib pivot table'!$C$2)=0,,IF(GETPIVOTDATA("Total-New",'Distrib pivot table'!$C$2,"group","2d1b")/GETPIVOTDATA("Total-New",'Distrib pivot table'!$C$2)&gt;0.0005,GETPIVOTDATA("Total-New",'Distrib pivot table'!$C$2,"group","2d1b")/GETPIVOTDATA("Total-New",'Distrib pivot table'!$C$2),"*"))</f>
        <v>7.91863902361587E-4</v>
      </c>
      <c r="E42" s="575">
        <f>IF((GETPIVOTDATA("Total-New",'Distrib pivot table'!$C$2,"state","AL","group","2d1b")/GETPIVOTDATA("Total-New",'Distrib pivot table'!$C$2,"state","AL"))=0,,IF(GETPIVOTDATA("Total-New",'Distrib pivot table'!$C$2,"state","AL","group","2d1b")/GETPIVOTDATA("Total-New",'Distrib pivot table'!$C$2,"state","AL")&gt;0.0005,GETPIVOTDATA("Total-New",'Distrib pivot table'!$C$2,"state","AL","group","2d1b")/GETPIVOTDATA("Total-New",'Distrib pivot table'!$C$2,"state","AL"),"*"))</f>
        <v>8.449525170672195E-4</v>
      </c>
      <c r="F42" s="575" t="str">
        <f>IF((GETPIVOTDATA("Total-New",'Distrib pivot table'!$C$2,"state","AR","group","2d1b")/GETPIVOTDATA("Total-New",'Distrib pivot table'!$C$2,"state","AR"))=0,,IF(GETPIVOTDATA("Total-New",'Distrib pivot table'!$C$2,"state","AR","group","2d1b")/GETPIVOTDATA("Total-New",'Distrib pivot table'!$C$2,"state","AR")&gt;0.0005,GETPIVOTDATA("Total-New",'Distrib pivot table'!$C$2,"state","AR","group","2d1b")/GETPIVOTDATA("Total-New",'Distrib pivot table'!$C$2,"state","AR"),"*"))</f>
        <v>*</v>
      </c>
      <c r="G42" s="575">
        <f>IF((GETPIVOTDATA("Total-New",'Distrib pivot table'!$C$2,"state","DE","group","2d1b")/GETPIVOTDATA("Total-New",'Distrib pivot table'!$C$2,"state","DE"))=0,,IF(GETPIVOTDATA("Total-New",'Distrib pivot table'!$C$2,"state","DE","group","2d1b")/GETPIVOTDATA("Total-New",'Distrib pivot table'!$C$2,"state","DE")&gt;0.0005,GETPIVOTDATA("Total-New",'Distrib pivot table'!$C$2,"state","DE","group","2d1b")/GETPIVOTDATA("Total-New",'Distrib pivot table'!$C$2,"state","DE"),"*"))</f>
        <v>2.6506431818706065E-3</v>
      </c>
      <c r="H42" s="575">
        <f>IF((GETPIVOTDATA("Total-New",'Distrib pivot table'!$C$2,"state","FL","group","2d1b")/GETPIVOTDATA("Total-New",'Distrib pivot table'!$C$2,"state","FL"))=0,,IF(GETPIVOTDATA("Total-New",'Distrib pivot table'!$C$2,"state","FL","group","2d1b")/GETPIVOTDATA("Total-New",'Distrib pivot table'!$C$2,"state","FL")&gt;0.0005,GETPIVOTDATA("Total-New",'Distrib pivot table'!$C$2,"state","FL","group","2d1b")/GETPIVOTDATA("Total-New",'Distrib pivot table'!$C$2,"state","FL"),"*"))</f>
        <v>0</v>
      </c>
      <c r="I42" s="575">
        <f>IF((GETPIVOTDATA("Total-New",'Distrib pivot table'!$C$2,"state","GA","group","2d1b")/GETPIVOTDATA("Total-New",'Distrib pivot table'!$C$2,"state","GA"))=0,,IF(GETPIVOTDATA("Total-New",'Distrib pivot table'!$C$2,"state","GA","group","2d1b")/GETPIVOTDATA("Total-New",'Distrib pivot table'!$C$2,"state","GA")&gt;0.0005,GETPIVOTDATA("Total-New",'Distrib pivot table'!$C$2,"state","GA","group","2d1b")/GETPIVOTDATA("Total-New",'Distrib pivot table'!$C$2,"state","GA"),"*"))</f>
        <v>0</v>
      </c>
      <c r="J42" s="575">
        <f>IF((GETPIVOTDATA("Total-New",'Distrib pivot table'!$C$2,"state","KY","group","2d1b")/GETPIVOTDATA("Total-New",'Distrib pivot table'!$C$2,"state","KY"))=0,,IF(GETPIVOTDATA("Total-New",'Distrib pivot table'!$C$2,"state","KY","group","2d1b")/GETPIVOTDATA("Total-New",'Distrib pivot table'!$C$2,"state","KY")&gt;0.0005,GETPIVOTDATA("Total-New",'Distrib pivot table'!$C$2,"state","KY","group","2d1b")/GETPIVOTDATA("Total-New",'Distrib pivot table'!$C$2,"state","KY"),"*"))</f>
        <v>0</v>
      </c>
      <c r="K42" s="575">
        <f>IF((GETPIVOTDATA("Total-New",'Distrib pivot table'!$C$2,"state","LA","group","2d1b")/GETPIVOTDATA("Total-New",'Distrib pivot table'!$C$2,"state","LA"))=0,,IF(GETPIVOTDATA("Total-New",'Distrib pivot table'!$C$2,"state","LA","group","2d1b")/GETPIVOTDATA("Total-New",'Distrib pivot table'!$C$2,"state","LA")&gt;0.0005,GETPIVOTDATA("Total-New",'Distrib pivot table'!$C$2,"state","LA","group","2d1b")/GETPIVOTDATA("Total-New",'Distrib pivot table'!$C$2,"state","LA"),"*"))</f>
        <v>0</v>
      </c>
      <c r="L42" s="575" t="str">
        <f>IF((GETPIVOTDATA("Total-New",'Distrib pivot table'!$C$2,"state","MD","group","2d1b")/GETPIVOTDATA("Total-New",'Distrib pivot table'!$C$2,"state","MD"))=0,,IF(GETPIVOTDATA("Total-New",'Distrib pivot table'!$C$2,"state","MD","group","2d1b")/GETPIVOTDATA("Total-New",'Distrib pivot table'!$C$2,"state","MD")&gt;0.0005,GETPIVOTDATA("Total-New",'Distrib pivot table'!$C$2,"state","MD","group","2d1b")/GETPIVOTDATA("Total-New",'Distrib pivot table'!$C$2,"state","MD"),"*"))</f>
        <v>*</v>
      </c>
      <c r="M42" s="575">
        <f>IF((GETPIVOTDATA("Total-New",'Distrib pivot table'!$C$2,"state","MS","group","2d1b")/GETPIVOTDATA("Total-New",'Distrib pivot table'!$C$2,"state","MS"))=0,,IF(GETPIVOTDATA("Total-New",'Distrib pivot table'!$C$2,"state","MS","group","2d1b")/GETPIVOTDATA("Total-New",'Distrib pivot table'!$C$2,"state","MS")&gt;0.0005,GETPIVOTDATA("Total-New",'Distrib pivot table'!$C$2,"state","MS","group","2d1b")/GETPIVOTDATA("Total-New",'Distrib pivot table'!$C$2,"state","MS"),"*"))</f>
        <v>0</v>
      </c>
      <c r="N42" s="575">
        <f>IF((GETPIVOTDATA("Total-New",'Distrib pivot table'!$C$2,"state","NC","group","2d1b")/GETPIVOTDATA("Total-New",'Distrib pivot table'!$C$2,"state","NC"))=0,,IF(GETPIVOTDATA("Total-New",'Distrib pivot table'!$C$2,"state","NC","group","2d1b")/GETPIVOTDATA("Total-New",'Distrib pivot table'!$C$2,"state","NC")&gt;0.0005,GETPIVOTDATA("Total-New",'Distrib pivot table'!$C$2,"state","NC","group","2d1b")/GETPIVOTDATA("Total-New",'Distrib pivot table'!$C$2,"state","NC"),"*"))</f>
        <v>3.8337933568923128E-3</v>
      </c>
      <c r="O42" s="575">
        <f>IF((GETPIVOTDATA("Total-New",'Distrib pivot table'!$C$2,"state","OK","group","2d1b")/GETPIVOTDATA("Total-New",'Distrib pivot table'!$C$2,"state","OK"))=0,,IF(GETPIVOTDATA("Total-New",'Distrib pivot table'!$C$2,"state","OK","group","2d1b")/GETPIVOTDATA("Total-New",'Distrib pivot table'!$C$2,"state","OK")&gt;0.0005,GETPIVOTDATA("Total-New",'Distrib pivot table'!$C$2,"state","OK","group","2d1b")/GETPIVOTDATA("Total-New",'Distrib pivot table'!$C$2,"state","OK"),"*"))</f>
        <v>0</v>
      </c>
      <c r="P42" s="575">
        <f>IF((GETPIVOTDATA("Total-New",'Distrib pivot table'!$C$2,"state","SC","group","2d1b")/GETPIVOTDATA("Total-New",'Distrib pivot table'!$C$2,"state","SC"))=0,,IF(GETPIVOTDATA("Total-New",'Distrib pivot table'!$C$2,"state","SC","group","2d1b")/GETPIVOTDATA("Total-New",'Distrib pivot table'!$C$2,"state","SC")&gt;0.0005,GETPIVOTDATA("Total-New",'Distrib pivot table'!$C$2,"state","SC","group","2d1b")/GETPIVOTDATA("Total-New",'Distrib pivot table'!$C$2,"state","SC"),"*"))</f>
        <v>0</v>
      </c>
      <c r="Q42" s="575">
        <f>IF((GETPIVOTDATA("Total-New",'Distrib pivot table'!$C$2,"state","TN","group","2d1b")/GETPIVOTDATA("Total-New",'Distrib pivot table'!$C$2,"state","TN"))=0,,IF(GETPIVOTDATA("Total-New",'Distrib pivot table'!$C$2,"state","TN","group","2d1b")/GETPIVOTDATA("Total-New",'Distrib pivot table'!$C$2,"state","TN")&gt;0.0005,GETPIVOTDATA("Total-New",'Distrib pivot table'!$C$2,"state","TN","group","2d1b")/GETPIVOTDATA("Total-New",'Distrib pivot table'!$C$2,"state","TN"),"*"))</f>
        <v>0</v>
      </c>
      <c r="R42" s="575">
        <f>IF((GETPIVOTDATA("Total-New",'Distrib pivot table'!$C$2,"state","TX","group","2d1b")/GETPIVOTDATA("Total-New",'Distrib pivot table'!$C$2,"state","TX"))=0,,IF(GETPIVOTDATA("Total-New",'Distrib pivot table'!$C$2,"state","TX","group","2d1b")/GETPIVOTDATA("Total-New",'Distrib pivot table'!$C$2,"state","TX")&gt;0.0005,GETPIVOTDATA("Total-New",'Distrib pivot table'!$C$2,"state","TX","group","2d1b")/GETPIVOTDATA("Total-New",'Distrib pivot table'!$C$2,"state","TX"),"*"))</f>
        <v>1.1482815171251104E-3</v>
      </c>
      <c r="S42" s="575">
        <f>IF((GETPIVOTDATA("Total-New",'Distrib pivot table'!$C$2,"state","VA","group","2d1b")/GETPIVOTDATA("Total-New",'Distrib pivot table'!$C$2,"state","VA"))=0,,IF(GETPIVOTDATA("Total-New",'Distrib pivot table'!$C$2,"state","VA","group","2d1b")/GETPIVOTDATA("Total-New",'Distrib pivot table'!$C$2,"state","VA")&gt;0.0005,GETPIVOTDATA("Total-New",'Distrib pivot table'!$C$2,"state","VA","group","2d1b")/GETPIVOTDATA("Total-New",'Distrib pivot table'!$C$2,"state","VA"),"*"))</f>
        <v>0</v>
      </c>
      <c r="T42" s="575">
        <f>IF((GETPIVOTDATA("Total-New",'Distrib pivot table'!$C$2,"state","WV","group","2d1b")/GETPIVOTDATA("Total-New",'Distrib pivot table'!$C$2,"state","WV"))=0,,IF(GETPIVOTDATA("Total-New",'Distrib pivot table'!$C$2,"state","WV","group","2d1b")/GETPIVOTDATA("Total-New",'Distrib pivot table'!$C$2,"state","WV")&gt;0.0005,GETPIVOTDATA("Total-New",'Distrib pivot table'!$C$2,"state","WV","group","2d1b")/GETPIVOTDATA("Total-New",'Distrib pivot table'!$C$2,"state","WV"),"*"))</f>
        <v>0</v>
      </c>
      <c r="U42" s="576"/>
      <c r="V42" s="576"/>
      <c r="W42" s="576"/>
      <c r="X42" s="576"/>
      <c r="Y42" s="576"/>
      <c r="Z42" s="576"/>
      <c r="AA42" s="576"/>
      <c r="AB42" s="576"/>
      <c r="AC42" s="576"/>
      <c r="AD42" s="576"/>
      <c r="AE42" s="576"/>
      <c r="AF42" s="576"/>
      <c r="AG42" s="576"/>
      <c r="AH42" s="576"/>
      <c r="AI42" s="576"/>
      <c r="AJ42" s="576"/>
      <c r="AK42" s="576"/>
      <c r="AL42" s="576"/>
      <c r="AM42" s="576"/>
      <c r="AN42" s="576"/>
      <c r="AO42" s="576"/>
      <c r="AP42" s="576"/>
      <c r="AQ42" s="576"/>
      <c r="AR42" s="576"/>
      <c r="AS42" s="576"/>
      <c r="AT42" s="576"/>
      <c r="AU42" s="576"/>
      <c r="AV42" s="576"/>
      <c r="AW42" s="576"/>
      <c r="AX42" s="576"/>
    </row>
    <row r="43" spans="1:50" ht="12.65" customHeight="1">
      <c r="A43" s="1225"/>
      <c r="B43" s="573" t="s">
        <v>313</v>
      </c>
      <c r="C43" s="589" t="s">
        <v>170</v>
      </c>
      <c r="D43" s="575" t="str">
        <f>IF(GETPIVOTDATA("Total-New",'Distrib pivot table'!$C$2,"group","2d1c")/GETPIVOTDATA("Total-New",'Distrib pivot table'!$C$2)=0,,IF(GETPIVOTDATA("Total-New",'Distrib pivot table'!$C$2,"group","2d1c")/GETPIVOTDATA("Total-New",'Distrib pivot table'!$C$2)&gt;0.0005,GETPIVOTDATA("Total-New",'Distrib pivot table'!$C$2,"group","2d1c")/GETPIVOTDATA("Total-New",'Distrib pivot table'!$C$2),"*"))</f>
        <v>*</v>
      </c>
      <c r="E43" s="575" t="str">
        <f>IF((GETPIVOTDATA("Total-New",'Distrib pivot table'!$C$2,"state","AL","group","2d1c")/GETPIVOTDATA("Total-New",'Distrib pivot table'!$C$2,"state","AL"))=0,,IF(GETPIVOTDATA("Total-New",'Distrib pivot table'!$C$2,"state","AL","group","2d1c")/GETPIVOTDATA("Total-New",'Distrib pivot table'!$C$2,"state","AL")&gt;0.0005,GETPIVOTDATA("Total-New",'Distrib pivot table'!$C$2,"state","AL","group","2d1c")/GETPIVOTDATA("Total-New",'Distrib pivot table'!$C$2,"state","AL"),"*"))</f>
        <v>*</v>
      </c>
      <c r="F43" s="575">
        <f>IF((GETPIVOTDATA("Total-New",'Distrib pivot table'!$C$2,"state","AR","group","2d1c")/GETPIVOTDATA("Total-New",'Distrib pivot table'!$C$2,"state","AR"))=0,,IF(GETPIVOTDATA("Total-New",'Distrib pivot table'!$C$2,"state","AR","group","2d1c")/GETPIVOTDATA("Total-New",'Distrib pivot table'!$C$2,"state","AR")&gt;0.0005,GETPIVOTDATA("Total-New",'Distrib pivot table'!$C$2,"state","AR","group","2d1c")/GETPIVOTDATA("Total-New",'Distrib pivot table'!$C$2,"state","AR"),"*"))</f>
        <v>5.4302068260317544E-4</v>
      </c>
      <c r="G43" s="575">
        <f>IF((GETPIVOTDATA("Total-New",'Distrib pivot table'!$C$2,"state","DE","group","2d1c")/GETPIVOTDATA("Total-New",'Distrib pivot table'!$C$2,"state","DE"))=0,,IF(GETPIVOTDATA("Total-New",'Distrib pivot table'!$C$2,"state","DE","group","2d1c")/GETPIVOTDATA("Total-New",'Distrib pivot table'!$C$2,"state","DE")&gt;0.0005,GETPIVOTDATA("Total-New",'Distrib pivot table'!$C$2,"state","DE","group","2d1c")/GETPIVOTDATA("Total-New",'Distrib pivot table'!$C$2,"state","DE"),"*"))</f>
        <v>0</v>
      </c>
      <c r="H43" s="575">
        <f>IF((GETPIVOTDATA("Total-New",'Distrib pivot table'!$C$2,"state","FL","group","2d1c")/GETPIVOTDATA("Total-New",'Distrib pivot table'!$C$2,"state","FL"))=0,,IF(GETPIVOTDATA("Total-New",'Distrib pivot table'!$C$2,"state","FL","group","2d1c")/GETPIVOTDATA("Total-New",'Distrib pivot table'!$C$2,"state","FL")&gt;0.0005,GETPIVOTDATA("Total-New",'Distrib pivot table'!$C$2,"state","FL","group","2d1c")/GETPIVOTDATA("Total-New",'Distrib pivot table'!$C$2,"state","FL"),"*"))</f>
        <v>0</v>
      </c>
      <c r="I43" s="575">
        <f>IF((GETPIVOTDATA("Total-New",'Distrib pivot table'!$C$2,"state","GA","group","2d1c")/GETPIVOTDATA("Total-New",'Distrib pivot table'!$C$2,"state","GA"))=0,,IF(GETPIVOTDATA("Total-New",'Distrib pivot table'!$C$2,"state","GA","group","2d1c")/GETPIVOTDATA("Total-New",'Distrib pivot table'!$C$2,"state","GA")&gt;0.0005,GETPIVOTDATA("Total-New",'Distrib pivot table'!$C$2,"state","GA","group","2d1c")/GETPIVOTDATA("Total-New",'Distrib pivot table'!$C$2,"state","GA"),"*"))</f>
        <v>0</v>
      </c>
      <c r="J43" s="575">
        <f>IF((GETPIVOTDATA("Total-New",'Distrib pivot table'!$C$2,"state","KY","group","2d1c")/GETPIVOTDATA("Total-New",'Distrib pivot table'!$C$2,"state","KY"))=0,,IF(GETPIVOTDATA("Total-New",'Distrib pivot table'!$C$2,"state","KY","group","2d1c")/GETPIVOTDATA("Total-New",'Distrib pivot table'!$C$2,"state","KY")&gt;0.0005,GETPIVOTDATA("Total-New",'Distrib pivot table'!$C$2,"state","KY","group","2d1c")/GETPIVOTDATA("Total-New",'Distrib pivot table'!$C$2,"state","KY"),"*"))</f>
        <v>0</v>
      </c>
      <c r="K43" s="575">
        <f>IF((GETPIVOTDATA("Total-New",'Distrib pivot table'!$C$2,"state","LA","group","2d1c")/GETPIVOTDATA("Total-New",'Distrib pivot table'!$C$2,"state","LA"))=0,,IF(GETPIVOTDATA("Total-New",'Distrib pivot table'!$C$2,"state","LA","group","2d1c")/GETPIVOTDATA("Total-New",'Distrib pivot table'!$C$2,"state","LA")&gt;0.0005,GETPIVOTDATA("Total-New",'Distrib pivot table'!$C$2,"state","LA","group","2d1c")/GETPIVOTDATA("Total-New",'Distrib pivot table'!$C$2,"state","LA"),"*"))</f>
        <v>0</v>
      </c>
      <c r="L43" s="575">
        <f>IF((GETPIVOTDATA("Total-New",'Distrib pivot table'!$C$2,"state","MD","group","2d1c")/GETPIVOTDATA("Total-New",'Distrib pivot table'!$C$2,"state","MD"))=0,,IF(GETPIVOTDATA("Total-New",'Distrib pivot table'!$C$2,"state","MD","group","2d1c")/GETPIVOTDATA("Total-New",'Distrib pivot table'!$C$2,"state","MD")&gt;0.0005,GETPIVOTDATA("Total-New",'Distrib pivot table'!$C$2,"state","MD","group","2d1c")/GETPIVOTDATA("Total-New",'Distrib pivot table'!$C$2,"state","MD"),"*"))</f>
        <v>0</v>
      </c>
      <c r="M43" s="575">
        <f>IF((GETPIVOTDATA("Total-New",'Distrib pivot table'!$C$2,"state","MS","group","2d1c")/GETPIVOTDATA("Total-New",'Distrib pivot table'!$C$2,"state","MS"))=0,,IF(GETPIVOTDATA("Total-New",'Distrib pivot table'!$C$2,"state","MS","group","2d1c")/GETPIVOTDATA("Total-New",'Distrib pivot table'!$C$2,"state","MS")&gt;0.0005,GETPIVOTDATA("Total-New",'Distrib pivot table'!$C$2,"state","MS","group","2d1c")/GETPIVOTDATA("Total-New",'Distrib pivot table'!$C$2,"state","MS"),"*"))</f>
        <v>0</v>
      </c>
      <c r="N43" s="575">
        <f>IF((GETPIVOTDATA("Total-New",'Distrib pivot table'!$C$2,"state","NC","group","2d1c")/GETPIVOTDATA("Total-New",'Distrib pivot table'!$C$2,"state","NC"))=0,,IF(GETPIVOTDATA("Total-New",'Distrib pivot table'!$C$2,"state","NC","group","2d1c")/GETPIVOTDATA("Total-New",'Distrib pivot table'!$C$2,"state","NC")&gt;0.0005,GETPIVOTDATA("Total-New",'Distrib pivot table'!$C$2,"state","NC","group","2d1c")/GETPIVOTDATA("Total-New",'Distrib pivot table'!$C$2,"state","NC"),"*"))</f>
        <v>0</v>
      </c>
      <c r="O43" s="575">
        <f>IF((GETPIVOTDATA("Total-New",'Distrib pivot table'!$C$2,"state","OK","group","2d1c")/GETPIVOTDATA("Total-New",'Distrib pivot table'!$C$2,"state","OK"))=0,,IF(GETPIVOTDATA("Total-New",'Distrib pivot table'!$C$2,"state","OK","group","2d1c")/GETPIVOTDATA("Total-New",'Distrib pivot table'!$C$2,"state","OK")&gt;0.0005,GETPIVOTDATA("Total-New",'Distrib pivot table'!$C$2,"state","OK","group","2d1c")/GETPIVOTDATA("Total-New",'Distrib pivot table'!$C$2,"state","OK"),"*"))</f>
        <v>0</v>
      </c>
      <c r="P43" s="575">
        <f>IF((GETPIVOTDATA("Total-New",'Distrib pivot table'!$C$2,"state","SC","group","2d1c")/GETPIVOTDATA("Total-New",'Distrib pivot table'!$C$2,"state","SC"))=0,,IF(GETPIVOTDATA("Total-New",'Distrib pivot table'!$C$2,"state","SC","group","2d1c")/GETPIVOTDATA("Total-New",'Distrib pivot table'!$C$2,"state","SC")&gt;0.0005,GETPIVOTDATA("Total-New",'Distrib pivot table'!$C$2,"state","SC","group","2d1c")/GETPIVOTDATA("Total-New",'Distrib pivot table'!$C$2,"state","SC"),"*"))</f>
        <v>0</v>
      </c>
      <c r="Q43" s="575">
        <f>IF((GETPIVOTDATA("Total-New",'Distrib pivot table'!$C$2,"state","TN","group","2d1c")/GETPIVOTDATA("Total-New",'Distrib pivot table'!$C$2,"state","TN"))=0,,IF(GETPIVOTDATA("Total-New",'Distrib pivot table'!$C$2,"state","TN","group","2d1c")/GETPIVOTDATA("Total-New",'Distrib pivot table'!$C$2,"state","TN")&gt;0.0005,GETPIVOTDATA("Total-New",'Distrib pivot table'!$C$2,"state","TN","group","2d1c")/GETPIVOTDATA("Total-New",'Distrib pivot table'!$C$2,"state","TN"),"*"))</f>
        <v>0</v>
      </c>
      <c r="R43" s="575">
        <f>IF((GETPIVOTDATA("Total-New",'Distrib pivot table'!$C$2,"state","TX","group","2d1c")/GETPIVOTDATA("Total-New",'Distrib pivot table'!$C$2,"state","TX"))=0,,IF(GETPIVOTDATA("Total-New",'Distrib pivot table'!$C$2,"state","TX","group","2d1c")/GETPIVOTDATA("Total-New",'Distrib pivot table'!$C$2,"state","TX")&gt;0.0005,GETPIVOTDATA("Total-New",'Distrib pivot table'!$C$2,"state","TX","group","2d1c")/GETPIVOTDATA("Total-New",'Distrib pivot table'!$C$2,"state","TX"),"*"))</f>
        <v>0</v>
      </c>
      <c r="S43" s="575">
        <f>IF((GETPIVOTDATA("Total-New",'Distrib pivot table'!$C$2,"state","VA","group","2d1c")/GETPIVOTDATA("Total-New",'Distrib pivot table'!$C$2,"state","VA"))=0,,IF(GETPIVOTDATA("Total-New",'Distrib pivot table'!$C$2,"state","VA","group","2d1c")/GETPIVOTDATA("Total-New",'Distrib pivot table'!$C$2,"state","VA")&gt;0.0005,GETPIVOTDATA("Total-New",'Distrib pivot table'!$C$2,"state","VA","group","2d1c")/GETPIVOTDATA("Total-New",'Distrib pivot table'!$C$2,"state","VA"),"*"))</f>
        <v>0</v>
      </c>
      <c r="T43" s="575">
        <f>IF((GETPIVOTDATA("Total-New",'Distrib pivot table'!$C$2,"state","WV","group","2d1c")/GETPIVOTDATA("Total-New",'Distrib pivot table'!$C$2,"state","WV"))=0,,IF(GETPIVOTDATA("Total-New",'Distrib pivot table'!$C$2,"state","WV","group","2d1c")/GETPIVOTDATA("Total-New",'Distrib pivot table'!$C$2,"state","WV")&gt;0.0005,GETPIVOTDATA("Total-New",'Distrib pivot table'!$C$2,"state","WV","group","2d1c")/GETPIVOTDATA("Total-New",'Distrib pivot table'!$C$2,"state","WV"),"*"))</f>
        <v>0</v>
      </c>
      <c r="U43" s="576"/>
      <c r="V43" s="576"/>
      <c r="W43" s="576"/>
      <c r="X43" s="576"/>
      <c r="Y43" s="576"/>
      <c r="Z43" s="576"/>
      <c r="AA43" s="576"/>
      <c r="AB43" s="576"/>
      <c r="AC43" s="576"/>
      <c r="AD43" s="576"/>
      <c r="AE43" s="576"/>
      <c r="AF43" s="576"/>
      <c r="AG43" s="576"/>
      <c r="AH43" s="576"/>
      <c r="AI43" s="576"/>
      <c r="AJ43" s="576"/>
      <c r="AK43" s="576"/>
      <c r="AL43" s="576"/>
      <c r="AM43" s="576"/>
      <c r="AN43" s="576"/>
      <c r="AO43" s="576"/>
      <c r="AP43" s="576"/>
      <c r="AQ43" s="576"/>
      <c r="AR43" s="576"/>
      <c r="AS43" s="576"/>
      <c r="AT43" s="576"/>
      <c r="AU43" s="576"/>
      <c r="AV43" s="576"/>
      <c r="AW43" s="576"/>
      <c r="AX43" s="576"/>
    </row>
    <row r="44" spans="1:50" ht="12.65" customHeight="1">
      <c r="A44" s="1225"/>
      <c r="B44" s="573" t="s">
        <v>165</v>
      </c>
      <c r="C44" s="589" t="s">
        <v>172</v>
      </c>
      <c r="D44" s="575">
        <f>IF(GETPIVOTDATA("Total-New",'Distrib pivot table'!$C$2,"group","2d1c1")/GETPIVOTDATA("Total-New",'Distrib pivot table'!$C$2)=0,,IF(GETPIVOTDATA("Total-New",'Distrib pivot table'!$C$2,"group","2d1c1")/GETPIVOTDATA("Total-New",'Distrib pivot table'!$C$2)&gt;0.0005,GETPIVOTDATA("Total-New",'Distrib pivot table'!$C$2,"group","2d1c1")/GETPIVOTDATA("Total-New",'Distrib pivot table'!$C$2),"*"))</f>
        <v>6.1319379256838565E-3</v>
      </c>
      <c r="E44" s="575">
        <f>IF((GETPIVOTDATA("Total-New",'Distrib pivot table'!$C$2,"state","AL","group","2d1c1")/GETPIVOTDATA("Total-New",'Distrib pivot table'!$C$2,"state","AL"))=0,,IF(GETPIVOTDATA("Total-New",'Distrib pivot table'!$C$2,"state","AL","group","2d1c1")/GETPIVOTDATA("Total-New",'Distrib pivot table'!$C$2,"state","AL")&gt;0.0005,GETPIVOTDATA("Total-New",'Distrib pivot table'!$C$2,"state","AL","group","2d1c1")/GETPIVOTDATA("Total-New",'Distrib pivot table'!$C$2,"state","AL"),"*"))</f>
        <v>1.0848653104180517E-3</v>
      </c>
      <c r="F44" s="575" t="str">
        <f>IF((GETPIVOTDATA("Total-New",'Distrib pivot table'!$C$2,"state","AR","group","2d1c1")/GETPIVOTDATA("Total-New",'Distrib pivot table'!$C$2,"state","AR"))=0,,IF(GETPIVOTDATA("Total-New",'Distrib pivot table'!$C$2,"state","AR","group","2d1c1")/GETPIVOTDATA("Total-New",'Distrib pivot table'!$C$2,"state","AR")&gt;0.0005,GETPIVOTDATA("Total-New",'Distrib pivot table'!$C$2,"state","AR","group","2d1c1")/GETPIVOTDATA("Total-New",'Distrib pivot table'!$C$2,"state","AR"),"*"))</f>
        <v>*</v>
      </c>
      <c r="G44" s="575">
        <f>IF((GETPIVOTDATA("Total-New",'Distrib pivot table'!$C$2,"state","DE","group","2d1c1")/GETPIVOTDATA("Total-New",'Distrib pivot table'!$C$2,"state","DE"))=0,,IF(GETPIVOTDATA("Total-New",'Distrib pivot table'!$C$2,"state","DE","group","2d1c1")/GETPIVOTDATA("Total-New",'Distrib pivot table'!$C$2,"state","DE")&gt;0.0005,GETPIVOTDATA("Total-New",'Distrib pivot table'!$C$2,"state","DE","group","2d1c1")/GETPIVOTDATA("Total-New",'Distrib pivot table'!$C$2,"state","DE"),"*"))</f>
        <v>6.0965641001082301E-4</v>
      </c>
      <c r="H44" s="575">
        <f>IF((GETPIVOTDATA("Total-New",'Distrib pivot table'!$C$2,"state","FL","group","2d1c1")/GETPIVOTDATA("Total-New",'Distrib pivot table'!$C$2,"state","FL"))=0,,IF(GETPIVOTDATA("Total-New",'Distrib pivot table'!$C$2,"state","FL","group","2d1c1")/GETPIVOTDATA("Total-New",'Distrib pivot table'!$C$2,"state","FL")&gt;0.0005,GETPIVOTDATA("Total-New",'Distrib pivot table'!$C$2,"state","FL","group","2d1c1")/GETPIVOTDATA("Total-New",'Distrib pivot table'!$C$2,"state","FL"),"*"))</f>
        <v>0</v>
      </c>
      <c r="I44" s="575">
        <f>IF((GETPIVOTDATA("Total-New",'Distrib pivot table'!$C$2,"state","GA","group","2d1c1")/GETPIVOTDATA("Total-New",'Distrib pivot table'!$C$2,"state","GA"))=0,,IF(GETPIVOTDATA("Total-New",'Distrib pivot table'!$C$2,"state","GA","group","2d1c1")/GETPIVOTDATA("Total-New",'Distrib pivot table'!$C$2,"state","GA")&gt;0.0005,GETPIVOTDATA("Total-New",'Distrib pivot table'!$C$2,"state","GA","group","2d1c1")/GETPIVOTDATA("Total-New",'Distrib pivot table'!$C$2,"state","GA"),"*"))</f>
        <v>0</v>
      </c>
      <c r="J44" s="575">
        <f>IF((GETPIVOTDATA("Total-New",'Distrib pivot table'!$C$2,"state","KY","group","2d1c1")/GETPIVOTDATA("Total-New",'Distrib pivot table'!$C$2,"state","KY"))=0,,IF(GETPIVOTDATA("Total-New",'Distrib pivot table'!$C$2,"state","KY","group","2d1c1")/GETPIVOTDATA("Total-New",'Distrib pivot table'!$C$2,"state","KY")&gt;0.0005,GETPIVOTDATA("Total-New",'Distrib pivot table'!$C$2,"state","KY","group","2d1c1")/GETPIVOTDATA("Total-New",'Distrib pivot table'!$C$2,"state","KY"),"*"))</f>
        <v>2.3763362542424796E-2</v>
      </c>
      <c r="K44" s="575">
        <f>IF((GETPIVOTDATA("Total-New",'Distrib pivot table'!$C$2,"state","LA","group","2d1c1")/GETPIVOTDATA("Total-New",'Distrib pivot table'!$C$2,"state","LA"))=0,,IF(GETPIVOTDATA("Total-New",'Distrib pivot table'!$C$2,"state","LA","group","2d1c1")/GETPIVOTDATA("Total-New",'Distrib pivot table'!$C$2,"state","LA")&gt;0.0005,GETPIVOTDATA("Total-New",'Distrib pivot table'!$C$2,"state","LA","group","2d1c1")/GETPIVOTDATA("Total-New",'Distrib pivot table'!$C$2,"state","LA"),"*"))</f>
        <v>1.0418543235845299E-2</v>
      </c>
      <c r="L44" s="575">
        <f>IF((GETPIVOTDATA("Total-New",'Distrib pivot table'!$C$2,"state","MD","group","2d1c1")/GETPIVOTDATA("Total-New",'Distrib pivot table'!$C$2,"state","MD"))=0,,IF(GETPIVOTDATA("Total-New",'Distrib pivot table'!$C$2,"state","MD","group","2d1c1")/GETPIVOTDATA("Total-New",'Distrib pivot table'!$C$2,"state","MD")&gt;0.0005,GETPIVOTDATA("Total-New",'Distrib pivot table'!$C$2,"state","MD","group","2d1c1")/GETPIVOTDATA("Total-New",'Distrib pivot table'!$C$2,"state","MD"),"*"))</f>
        <v>1.3788433571346997E-2</v>
      </c>
      <c r="M44" s="575">
        <f>IF((GETPIVOTDATA("Total-New",'Distrib pivot table'!$C$2,"state","MS","group","2d1c1")/GETPIVOTDATA("Total-New",'Distrib pivot table'!$C$2,"state","MS"))=0,,IF(GETPIVOTDATA("Total-New",'Distrib pivot table'!$C$2,"state","MS","group","2d1c1")/GETPIVOTDATA("Total-New",'Distrib pivot table'!$C$2,"state","MS")&gt;0.0005,GETPIVOTDATA("Total-New",'Distrib pivot table'!$C$2,"state","MS","group","2d1c1")/GETPIVOTDATA("Total-New",'Distrib pivot table'!$C$2,"state","MS"),"*"))</f>
        <v>1.5571671982513195E-2</v>
      </c>
      <c r="N44" s="575">
        <f>IF((GETPIVOTDATA("Total-New",'Distrib pivot table'!$C$2,"state","NC","group","2d1c1")/GETPIVOTDATA("Total-New",'Distrib pivot table'!$C$2,"state","NC"))=0,,IF(GETPIVOTDATA("Total-New",'Distrib pivot table'!$C$2,"state","NC","group","2d1c1")/GETPIVOTDATA("Total-New",'Distrib pivot table'!$C$2,"state","NC")&gt;0.0005,GETPIVOTDATA("Total-New",'Distrib pivot table'!$C$2,"state","NC","group","2d1c1")/GETPIVOTDATA("Total-New",'Distrib pivot table'!$C$2,"state","NC"),"*"))</f>
        <v>0</v>
      </c>
      <c r="O44" s="575">
        <f>IF((GETPIVOTDATA("Total-New",'Distrib pivot table'!$C$2,"state","OK","group","2d1c1")/GETPIVOTDATA("Total-New",'Distrib pivot table'!$C$2,"state","OK"))=0,,IF(GETPIVOTDATA("Total-New",'Distrib pivot table'!$C$2,"state","OK","group","2d1c1")/GETPIVOTDATA("Total-New",'Distrib pivot table'!$C$2,"state","OK")&gt;0.0005,GETPIVOTDATA("Total-New",'Distrib pivot table'!$C$2,"state","OK","group","2d1c1")/GETPIVOTDATA("Total-New",'Distrib pivot table'!$C$2,"state","OK"),"*"))</f>
        <v>0</v>
      </c>
      <c r="P44" s="575">
        <f>IF((GETPIVOTDATA("Total-New",'Distrib pivot table'!$C$2,"state","SC","group","2d1c1")/GETPIVOTDATA("Total-New",'Distrib pivot table'!$C$2,"state","SC"))=0,,IF(GETPIVOTDATA("Total-New",'Distrib pivot table'!$C$2,"state","SC","group","2d1c1")/GETPIVOTDATA("Total-New",'Distrib pivot table'!$C$2,"state","SC")&gt;0.0005,GETPIVOTDATA("Total-New",'Distrib pivot table'!$C$2,"state","SC","group","2d1c1")/GETPIVOTDATA("Total-New",'Distrib pivot table'!$C$2,"state","SC"),"*"))</f>
        <v>6.8935323729681294E-3</v>
      </c>
      <c r="Q44" s="575">
        <f>IF((GETPIVOTDATA("Total-New",'Distrib pivot table'!$C$2,"state","TN","group","2d1c1")/GETPIVOTDATA("Total-New",'Distrib pivot table'!$C$2,"state","TN"))=0,,IF(GETPIVOTDATA("Total-New",'Distrib pivot table'!$C$2,"state","TN","group","2d1c1")/GETPIVOTDATA("Total-New",'Distrib pivot table'!$C$2,"state","TN")&gt;0.0005,GETPIVOTDATA("Total-New",'Distrib pivot table'!$C$2,"state","TN","group","2d1c1")/GETPIVOTDATA("Total-New",'Distrib pivot table'!$C$2,"state","TN"),"*"))</f>
        <v>3.6676506303480953E-2</v>
      </c>
      <c r="R44" s="575">
        <f>IF((GETPIVOTDATA("Total-New",'Distrib pivot table'!$C$2,"state","TX","group","2d1c1")/GETPIVOTDATA("Total-New",'Distrib pivot table'!$C$2,"state","TX"))=0,,IF(GETPIVOTDATA("Total-New",'Distrib pivot table'!$C$2,"state","TX","group","2d1c1")/GETPIVOTDATA("Total-New",'Distrib pivot table'!$C$2,"state","TX")&gt;0.0005,GETPIVOTDATA("Total-New",'Distrib pivot table'!$C$2,"state","TX","group","2d1c1")/GETPIVOTDATA("Total-New",'Distrib pivot table'!$C$2,"state","TX"),"*"))</f>
        <v>0</v>
      </c>
      <c r="S44" s="575">
        <f>IF((GETPIVOTDATA("Total-New",'Distrib pivot table'!$C$2,"state","VA","group","2d1c1")/GETPIVOTDATA("Total-New",'Distrib pivot table'!$C$2,"state","VA"))=0,,IF(GETPIVOTDATA("Total-New",'Distrib pivot table'!$C$2,"state","VA","group","2d1c1")/GETPIVOTDATA("Total-New",'Distrib pivot table'!$C$2,"state","VA")&gt;0.0005,GETPIVOTDATA("Total-New",'Distrib pivot table'!$C$2,"state","VA","group","2d1c1")/GETPIVOTDATA("Total-New",'Distrib pivot table'!$C$2,"state","VA"),"*"))</f>
        <v>0</v>
      </c>
      <c r="T44" s="575">
        <f>IF((GETPIVOTDATA("Total-New",'Distrib pivot table'!$C$2,"state","WV","group","2d1c1")/GETPIVOTDATA("Total-New",'Distrib pivot table'!$C$2,"state","WV"))=0,,IF(GETPIVOTDATA("Total-New",'Distrib pivot table'!$C$2,"state","WV","group","2d1c1")/GETPIVOTDATA("Total-New",'Distrib pivot table'!$C$2,"state","WV")&gt;0.0005,GETPIVOTDATA("Total-New",'Distrib pivot table'!$C$2,"state","WV","group","2d1c1")/GETPIVOTDATA("Total-New",'Distrib pivot table'!$C$2,"state","WV"),"*"))</f>
        <v>3.4904872066356944E-2</v>
      </c>
      <c r="U44" s="576"/>
      <c r="V44" s="576"/>
      <c r="W44" s="576"/>
      <c r="X44" s="576"/>
      <c r="Y44" s="576"/>
      <c r="Z44" s="576"/>
      <c r="AA44" s="576"/>
      <c r="AB44" s="576"/>
      <c r="AC44" s="576"/>
      <c r="AD44" s="576"/>
      <c r="AE44" s="576"/>
      <c r="AF44" s="576"/>
      <c r="AG44" s="576"/>
      <c r="AH44" s="576"/>
      <c r="AI44" s="576"/>
      <c r="AJ44" s="576"/>
      <c r="AK44" s="576"/>
      <c r="AL44" s="576"/>
      <c r="AM44" s="576"/>
      <c r="AN44" s="576"/>
      <c r="AO44" s="576"/>
      <c r="AP44" s="576"/>
      <c r="AQ44" s="576"/>
      <c r="AR44" s="576"/>
      <c r="AS44" s="576"/>
      <c r="AT44" s="576"/>
      <c r="AU44" s="576"/>
      <c r="AV44" s="576"/>
      <c r="AW44" s="576"/>
      <c r="AX44" s="576"/>
    </row>
    <row r="45" spans="1:50" ht="12.65" customHeight="1">
      <c r="A45" s="1225"/>
      <c r="B45" s="573" t="s">
        <v>167</v>
      </c>
      <c r="C45" s="589" t="s">
        <v>173</v>
      </c>
      <c r="D45" s="575">
        <f>IF(GETPIVOTDATA("Total-New",'Distrib pivot table'!$C$2,"group","2d1c2")/GETPIVOTDATA("Total-New",'Distrib pivot table'!$C$2)=0,,IF(GETPIVOTDATA("Total-New",'Distrib pivot table'!$C$2,"group","2d1c2")/GETPIVOTDATA("Total-New",'Distrib pivot table'!$C$2)&gt;0.0005,GETPIVOTDATA("Total-New",'Distrib pivot table'!$C$2,"group","2d1c2")/GETPIVOTDATA("Total-New",'Distrib pivot table'!$C$2),"*"))</f>
        <v>1.8410496256300066E-2</v>
      </c>
      <c r="E45" s="575">
        <f>IF((GETPIVOTDATA("Total-New",'Distrib pivot table'!$C$2,"state","AL","group","2d1c2")/GETPIVOTDATA("Total-New",'Distrib pivot table'!$C$2,"state","AL"))=0,,IF(GETPIVOTDATA("Total-New",'Distrib pivot table'!$C$2,"state","AL","group","2d1c2")/GETPIVOTDATA("Total-New",'Distrib pivot table'!$C$2,"state","AL")&gt;0.0005,GETPIVOTDATA("Total-New",'Distrib pivot table'!$C$2,"state","AL","group","2d1c2")/GETPIVOTDATA("Total-New",'Distrib pivot table'!$C$2,"state","AL"),"*"))</f>
        <v>1.9896979033498727E-2</v>
      </c>
      <c r="F45" s="575">
        <f>IF((GETPIVOTDATA("Total-New",'Distrib pivot table'!$C$2,"state","AR","group","2d1c2")/GETPIVOTDATA("Total-New",'Distrib pivot table'!$C$2,"state","AR"))=0,,IF(GETPIVOTDATA("Total-New",'Distrib pivot table'!$C$2,"state","AR","group","2d1c2")/GETPIVOTDATA("Total-New",'Distrib pivot table'!$C$2,"state","AR")&gt;0.0005,GETPIVOTDATA("Total-New",'Distrib pivot table'!$C$2,"state","AR","group","2d1c2")/GETPIVOTDATA("Total-New",'Distrib pivot table'!$C$2,"state","AR"),"*"))</f>
        <v>4.9723115077856823E-2</v>
      </c>
      <c r="G45" s="575">
        <f>IF((GETPIVOTDATA("Total-New",'Distrib pivot table'!$C$2,"state","DE","group","2d1c2")/GETPIVOTDATA("Total-New",'Distrib pivot table'!$C$2,"state","DE"))=0,,IF(GETPIVOTDATA("Total-New",'Distrib pivot table'!$C$2,"state","DE","group","2d1c2")/GETPIVOTDATA("Total-New",'Distrib pivot table'!$C$2,"state","DE")&gt;0.0005,GETPIVOTDATA("Total-New",'Distrib pivot table'!$C$2,"state","DE","group","2d1c2")/GETPIVOTDATA("Total-New",'Distrib pivot table'!$C$2,"state","DE"),"*"))</f>
        <v>7.4630861923463557E-4</v>
      </c>
      <c r="H45" s="575">
        <f>IF((GETPIVOTDATA("Total-New",'Distrib pivot table'!$C$2,"state","FL","group","2d1c2")/GETPIVOTDATA("Total-New",'Distrib pivot table'!$C$2,"state","FL"))=0,,IF(GETPIVOTDATA("Total-New",'Distrib pivot table'!$C$2,"state","FL","group","2d1c2")/GETPIVOTDATA("Total-New",'Distrib pivot table'!$C$2,"state","FL")&gt;0.0005,GETPIVOTDATA("Total-New",'Distrib pivot table'!$C$2,"state","FL","group","2d1c2")/GETPIVOTDATA("Total-New",'Distrib pivot table'!$C$2,"state","FL"),"*"))</f>
        <v>0</v>
      </c>
      <c r="I45" s="575" t="str">
        <f>IF((GETPIVOTDATA("Total-New",'Distrib pivot table'!$C$2,"state","GA","group","2d1c2")/GETPIVOTDATA("Total-New",'Distrib pivot table'!$C$2,"state","GA"))=0,,IF(GETPIVOTDATA("Total-New",'Distrib pivot table'!$C$2,"state","GA","group","2d1c2")/GETPIVOTDATA("Total-New",'Distrib pivot table'!$C$2,"state","GA")&gt;0.0005,GETPIVOTDATA("Total-New",'Distrib pivot table'!$C$2,"state","GA","group","2d1c2")/GETPIVOTDATA("Total-New",'Distrib pivot table'!$C$2,"state","GA"),"*"))</f>
        <v>*</v>
      </c>
      <c r="J45" s="575">
        <f>IF((GETPIVOTDATA("Total-New",'Distrib pivot table'!$C$2,"state","KY","group","2d1c2")/GETPIVOTDATA("Total-New",'Distrib pivot table'!$C$2,"state","KY"))=0,,IF(GETPIVOTDATA("Total-New",'Distrib pivot table'!$C$2,"state","KY","group","2d1c2")/GETPIVOTDATA("Total-New",'Distrib pivot table'!$C$2,"state","KY")&gt;0.0005,GETPIVOTDATA("Total-New",'Distrib pivot table'!$C$2,"state","KY","group","2d1c2")/GETPIVOTDATA("Total-New",'Distrib pivot table'!$C$2,"state","KY"),"*"))</f>
        <v>3.3249705845251748E-2</v>
      </c>
      <c r="K45" s="575">
        <f>IF((GETPIVOTDATA("Total-New",'Distrib pivot table'!$C$2,"state","LA","group","2d1c2")/GETPIVOTDATA("Total-New",'Distrib pivot table'!$C$2,"state","LA"))=0,,IF(GETPIVOTDATA("Total-New",'Distrib pivot table'!$C$2,"state","LA","group","2d1c2")/GETPIVOTDATA("Total-New",'Distrib pivot table'!$C$2,"state","LA")&gt;0.0005,GETPIVOTDATA("Total-New",'Distrib pivot table'!$C$2,"state","LA","group","2d1c2")/GETPIVOTDATA("Total-New",'Distrib pivot table'!$C$2,"state","LA"),"*"))</f>
        <v>0.11631816948101496</v>
      </c>
      <c r="L45" s="575">
        <f>IF((GETPIVOTDATA("Total-New",'Distrib pivot table'!$C$2,"state","MD","group","2d1c2")/GETPIVOTDATA("Total-New",'Distrib pivot table'!$C$2,"state","MD"))=0,,IF(GETPIVOTDATA("Total-New",'Distrib pivot table'!$C$2,"state","MD","group","2d1c2")/GETPIVOTDATA("Total-New",'Distrib pivot table'!$C$2,"state","MD")&gt;0.0005,GETPIVOTDATA("Total-New",'Distrib pivot table'!$C$2,"state","MD","group","2d1c2")/GETPIVOTDATA("Total-New",'Distrib pivot table'!$C$2,"state","MD"),"*"))</f>
        <v>2.0405105712241636E-3</v>
      </c>
      <c r="M45" s="575">
        <f>IF((GETPIVOTDATA("Total-New",'Distrib pivot table'!$C$2,"state","MS","group","2d1c2")/GETPIVOTDATA("Total-New",'Distrib pivot table'!$C$2,"state","MS"))=0,,IF(GETPIVOTDATA("Total-New",'Distrib pivot table'!$C$2,"state","MS","group","2d1c2")/GETPIVOTDATA("Total-New",'Distrib pivot table'!$C$2,"state","MS")&gt;0.0005,GETPIVOTDATA("Total-New",'Distrib pivot table'!$C$2,"state","MS","group","2d1c2")/GETPIVOTDATA("Total-New",'Distrib pivot table'!$C$2,"state","MS"),"*"))</f>
        <v>5.5562666059765587E-3</v>
      </c>
      <c r="N45" s="575">
        <f>IF((GETPIVOTDATA("Total-New",'Distrib pivot table'!$C$2,"state","NC","group","2d1c2")/GETPIVOTDATA("Total-New",'Distrib pivot table'!$C$2,"state","NC"))=0,,IF(GETPIVOTDATA("Total-New",'Distrib pivot table'!$C$2,"state","NC","group","2d1c2")/GETPIVOTDATA("Total-New",'Distrib pivot table'!$C$2,"state","NC")&gt;0.0005,GETPIVOTDATA("Total-New",'Distrib pivot table'!$C$2,"state","NC","group","2d1c2")/GETPIVOTDATA("Total-New",'Distrib pivot table'!$C$2,"state","NC"),"*"))</f>
        <v>0</v>
      </c>
      <c r="O45" s="575">
        <f>IF((GETPIVOTDATA("Total-New",'Distrib pivot table'!$C$2,"state","OK","group","2d1c2")/GETPIVOTDATA("Total-New",'Distrib pivot table'!$C$2,"state","OK"))=0,,IF(GETPIVOTDATA("Total-New",'Distrib pivot table'!$C$2,"state","OK","group","2d1c2")/GETPIVOTDATA("Total-New",'Distrib pivot table'!$C$2,"state","OK")&gt;0.0005,GETPIVOTDATA("Total-New",'Distrib pivot table'!$C$2,"state","OK","group","2d1c2")/GETPIVOTDATA("Total-New",'Distrib pivot table'!$C$2,"state","OK"),"*"))</f>
        <v>0</v>
      </c>
      <c r="P45" s="575">
        <f>IF((GETPIVOTDATA("Total-New",'Distrib pivot table'!$C$2,"state","SC","group","2d1c2")/GETPIVOTDATA("Total-New",'Distrib pivot table'!$C$2,"state","SC"))=0,,IF(GETPIVOTDATA("Total-New",'Distrib pivot table'!$C$2,"state","SC","group","2d1c2")/GETPIVOTDATA("Total-New",'Distrib pivot table'!$C$2,"state","SC")&gt;0.0005,GETPIVOTDATA("Total-New",'Distrib pivot table'!$C$2,"state","SC","group","2d1c2")/GETPIVOTDATA("Total-New",'Distrib pivot table'!$C$2,"state","SC"),"*"))</f>
        <v>8.5322455760549351E-2</v>
      </c>
      <c r="Q45" s="575">
        <f>IF((GETPIVOTDATA("Total-New",'Distrib pivot table'!$C$2,"state","TN","group","2d1c2")/GETPIVOTDATA("Total-New",'Distrib pivot table'!$C$2,"state","TN"))=0,,IF(GETPIVOTDATA("Total-New",'Distrib pivot table'!$C$2,"state","TN","group","2d1c2")/GETPIVOTDATA("Total-New",'Distrib pivot table'!$C$2,"state","TN")&gt;0.0005,GETPIVOTDATA("Total-New",'Distrib pivot table'!$C$2,"state","TN","group","2d1c2")/GETPIVOTDATA("Total-New",'Distrib pivot table'!$C$2,"state","TN"),"*"))</f>
        <v>6.553582974630498E-2</v>
      </c>
      <c r="R45" s="575">
        <f>IF((GETPIVOTDATA("Total-New",'Distrib pivot table'!$C$2,"state","TX","group","2d1c2")/GETPIVOTDATA("Total-New",'Distrib pivot table'!$C$2,"state","TX"))=0,,IF(GETPIVOTDATA("Total-New",'Distrib pivot table'!$C$2,"state","TX","group","2d1c2")/GETPIVOTDATA("Total-New",'Distrib pivot table'!$C$2,"state","TX")&gt;0.0005,GETPIVOTDATA("Total-New",'Distrib pivot table'!$C$2,"state","TX","group","2d1c2")/GETPIVOTDATA("Total-New",'Distrib pivot table'!$C$2,"state","TX"),"*"))</f>
        <v>0</v>
      </c>
      <c r="S45" s="575" t="str">
        <f>IF((GETPIVOTDATA("Total-New",'Distrib pivot table'!$C$2,"state","VA","group","2d1c2")/GETPIVOTDATA("Total-New",'Distrib pivot table'!$C$2,"state","VA"))=0,,IF(GETPIVOTDATA("Total-New",'Distrib pivot table'!$C$2,"state","VA","group","2d1c2")/GETPIVOTDATA("Total-New",'Distrib pivot table'!$C$2,"state","VA")&gt;0.0005,GETPIVOTDATA("Total-New",'Distrib pivot table'!$C$2,"state","VA","group","2d1c2")/GETPIVOTDATA("Total-New",'Distrib pivot table'!$C$2,"state","VA"),"*"))</f>
        <v>*</v>
      </c>
      <c r="T45" s="575">
        <f>IF((GETPIVOTDATA("Total-New",'Distrib pivot table'!$C$2,"state","WV","group","2d1c2")/GETPIVOTDATA("Total-New",'Distrib pivot table'!$C$2,"state","WV"))=0,,IF(GETPIVOTDATA("Total-New",'Distrib pivot table'!$C$2,"state","WV","group","2d1c2")/GETPIVOTDATA("Total-New",'Distrib pivot table'!$C$2,"state","WV")&gt;0.0005,GETPIVOTDATA("Total-New",'Distrib pivot table'!$C$2,"state","WV","group","2d1c2")/GETPIVOTDATA("Total-New",'Distrib pivot table'!$C$2,"state","WV"),"*"))</f>
        <v>3.173124822758551E-2</v>
      </c>
      <c r="U45" s="576"/>
      <c r="V45" s="576"/>
      <c r="W45" s="576"/>
      <c r="X45" s="576"/>
      <c r="Y45" s="576"/>
      <c r="Z45" s="576"/>
      <c r="AA45" s="576"/>
      <c r="AB45" s="576"/>
      <c r="AC45" s="576"/>
      <c r="AD45" s="576"/>
      <c r="AE45" s="576"/>
      <c r="AF45" s="576"/>
      <c r="AG45" s="576"/>
      <c r="AH45" s="576"/>
      <c r="AI45" s="576"/>
      <c r="AJ45" s="576"/>
      <c r="AK45" s="576"/>
      <c r="AL45" s="576"/>
      <c r="AM45" s="576"/>
      <c r="AN45" s="576"/>
      <c r="AO45" s="576"/>
      <c r="AP45" s="576"/>
      <c r="AQ45" s="576"/>
      <c r="AR45" s="576"/>
      <c r="AS45" s="576"/>
      <c r="AT45" s="576"/>
      <c r="AU45" s="576"/>
      <c r="AV45" s="576"/>
      <c r="AW45" s="576"/>
      <c r="AX45" s="576"/>
    </row>
    <row r="46" spans="1:50" ht="12.65" customHeight="1">
      <c r="A46" s="1225"/>
      <c r="B46" s="573" t="s">
        <v>314</v>
      </c>
      <c r="C46" s="589" t="s">
        <v>176</v>
      </c>
      <c r="D46" s="575" t="str">
        <f>IF(GETPIVOTDATA("Total-New",'Distrib pivot table'!$C$2,"group","2d1d")/GETPIVOTDATA("Total-New",'Distrib pivot table'!$C$2)=0,,IF(GETPIVOTDATA("Total-New",'Distrib pivot table'!$C$2,"group","2d1d")/GETPIVOTDATA("Total-New",'Distrib pivot table'!$C$2)&gt;0.0005,GETPIVOTDATA("Total-New",'Distrib pivot table'!$C$2,"group","2d1d")/GETPIVOTDATA("Total-New",'Distrib pivot table'!$C$2),"*"))</f>
        <v>*</v>
      </c>
      <c r="E46" s="575">
        <f>IF((GETPIVOTDATA("Total-New",'Distrib pivot table'!$C$2,"state","AL","group","2d1d")/GETPIVOTDATA("Total-New",'Distrib pivot table'!$C$2,"state","AL"))=0,,IF(GETPIVOTDATA("Total-New",'Distrib pivot table'!$C$2,"state","AL","group","2d1d")/GETPIVOTDATA("Total-New",'Distrib pivot table'!$C$2,"state","AL")&gt;0.0005,GETPIVOTDATA("Total-New",'Distrib pivot table'!$C$2,"state","AL","group","2d1d")/GETPIVOTDATA("Total-New",'Distrib pivot table'!$C$2,"state","AL"),"*"))</f>
        <v>0</v>
      </c>
      <c r="F46" s="575">
        <f>IF((GETPIVOTDATA("Total-New",'Distrib pivot table'!$C$2,"state","AR","group","2d1d")/GETPIVOTDATA("Total-New",'Distrib pivot table'!$C$2,"state","AR"))=0,,IF(GETPIVOTDATA("Total-New",'Distrib pivot table'!$C$2,"state","AR","group","2d1d")/GETPIVOTDATA("Total-New",'Distrib pivot table'!$C$2,"state","AR")&gt;0.0005,GETPIVOTDATA("Total-New",'Distrib pivot table'!$C$2,"state","AR","group","2d1d")/GETPIVOTDATA("Total-New",'Distrib pivot table'!$C$2,"state","AR"),"*"))</f>
        <v>0</v>
      </c>
      <c r="G46" s="575">
        <f>IF((GETPIVOTDATA("Total-New",'Distrib pivot table'!$C$2,"state","DE","group","2d1d")/GETPIVOTDATA("Total-New",'Distrib pivot table'!$C$2,"state","DE"))=0,,IF(GETPIVOTDATA("Total-New",'Distrib pivot table'!$C$2,"state","DE","group","2d1d")/GETPIVOTDATA("Total-New",'Distrib pivot table'!$C$2,"state","DE")&gt;0.0005,GETPIVOTDATA("Total-New",'Distrib pivot table'!$C$2,"state","DE","group","2d1d")/GETPIVOTDATA("Total-New",'Distrib pivot table'!$C$2,"state","DE"),"*"))</f>
        <v>0</v>
      </c>
      <c r="H46" s="575">
        <f>IF((GETPIVOTDATA("Total-New",'Distrib pivot table'!$C$2,"state","FL","group","2d1d")/GETPIVOTDATA("Total-New",'Distrib pivot table'!$C$2,"state","FL"))=0,,IF(GETPIVOTDATA("Total-New",'Distrib pivot table'!$C$2,"state","FL","group","2d1d")/GETPIVOTDATA("Total-New",'Distrib pivot table'!$C$2,"state","FL")&gt;0.0005,GETPIVOTDATA("Total-New",'Distrib pivot table'!$C$2,"state","FL","group","2d1d")/GETPIVOTDATA("Total-New",'Distrib pivot table'!$C$2,"state","FL"),"*"))</f>
        <v>0</v>
      </c>
      <c r="I46" s="575">
        <f>IF((GETPIVOTDATA("Total-New",'Distrib pivot table'!$C$2,"state","GA","group","2d1d")/GETPIVOTDATA("Total-New",'Distrib pivot table'!$C$2,"state","GA"))=0,,IF(GETPIVOTDATA("Total-New",'Distrib pivot table'!$C$2,"state","GA","group","2d1d")/GETPIVOTDATA("Total-New",'Distrib pivot table'!$C$2,"state","GA")&gt;0.0005,GETPIVOTDATA("Total-New",'Distrib pivot table'!$C$2,"state","GA","group","2d1d")/GETPIVOTDATA("Total-New",'Distrib pivot table'!$C$2,"state","GA"),"*"))</f>
        <v>0</v>
      </c>
      <c r="J46" s="575">
        <f>IF((GETPIVOTDATA("Total-New",'Distrib pivot table'!$C$2,"state","KY","group","2d1d")/GETPIVOTDATA("Total-New",'Distrib pivot table'!$C$2,"state","KY"))=0,,IF(GETPIVOTDATA("Total-New",'Distrib pivot table'!$C$2,"state","KY","group","2d1d")/GETPIVOTDATA("Total-New",'Distrib pivot table'!$C$2,"state","KY")&gt;0.0005,GETPIVOTDATA("Total-New",'Distrib pivot table'!$C$2,"state","KY","group","2d1d")/GETPIVOTDATA("Total-New",'Distrib pivot table'!$C$2,"state","KY"),"*"))</f>
        <v>0</v>
      </c>
      <c r="K46" s="575">
        <f>IF((GETPIVOTDATA("Total-New",'Distrib pivot table'!$C$2,"state","LA","group","2d1d")/GETPIVOTDATA("Total-New",'Distrib pivot table'!$C$2,"state","LA"))=0,,IF(GETPIVOTDATA("Total-New",'Distrib pivot table'!$C$2,"state","LA","group","2d1d")/GETPIVOTDATA("Total-New",'Distrib pivot table'!$C$2,"state","LA")&gt;0.0005,GETPIVOTDATA("Total-New",'Distrib pivot table'!$C$2,"state","LA","group","2d1d")/GETPIVOTDATA("Total-New",'Distrib pivot table'!$C$2,"state","LA"),"*"))</f>
        <v>0</v>
      </c>
      <c r="L46" s="575">
        <f>IF((GETPIVOTDATA("Total-New",'Distrib pivot table'!$C$2,"state","MD","group","2d1d")/GETPIVOTDATA("Total-New",'Distrib pivot table'!$C$2,"state","MD"))=0,,IF(GETPIVOTDATA("Total-New",'Distrib pivot table'!$C$2,"state","MD","group","2d1d")/GETPIVOTDATA("Total-New",'Distrib pivot table'!$C$2,"state","MD")&gt;0.0005,GETPIVOTDATA("Total-New",'Distrib pivot table'!$C$2,"state","MD","group","2d1d")/GETPIVOTDATA("Total-New",'Distrib pivot table'!$C$2,"state","MD"),"*"))</f>
        <v>0</v>
      </c>
      <c r="M46" s="575">
        <f>IF((GETPIVOTDATA("Total-New",'Distrib pivot table'!$C$2,"state","MS","group","2d1d")/GETPIVOTDATA("Total-New",'Distrib pivot table'!$C$2,"state","MS"))=0,,IF(GETPIVOTDATA("Total-New",'Distrib pivot table'!$C$2,"state","MS","group","2d1d")/GETPIVOTDATA("Total-New",'Distrib pivot table'!$C$2,"state","MS")&gt;0.0005,GETPIVOTDATA("Total-New",'Distrib pivot table'!$C$2,"state","MS","group","2d1d")/GETPIVOTDATA("Total-New",'Distrib pivot table'!$C$2,"state","MS"),"*"))</f>
        <v>0</v>
      </c>
      <c r="N46" s="575">
        <f>IF((GETPIVOTDATA("Total-New",'Distrib pivot table'!$C$2,"state","NC","group","2d1d")/GETPIVOTDATA("Total-New",'Distrib pivot table'!$C$2,"state","NC"))=0,,IF(GETPIVOTDATA("Total-New",'Distrib pivot table'!$C$2,"state","NC","group","2d1d")/GETPIVOTDATA("Total-New",'Distrib pivot table'!$C$2,"state","NC")&gt;0.0005,GETPIVOTDATA("Total-New",'Distrib pivot table'!$C$2,"state","NC","group","2d1d")/GETPIVOTDATA("Total-New",'Distrib pivot table'!$C$2,"state","NC"),"*"))</f>
        <v>0</v>
      </c>
      <c r="O46" s="575">
        <f>IF((GETPIVOTDATA("Total-New",'Distrib pivot table'!$C$2,"state","OK","group","2d1d")/GETPIVOTDATA("Total-New",'Distrib pivot table'!$C$2,"state","OK"))=0,,IF(GETPIVOTDATA("Total-New",'Distrib pivot table'!$C$2,"state","OK","group","2d1d")/GETPIVOTDATA("Total-New",'Distrib pivot table'!$C$2,"state","OK")&gt;0.0005,GETPIVOTDATA("Total-New",'Distrib pivot table'!$C$2,"state","OK","group","2d1d")/GETPIVOTDATA("Total-New",'Distrib pivot table'!$C$2,"state","OK"),"*"))</f>
        <v>0</v>
      </c>
      <c r="P46" s="575">
        <f>IF((GETPIVOTDATA("Total-New",'Distrib pivot table'!$C$2,"state","SC","group","2d1d")/GETPIVOTDATA("Total-New",'Distrib pivot table'!$C$2,"state","SC"))=0,,IF(GETPIVOTDATA("Total-New",'Distrib pivot table'!$C$2,"state","SC","group","2d1d")/GETPIVOTDATA("Total-New",'Distrib pivot table'!$C$2,"state","SC")&gt;0.0005,GETPIVOTDATA("Total-New",'Distrib pivot table'!$C$2,"state","SC","group","2d1d")/GETPIVOTDATA("Total-New",'Distrib pivot table'!$C$2,"state","SC"),"*"))</f>
        <v>0</v>
      </c>
      <c r="Q46" s="575">
        <f>IF((GETPIVOTDATA("Total-New",'Distrib pivot table'!$C$2,"state","TN","group","2d1d")/GETPIVOTDATA("Total-New",'Distrib pivot table'!$C$2,"state","TN"))=0,,IF(GETPIVOTDATA("Total-New",'Distrib pivot table'!$C$2,"state","TN","group","2d1d")/GETPIVOTDATA("Total-New",'Distrib pivot table'!$C$2,"state","TN")&gt;0.0005,GETPIVOTDATA("Total-New",'Distrib pivot table'!$C$2,"state","TN","group","2d1d")/GETPIVOTDATA("Total-New",'Distrib pivot table'!$C$2,"state","TN"),"*"))</f>
        <v>0</v>
      </c>
      <c r="R46" s="575">
        <f>IF((GETPIVOTDATA("Total-New",'Distrib pivot table'!$C$2,"state","TX","group","2d1d")/GETPIVOTDATA("Total-New",'Distrib pivot table'!$C$2,"state","TX"))=0,,IF(GETPIVOTDATA("Total-New",'Distrib pivot table'!$C$2,"state","TX","group","2d1d")/GETPIVOTDATA("Total-New",'Distrib pivot table'!$C$2,"state","TX")&gt;0.0005,GETPIVOTDATA("Total-New",'Distrib pivot table'!$C$2,"state","TX","group","2d1d")/GETPIVOTDATA("Total-New",'Distrib pivot table'!$C$2,"state","TX"),"*"))</f>
        <v>0</v>
      </c>
      <c r="S46" s="575" t="str">
        <f>IF((GETPIVOTDATA("Total-New",'Distrib pivot table'!$C$2,"state","VA","group","2d1d")/GETPIVOTDATA("Total-New",'Distrib pivot table'!$C$2,"state","VA"))=0,,IF(GETPIVOTDATA("Total-New",'Distrib pivot table'!$C$2,"state","VA","group","2d1d")/GETPIVOTDATA("Total-New",'Distrib pivot table'!$C$2,"state","VA")&gt;0.0005,GETPIVOTDATA("Total-New",'Distrib pivot table'!$C$2,"state","VA","group","2d1d")/GETPIVOTDATA("Total-New",'Distrib pivot table'!$C$2,"state","VA"),"*"))</f>
        <v>*</v>
      </c>
      <c r="T46" s="575">
        <f>IF((GETPIVOTDATA("Total-New",'Distrib pivot table'!$C$2,"state","WV","group","2d1d")/GETPIVOTDATA("Total-New",'Distrib pivot table'!$C$2,"state","WV"))=0,,IF(GETPIVOTDATA("Total-New",'Distrib pivot table'!$C$2,"state","WV","group","2d1d")/GETPIVOTDATA("Total-New",'Distrib pivot table'!$C$2,"state","WV")&gt;0.0005,GETPIVOTDATA("Total-New",'Distrib pivot table'!$C$2,"state","WV","group","2d1d")/GETPIVOTDATA("Total-New",'Distrib pivot table'!$C$2,"state","WV"),"*"))</f>
        <v>0</v>
      </c>
      <c r="U46" s="576"/>
      <c r="V46" s="576"/>
      <c r="W46" s="576"/>
      <c r="X46" s="576"/>
      <c r="Y46" s="576"/>
      <c r="Z46" s="576"/>
      <c r="AA46" s="576"/>
      <c r="AB46" s="576"/>
      <c r="AC46" s="576"/>
      <c r="AD46" s="576"/>
      <c r="AE46" s="576"/>
      <c r="AF46" s="576"/>
      <c r="AG46" s="576"/>
      <c r="AH46" s="576"/>
      <c r="AI46" s="576"/>
      <c r="AJ46" s="576"/>
      <c r="AK46" s="576"/>
      <c r="AL46" s="576"/>
      <c r="AM46" s="576"/>
      <c r="AN46" s="576"/>
      <c r="AO46" s="576"/>
      <c r="AP46" s="576"/>
      <c r="AQ46" s="576"/>
      <c r="AR46" s="576"/>
      <c r="AS46" s="576"/>
      <c r="AT46" s="576"/>
      <c r="AU46" s="576"/>
      <c r="AV46" s="576"/>
      <c r="AW46" s="576"/>
      <c r="AX46" s="576"/>
    </row>
    <row r="47" spans="1:50" ht="12.65" customHeight="1">
      <c r="A47" s="1225"/>
      <c r="B47" s="573" t="s">
        <v>165</v>
      </c>
      <c r="C47" s="589" t="s">
        <v>180</v>
      </c>
      <c r="D47" s="575">
        <f>IF(GETPIVOTDATA("Total-New",'Distrib pivot table'!$C$2,"group","2d1d1")/GETPIVOTDATA("Total-New",'Distrib pivot table'!$C$2)=0,,IF(GETPIVOTDATA("Total-New",'Distrib pivot table'!$C$2,"group","2d1d1")/GETPIVOTDATA("Total-New",'Distrib pivot table'!$C$2)&gt;0.0005,GETPIVOTDATA("Total-New",'Distrib pivot table'!$C$2,"group","2d1d1")/GETPIVOTDATA("Total-New",'Distrib pivot table'!$C$2),"*"))</f>
        <v>1.6302880283631707E-3</v>
      </c>
      <c r="E47" s="575" t="str">
        <f>IF((GETPIVOTDATA("Total-New",'Distrib pivot table'!$C$2,"state","AL","group","2d1d1")/GETPIVOTDATA("Total-New",'Distrib pivot table'!$C$2,"state","AL"))=0,,IF(GETPIVOTDATA("Total-New",'Distrib pivot table'!$C$2,"state","AL","group","2d1d1")/GETPIVOTDATA("Total-New",'Distrib pivot table'!$C$2,"state","AL")&gt;0.0005,GETPIVOTDATA("Total-New",'Distrib pivot table'!$C$2,"state","AL","group","2d1d1")/GETPIVOTDATA("Total-New",'Distrib pivot table'!$C$2,"state","AL"),"*"))</f>
        <v>*</v>
      </c>
      <c r="F47" s="575" t="str">
        <f>IF((GETPIVOTDATA("Total-New",'Distrib pivot table'!$C$2,"state","AR","group","2d1d1")/GETPIVOTDATA("Total-New",'Distrib pivot table'!$C$2,"state","AR"))=0,,IF(GETPIVOTDATA("Total-New",'Distrib pivot table'!$C$2,"state","AR","group","2d1d1")/GETPIVOTDATA("Total-New",'Distrib pivot table'!$C$2,"state","AR")&gt;0.0005,GETPIVOTDATA("Total-New",'Distrib pivot table'!$C$2,"state","AR","group","2d1d1")/GETPIVOTDATA("Total-New",'Distrib pivot table'!$C$2,"state","AR"),"*"))</f>
        <v>*</v>
      </c>
      <c r="G47" s="575" t="str">
        <f>IF((GETPIVOTDATA("Total-New",'Distrib pivot table'!$C$2,"state","DE","group","2d1d1")/GETPIVOTDATA("Total-New",'Distrib pivot table'!$C$2,"state","DE"))=0,,IF(GETPIVOTDATA("Total-New",'Distrib pivot table'!$C$2,"state","DE","group","2d1d1")/GETPIVOTDATA("Total-New",'Distrib pivot table'!$C$2,"state","DE")&gt;0.0005,GETPIVOTDATA("Total-New",'Distrib pivot table'!$C$2,"state","DE","group","2d1d1")/GETPIVOTDATA("Total-New",'Distrib pivot table'!$C$2,"state","DE"),"*"))</f>
        <v>*</v>
      </c>
      <c r="H47" s="575">
        <f>IF((GETPIVOTDATA("Total-New",'Distrib pivot table'!$C$2,"state","FL","group","2d1d1")/GETPIVOTDATA("Total-New",'Distrib pivot table'!$C$2,"state","FL"))=0,,IF(GETPIVOTDATA("Total-New",'Distrib pivot table'!$C$2,"state","FL","group","2d1d1")/GETPIVOTDATA("Total-New",'Distrib pivot table'!$C$2,"state","FL")&gt;0.0005,GETPIVOTDATA("Total-New",'Distrib pivot table'!$C$2,"state","FL","group","2d1d1")/GETPIVOTDATA("Total-New",'Distrib pivot table'!$C$2,"state","FL"),"*"))</f>
        <v>0</v>
      </c>
      <c r="I47" s="575">
        <f>IF((GETPIVOTDATA("Total-New",'Distrib pivot table'!$C$2,"state","GA","group","2d1d1")/GETPIVOTDATA("Total-New",'Distrib pivot table'!$C$2,"state","GA"))=0,,IF(GETPIVOTDATA("Total-New",'Distrib pivot table'!$C$2,"state","GA","group","2d1d1")/GETPIVOTDATA("Total-New",'Distrib pivot table'!$C$2,"state","GA")&gt;0.0005,GETPIVOTDATA("Total-New",'Distrib pivot table'!$C$2,"state","GA","group","2d1d1")/GETPIVOTDATA("Total-New",'Distrib pivot table'!$C$2,"state","GA"),"*"))</f>
        <v>0</v>
      </c>
      <c r="J47" s="575">
        <f>IF((GETPIVOTDATA("Total-New",'Distrib pivot table'!$C$2,"state","KY","group","2d1d1")/GETPIVOTDATA("Total-New",'Distrib pivot table'!$C$2,"state","KY"))=0,,IF(GETPIVOTDATA("Total-New",'Distrib pivot table'!$C$2,"state","KY","group","2d1d1")/GETPIVOTDATA("Total-New",'Distrib pivot table'!$C$2,"state","KY")&gt;0.0005,GETPIVOTDATA("Total-New",'Distrib pivot table'!$C$2,"state","KY","group","2d1d1")/GETPIVOTDATA("Total-New",'Distrib pivot table'!$C$2,"state","KY"),"*"))</f>
        <v>7.0480987914010853E-3</v>
      </c>
      <c r="K47" s="575">
        <f>IF((GETPIVOTDATA("Total-New",'Distrib pivot table'!$C$2,"state","LA","group","2d1d1")/GETPIVOTDATA("Total-New",'Distrib pivot table'!$C$2,"state","LA"))=0,,IF(GETPIVOTDATA("Total-New",'Distrib pivot table'!$C$2,"state","LA","group","2d1d1")/GETPIVOTDATA("Total-New",'Distrib pivot table'!$C$2,"state","LA")&gt;0.0005,GETPIVOTDATA("Total-New",'Distrib pivot table'!$C$2,"state","LA","group","2d1d1")/GETPIVOTDATA("Total-New",'Distrib pivot table'!$C$2,"state","LA"),"*"))</f>
        <v>9.7279989568071026E-4</v>
      </c>
      <c r="L47" s="575">
        <f>IF((GETPIVOTDATA("Total-New",'Distrib pivot table'!$C$2,"state","MD","group","2d1d1")/GETPIVOTDATA("Total-New",'Distrib pivot table'!$C$2,"state","MD"))=0,,IF(GETPIVOTDATA("Total-New",'Distrib pivot table'!$C$2,"state","MD","group","2d1d1")/GETPIVOTDATA("Total-New",'Distrib pivot table'!$C$2,"state","MD")&gt;0.0005,GETPIVOTDATA("Total-New",'Distrib pivot table'!$C$2,"state","MD","group","2d1d1")/GETPIVOTDATA("Total-New",'Distrib pivot table'!$C$2,"state","MD"),"*"))</f>
        <v>3.7262479911490229E-3</v>
      </c>
      <c r="M47" s="575">
        <f>IF((GETPIVOTDATA("Total-New",'Distrib pivot table'!$C$2,"state","MS","group","2d1d1")/GETPIVOTDATA("Total-New",'Distrib pivot table'!$C$2,"state","MS"))=0,,IF(GETPIVOTDATA("Total-New",'Distrib pivot table'!$C$2,"state","MS","group","2d1d1")/GETPIVOTDATA("Total-New",'Distrib pivot table'!$C$2,"state","MS")&gt;0.0005,GETPIVOTDATA("Total-New",'Distrib pivot table'!$C$2,"state","MS","group","2d1d1")/GETPIVOTDATA("Total-New",'Distrib pivot table'!$C$2,"state","MS"),"*"))</f>
        <v>1.4612388901161352E-3</v>
      </c>
      <c r="N47" s="575">
        <f>IF((GETPIVOTDATA("Total-New",'Distrib pivot table'!$C$2,"state","NC","group","2d1d1")/GETPIVOTDATA("Total-New",'Distrib pivot table'!$C$2,"state","NC"))=0,,IF(GETPIVOTDATA("Total-New",'Distrib pivot table'!$C$2,"state","NC","group","2d1d1")/GETPIVOTDATA("Total-New",'Distrib pivot table'!$C$2,"state","NC")&gt;0.0005,GETPIVOTDATA("Total-New",'Distrib pivot table'!$C$2,"state","NC","group","2d1d1")/GETPIVOTDATA("Total-New",'Distrib pivot table'!$C$2,"state","NC"),"*"))</f>
        <v>0</v>
      </c>
      <c r="O47" s="575">
        <f>IF((GETPIVOTDATA("Total-New",'Distrib pivot table'!$C$2,"state","OK","group","2d1d1")/GETPIVOTDATA("Total-New",'Distrib pivot table'!$C$2,"state","OK"))=0,,IF(GETPIVOTDATA("Total-New",'Distrib pivot table'!$C$2,"state","OK","group","2d1d1")/GETPIVOTDATA("Total-New",'Distrib pivot table'!$C$2,"state","OK")&gt;0.0005,GETPIVOTDATA("Total-New",'Distrib pivot table'!$C$2,"state","OK","group","2d1d1")/GETPIVOTDATA("Total-New",'Distrib pivot table'!$C$2,"state","OK"),"*"))</f>
        <v>0</v>
      </c>
      <c r="P47" s="575">
        <f>IF((GETPIVOTDATA("Total-New",'Distrib pivot table'!$C$2,"state","SC","group","2d1d1")/GETPIVOTDATA("Total-New",'Distrib pivot table'!$C$2,"state","SC"))=0,,IF(GETPIVOTDATA("Total-New",'Distrib pivot table'!$C$2,"state","SC","group","2d1d1")/GETPIVOTDATA("Total-New",'Distrib pivot table'!$C$2,"state","SC")&gt;0.0005,GETPIVOTDATA("Total-New",'Distrib pivot table'!$C$2,"state","SC","group","2d1d1")/GETPIVOTDATA("Total-New",'Distrib pivot table'!$C$2,"state","SC"),"*"))</f>
        <v>1.4187226221237077E-3</v>
      </c>
      <c r="Q47" s="575">
        <f>IF((GETPIVOTDATA("Total-New",'Distrib pivot table'!$C$2,"state","TN","group","2d1d1")/GETPIVOTDATA("Total-New",'Distrib pivot table'!$C$2,"state","TN"))=0,,IF(GETPIVOTDATA("Total-New",'Distrib pivot table'!$C$2,"state","TN","group","2d1d1")/GETPIVOTDATA("Total-New",'Distrib pivot table'!$C$2,"state","TN")&gt;0.0005,GETPIVOTDATA("Total-New",'Distrib pivot table'!$C$2,"state","TN","group","2d1d1")/GETPIVOTDATA("Total-New",'Distrib pivot table'!$C$2,"state","TN"),"*"))</f>
        <v>1.4527791561889927E-2</v>
      </c>
      <c r="R47" s="575">
        <f>IF((GETPIVOTDATA("Total-New",'Distrib pivot table'!$C$2,"state","TX","group","2d1d1")/GETPIVOTDATA("Total-New",'Distrib pivot table'!$C$2,"state","TX"))=0,,IF(GETPIVOTDATA("Total-New",'Distrib pivot table'!$C$2,"state","TX","group","2d1d1")/GETPIVOTDATA("Total-New",'Distrib pivot table'!$C$2,"state","TX")&gt;0.0005,GETPIVOTDATA("Total-New",'Distrib pivot table'!$C$2,"state","TX","group","2d1d1")/GETPIVOTDATA("Total-New",'Distrib pivot table'!$C$2,"state","TX"),"*"))</f>
        <v>0</v>
      </c>
      <c r="S47" s="575">
        <f>IF((GETPIVOTDATA("Total-New",'Distrib pivot table'!$C$2,"state","VA","group","2d1d1")/GETPIVOTDATA("Total-New",'Distrib pivot table'!$C$2,"state","VA"))=0,,IF(GETPIVOTDATA("Total-New",'Distrib pivot table'!$C$2,"state","VA","group","2d1d1")/GETPIVOTDATA("Total-New",'Distrib pivot table'!$C$2,"state","VA")&gt;0.0005,GETPIVOTDATA("Total-New",'Distrib pivot table'!$C$2,"state","VA","group","2d1d1")/GETPIVOTDATA("Total-New",'Distrib pivot table'!$C$2,"state","VA"),"*"))</f>
        <v>0</v>
      </c>
      <c r="T47" s="575">
        <f>IF((GETPIVOTDATA("Total-New",'Distrib pivot table'!$C$2,"state","WV","group","2d1d1")/GETPIVOTDATA("Total-New",'Distrib pivot table'!$C$2,"state","WV"))=0,,IF(GETPIVOTDATA("Total-New",'Distrib pivot table'!$C$2,"state","WV","group","2d1d1")/GETPIVOTDATA("Total-New",'Distrib pivot table'!$C$2,"state","WV")&gt;0.0005,GETPIVOTDATA("Total-New",'Distrib pivot table'!$C$2,"state","WV","group","2d1d1")/GETPIVOTDATA("Total-New",'Distrib pivot table'!$C$2,"state","WV"),"*"))</f>
        <v>2.4922313367375915E-3</v>
      </c>
      <c r="U47" s="576"/>
      <c r="V47" s="576"/>
      <c r="W47" s="576"/>
      <c r="X47" s="576"/>
      <c r="Y47" s="576"/>
      <c r="Z47" s="576"/>
      <c r="AA47" s="576"/>
      <c r="AB47" s="576"/>
      <c r="AC47" s="576"/>
      <c r="AD47" s="576"/>
      <c r="AE47" s="576"/>
      <c r="AF47" s="576"/>
      <c r="AG47" s="576"/>
      <c r="AH47" s="576"/>
      <c r="AI47" s="576"/>
      <c r="AJ47" s="576"/>
      <c r="AK47" s="576"/>
      <c r="AL47" s="576"/>
      <c r="AM47" s="576"/>
      <c r="AN47" s="576"/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</row>
    <row r="48" spans="1:50" ht="12.65" customHeight="1">
      <c r="A48" s="1225"/>
      <c r="B48" s="573" t="s">
        <v>167</v>
      </c>
      <c r="C48" s="589" t="s">
        <v>178</v>
      </c>
      <c r="D48" s="575">
        <f>IF(GETPIVOTDATA("Total-New",'Distrib pivot table'!$C$2,"group","2d1d2")/GETPIVOTDATA("Total-New",'Distrib pivot table'!$C$2)=0,,IF(GETPIVOTDATA("Total-New",'Distrib pivot table'!$C$2,"group","2d1d2")/GETPIVOTDATA("Total-New",'Distrib pivot table'!$C$2)&gt;0.0005,GETPIVOTDATA("Total-New",'Distrib pivot table'!$C$2,"group","2d1d2")/GETPIVOTDATA("Total-New",'Distrib pivot table'!$C$2),"*"))</f>
        <v>2.541150252082736E-3</v>
      </c>
      <c r="E48" s="575" t="str">
        <f>IF((GETPIVOTDATA("Total-New",'Distrib pivot table'!$C$2,"state","AL","group","2d1d2")/GETPIVOTDATA("Total-New",'Distrib pivot table'!$C$2,"state","AL"))=0,,IF(GETPIVOTDATA("Total-New",'Distrib pivot table'!$C$2,"state","AL","group","2d1d2")/GETPIVOTDATA("Total-New",'Distrib pivot table'!$C$2,"state","AL")&gt;0.0005,GETPIVOTDATA("Total-New",'Distrib pivot table'!$C$2,"state","AL","group","2d1d2")/GETPIVOTDATA("Total-New",'Distrib pivot table'!$C$2,"state","AL"),"*"))</f>
        <v>*</v>
      </c>
      <c r="F48" s="575">
        <f>IF((GETPIVOTDATA("Total-New",'Distrib pivot table'!$C$2,"state","AR","group","2d1d2")/GETPIVOTDATA("Total-New",'Distrib pivot table'!$C$2,"state","AR"))=0,,IF(GETPIVOTDATA("Total-New",'Distrib pivot table'!$C$2,"state","AR","group","2d1d2")/GETPIVOTDATA("Total-New",'Distrib pivot table'!$C$2,"state","AR")&gt;0.0005,GETPIVOTDATA("Total-New",'Distrib pivot table'!$C$2,"state","AR","group","2d1d2")/GETPIVOTDATA("Total-New",'Distrib pivot table'!$C$2,"state","AR"),"*"))</f>
        <v>7.0023442263603781E-3</v>
      </c>
      <c r="G48" s="575">
        <f>IF((GETPIVOTDATA("Total-New",'Distrib pivot table'!$C$2,"state","DE","group","2d1d2")/GETPIVOTDATA("Total-New",'Distrib pivot table'!$C$2,"state","DE"))=0,,IF(GETPIVOTDATA("Total-New",'Distrib pivot table'!$C$2,"state","DE","group","2d1d2")/GETPIVOTDATA("Total-New",'Distrib pivot table'!$C$2,"state","DE")&gt;0.0005,GETPIVOTDATA("Total-New",'Distrib pivot table'!$C$2,"state","DE","group","2d1d2")/GETPIVOTDATA("Total-New",'Distrib pivot table'!$C$2,"state","DE"),"*"))</f>
        <v>6.0640644078717757E-4</v>
      </c>
      <c r="H48" s="575">
        <f>IF((GETPIVOTDATA("Total-New",'Distrib pivot table'!$C$2,"state","FL","group","2d1d2")/GETPIVOTDATA("Total-New",'Distrib pivot table'!$C$2,"state","FL"))=0,,IF(GETPIVOTDATA("Total-New",'Distrib pivot table'!$C$2,"state","FL","group","2d1d2")/GETPIVOTDATA("Total-New",'Distrib pivot table'!$C$2,"state","FL")&gt;0.0005,GETPIVOTDATA("Total-New",'Distrib pivot table'!$C$2,"state","FL","group","2d1d2")/GETPIVOTDATA("Total-New",'Distrib pivot table'!$C$2,"state","FL"),"*"))</f>
        <v>0</v>
      </c>
      <c r="I48" s="575" t="str">
        <f>IF((GETPIVOTDATA("Total-New",'Distrib pivot table'!$C$2,"state","GA","group","2d1d2")/GETPIVOTDATA("Total-New",'Distrib pivot table'!$C$2,"state","GA"))=0,,IF(GETPIVOTDATA("Total-New",'Distrib pivot table'!$C$2,"state","GA","group","2d1d2")/GETPIVOTDATA("Total-New",'Distrib pivot table'!$C$2,"state","GA")&gt;0.0005,GETPIVOTDATA("Total-New",'Distrib pivot table'!$C$2,"state","GA","group","2d1d2")/GETPIVOTDATA("Total-New",'Distrib pivot table'!$C$2,"state","GA"),"*"))</f>
        <v>*</v>
      </c>
      <c r="J48" s="575">
        <f>IF((GETPIVOTDATA("Total-New",'Distrib pivot table'!$C$2,"state","KY","group","2d1d2")/GETPIVOTDATA("Total-New",'Distrib pivot table'!$C$2,"state","KY"))=0,,IF(GETPIVOTDATA("Total-New",'Distrib pivot table'!$C$2,"state","KY","group","2d1d2")/GETPIVOTDATA("Total-New",'Distrib pivot table'!$C$2,"state","KY")&gt;0.0005,GETPIVOTDATA("Total-New",'Distrib pivot table'!$C$2,"state","KY","group","2d1d2")/GETPIVOTDATA("Total-New",'Distrib pivot table'!$C$2,"state","KY"),"*"))</f>
        <v>7.4970648975057185E-3</v>
      </c>
      <c r="K48" s="575">
        <f>IF((GETPIVOTDATA("Total-New",'Distrib pivot table'!$C$2,"state","LA","group","2d1d2")/GETPIVOTDATA("Total-New",'Distrib pivot table'!$C$2,"state","LA"))=0,,IF(GETPIVOTDATA("Total-New",'Distrib pivot table'!$C$2,"state","LA","group","2d1d2")/GETPIVOTDATA("Total-New",'Distrib pivot table'!$C$2,"state","LA")&gt;0.0005,GETPIVOTDATA("Total-New",'Distrib pivot table'!$C$2,"state","LA","group","2d1d2")/GETPIVOTDATA("Total-New",'Distrib pivot table'!$C$2,"state","LA"),"*"))</f>
        <v>8.596306584305274E-3</v>
      </c>
      <c r="L48" s="575" t="str">
        <f>IF((GETPIVOTDATA("Total-New",'Distrib pivot table'!$C$2,"state","MD","group","2d1d2")/GETPIVOTDATA("Total-New",'Distrib pivot table'!$C$2,"state","MD"))=0,,IF(GETPIVOTDATA("Total-New",'Distrib pivot table'!$C$2,"state","MD","group","2d1d2")/GETPIVOTDATA("Total-New",'Distrib pivot table'!$C$2,"state","MD")&gt;0.0005,GETPIVOTDATA("Total-New",'Distrib pivot table'!$C$2,"state","MD","group","2d1d2")/GETPIVOTDATA("Total-New",'Distrib pivot table'!$C$2,"state","MD"),"*"))</f>
        <v>*</v>
      </c>
      <c r="M48" s="575">
        <f>IF((GETPIVOTDATA("Total-New",'Distrib pivot table'!$C$2,"state","MS","group","2d1d2")/GETPIVOTDATA("Total-New",'Distrib pivot table'!$C$2,"state","MS"))=0,,IF(GETPIVOTDATA("Total-New",'Distrib pivot table'!$C$2,"state","MS","group","2d1d2")/GETPIVOTDATA("Total-New",'Distrib pivot table'!$C$2,"state","MS")&gt;0.0005,GETPIVOTDATA("Total-New",'Distrib pivot table'!$C$2,"state","MS","group","2d1d2")/GETPIVOTDATA("Total-New",'Distrib pivot table'!$C$2,"state","MS"),"*"))</f>
        <v>1.1587338525394649E-3</v>
      </c>
      <c r="N48" s="575">
        <f>IF((GETPIVOTDATA("Total-New",'Distrib pivot table'!$C$2,"state","NC","group","2d1d2")/GETPIVOTDATA("Total-New",'Distrib pivot table'!$C$2,"state","NC"))=0,,IF(GETPIVOTDATA("Total-New",'Distrib pivot table'!$C$2,"state","NC","group","2d1d2")/GETPIVOTDATA("Total-New",'Distrib pivot table'!$C$2,"state","NC")&gt;0.0005,GETPIVOTDATA("Total-New",'Distrib pivot table'!$C$2,"state","NC","group","2d1d2")/GETPIVOTDATA("Total-New",'Distrib pivot table'!$C$2,"state","NC"),"*"))</f>
        <v>0</v>
      </c>
      <c r="O48" s="575">
        <f>IF((GETPIVOTDATA("Total-New",'Distrib pivot table'!$C$2,"state","OK","group","2d1d2")/GETPIVOTDATA("Total-New",'Distrib pivot table'!$C$2,"state","OK"))=0,,IF(GETPIVOTDATA("Total-New",'Distrib pivot table'!$C$2,"state","OK","group","2d1d2")/GETPIVOTDATA("Total-New",'Distrib pivot table'!$C$2,"state","OK")&gt;0.0005,GETPIVOTDATA("Total-New",'Distrib pivot table'!$C$2,"state","OK","group","2d1d2")/GETPIVOTDATA("Total-New",'Distrib pivot table'!$C$2,"state","OK"),"*"))</f>
        <v>0</v>
      </c>
      <c r="P48" s="575">
        <f>IF((GETPIVOTDATA("Total-New",'Distrib pivot table'!$C$2,"state","SC","group","2d1d2")/GETPIVOTDATA("Total-New",'Distrib pivot table'!$C$2,"state","SC"))=0,,IF(GETPIVOTDATA("Total-New",'Distrib pivot table'!$C$2,"state","SC","group","2d1d2")/GETPIVOTDATA("Total-New",'Distrib pivot table'!$C$2,"state","SC")&gt;0.0005,GETPIVOTDATA("Total-New",'Distrib pivot table'!$C$2,"state","SC","group","2d1d2")/GETPIVOTDATA("Total-New",'Distrib pivot table'!$C$2,"state","SC"),"*"))</f>
        <v>1.319940504236344E-2</v>
      </c>
      <c r="Q48" s="575">
        <f>IF((GETPIVOTDATA("Total-New",'Distrib pivot table'!$C$2,"state","TN","group","2d1d2")/GETPIVOTDATA("Total-New",'Distrib pivot table'!$C$2,"state","TN"))=0,,IF(GETPIVOTDATA("Total-New",'Distrib pivot table'!$C$2,"state","TN","group","2d1d2")/GETPIVOTDATA("Total-New",'Distrib pivot table'!$C$2,"state","TN")&gt;0.0005,GETPIVOTDATA("Total-New",'Distrib pivot table'!$C$2,"state","TN","group","2d1d2")/GETPIVOTDATA("Total-New",'Distrib pivot table'!$C$2,"state","TN"),"*"))</f>
        <v>1.3449227595053735E-2</v>
      </c>
      <c r="R48" s="575">
        <f>IF((GETPIVOTDATA("Total-New",'Distrib pivot table'!$C$2,"state","TX","group","2d1d2")/GETPIVOTDATA("Total-New",'Distrib pivot table'!$C$2,"state","TX"))=0,,IF(GETPIVOTDATA("Total-New",'Distrib pivot table'!$C$2,"state","TX","group","2d1d2")/GETPIVOTDATA("Total-New",'Distrib pivot table'!$C$2,"state","TX")&gt;0.0005,GETPIVOTDATA("Total-New",'Distrib pivot table'!$C$2,"state","TX","group","2d1d2")/GETPIVOTDATA("Total-New",'Distrib pivot table'!$C$2,"state","TX"),"*"))</f>
        <v>0</v>
      </c>
      <c r="S48" s="575">
        <f>IF((GETPIVOTDATA("Total-New",'Distrib pivot table'!$C$2,"state","VA","group","2d1d2")/GETPIVOTDATA("Total-New",'Distrib pivot table'!$C$2,"state","VA"))=0,,IF(GETPIVOTDATA("Total-New",'Distrib pivot table'!$C$2,"state","VA","group","2d1d2")/GETPIVOTDATA("Total-New",'Distrib pivot table'!$C$2,"state","VA")&gt;0.0005,GETPIVOTDATA("Total-New",'Distrib pivot table'!$C$2,"state","VA","group","2d1d2")/GETPIVOTDATA("Total-New",'Distrib pivot table'!$C$2,"state","VA"),"*"))</f>
        <v>0</v>
      </c>
      <c r="T48" s="575">
        <f>IF((GETPIVOTDATA("Total-New",'Distrib pivot table'!$C$2,"state","WV","group","2d1d2")/GETPIVOTDATA("Total-New",'Distrib pivot table'!$C$2,"state","WV"))=0,,IF(GETPIVOTDATA("Total-New",'Distrib pivot table'!$C$2,"state","WV","group","2d1d2")/GETPIVOTDATA("Total-New",'Distrib pivot table'!$C$2,"state","WV")&gt;0.0005,GETPIVOTDATA("Total-New",'Distrib pivot table'!$C$2,"state","WV","group","2d1d2")/GETPIVOTDATA("Total-New",'Distrib pivot table'!$C$2,"state","WV"),"*"))</f>
        <v>3.2726024667973745E-3</v>
      </c>
      <c r="U48" s="576"/>
      <c r="V48" s="576"/>
      <c r="W48" s="576"/>
      <c r="X48" s="576"/>
      <c r="Y48" s="576"/>
      <c r="Z48" s="576"/>
      <c r="AA48" s="576"/>
      <c r="AB48" s="576"/>
      <c r="AC48" s="576"/>
      <c r="AD48" s="576"/>
      <c r="AE48" s="576"/>
      <c r="AF48" s="576"/>
      <c r="AG48" s="576"/>
      <c r="AH48" s="576"/>
      <c r="AI48" s="576"/>
      <c r="AJ48" s="576"/>
      <c r="AK48" s="576"/>
      <c r="AL48" s="576"/>
      <c r="AM48" s="576"/>
      <c r="AN48" s="576"/>
      <c r="AO48" s="576"/>
      <c r="AP48" s="576"/>
      <c r="AQ48" s="576"/>
      <c r="AR48" s="576"/>
      <c r="AS48" s="576"/>
      <c r="AT48" s="576"/>
      <c r="AU48" s="576"/>
      <c r="AV48" s="576"/>
      <c r="AW48" s="576"/>
      <c r="AX48" s="576"/>
    </row>
    <row r="49" spans="1:50" ht="12.65" customHeight="1">
      <c r="A49" s="1225"/>
      <c r="B49" s="573" t="s">
        <v>331</v>
      </c>
      <c r="C49" s="589" t="s">
        <v>187</v>
      </c>
      <c r="D49" s="575" t="str">
        <f>IF(GETPIVOTDATA("Total-New",'Distrib pivot table'!$C$2,"group","2d2")/GETPIVOTDATA("Total-New",'Distrib pivot table'!$C$2)=0,,IF(GETPIVOTDATA("Total-New",'Distrib pivot table'!$C$2,"group","2d2")/GETPIVOTDATA("Total-New",'Distrib pivot table'!$C$2)&gt;0.0005,GETPIVOTDATA("Total-New",'Distrib pivot table'!$C$2,"group","2d2")/GETPIVOTDATA("Total-New",'Distrib pivot table'!$C$2),"*"))</f>
        <v>*</v>
      </c>
      <c r="E49" s="575">
        <f>IF((GETPIVOTDATA("Total-New",'Distrib pivot table'!$C$2,"state","AL","group","2d2")/GETPIVOTDATA("Total-New",'Distrib pivot table'!$C$2,"state","AL"))=0,,IF(GETPIVOTDATA("Total-New",'Distrib pivot table'!$C$2,"state","AL","group","2d2")/GETPIVOTDATA("Total-New",'Distrib pivot table'!$C$2,"state","AL")&gt;0.0005,GETPIVOTDATA("Total-New",'Distrib pivot table'!$C$2,"state","AL","group","2d2")/GETPIVOTDATA("Total-New",'Distrib pivot table'!$C$2,"state","AL"),"*"))</f>
        <v>0</v>
      </c>
      <c r="F49" s="575">
        <f>IF((GETPIVOTDATA("Total-New",'Distrib pivot table'!$C$2,"state","AR","group","2d2")/GETPIVOTDATA("Total-New",'Distrib pivot table'!$C$2,"state","AR"))=0,,IF(GETPIVOTDATA("Total-New",'Distrib pivot table'!$C$2,"state","AR","group","2d2")/GETPIVOTDATA("Total-New",'Distrib pivot table'!$C$2,"state","AR")&gt;0.0005,GETPIVOTDATA("Total-New",'Distrib pivot table'!$C$2,"state","AR","group","2d2")/GETPIVOTDATA("Total-New",'Distrib pivot table'!$C$2,"state","AR"),"*"))</f>
        <v>0</v>
      </c>
      <c r="G49" s="575">
        <f>IF((GETPIVOTDATA("Total-New",'Distrib pivot table'!$C$2,"state","DE","group","2d2")/GETPIVOTDATA("Total-New",'Distrib pivot table'!$C$2,"state","DE"))=0,,IF(GETPIVOTDATA("Total-New",'Distrib pivot table'!$C$2,"state","DE","group","2d2")/GETPIVOTDATA("Total-New",'Distrib pivot table'!$C$2,"state","DE")&gt;0.0005,GETPIVOTDATA("Total-New",'Distrib pivot table'!$C$2,"state","DE","group","2d2")/GETPIVOTDATA("Total-New",'Distrib pivot table'!$C$2,"state","DE"),"*"))</f>
        <v>0</v>
      </c>
      <c r="H49" s="575">
        <f>IF((GETPIVOTDATA("Total-New",'Distrib pivot table'!$C$2,"state","FL","group","2d2")/GETPIVOTDATA("Total-New",'Distrib pivot table'!$C$2,"state","FL"))=0,,IF(GETPIVOTDATA("Total-New",'Distrib pivot table'!$C$2,"state","FL","group","2d2")/GETPIVOTDATA("Total-New",'Distrib pivot table'!$C$2,"state","FL")&gt;0.0005,GETPIVOTDATA("Total-New",'Distrib pivot table'!$C$2,"state","FL","group","2d2")/GETPIVOTDATA("Total-New",'Distrib pivot table'!$C$2,"state","FL"),"*"))</f>
        <v>0</v>
      </c>
      <c r="I49" s="575">
        <f>IF((GETPIVOTDATA("Total-New",'Distrib pivot table'!$C$2,"state","GA","group","2d2")/GETPIVOTDATA("Total-New",'Distrib pivot table'!$C$2,"state","GA"))=0,,IF(GETPIVOTDATA("Total-New",'Distrib pivot table'!$C$2,"state","GA","group","2d2")/GETPIVOTDATA("Total-New",'Distrib pivot table'!$C$2,"state","GA")&gt;0.0005,GETPIVOTDATA("Total-New",'Distrib pivot table'!$C$2,"state","GA","group","2d2")/GETPIVOTDATA("Total-New",'Distrib pivot table'!$C$2,"state","GA"),"*"))</f>
        <v>0</v>
      </c>
      <c r="J49" s="575">
        <f>IF((GETPIVOTDATA("Total-New",'Distrib pivot table'!$C$2,"state","KY","group","2d2")/GETPIVOTDATA("Total-New",'Distrib pivot table'!$C$2,"state","KY"))=0,,IF(GETPIVOTDATA("Total-New",'Distrib pivot table'!$C$2,"state","KY","group","2d2")/GETPIVOTDATA("Total-New",'Distrib pivot table'!$C$2,"state","KY")&gt;0.0005,GETPIVOTDATA("Total-New",'Distrib pivot table'!$C$2,"state","KY","group","2d2")/GETPIVOTDATA("Total-New",'Distrib pivot table'!$C$2,"state","KY"),"*"))</f>
        <v>0</v>
      </c>
      <c r="K49" s="575">
        <f>IF((GETPIVOTDATA("Total-New",'Distrib pivot table'!$C$2,"state","LA","group","2d2")/GETPIVOTDATA("Total-New",'Distrib pivot table'!$C$2,"state","LA"))=0,,IF(GETPIVOTDATA("Total-New",'Distrib pivot table'!$C$2,"state","LA","group","2d2")/GETPIVOTDATA("Total-New",'Distrib pivot table'!$C$2,"state","LA")&gt;0.0005,GETPIVOTDATA("Total-New",'Distrib pivot table'!$C$2,"state","LA","group","2d2")/GETPIVOTDATA("Total-New",'Distrib pivot table'!$C$2,"state","LA"),"*"))</f>
        <v>0</v>
      </c>
      <c r="L49" s="575">
        <f>IF((GETPIVOTDATA("Total-New",'Distrib pivot table'!$C$2,"state","MD","group","2d2")/GETPIVOTDATA("Total-New",'Distrib pivot table'!$C$2,"state","MD"))=0,,IF(GETPIVOTDATA("Total-New",'Distrib pivot table'!$C$2,"state","MD","group","2d2")/GETPIVOTDATA("Total-New",'Distrib pivot table'!$C$2,"state","MD")&gt;0.0005,GETPIVOTDATA("Total-New",'Distrib pivot table'!$C$2,"state","MD","group","2d2")/GETPIVOTDATA("Total-New",'Distrib pivot table'!$C$2,"state","MD"),"*"))</f>
        <v>0</v>
      </c>
      <c r="M49" s="575">
        <f>IF((GETPIVOTDATA("Total-New",'Distrib pivot table'!$C$2,"state","MS","group","2d2")/GETPIVOTDATA("Total-New",'Distrib pivot table'!$C$2,"state","MS"))=0,,IF(GETPIVOTDATA("Total-New",'Distrib pivot table'!$C$2,"state","MS","group","2d2")/GETPIVOTDATA("Total-New",'Distrib pivot table'!$C$2,"state","MS")&gt;0.0005,GETPIVOTDATA("Total-New",'Distrib pivot table'!$C$2,"state","MS","group","2d2")/GETPIVOTDATA("Total-New",'Distrib pivot table'!$C$2,"state","MS"),"*"))</f>
        <v>0</v>
      </c>
      <c r="N49" s="575">
        <f>IF((GETPIVOTDATA("Total-New",'Distrib pivot table'!$C$2,"state","NC","group","2d2")/GETPIVOTDATA("Total-New",'Distrib pivot table'!$C$2,"state","NC"))=0,,IF(GETPIVOTDATA("Total-New",'Distrib pivot table'!$C$2,"state","NC","group","2d2")/GETPIVOTDATA("Total-New",'Distrib pivot table'!$C$2,"state","NC")&gt;0.0005,GETPIVOTDATA("Total-New",'Distrib pivot table'!$C$2,"state","NC","group","2d2")/GETPIVOTDATA("Total-New",'Distrib pivot table'!$C$2,"state","NC"),"*"))</f>
        <v>0</v>
      </c>
      <c r="O49" s="575">
        <f>IF((GETPIVOTDATA("Total-New",'Distrib pivot table'!$C$2,"state","OK","group","2d2")/GETPIVOTDATA("Total-New",'Distrib pivot table'!$C$2,"state","OK"))=0,,IF(GETPIVOTDATA("Total-New",'Distrib pivot table'!$C$2,"state","OK","group","2d2")/GETPIVOTDATA("Total-New",'Distrib pivot table'!$C$2,"state","OK")&gt;0.0005,GETPIVOTDATA("Total-New",'Distrib pivot table'!$C$2,"state","OK","group","2d2")/GETPIVOTDATA("Total-New",'Distrib pivot table'!$C$2,"state","OK"),"*"))</f>
        <v>0</v>
      </c>
      <c r="P49" s="575">
        <f>IF((GETPIVOTDATA("Total-New",'Distrib pivot table'!$C$2,"state","SC","group","2d2")/GETPIVOTDATA("Total-New",'Distrib pivot table'!$C$2,"state","SC"))=0,,IF(GETPIVOTDATA("Total-New",'Distrib pivot table'!$C$2,"state","SC","group","2d2")/GETPIVOTDATA("Total-New",'Distrib pivot table'!$C$2,"state","SC")&gt;0.0005,GETPIVOTDATA("Total-New",'Distrib pivot table'!$C$2,"state","SC","group","2d2")/GETPIVOTDATA("Total-New",'Distrib pivot table'!$C$2,"state","SC"),"*"))</f>
        <v>0</v>
      </c>
      <c r="Q49" s="575">
        <f>IF((GETPIVOTDATA("Total-New",'Distrib pivot table'!$C$2,"state","TN","group","2d2")/GETPIVOTDATA("Total-New",'Distrib pivot table'!$C$2,"state","TN"))=0,,IF(GETPIVOTDATA("Total-New",'Distrib pivot table'!$C$2,"state","TN","group","2d2")/GETPIVOTDATA("Total-New",'Distrib pivot table'!$C$2,"state","TN")&gt;0.0005,GETPIVOTDATA("Total-New",'Distrib pivot table'!$C$2,"state","TN","group","2d2")/GETPIVOTDATA("Total-New",'Distrib pivot table'!$C$2,"state","TN"),"*"))</f>
        <v>0</v>
      </c>
      <c r="R49" s="575">
        <f>IF((GETPIVOTDATA("Total-New",'Distrib pivot table'!$C$2,"state","TX","group","2d2")/GETPIVOTDATA("Total-New",'Distrib pivot table'!$C$2,"state","TX"))=0,,IF(GETPIVOTDATA("Total-New",'Distrib pivot table'!$C$2,"state","TX","group","2d2")/GETPIVOTDATA("Total-New",'Distrib pivot table'!$C$2,"state","TX")&gt;0.0005,GETPIVOTDATA("Total-New",'Distrib pivot table'!$C$2,"state","TX","group","2d2")/GETPIVOTDATA("Total-New",'Distrib pivot table'!$C$2,"state","TX"),"*"))</f>
        <v>0</v>
      </c>
      <c r="S49" s="575">
        <f>IF((GETPIVOTDATA("Total-New",'Distrib pivot table'!$C$2,"state","VA","group","2d2")/GETPIVOTDATA("Total-New",'Distrib pivot table'!$C$2,"state","VA"))=0,,IF(GETPIVOTDATA("Total-New",'Distrib pivot table'!$C$2,"state","VA","group","2d2")/GETPIVOTDATA("Total-New",'Distrib pivot table'!$C$2,"state","VA")&gt;0.0005,GETPIVOTDATA("Total-New",'Distrib pivot table'!$C$2,"state","VA","group","2d2")/GETPIVOTDATA("Total-New",'Distrib pivot table'!$C$2,"state","VA"),"*"))</f>
        <v>5.8936631530766292E-4</v>
      </c>
      <c r="T49" s="575">
        <f>IF((GETPIVOTDATA("Total-New",'Distrib pivot table'!$C$2,"state","WV","group","2d2")/GETPIVOTDATA("Total-New",'Distrib pivot table'!$C$2,"state","WV"))=0,,IF(GETPIVOTDATA("Total-New",'Distrib pivot table'!$C$2,"state","WV","group","2d2")/GETPIVOTDATA("Total-New",'Distrib pivot table'!$C$2,"state","WV")&gt;0.0005,GETPIVOTDATA("Total-New",'Distrib pivot table'!$C$2,"state","WV","group","2d2")/GETPIVOTDATA("Total-New",'Distrib pivot table'!$C$2,"state","WV"),"*"))</f>
        <v>0</v>
      </c>
      <c r="U49" s="576"/>
      <c r="V49" s="576"/>
      <c r="W49" s="576"/>
      <c r="X49" s="576"/>
      <c r="Y49" s="576"/>
      <c r="Z49" s="576"/>
      <c r="AA49" s="576"/>
      <c r="AB49" s="576"/>
      <c r="AC49" s="576"/>
      <c r="AD49" s="576"/>
      <c r="AE49" s="576"/>
      <c r="AF49" s="576"/>
      <c r="AG49" s="576"/>
      <c r="AH49" s="576"/>
      <c r="AI49" s="576"/>
      <c r="AJ49" s="576"/>
      <c r="AK49" s="576"/>
      <c r="AL49" s="576"/>
      <c r="AM49" s="576"/>
      <c r="AN49" s="576"/>
      <c r="AO49" s="576"/>
      <c r="AP49" s="576"/>
      <c r="AQ49" s="576"/>
      <c r="AR49" s="576"/>
      <c r="AS49" s="576"/>
      <c r="AT49" s="576"/>
      <c r="AU49" s="576"/>
      <c r="AV49" s="576"/>
      <c r="AW49" s="576"/>
      <c r="AX49" s="576"/>
    </row>
    <row r="50" spans="1:50" ht="12.65" customHeight="1">
      <c r="A50" s="1225"/>
      <c r="B50" s="573" t="s">
        <v>165</v>
      </c>
      <c r="C50" s="589" t="s">
        <v>190</v>
      </c>
      <c r="D50" s="575">
        <f>IF(GETPIVOTDATA("Total-New",'Distrib pivot table'!$C$2,"group","2d2a")/GETPIVOTDATA("Total-New",'Distrib pivot table'!$C$2)=0,,IF(GETPIVOTDATA("Total-New",'Distrib pivot table'!$C$2,"group","2d2a")/GETPIVOTDATA("Total-New",'Distrib pivot table'!$C$2)&gt;0.0005,GETPIVOTDATA("Total-New",'Distrib pivot table'!$C$2,"group","2d2a")/GETPIVOTDATA("Total-New",'Distrib pivot table'!$C$2),"*"))</f>
        <v>6.7206922044039377E-3</v>
      </c>
      <c r="E50" s="575">
        <f>IF((GETPIVOTDATA("Total-New",'Distrib pivot table'!$C$2,"state","AL","group","2d2a")/GETPIVOTDATA("Total-New",'Distrib pivot table'!$C$2,"state","AL"))=0,,IF(GETPIVOTDATA("Total-New",'Distrib pivot table'!$C$2,"state","AL","group","2d2a")/GETPIVOTDATA("Total-New",'Distrib pivot table'!$C$2,"state","AL")&gt;0.0005,GETPIVOTDATA("Total-New",'Distrib pivot table'!$C$2,"state","AL","group","2d2a")/GETPIVOTDATA("Total-New",'Distrib pivot table'!$C$2,"state","AL"),"*"))</f>
        <v>0</v>
      </c>
      <c r="F50" s="575">
        <f>IF((GETPIVOTDATA("Total-New",'Distrib pivot table'!$C$2,"state","AR","group","2d2a")/GETPIVOTDATA("Total-New",'Distrib pivot table'!$C$2,"state","AR"))=0,,IF(GETPIVOTDATA("Total-New",'Distrib pivot table'!$C$2,"state","AR","group","2d2a")/GETPIVOTDATA("Total-New",'Distrib pivot table'!$C$2,"state","AR")&gt;0.0005,GETPIVOTDATA("Total-New",'Distrib pivot table'!$C$2,"state","AR","group","2d2a")/GETPIVOTDATA("Total-New",'Distrib pivot table'!$C$2,"state","AR"),"*"))</f>
        <v>0</v>
      </c>
      <c r="G50" s="575">
        <f>IF((GETPIVOTDATA("Total-New",'Distrib pivot table'!$C$2,"state","DE","group","2d2a")/GETPIVOTDATA("Total-New",'Distrib pivot table'!$C$2,"state","DE"))=0,,IF(GETPIVOTDATA("Total-New",'Distrib pivot table'!$C$2,"state","DE","group","2d2a")/GETPIVOTDATA("Total-New",'Distrib pivot table'!$C$2,"state","DE")&gt;0.0005,GETPIVOTDATA("Total-New",'Distrib pivot table'!$C$2,"state","DE","group","2d2a")/GETPIVOTDATA("Total-New",'Distrib pivot table'!$C$2,"state","DE"),"*"))</f>
        <v>0</v>
      </c>
      <c r="H50" s="575">
        <f>IF((GETPIVOTDATA("Total-New",'Distrib pivot table'!$C$2,"state","FL","group","2d2a")/GETPIVOTDATA("Total-New",'Distrib pivot table'!$C$2,"state","FL"))=0,,IF(GETPIVOTDATA("Total-New",'Distrib pivot table'!$C$2,"state","FL","group","2d2a")/GETPIVOTDATA("Total-New",'Distrib pivot table'!$C$2,"state","FL")&gt;0.0005,GETPIVOTDATA("Total-New",'Distrib pivot table'!$C$2,"state","FL","group","2d2a")/GETPIVOTDATA("Total-New",'Distrib pivot table'!$C$2,"state","FL"),"*"))</f>
        <v>0</v>
      </c>
      <c r="I50" s="575">
        <f>IF((GETPIVOTDATA("Total-New",'Distrib pivot table'!$C$2,"state","GA","group","2d2a")/GETPIVOTDATA("Total-New",'Distrib pivot table'!$C$2,"state","GA"))=0,,IF(GETPIVOTDATA("Total-New",'Distrib pivot table'!$C$2,"state","GA","group","2d2a")/GETPIVOTDATA("Total-New",'Distrib pivot table'!$C$2,"state","GA")&gt;0.0005,GETPIVOTDATA("Total-New",'Distrib pivot table'!$C$2,"state","GA","group","2d2a")/GETPIVOTDATA("Total-New",'Distrib pivot table'!$C$2,"state","GA"),"*"))</f>
        <v>0</v>
      </c>
      <c r="J50" s="575">
        <f>IF((GETPIVOTDATA("Total-New",'Distrib pivot table'!$C$2,"state","KY","group","2d2a")/GETPIVOTDATA("Total-New",'Distrib pivot table'!$C$2,"state","KY"))=0,,IF(GETPIVOTDATA("Total-New",'Distrib pivot table'!$C$2,"state","KY","group","2d2a")/GETPIVOTDATA("Total-New",'Distrib pivot table'!$C$2,"state","KY")&gt;0.0005,GETPIVOTDATA("Total-New",'Distrib pivot table'!$C$2,"state","KY","group","2d2a")/GETPIVOTDATA("Total-New",'Distrib pivot table'!$C$2,"state","KY"),"*"))</f>
        <v>0</v>
      </c>
      <c r="K50" s="575">
        <f>IF((GETPIVOTDATA("Total-New",'Distrib pivot table'!$C$2,"state","LA","group","2d2a")/GETPIVOTDATA("Total-New",'Distrib pivot table'!$C$2,"state","LA"))=0,,IF(GETPIVOTDATA("Total-New",'Distrib pivot table'!$C$2,"state","LA","group","2d2a")/GETPIVOTDATA("Total-New",'Distrib pivot table'!$C$2,"state","LA")&gt;0.0005,GETPIVOTDATA("Total-New",'Distrib pivot table'!$C$2,"state","LA","group","2d2a")/GETPIVOTDATA("Total-New",'Distrib pivot table'!$C$2,"state","LA"),"*"))</f>
        <v>0</v>
      </c>
      <c r="L50" s="575">
        <f>IF((GETPIVOTDATA("Total-New",'Distrib pivot table'!$C$2,"state","MD","group","2d2a")/GETPIVOTDATA("Total-New",'Distrib pivot table'!$C$2,"state","MD"))=0,,IF(GETPIVOTDATA("Total-New",'Distrib pivot table'!$C$2,"state","MD","group","2d2a")/GETPIVOTDATA("Total-New",'Distrib pivot table'!$C$2,"state","MD")&gt;0.0005,GETPIVOTDATA("Total-New",'Distrib pivot table'!$C$2,"state","MD","group","2d2a")/GETPIVOTDATA("Total-New",'Distrib pivot table'!$C$2,"state","MD"),"*"))</f>
        <v>1.3788433571346997E-2</v>
      </c>
      <c r="M50" s="575">
        <f>IF((GETPIVOTDATA("Total-New",'Distrib pivot table'!$C$2,"state","MS","group","2d2a")/GETPIVOTDATA("Total-New",'Distrib pivot table'!$C$2,"state","MS"))=0,,IF(GETPIVOTDATA("Total-New",'Distrib pivot table'!$C$2,"state","MS","group","2d2a")/GETPIVOTDATA("Total-New",'Distrib pivot table'!$C$2,"state","MS")&gt;0.0005,GETPIVOTDATA("Total-New",'Distrib pivot table'!$C$2,"state","MS","group","2d2a")/GETPIVOTDATA("Total-New",'Distrib pivot table'!$C$2,"state","MS"),"*"))</f>
        <v>0</v>
      </c>
      <c r="N50" s="575">
        <f>IF((GETPIVOTDATA("Total-New",'Distrib pivot table'!$C$2,"state","NC","group","2d2a")/GETPIVOTDATA("Total-New",'Distrib pivot table'!$C$2,"state","NC"))=0,,IF(GETPIVOTDATA("Total-New",'Distrib pivot table'!$C$2,"state","NC","group","2d2a")/GETPIVOTDATA("Total-New",'Distrib pivot table'!$C$2,"state","NC")&gt;0.0005,GETPIVOTDATA("Total-New",'Distrib pivot table'!$C$2,"state","NC","group","2d2a")/GETPIVOTDATA("Total-New",'Distrib pivot table'!$C$2,"state","NC"),"*"))</f>
        <v>1.8921773342426267E-2</v>
      </c>
      <c r="O50" s="575">
        <f>IF((GETPIVOTDATA("Total-New",'Distrib pivot table'!$C$2,"state","OK","group","2d2a")/GETPIVOTDATA("Total-New",'Distrib pivot table'!$C$2,"state","OK"))=0,,IF(GETPIVOTDATA("Total-New",'Distrib pivot table'!$C$2,"state","OK","group","2d2a")/GETPIVOTDATA("Total-New",'Distrib pivot table'!$C$2,"state","OK")&gt;0.0005,GETPIVOTDATA("Total-New",'Distrib pivot table'!$C$2,"state","OK","group","2d2a")/GETPIVOTDATA("Total-New",'Distrib pivot table'!$C$2,"state","OK"),"*"))</f>
        <v>0</v>
      </c>
      <c r="P50" s="575">
        <f>IF((GETPIVOTDATA("Total-New",'Distrib pivot table'!$C$2,"state","SC","group","2d2a")/GETPIVOTDATA("Total-New",'Distrib pivot table'!$C$2,"state","SC"))=0,,IF(GETPIVOTDATA("Total-New",'Distrib pivot table'!$C$2,"state","SC","group","2d2a")/GETPIVOTDATA("Total-New",'Distrib pivot table'!$C$2,"state","SC")&gt;0.0005,GETPIVOTDATA("Total-New",'Distrib pivot table'!$C$2,"state","SC","group","2d2a")/GETPIVOTDATA("Total-New",'Distrib pivot table'!$C$2,"state","SC"),"*"))</f>
        <v>0</v>
      </c>
      <c r="Q50" s="575">
        <f>IF((GETPIVOTDATA("Total-New",'Distrib pivot table'!$C$2,"state","TN","group","2d2a")/GETPIVOTDATA("Total-New",'Distrib pivot table'!$C$2,"state","TN"))=0,,IF(GETPIVOTDATA("Total-New",'Distrib pivot table'!$C$2,"state","TN","group","2d2a")/GETPIVOTDATA("Total-New",'Distrib pivot table'!$C$2,"state","TN")&gt;0.0005,GETPIVOTDATA("Total-New",'Distrib pivot table'!$C$2,"state","TN","group","2d2a")/GETPIVOTDATA("Total-New",'Distrib pivot table'!$C$2,"state","TN"),"*"))</f>
        <v>0</v>
      </c>
      <c r="R50" s="575">
        <f>IF((GETPIVOTDATA("Total-New",'Distrib pivot table'!$C$2,"state","TX","group","2d2a")/GETPIVOTDATA("Total-New",'Distrib pivot table'!$C$2,"state","TX"))=0,,IF(GETPIVOTDATA("Total-New",'Distrib pivot table'!$C$2,"state","TX","group","2d2a")/GETPIVOTDATA("Total-New",'Distrib pivot table'!$C$2,"state","TX")&gt;0.0005,GETPIVOTDATA("Total-New",'Distrib pivot table'!$C$2,"state","TX","group","2d2a")/GETPIVOTDATA("Total-New",'Distrib pivot table'!$C$2,"state","TX"),"*"))</f>
        <v>0</v>
      </c>
      <c r="S50" s="575">
        <f>IF((GETPIVOTDATA("Total-New",'Distrib pivot table'!$C$2,"state","VA","group","2d2a")/GETPIVOTDATA("Total-New",'Distrib pivot table'!$C$2,"state","VA"))=0,,IF(GETPIVOTDATA("Total-New",'Distrib pivot table'!$C$2,"state","VA","group","2d2a")/GETPIVOTDATA("Total-New",'Distrib pivot table'!$C$2,"state","VA")&gt;0.0005,GETPIVOTDATA("Total-New",'Distrib pivot table'!$C$2,"state","VA","group","2d2a")/GETPIVOTDATA("Total-New",'Distrib pivot table'!$C$2,"state","VA"),"*"))</f>
        <v>3.7919528671983255E-2</v>
      </c>
      <c r="T50" s="575">
        <f>IF((GETPIVOTDATA("Total-New",'Distrib pivot table'!$C$2,"state","WV","group","2d2a")/GETPIVOTDATA("Total-New",'Distrib pivot table'!$C$2,"state","WV"))=0,,IF(GETPIVOTDATA("Total-New",'Distrib pivot table'!$C$2,"state","WV","group","2d2a")/GETPIVOTDATA("Total-New",'Distrib pivot table'!$C$2,"state","WV")&gt;0.0005,GETPIVOTDATA("Total-New",'Distrib pivot table'!$C$2,"state","WV","group","2d2a")/GETPIVOTDATA("Total-New",'Distrib pivot table'!$C$2,"state","WV"),"*"))</f>
        <v>0</v>
      </c>
      <c r="U50" s="576"/>
      <c r="V50" s="576"/>
      <c r="W50" s="576"/>
      <c r="X50" s="576"/>
      <c r="Y50" s="576"/>
      <c r="Z50" s="576"/>
      <c r="AA50" s="576"/>
      <c r="AB50" s="576"/>
      <c r="AC50" s="576"/>
      <c r="AD50" s="576"/>
      <c r="AE50" s="576"/>
      <c r="AF50" s="576"/>
      <c r="AG50" s="576"/>
      <c r="AH50" s="576"/>
      <c r="AI50" s="576"/>
      <c r="AJ50" s="576"/>
      <c r="AK50" s="576"/>
      <c r="AL50" s="576"/>
      <c r="AM50" s="576"/>
      <c r="AN50" s="576"/>
      <c r="AO50" s="576"/>
      <c r="AP50" s="576"/>
      <c r="AQ50" s="576"/>
      <c r="AR50" s="576"/>
      <c r="AS50" s="576"/>
      <c r="AT50" s="576"/>
      <c r="AU50" s="576"/>
      <c r="AV50" s="576"/>
      <c r="AW50" s="576"/>
      <c r="AX50" s="576"/>
    </row>
    <row r="51" spans="1:50" ht="12.65" customHeight="1">
      <c r="A51" s="1225"/>
      <c r="B51" s="573" t="s">
        <v>167</v>
      </c>
      <c r="C51" s="589" t="s">
        <v>191</v>
      </c>
      <c r="D51" s="575">
        <f>IF(GETPIVOTDATA("Total-New",'Distrib pivot table'!$C$2,"group","2d2b")/GETPIVOTDATA("Total-New",'Distrib pivot table'!$C$2)=0,,IF(GETPIVOTDATA("Total-New",'Distrib pivot table'!$C$2,"group","2d2b")/GETPIVOTDATA("Total-New",'Distrib pivot table'!$C$2)&gt;0.0005,GETPIVOTDATA("Total-New",'Distrib pivot table'!$C$2,"group","2d2b")/GETPIVOTDATA("Total-New",'Distrib pivot table'!$C$2),"*"))</f>
        <v>1.1905408187255558E-2</v>
      </c>
      <c r="E51" s="575" t="str">
        <f>IF((GETPIVOTDATA("Total-New",'Distrib pivot table'!$C$2,"state","AL","group","2d2b")/GETPIVOTDATA("Total-New",'Distrib pivot table'!$C$2,"state","AL"))=0,,IF(GETPIVOTDATA("Total-New",'Distrib pivot table'!$C$2,"state","AL","group","2d2b")/GETPIVOTDATA("Total-New",'Distrib pivot table'!$C$2,"state","AL")&gt;0.0005,GETPIVOTDATA("Total-New",'Distrib pivot table'!$C$2,"state","AL","group","2d2b")/GETPIVOTDATA("Total-New",'Distrib pivot table'!$C$2,"state","AL"),"*"))</f>
        <v>*</v>
      </c>
      <c r="F51" s="575" t="str">
        <f>IF((GETPIVOTDATA("Total-New",'Distrib pivot table'!$C$2,"state","AR","group","2d2b")/GETPIVOTDATA("Total-New",'Distrib pivot table'!$C$2,"state","AR"))=0,,IF(GETPIVOTDATA("Total-New",'Distrib pivot table'!$C$2,"state","AR","group","2d2b")/GETPIVOTDATA("Total-New",'Distrib pivot table'!$C$2,"state","AR")&gt;0.0005,GETPIVOTDATA("Total-New",'Distrib pivot table'!$C$2,"state","AR","group","2d2b")/GETPIVOTDATA("Total-New",'Distrib pivot table'!$C$2,"state","AR"),"*"))</f>
        <v>*</v>
      </c>
      <c r="G51" s="575">
        <f>IF((GETPIVOTDATA("Total-New",'Distrib pivot table'!$C$2,"state","DE","group","2d2b")/GETPIVOTDATA("Total-New",'Distrib pivot table'!$C$2,"state","DE"))=0,,IF(GETPIVOTDATA("Total-New",'Distrib pivot table'!$C$2,"state","DE","group","2d2b")/GETPIVOTDATA("Total-New",'Distrib pivot table'!$C$2,"state","DE")&gt;0.0005,GETPIVOTDATA("Total-New",'Distrib pivot table'!$C$2,"state","DE","group","2d2b")/GETPIVOTDATA("Total-New",'Distrib pivot table'!$C$2,"state","DE"),"*"))</f>
        <v>0</v>
      </c>
      <c r="H51" s="575">
        <f>IF((GETPIVOTDATA("Total-New",'Distrib pivot table'!$C$2,"state","FL","group","2d2b")/GETPIVOTDATA("Total-New",'Distrib pivot table'!$C$2,"state","FL"))=0,,IF(GETPIVOTDATA("Total-New",'Distrib pivot table'!$C$2,"state","FL","group","2d2b")/GETPIVOTDATA("Total-New",'Distrib pivot table'!$C$2,"state","FL")&gt;0.0005,GETPIVOTDATA("Total-New",'Distrib pivot table'!$C$2,"state","FL","group","2d2b")/GETPIVOTDATA("Total-New",'Distrib pivot table'!$C$2,"state","FL"),"*"))</f>
        <v>0</v>
      </c>
      <c r="I51" s="575">
        <f>IF((GETPIVOTDATA("Total-New",'Distrib pivot table'!$C$2,"state","GA","group","2d2b")/GETPIVOTDATA("Total-New",'Distrib pivot table'!$C$2,"state","GA"))=0,,IF(GETPIVOTDATA("Total-New",'Distrib pivot table'!$C$2,"state","GA","group","2d2b")/GETPIVOTDATA("Total-New",'Distrib pivot table'!$C$2,"state","GA")&gt;0.0005,GETPIVOTDATA("Total-New",'Distrib pivot table'!$C$2,"state","GA","group","2d2b")/GETPIVOTDATA("Total-New",'Distrib pivot table'!$C$2,"state","GA"),"*"))</f>
        <v>0.1213993981777141</v>
      </c>
      <c r="J51" s="575">
        <f>IF((GETPIVOTDATA("Total-New",'Distrib pivot table'!$C$2,"state","KY","group","2d2b")/GETPIVOTDATA("Total-New",'Distrib pivot table'!$C$2,"state","KY"))=0,,IF(GETPIVOTDATA("Total-New",'Distrib pivot table'!$C$2,"state","KY","group","2d2b")/GETPIVOTDATA("Total-New",'Distrib pivot table'!$C$2,"state","KY")&gt;0.0005,GETPIVOTDATA("Total-New",'Distrib pivot table'!$C$2,"state","KY","group","2d2b")/GETPIVOTDATA("Total-New",'Distrib pivot table'!$C$2,"state","KY"),"*"))</f>
        <v>0</v>
      </c>
      <c r="K51" s="575" t="str">
        <f>IF((GETPIVOTDATA("Total-New",'Distrib pivot table'!$C$2,"state","LA","group","2d2b")/GETPIVOTDATA("Total-New",'Distrib pivot table'!$C$2,"state","LA"))=0,,IF(GETPIVOTDATA("Total-New",'Distrib pivot table'!$C$2,"state","LA","group","2d2b")/GETPIVOTDATA("Total-New",'Distrib pivot table'!$C$2,"state","LA")&gt;0.0005,GETPIVOTDATA("Total-New",'Distrib pivot table'!$C$2,"state","LA","group","2d2b")/GETPIVOTDATA("Total-New",'Distrib pivot table'!$C$2,"state","LA"),"*"))</f>
        <v>*</v>
      </c>
      <c r="L51" s="575">
        <f>IF((GETPIVOTDATA("Total-New",'Distrib pivot table'!$C$2,"state","MD","group","2d2b")/GETPIVOTDATA("Total-New",'Distrib pivot table'!$C$2,"state","MD"))=0,,IF(GETPIVOTDATA("Total-New",'Distrib pivot table'!$C$2,"state","MD","group","2d2b")/GETPIVOTDATA("Total-New",'Distrib pivot table'!$C$2,"state","MD")&gt;0.0005,GETPIVOTDATA("Total-New",'Distrib pivot table'!$C$2,"state","MD","group","2d2b")/GETPIVOTDATA("Total-New",'Distrib pivot table'!$C$2,"state","MD"),"*"))</f>
        <v>3.0062148538472699E-3</v>
      </c>
      <c r="M51" s="575">
        <f>IF((GETPIVOTDATA("Total-New",'Distrib pivot table'!$C$2,"state","MS","group","2d2b")/GETPIVOTDATA("Total-New",'Distrib pivot table'!$C$2,"state","MS"))=0,,IF(GETPIVOTDATA("Total-New",'Distrib pivot table'!$C$2,"state","MS","group","2d2b")/GETPIVOTDATA("Total-New",'Distrib pivot table'!$C$2,"state","MS")&gt;0.0005,GETPIVOTDATA("Total-New",'Distrib pivot table'!$C$2,"state","MS","group","2d2b")/GETPIVOTDATA("Total-New",'Distrib pivot table'!$C$2,"state","MS"),"*"))</f>
        <v>4.3762403831226352E-3</v>
      </c>
      <c r="N51" s="575" t="str">
        <f>IF((GETPIVOTDATA("Total-New",'Distrib pivot table'!$C$2,"state","NC","group","2d2b")/GETPIVOTDATA("Total-New",'Distrib pivot table'!$C$2,"state","NC"))=0,,IF(GETPIVOTDATA("Total-New",'Distrib pivot table'!$C$2,"state","NC","group","2d2b")/GETPIVOTDATA("Total-New",'Distrib pivot table'!$C$2,"state","NC")&gt;0.0005,GETPIVOTDATA("Total-New",'Distrib pivot table'!$C$2,"state","NC","group","2d2b")/GETPIVOTDATA("Total-New",'Distrib pivot table'!$C$2,"state","NC"),"*"))</f>
        <v>*</v>
      </c>
      <c r="O51" s="575">
        <f>IF((GETPIVOTDATA("Total-New",'Distrib pivot table'!$C$2,"state","OK","group","2d2b")/GETPIVOTDATA("Total-New",'Distrib pivot table'!$C$2,"state","OK"))=0,,IF(GETPIVOTDATA("Total-New",'Distrib pivot table'!$C$2,"state","OK","group","2d2b")/GETPIVOTDATA("Total-New",'Distrib pivot table'!$C$2,"state","OK")&gt;0.0005,GETPIVOTDATA("Total-New",'Distrib pivot table'!$C$2,"state","OK","group","2d2b")/GETPIVOTDATA("Total-New",'Distrib pivot table'!$C$2,"state","OK"),"*"))</f>
        <v>0</v>
      </c>
      <c r="P51" s="575">
        <f>IF((GETPIVOTDATA("Total-New",'Distrib pivot table'!$C$2,"state","SC","group","2d2b")/GETPIVOTDATA("Total-New",'Distrib pivot table'!$C$2,"state","SC"))=0,,IF(GETPIVOTDATA("Total-New",'Distrib pivot table'!$C$2,"state","SC","group","2d2b")/GETPIVOTDATA("Total-New",'Distrib pivot table'!$C$2,"state","SC")&gt;0.0005,GETPIVOTDATA("Total-New",'Distrib pivot table'!$C$2,"state","SC","group","2d2b")/GETPIVOTDATA("Total-New",'Distrib pivot table'!$C$2,"state","SC"),"*"))</f>
        <v>0</v>
      </c>
      <c r="Q51" s="575">
        <f>IF((GETPIVOTDATA("Total-New",'Distrib pivot table'!$C$2,"state","TN","group","2d2b")/GETPIVOTDATA("Total-New",'Distrib pivot table'!$C$2,"state","TN"))=0,,IF(GETPIVOTDATA("Total-New",'Distrib pivot table'!$C$2,"state","TN","group","2d2b")/GETPIVOTDATA("Total-New",'Distrib pivot table'!$C$2,"state","TN")&gt;0.0005,GETPIVOTDATA("Total-New",'Distrib pivot table'!$C$2,"state","TN","group","2d2b")/GETPIVOTDATA("Total-New",'Distrib pivot table'!$C$2,"state","TN"),"*"))</f>
        <v>0</v>
      </c>
      <c r="R51" s="575">
        <f>IF((GETPIVOTDATA("Total-New",'Distrib pivot table'!$C$2,"state","TX","group","2d2b")/GETPIVOTDATA("Total-New",'Distrib pivot table'!$C$2,"state","TX"))=0,,IF(GETPIVOTDATA("Total-New",'Distrib pivot table'!$C$2,"state","TX","group","2d2b")/GETPIVOTDATA("Total-New",'Distrib pivot table'!$C$2,"state","TX")&gt;0.0005,GETPIVOTDATA("Total-New",'Distrib pivot table'!$C$2,"state","TX","group","2d2b")/GETPIVOTDATA("Total-New",'Distrib pivot table'!$C$2,"state","TX"),"*"))</f>
        <v>0</v>
      </c>
      <c r="S51" s="575">
        <f>IF((GETPIVOTDATA("Total-New",'Distrib pivot table'!$C$2,"state","VA","group","2d2b")/GETPIVOTDATA("Total-New",'Distrib pivot table'!$C$2,"state","VA"))=0,,IF(GETPIVOTDATA("Total-New",'Distrib pivot table'!$C$2,"state","VA","group","2d2b")/GETPIVOTDATA("Total-New",'Distrib pivot table'!$C$2,"state","VA")&gt;0.0005,GETPIVOTDATA("Total-New",'Distrib pivot table'!$C$2,"state","VA","group","2d2b")/GETPIVOTDATA("Total-New",'Distrib pivot table'!$C$2,"state","VA"),"*"))</f>
        <v>1.2372583863629668E-3</v>
      </c>
      <c r="T51" s="575">
        <f>IF((GETPIVOTDATA("Total-New",'Distrib pivot table'!$C$2,"state","WV","group","2d2b")/GETPIVOTDATA("Total-New",'Distrib pivot table'!$C$2,"state","WV"))=0,,IF(GETPIVOTDATA("Total-New",'Distrib pivot table'!$C$2,"state","WV","group","2d2b")/GETPIVOTDATA("Total-New",'Distrib pivot table'!$C$2,"state","WV")&gt;0.0005,GETPIVOTDATA("Total-New",'Distrib pivot table'!$C$2,"state","WV","group","2d2b")/GETPIVOTDATA("Total-New",'Distrib pivot table'!$C$2,"state","WV"),"*"))</f>
        <v>0</v>
      </c>
      <c r="U51" s="576"/>
      <c r="V51" s="576"/>
      <c r="W51" s="576"/>
      <c r="X51" s="576"/>
      <c r="Y51" s="576"/>
      <c r="Z51" s="576"/>
      <c r="AA51" s="576"/>
      <c r="AB51" s="576"/>
      <c r="AC51" s="576"/>
      <c r="AD51" s="576"/>
      <c r="AE51" s="576"/>
      <c r="AF51" s="576"/>
      <c r="AG51" s="576"/>
      <c r="AH51" s="576"/>
      <c r="AI51" s="576"/>
      <c r="AJ51" s="576"/>
      <c r="AK51" s="576"/>
      <c r="AL51" s="576"/>
      <c r="AM51" s="576"/>
      <c r="AN51" s="576"/>
      <c r="AO51" s="576"/>
      <c r="AP51" s="576"/>
      <c r="AQ51" s="576"/>
      <c r="AR51" s="576"/>
      <c r="AS51" s="576"/>
      <c r="AT51" s="576"/>
      <c r="AU51" s="576"/>
      <c r="AV51" s="576"/>
      <c r="AW51" s="576"/>
      <c r="AX51" s="576"/>
    </row>
    <row r="52" spans="1:50" ht="12.65" customHeight="1">
      <c r="A52" s="1225"/>
      <c r="B52" s="573" t="s">
        <v>332</v>
      </c>
      <c r="C52" s="589" t="s">
        <v>192</v>
      </c>
      <c r="D52" s="575">
        <f>IF(GETPIVOTDATA("Total-New",'Distrib pivot table'!$C$2,"group","2d3")/GETPIVOTDATA("Total-New",'Distrib pivot table'!$C$2)=0,,IF(GETPIVOTDATA("Total-New",'Distrib pivot table'!$C$2,"group","2d3")/GETPIVOTDATA("Total-New",'Distrib pivot table'!$C$2)&gt;0.0005,GETPIVOTDATA("Total-New",'Distrib pivot table'!$C$2,"group","2d3")/GETPIVOTDATA("Total-New",'Distrib pivot table'!$C$2),"*"))</f>
        <v>0</v>
      </c>
      <c r="E52" s="575">
        <f>IF((GETPIVOTDATA("Total-New",'Distrib pivot table'!$C$2,"state","AL","group","2d3")/GETPIVOTDATA("Total-New",'Distrib pivot table'!$C$2,"state","AL"))=0,,IF(GETPIVOTDATA("Total-New",'Distrib pivot table'!$C$2,"state","AL","group","2d3")/GETPIVOTDATA("Total-New",'Distrib pivot table'!$C$2,"state","AL")&gt;0.0005,GETPIVOTDATA("Total-New",'Distrib pivot table'!$C$2,"state","AL","group","2d3")/GETPIVOTDATA("Total-New",'Distrib pivot table'!$C$2,"state","AL"),"*"))</f>
        <v>0</v>
      </c>
      <c r="F52" s="575">
        <f>IF((GETPIVOTDATA("Total-New",'Distrib pivot table'!$C$2,"state","AR","group","2d3")/GETPIVOTDATA("Total-New",'Distrib pivot table'!$C$2,"state","AR"))=0,,IF(GETPIVOTDATA("Total-New",'Distrib pivot table'!$C$2,"state","AR","group","2d3")/GETPIVOTDATA("Total-New",'Distrib pivot table'!$C$2,"state","AR")&gt;0.0005,GETPIVOTDATA("Total-New",'Distrib pivot table'!$C$2,"state","AR","group","2d3")/GETPIVOTDATA("Total-New",'Distrib pivot table'!$C$2,"state","AR"),"*"))</f>
        <v>0</v>
      </c>
      <c r="G52" s="575">
        <f>IF((GETPIVOTDATA("Total-New",'Distrib pivot table'!$C$2,"state","DE","group","2d3")/GETPIVOTDATA("Total-New",'Distrib pivot table'!$C$2,"state","DE"))=0,,IF(GETPIVOTDATA("Total-New",'Distrib pivot table'!$C$2,"state","DE","group","2d3")/GETPIVOTDATA("Total-New",'Distrib pivot table'!$C$2,"state","DE")&gt;0.0005,GETPIVOTDATA("Total-New",'Distrib pivot table'!$C$2,"state","DE","group","2d3")/GETPIVOTDATA("Total-New",'Distrib pivot table'!$C$2,"state","DE"),"*"))</f>
        <v>0</v>
      </c>
      <c r="H52" s="575">
        <f>IF((GETPIVOTDATA("Total-New",'Distrib pivot table'!$C$2,"state","FL","group","2d3")/GETPIVOTDATA("Total-New",'Distrib pivot table'!$C$2,"state","FL"))=0,,IF(GETPIVOTDATA("Total-New",'Distrib pivot table'!$C$2,"state","FL","group","2d3")/GETPIVOTDATA("Total-New",'Distrib pivot table'!$C$2,"state","FL")&gt;0.0005,GETPIVOTDATA("Total-New",'Distrib pivot table'!$C$2,"state","FL","group","2d3")/GETPIVOTDATA("Total-New",'Distrib pivot table'!$C$2,"state","FL"),"*"))</f>
        <v>0</v>
      </c>
      <c r="I52" s="575">
        <f>IF((GETPIVOTDATA("Total-New",'Distrib pivot table'!$C$2,"state","GA","group","2d3")/GETPIVOTDATA("Total-New",'Distrib pivot table'!$C$2,"state","GA"))=0,,IF(GETPIVOTDATA("Total-New",'Distrib pivot table'!$C$2,"state","GA","group","2d3")/GETPIVOTDATA("Total-New",'Distrib pivot table'!$C$2,"state","GA")&gt;0.0005,GETPIVOTDATA("Total-New",'Distrib pivot table'!$C$2,"state","GA","group","2d3")/GETPIVOTDATA("Total-New",'Distrib pivot table'!$C$2,"state","GA"),"*"))</f>
        <v>0</v>
      </c>
      <c r="J52" s="575">
        <f>IF((GETPIVOTDATA("Total-New",'Distrib pivot table'!$C$2,"state","KY","group","2d3")/GETPIVOTDATA("Total-New",'Distrib pivot table'!$C$2,"state","KY"))=0,,IF(GETPIVOTDATA("Total-New",'Distrib pivot table'!$C$2,"state","KY","group","2d3")/GETPIVOTDATA("Total-New",'Distrib pivot table'!$C$2,"state","KY")&gt;0.0005,GETPIVOTDATA("Total-New",'Distrib pivot table'!$C$2,"state","KY","group","2d3")/GETPIVOTDATA("Total-New",'Distrib pivot table'!$C$2,"state","KY"),"*"))</f>
        <v>0</v>
      </c>
      <c r="K52" s="575">
        <f>IF((GETPIVOTDATA("Total-New",'Distrib pivot table'!$C$2,"state","LA","group","2d3")/GETPIVOTDATA("Total-New",'Distrib pivot table'!$C$2,"state","LA"))=0,,IF(GETPIVOTDATA("Total-New",'Distrib pivot table'!$C$2,"state","LA","group","2d3")/GETPIVOTDATA("Total-New",'Distrib pivot table'!$C$2,"state","LA")&gt;0.0005,GETPIVOTDATA("Total-New",'Distrib pivot table'!$C$2,"state","LA","group","2d3")/GETPIVOTDATA("Total-New",'Distrib pivot table'!$C$2,"state","LA"),"*"))</f>
        <v>0</v>
      </c>
      <c r="L52" s="575">
        <f>IF((GETPIVOTDATA("Total-New",'Distrib pivot table'!$C$2,"state","MD","group","2d3")/GETPIVOTDATA("Total-New",'Distrib pivot table'!$C$2,"state","MD"))=0,,IF(GETPIVOTDATA("Total-New",'Distrib pivot table'!$C$2,"state","MD","group","2d3")/GETPIVOTDATA("Total-New",'Distrib pivot table'!$C$2,"state","MD")&gt;0.0005,GETPIVOTDATA("Total-New",'Distrib pivot table'!$C$2,"state","MD","group","2d3")/GETPIVOTDATA("Total-New",'Distrib pivot table'!$C$2,"state","MD"),"*"))</f>
        <v>0</v>
      </c>
      <c r="M52" s="575">
        <f>IF((GETPIVOTDATA("Total-New",'Distrib pivot table'!$C$2,"state","MS","group","2d3")/GETPIVOTDATA("Total-New",'Distrib pivot table'!$C$2,"state","MS"))=0,,IF(GETPIVOTDATA("Total-New",'Distrib pivot table'!$C$2,"state","MS","group","2d3")/GETPIVOTDATA("Total-New",'Distrib pivot table'!$C$2,"state","MS")&gt;0.0005,GETPIVOTDATA("Total-New",'Distrib pivot table'!$C$2,"state","MS","group","2d3")/GETPIVOTDATA("Total-New",'Distrib pivot table'!$C$2,"state","MS"),"*"))</f>
        <v>0</v>
      </c>
      <c r="N52" s="575">
        <f>IF((GETPIVOTDATA("Total-New",'Distrib pivot table'!$C$2,"state","NC","group","2d3")/GETPIVOTDATA("Total-New",'Distrib pivot table'!$C$2,"state","NC"))=0,,IF(GETPIVOTDATA("Total-New",'Distrib pivot table'!$C$2,"state","NC","group","2d3")/GETPIVOTDATA("Total-New",'Distrib pivot table'!$C$2,"state","NC")&gt;0.0005,GETPIVOTDATA("Total-New",'Distrib pivot table'!$C$2,"state","NC","group","2d3")/GETPIVOTDATA("Total-New",'Distrib pivot table'!$C$2,"state","NC"),"*"))</f>
        <v>0</v>
      </c>
      <c r="O52" s="575">
        <f>IF((GETPIVOTDATA("Total-New",'Distrib pivot table'!$C$2,"state","OK","group","2d3")/GETPIVOTDATA("Total-New",'Distrib pivot table'!$C$2,"state","OK"))=0,,IF(GETPIVOTDATA("Total-New",'Distrib pivot table'!$C$2,"state","OK","group","2d3")/GETPIVOTDATA("Total-New",'Distrib pivot table'!$C$2,"state","OK")&gt;0.0005,GETPIVOTDATA("Total-New",'Distrib pivot table'!$C$2,"state","OK","group","2d3")/GETPIVOTDATA("Total-New",'Distrib pivot table'!$C$2,"state","OK"),"*"))</f>
        <v>0</v>
      </c>
      <c r="P52" s="575">
        <f>IF((GETPIVOTDATA("Total-New",'Distrib pivot table'!$C$2,"state","SC","group","2d3")/GETPIVOTDATA("Total-New",'Distrib pivot table'!$C$2,"state","SC"))=0,,IF(GETPIVOTDATA("Total-New",'Distrib pivot table'!$C$2,"state","SC","group","2d3")/GETPIVOTDATA("Total-New",'Distrib pivot table'!$C$2,"state","SC")&gt;0.0005,GETPIVOTDATA("Total-New",'Distrib pivot table'!$C$2,"state","SC","group","2d3")/GETPIVOTDATA("Total-New",'Distrib pivot table'!$C$2,"state","SC"),"*"))</f>
        <v>0</v>
      </c>
      <c r="Q52" s="575">
        <f>IF((GETPIVOTDATA("Total-New",'Distrib pivot table'!$C$2,"state","TN","group","2d3")/GETPIVOTDATA("Total-New",'Distrib pivot table'!$C$2,"state","TN"))=0,,IF(GETPIVOTDATA("Total-New",'Distrib pivot table'!$C$2,"state","TN","group","2d3")/GETPIVOTDATA("Total-New",'Distrib pivot table'!$C$2,"state","TN")&gt;0.0005,GETPIVOTDATA("Total-New",'Distrib pivot table'!$C$2,"state","TN","group","2d3")/GETPIVOTDATA("Total-New",'Distrib pivot table'!$C$2,"state","TN"),"*"))</f>
        <v>0</v>
      </c>
      <c r="R52" s="575">
        <f>IF((GETPIVOTDATA("Total-New",'Distrib pivot table'!$C$2,"state","TX","group","2d3")/GETPIVOTDATA("Total-New",'Distrib pivot table'!$C$2,"state","TX"))=0,,IF(GETPIVOTDATA("Total-New",'Distrib pivot table'!$C$2,"state","TX","group","2d3")/GETPIVOTDATA("Total-New",'Distrib pivot table'!$C$2,"state","TX")&gt;0.0005,GETPIVOTDATA("Total-New",'Distrib pivot table'!$C$2,"state","TX","group","2d3")/GETPIVOTDATA("Total-New",'Distrib pivot table'!$C$2,"state","TX"),"*"))</f>
        <v>0</v>
      </c>
      <c r="S52" s="575">
        <f>IF((GETPIVOTDATA("Total-New",'Distrib pivot table'!$C$2,"state","VA","group","2d3")/GETPIVOTDATA("Total-New",'Distrib pivot table'!$C$2,"state","VA"))=0,,IF(GETPIVOTDATA("Total-New",'Distrib pivot table'!$C$2,"state","VA","group","2d3")/GETPIVOTDATA("Total-New",'Distrib pivot table'!$C$2,"state","VA")&gt;0.0005,GETPIVOTDATA("Total-New",'Distrib pivot table'!$C$2,"state","VA","group","2d3")/GETPIVOTDATA("Total-New",'Distrib pivot table'!$C$2,"state","VA"),"*"))</f>
        <v>0</v>
      </c>
      <c r="T52" s="575">
        <f>IF((GETPIVOTDATA("Total-New",'Distrib pivot table'!$C$2,"state","WV","group","2d3")/GETPIVOTDATA("Total-New",'Distrib pivot table'!$C$2,"state","WV"))=0,,IF(GETPIVOTDATA("Total-New",'Distrib pivot table'!$C$2,"state","WV","group","2d3")/GETPIVOTDATA("Total-New",'Distrib pivot table'!$C$2,"state","WV")&gt;0.0005,GETPIVOTDATA("Total-New",'Distrib pivot table'!$C$2,"state","WV","group","2d3")/GETPIVOTDATA("Total-New",'Distrib pivot table'!$C$2,"state","WV"),"*"))</f>
        <v>0</v>
      </c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6"/>
      <c r="AL52" s="576"/>
      <c r="AM52" s="576"/>
      <c r="AN52" s="576"/>
      <c r="AO52" s="576"/>
      <c r="AP52" s="576"/>
      <c r="AQ52" s="576"/>
      <c r="AR52" s="576"/>
      <c r="AS52" s="576"/>
      <c r="AT52" s="576"/>
      <c r="AU52" s="576"/>
      <c r="AV52" s="576"/>
      <c r="AW52" s="576"/>
      <c r="AX52" s="576"/>
    </row>
    <row r="53" spans="1:50" ht="12.65" customHeight="1">
      <c r="A53" s="1225"/>
      <c r="B53" s="573" t="s">
        <v>165</v>
      </c>
      <c r="C53" s="589" t="s">
        <v>195</v>
      </c>
      <c r="D53" s="575">
        <f>IF(GETPIVOTDATA("Total-New",'Distrib pivot table'!$C$2,"group","2d3a")/GETPIVOTDATA("Total-New",'Distrib pivot table'!$C$2)=0,,IF(GETPIVOTDATA("Total-New",'Distrib pivot table'!$C$2,"group","2d3a")/GETPIVOTDATA("Total-New",'Distrib pivot table'!$C$2)&gt;0.0005,GETPIVOTDATA("Total-New",'Distrib pivot table'!$C$2,"group","2d3a")/GETPIVOTDATA("Total-New",'Distrib pivot table'!$C$2),"*"))</f>
        <v>3.7628408345651036E-3</v>
      </c>
      <c r="E53" s="575">
        <f>IF((GETPIVOTDATA("Total-New",'Distrib pivot table'!$C$2,"state","AL","group","2d3a")/GETPIVOTDATA("Total-New",'Distrib pivot table'!$C$2,"state","AL"))=0,,IF(GETPIVOTDATA("Total-New",'Distrib pivot table'!$C$2,"state","AL","group","2d3a")/GETPIVOTDATA("Total-New",'Distrib pivot table'!$C$2,"state","AL")&gt;0.0005,GETPIVOTDATA("Total-New",'Distrib pivot table'!$C$2,"state","AL","group","2d3a")/GETPIVOTDATA("Total-New",'Distrib pivot table'!$C$2,"state","AL"),"*"))</f>
        <v>0</v>
      </c>
      <c r="F53" s="575">
        <f>IF((GETPIVOTDATA("Total-New",'Distrib pivot table'!$C$2,"state","AR","group","2d3a")/GETPIVOTDATA("Total-New",'Distrib pivot table'!$C$2,"state","AR"))=0,,IF(GETPIVOTDATA("Total-New",'Distrib pivot table'!$C$2,"state","AR","group","2d3a")/GETPIVOTDATA("Total-New",'Distrib pivot table'!$C$2,"state","AR")&gt;0.0005,GETPIVOTDATA("Total-New",'Distrib pivot table'!$C$2,"state","AR","group","2d3a")/GETPIVOTDATA("Total-New",'Distrib pivot table'!$C$2,"state","AR"),"*"))</f>
        <v>0</v>
      </c>
      <c r="G53" s="575">
        <f>IF((GETPIVOTDATA("Total-New",'Distrib pivot table'!$C$2,"state","DE","group","2d3a")/GETPIVOTDATA("Total-New",'Distrib pivot table'!$C$2,"state","DE"))=0,,IF(GETPIVOTDATA("Total-New",'Distrib pivot table'!$C$2,"state","DE","group","2d3a")/GETPIVOTDATA("Total-New",'Distrib pivot table'!$C$2,"state","DE")&gt;0.0005,GETPIVOTDATA("Total-New",'Distrib pivot table'!$C$2,"state","DE","group","2d3a")/GETPIVOTDATA("Total-New",'Distrib pivot table'!$C$2,"state","DE"),"*"))</f>
        <v>0</v>
      </c>
      <c r="H53" s="575">
        <f>IF((GETPIVOTDATA("Total-New",'Distrib pivot table'!$C$2,"state","FL","group","2d3a")/GETPIVOTDATA("Total-New",'Distrib pivot table'!$C$2,"state","FL"))=0,,IF(GETPIVOTDATA("Total-New",'Distrib pivot table'!$C$2,"state","FL","group","2d3a")/GETPIVOTDATA("Total-New",'Distrib pivot table'!$C$2,"state","FL")&gt;0.0005,GETPIVOTDATA("Total-New",'Distrib pivot table'!$C$2,"state","FL","group","2d3a")/GETPIVOTDATA("Total-New",'Distrib pivot table'!$C$2,"state","FL"),"*"))</f>
        <v>0</v>
      </c>
      <c r="I53" s="575">
        <f>IF((GETPIVOTDATA("Total-New",'Distrib pivot table'!$C$2,"state","GA","group","2d3a")/GETPIVOTDATA("Total-New",'Distrib pivot table'!$C$2,"state","GA"))=0,,IF(GETPIVOTDATA("Total-New",'Distrib pivot table'!$C$2,"state","GA","group","2d3a")/GETPIVOTDATA("Total-New",'Distrib pivot table'!$C$2,"state","GA")&gt;0.0005,GETPIVOTDATA("Total-New",'Distrib pivot table'!$C$2,"state","GA","group","2d3a")/GETPIVOTDATA("Total-New",'Distrib pivot table'!$C$2,"state","GA"),"*"))</f>
        <v>1.101301538256733E-2</v>
      </c>
      <c r="J53" s="575">
        <f>IF((GETPIVOTDATA("Total-New",'Distrib pivot table'!$C$2,"state","KY","group","2d3a")/GETPIVOTDATA("Total-New",'Distrib pivot table'!$C$2,"state","KY"))=0,,IF(GETPIVOTDATA("Total-New",'Distrib pivot table'!$C$2,"state","KY","group","2d3a")/GETPIVOTDATA("Total-New",'Distrib pivot table'!$C$2,"state","KY")&gt;0.0005,GETPIVOTDATA("Total-New",'Distrib pivot table'!$C$2,"state","KY","group","2d3a")/GETPIVOTDATA("Total-New",'Distrib pivot table'!$C$2,"state","KY"),"*"))</f>
        <v>1.2184360255163642E-2</v>
      </c>
      <c r="K53" s="575">
        <f>IF((GETPIVOTDATA("Total-New",'Distrib pivot table'!$C$2,"state","LA","group","2d3a")/GETPIVOTDATA("Total-New",'Distrib pivot table'!$C$2,"state","LA"))=0,,IF(GETPIVOTDATA("Total-New",'Distrib pivot table'!$C$2,"state","LA","group","2d3a")/GETPIVOTDATA("Total-New",'Distrib pivot table'!$C$2,"state","LA")&gt;0.0005,GETPIVOTDATA("Total-New",'Distrib pivot table'!$C$2,"state","LA","group","2d3a")/GETPIVOTDATA("Total-New",'Distrib pivot table'!$C$2,"state","LA"),"*"))</f>
        <v>0</v>
      </c>
      <c r="L53" s="575">
        <f>IF((GETPIVOTDATA("Total-New",'Distrib pivot table'!$C$2,"state","MD","group","2d3a")/GETPIVOTDATA("Total-New",'Distrib pivot table'!$C$2,"state","MD"))=0,,IF(GETPIVOTDATA("Total-New",'Distrib pivot table'!$C$2,"state","MD","group","2d3a")/GETPIVOTDATA("Total-New",'Distrib pivot table'!$C$2,"state","MD")&gt;0.0005,GETPIVOTDATA("Total-New",'Distrib pivot table'!$C$2,"state","MD","group","2d3a")/GETPIVOTDATA("Total-New",'Distrib pivot table'!$C$2,"state","MD"),"*"))</f>
        <v>3.7262479911490229E-3</v>
      </c>
      <c r="M53" s="575">
        <f>IF((GETPIVOTDATA("Total-New",'Distrib pivot table'!$C$2,"state","MS","group","2d3a")/GETPIVOTDATA("Total-New",'Distrib pivot table'!$C$2,"state","MS"))=0,,IF(GETPIVOTDATA("Total-New",'Distrib pivot table'!$C$2,"state","MS","group","2d3a")/GETPIVOTDATA("Total-New",'Distrib pivot table'!$C$2,"state","MS")&gt;0.0005,GETPIVOTDATA("Total-New",'Distrib pivot table'!$C$2,"state","MS","group","2d3a")/GETPIVOTDATA("Total-New",'Distrib pivot table'!$C$2,"state","MS"),"*"))</f>
        <v>0</v>
      </c>
      <c r="N53" s="575">
        <f>IF((GETPIVOTDATA("Total-New",'Distrib pivot table'!$C$2,"state","NC","group","2d3a")/GETPIVOTDATA("Total-New",'Distrib pivot table'!$C$2,"state","NC"))=0,,IF(GETPIVOTDATA("Total-New",'Distrib pivot table'!$C$2,"state","NC","group","2d3a")/GETPIVOTDATA("Total-New",'Distrib pivot table'!$C$2,"state","NC")&gt;0.0005,GETPIVOTDATA("Total-New",'Distrib pivot table'!$C$2,"state","NC","group","2d3a")/GETPIVOTDATA("Total-New",'Distrib pivot table'!$C$2,"state","NC"),"*"))</f>
        <v>1.3355715540497371E-2</v>
      </c>
      <c r="O53" s="575">
        <f>IF((GETPIVOTDATA("Total-New",'Distrib pivot table'!$C$2,"state","OK","group","2d3a")/GETPIVOTDATA("Total-New",'Distrib pivot table'!$C$2,"state","OK"))=0,,IF(GETPIVOTDATA("Total-New",'Distrib pivot table'!$C$2,"state","OK","group","2d3a")/GETPIVOTDATA("Total-New",'Distrib pivot table'!$C$2,"state","OK")&gt;0.0005,GETPIVOTDATA("Total-New",'Distrib pivot table'!$C$2,"state","OK","group","2d3a")/GETPIVOTDATA("Total-New",'Distrib pivot table'!$C$2,"state","OK"),"*"))</f>
        <v>0</v>
      </c>
      <c r="P53" s="575">
        <f>IF((GETPIVOTDATA("Total-New",'Distrib pivot table'!$C$2,"state","SC","group","2d3a")/GETPIVOTDATA("Total-New",'Distrib pivot table'!$C$2,"state","SC"))=0,,IF(GETPIVOTDATA("Total-New",'Distrib pivot table'!$C$2,"state","SC","group","2d3a")/GETPIVOTDATA("Total-New",'Distrib pivot table'!$C$2,"state","SC")&gt;0.0005,GETPIVOTDATA("Total-New",'Distrib pivot table'!$C$2,"state","SC","group","2d3a")/GETPIVOTDATA("Total-New",'Distrib pivot table'!$C$2,"state","SC"),"*"))</f>
        <v>1.0024566472145601E-2</v>
      </c>
      <c r="Q53" s="575">
        <f>IF((GETPIVOTDATA("Total-New",'Distrib pivot table'!$C$2,"state","TN","group","2d3a")/GETPIVOTDATA("Total-New",'Distrib pivot table'!$C$2,"state","TN"))=0,,IF(GETPIVOTDATA("Total-New",'Distrib pivot table'!$C$2,"state","TN","group","2d3a")/GETPIVOTDATA("Total-New",'Distrib pivot table'!$C$2,"state","TN")&gt;0.0005,GETPIVOTDATA("Total-New",'Distrib pivot table'!$C$2,"state","TN","group","2d3a")/GETPIVOTDATA("Total-New",'Distrib pivot table'!$C$2,"state","TN"),"*"))</f>
        <v>0</v>
      </c>
      <c r="R53" s="575">
        <f>IF((GETPIVOTDATA("Total-New",'Distrib pivot table'!$C$2,"state","TX","group","2d3a")/GETPIVOTDATA("Total-New",'Distrib pivot table'!$C$2,"state","TX"))=0,,IF(GETPIVOTDATA("Total-New",'Distrib pivot table'!$C$2,"state","TX","group","2d3a")/GETPIVOTDATA("Total-New",'Distrib pivot table'!$C$2,"state","TX")&gt;0.0005,GETPIVOTDATA("Total-New",'Distrib pivot table'!$C$2,"state","TX","group","2d3a")/GETPIVOTDATA("Total-New",'Distrib pivot table'!$C$2,"state","TX"),"*"))</f>
        <v>0</v>
      </c>
      <c r="S53" s="575">
        <f>IF((GETPIVOTDATA("Total-New",'Distrib pivot table'!$C$2,"state","VA","group","2d3a")/GETPIVOTDATA("Total-New",'Distrib pivot table'!$C$2,"state","VA"))=0,,IF(GETPIVOTDATA("Total-New",'Distrib pivot table'!$C$2,"state","VA","group","2d3a")/GETPIVOTDATA("Total-New",'Distrib pivot table'!$C$2,"state","VA")&gt;0.0005,GETPIVOTDATA("Total-New",'Distrib pivot table'!$C$2,"state","VA","group","2d3a")/GETPIVOTDATA("Total-New",'Distrib pivot table'!$C$2,"state","VA"),"*"))</f>
        <v>0</v>
      </c>
      <c r="T53" s="575">
        <f>IF((GETPIVOTDATA("Total-New",'Distrib pivot table'!$C$2,"state","WV","group","2d3a")/GETPIVOTDATA("Total-New",'Distrib pivot table'!$C$2,"state","WV"))=0,,IF(GETPIVOTDATA("Total-New",'Distrib pivot table'!$C$2,"state","WV","group","2d3a")/GETPIVOTDATA("Total-New",'Distrib pivot table'!$C$2,"state","WV")&gt;0.0005,GETPIVOTDATA("Total-New",'Distrib pivot table'!$C$2,"state","WV","group","2d3a")/GETPIVOTDATA("Total-New",'Distrib pivot table'!$C$2,"state","WV"),"*"))</f>
        <v>0</v>
      </c>
      <c r="U53" s="576"/>
      <c r="V53" s="576"/>
      <c r="W53" s="576"/>
      <c r="X53" s="576"/>
      <c r="Y53" s="576"/>
      <c r="Z53" s="576"/>
      <c r="AA53" s="576"/>
      <c r="AB53" s="576"/>
      <c r="AC53" s="576"/>
      <c r="AD53" s="576"/>
      <c r="AE53" s="576"/>
      <c r="AF53" s="576"/>
      <c r="AG53" s="576"/>
      <c r="AH53" s="576"/>
      <c r="AI53" s="576"/>
      <c r="AJ53" s="576"/>
      <c r="AK53" s="576"/>
      <c r="AL53" s="576"/>
      <c r="AM53" s="576"/>
      <c r="AN53" s="576"/>
      <c r="AO53" s="576"/>
      <c r="AP53" s="576"/>
      <c r="AQ53" s="576"/>
      <c r="AR53" s="576"/>
      <c r="AS53" s="576"/>
      <c r="AT53" s="576"/>
      <c r="AU53" s="576"/>
      <c r="AV53" s="576"/>
      <c r="AW53" s="576"/>
      <c r="AX53" s="576"/>
    </row>
    <row r="54" spans="1:50" ht="12.65" customHeight="1">
      <c r="A54" s="1225"/>
      <c r="B54" s="594" t="s">
        <v>167</v>
      </c>
      <c r="C54" s="589" t="s">
        <v>196</v>
      </c>
      <c r="D54" s="595">
        <f>IF(GETPIVOTDATA("Total-New",'Distrib pivot table'!$C$2,"group","2d3b")/GETPIVOTDATA("Total-New",'Distrib pivot table'!$C$2)=0,,IF(GETPIVOTDATA("Total-New",'Distrib pivot table'!$C$2,"group","2d3b")/GETPIVOTDATA("Total-New",'Distrib pivot table'!$C$2)&gt;0.0005,GETPIVOTDATA("Total-New",'Distrib pivot table'!$C$2,"group","2d3b")/GETPIVOTDATA("Total-New",'Distrib pivot table'!$C$2),"*"))</f>
        <v>1.2733090126507119E-3</v>
      </c>
      <c r="E54" s="595">
        <f>IF((GETPIVOTDATA("Total-New",'Distrib pivot table'!$C$2,"state","AL","group","2d3b")/GETPIVOTDATA("Total-New",'Distrib pivot table'!$C$2,"state","AL"))=0,,IF(GETPIVOTDATA("Total-New",'Distrib pivot table'!$C$2,"state","AL","group","2d3b")/GETPIVOTDATA("Total-New",'Distrib pivot table'!$C$2,"state","AL")&gt;0.0005,GETPIVOTDATA("Total-New",'Distrib pivot table'!$C$2,"state","AL","group","2d3b")/GETPIVOTDATA("Total-New",'Distrib pivot table'!$C$2,"state","AL"),"*"))</f>
        <v>1.5162231252742152E-3</v>
      </c>
      <c r="F54" s="595">
        <f>IF((GETPIVOTDATA("Total-New",'Distrib pivot table'!$C$2,"state","AR","group","2d3b")/GETPIVOTDATA("Total-New",'Distrib pivot table'!$C$2,"state","AR"))=0,,IF(GETPIVOTDATA("Total-New",'Distrib pivot table'!$C$2,"state","AR","group","2d3b")/GETPIVOTDATA("Total-New",'Distrib pivot table'!$C$2,"state","AR")&gt;0.0005,GETPIVOTDATA("Total-New",'Distrib pivot table'!$C$2,"state","AR","group","2d3b")/GETPIVOTDATA("Total-New",'Distrib pivot table'!$C$2,"state","AR"),"*"))</f>
        <v>0</v>
      </c>
      <c r="G54" s="595">
        <f>IF((GETPIVOTDATA("Total-New",'Distrib pivot table'!$C$2,"state","DE","group","2d3b")/GETPIVOTDATA("Total-New",'Distrib pivot table'!$C$2,"state","DE"))=0,,IF(GETPIVOTDATA("Total-New",'Distrib pivot table'!$C$2,"state","DE","group","2d3b")/GETPIVOTDATA("Total-New",'Distrib pivot table'!$C$2,"state","DE")&gt;0.0005,GETPIVOTDATA("Total-New",'Distrib pivot table'!$C$2,"state","DE","group","2d3b")/GETPIVOTDATA("Total-New",'Distrib pivot table'!$C$2,"state","DE"),"*"))</f>
        <v>0</v>
      </c>
      <c r="H54" s="595">
        <f>IF((GETPIVOTDATA("Total-New",'Distrib pivot table'!$C$2,"state","FL","group","2d3b")/GETPIVOTDATA("Total-New",'Distrib pivot table'!$C$2,"state","FL"))=0,,IF(GETPIVOTDATA("Total-New",'Distrib pivot table'!$C$2,"state","FL","group","2d3b")/GETPIVOTDATA("Total-New",'Distrib pivot table'!$C$2,"state","FL")&gt;0.0005,GETPIVOTDATA("Total-New",'Distrib pivot table'!$C$2,"state","FL","group","2d3b")/GETPIVOTDATA("Total-New",'Distrib pivot table'!$C$2,"state","FL"),"*"))</f>
        <v>0</v>
      </c>
      <c r="I54" s="595" t="str">
        <f>IF((GETPIVOTDATA("Total-New",'Distrib pivot table'!$C$2,"state","GA","group","2d3b")/GETPIVOTDATA("Total-New",'Distrib pivot table'!$C$2,"state","GA"))=0,,IF(GETPIVOTDATA("Total-New",'Distrib pivot table'!$C$2,"state","GA","group","2d3b")/GETPIVOTDATA("Total-New",'Distrib pivot table'!$C$2,"state","GA")&gt;0.0005,GETPIVOTDATA("Total-New",'Distrib pivot table'!$C$2,"state","GA","group","2d3b")/GETPIVOTDATA("Total-New",'Distrib pivot table'!$C$2,"state","GA"),"*"))</f>
        <v>*</v>
      </c>
      <c r="J54" s="595" t="str">
        <f>IF((GETPIVOTDATA("Total-New",'Distrib pivot table'!$C$2,"state","KY","group","2d3b")/GETPIVOTDATA("Total-New",'Distrib pivot table'!$C$2,"state","KY"))=0,,IF(GETPIVOTDATA("Total-New",'Distrib pivot table'!$C$2,"state","KY","group","2d3b")/GETPIVOTDATA("Total-New",'Distrib pivot table'!$C$2,"state","KY")&gt;0.0005,GETPIVOTDATA("Total-New",'Distrib pivot table'!$C$2,"state","KY","group","2d3b")/GETPIVOTDATA("Total-New",'Distrib pivot table'!$C$2,"state","KY"),"*"))</f>
        <v>*</v>
      </c>
      <c r="K54" s="595">
        <f>IF((GETPIVOTDATA("Total-New",'Distrib pivot table'!$C$2,"state","LA","group","2d3b")/GETPIVOTDATA("Total-New",'Distrib pivot table'!$C$2,"state","LA"))=0,,IF(GETPIVOTDATA("Total-New",'Distrib pivot table'!$C$2,"state","LA","group","2d3b")/GETPIVOTDATA("Total-New",'Distrib pivot table'!$C$2,"state","LA")&gt;0.0005,GETPIVOTDATA("Total-New",'Distrib pivot table'!$C$2,"state","LA","group","2d3b")/GETPIVOTDATA("Total-New",'Distrib pivot table'!$C$2,"state","LA"),"*"))</f>
        <v>0</v>
      </c>
      <c r="L54" s="595" t="str">
        <f>IF((GETPIVOTDATA("Total-New",'Distrib pivot table'!$C$2,"state","MD","group","2d3b")/GETPIVOTDATA("Total-New",'Distrib pivot table'!$C$2,"state","MD"))=0,,IF(GETPIVOTDATA("Total-New",'Distrib pivot table'!$C$2,"state","MD","group","2d3b")/GETPIVOTDATA("Total-New",'Distrib pivot table'!$C$2,"state","MD")&gt;0.0005,GETPIVOTDATA("Total-New",'Distrib pivot table'!$C$2,"state","MD","group","2d3b")/GETPIVOTDATA("Total-New",'Distrib pivot table'!$C$2,"state","MD"),"*"))</f>
        <v>*</v>
      </c>
      <c r="M54" s="595">
        <f>IF((GETPIVOTDATA("Total-New",'Distrib pivot table'!$C$2,"state","MS","group","2d3b")/GETPIVOTDATA("Total-New",'Distrib pivot table'!$C$2,"state","MS"))=0,,IF(GETPIVOTDATA("Total-New",'Distrib pivot table'!$C$2,"state","MS","group","2d3b")/GETPIVOTDATA("Total-New",'Distrib pivot table'!$C$2,"state","MS")&gt;0.0005,GETPIVOTDATA("Total-New",'Distrib pivot table'!$C$2,"state","MS","group","2d3b")/GETPIVOTDATA("Total-New",'Distrib pivot table'!$C$2,"state","MS"),"*"))</f>
        <v>0</v>
      </c>
      <c r="N54" s="595">
        <f>IF((GETPIVOTDATA("Total-New",'Distrib pivot table'!$C$2,"state","NC","group","2d3b")/GETPIVOTDATA("Total-New",'Distrib pivot table'!$C$2,"state","NC"))=0,,IF(GETPIVOTDATA("Total-New",'Distrib pivot table'!$C$2,"state","NC","group","2d3b")/GETPIVOTDATA("Total-New",'Distrib pivot table'!$C$2,"state","NC")&gt;0.0005,GETPIVOTDATA("Total-New",'Distrib pivot table'!$C$2,"state","NC","group","2d3b")/GETPIVOTDATA("Total-New",'Distrib pivot table'!$C$2,"state","NC"),"*"))</f>
        <v>0</v>
      </c>
      <c r="O54" s="595">
        <f>IF((GETPIVOTDATA("Total-New",'Distrib pivot table'!$C$2,"state","OK","group","2d3b")/GETPIVOTDATA("Total-New",'Distrib pivot table'!$C$2,"state","OK"))=0,,IF(GETPIVOTDATA("Total-New",'Distrib pivot table'!$C$2,"state","OK","group","2d3b")/GETPIVOTDATA("Total-New",'Distrib pivot table'!$C$2,"state","OK")&gt;0.0005,GETPIVOTDATA("Total-New",'Distrib pivot table'!$C$2,"state","OK","group","2d3b")/GETPIVOTDATA("Total-New",'Distrib pivot table'!$C$2,"state","OK"),"*"))</f>
        <v>0</v>
      </c>
      <c r="P54" s="595">
        <f>IF((GETPIVOTDATA("Total-New",'Distrib pivot table'!$C$2,"state","SC","group","2d3b")/GETPIVOTDATA("Total-New",'Distrib pivot table'!$C$2,"state","SC"))=0,,IF(GETPIVOTDATA("Total-New",'Distrib pivot table'!$C$2,"state","SC","group","2d3b")/GETPIVOTDATA("Total-New",'Distrib pivot table'!$C$2,"state","SC")&gt;0.0005,GETPIVOTDATA("Total-New",'Distrib pivot table'!$C$2,"state","SC","group","2d3b")/GETPIVOTDATA("Total-New",'Distrib pivot table'!$C$2,"state","SC"),"*"))</f>
        <v>0</v>
      </c>
      <c r="Q54" s="595">
        <f>IF((GETPIVOTDATA("Total-New",'Distrib pivot table'!$C$2,"state","TN","group","2d3b")/GETPIVOTDATA("Total-New",'Distrib pivot table'!$C$2,"state","TN"))=0,,IF(GETPIVOTDATA("Total-New",'Distrib pivot table'!$C$2,"state","TN","group","2d3b")/GETPIVOTDATA("Total-New",'Distrib pivot table'!$C$2,"state","TN")&gt;0.0005,GETPIVOTDATA("Total-New",'Distrib pivot table'!$C$2,"state","TN","group","2d3b")/GETPIVOTDATA("Total-New",'Distrib pivot table'!$C$2,"state","TN"),"*"))</f>
        <v>0</v>
      </c>
      <c r="R54" s="595">
        <f>IF((GETPIVOTDATA("Total-New",'Distrib pivot table'!$C$2,"state","TX","group","2d3b")/GETPIVOTDATA("Total-New",'Distrib pivot table'!$C$2,"state","TX"))=0,,IF(GETPIVOTDATA("Total-New",'Distrib pivot table'!$C$2,"state","TX","group","2d3b")/GETPIVOTDATA("Total-New",'Distrib pivot table'!$C$2,"state","TX")&gt;0.0005,GETPIVOTDATA("Total-New",'Distrib pivot table'!$C$2,"state","TX","group","2d3b")/GETPIVOTDATA("Total-New",'Distrib pivot table'!$C$2,"state","TX"),"*"))</f>
        <v>0</v>
      </c>
      <c r="S54" s="595">
        <f>IF((GETPIVOTDATA("Total-New",'Distrib pivot table'!$C$2,"state","VA","group","2d3b")/GETPIVOTDATA("Total-New",'Distrib pivot table'!$C$2,"state","VA"))=0,,IF(GETPIVOTDATA("Total-New",'Distrib pivot table'!$C$2,"state","VA","group","2d3b")/GETPIVOTDATA("Total-New",'Distrib pivot table'!$C$2,"state","VA")&gt;0.0005,GETPIVOTDATA("Total-New",'Distrib pivot table'!$C$2,"state","VA","group","2d3b")/GETPIVOTDATA("Total-New",'Distrib pivot table'!$C$2,"state","VA"),"*"))</f>
        <v>1.1290010516427773E-2</v>
      </c>
      <c r="T54" s="595">
        <f>IF((GETPIVOTDATA("Total-New",'Distrib pivot table'!$C$2,"state","WV","group","2d3b")/GETPIVOTDATA("Total-New",'Distrib pivot table'!$C$2,"state","WV"))=0,,IF(GETPIVOTDATA("Total-New",'Distrib pivot table'!$C$2,"state","WV","group","2d3b")/GETPIVOTDATA("Total-New",'Distrib pivot table'!$C$2,"state","WV")&gt;0.0005,GETPIVOTDATA("Total-New",'Distrib pivot table'!$C$2,"state","WV","group","2d3b")/GETPIVOTDATA("Total-New",'Distrib pivot table'!$C$2,"state","WV"),"*"))</f>
        <v>0</v>
      </c>
      <c r="U54" s="576"/>
      <c r="V54" s="576"/>
      <c r="W54" s="576"/>
      <c r="X54" s="576"/>
      <c r="Y54" s="576"/>
      <c r="Z54" s="576"/>
      <c r="AA54" s="576"/>
      <c r="AB54" s="576"/>
      <c r="AC54" s="576"/>
      <c r="AD54" s="576"/>
      <c r="AE54" s="576"/>
      <c r="AF54" s="576"/>
      <c r="AG54" s="576"/>
      <c r="AH54" s="576"/>
      <c r="AI54" s="576"/>
      <c r="AJ54" s="576"/>
      <c r="AK54" s="576"/>
      <c r="AL54" s="576"/>
      <c r="AM54" s="576"/>
      <c r="AN54" s="576"/>
      <c r="AO54" s="576"/>
      <c r="AP54" s="576"/>
      <c r="AQ54" s="576"/>
      <c r="AR54" s="576"/>
      <c r="AS54" s="576"/>
      <c r="AT54" s="576"/>
      <c r="AU54" s="576"/>
      <c r="AV54" s="576"/>
      <c r="AW54" s="576"/>
      <c r="AX54" s="576"/>
    </row>
    <row r="55" spans="1:50" ht="36" customHeight="1">
      <c r="A55" s="1219"/>
      <c r="B55" s="596" t="s">
        <v>1030</v>
      </c>
      <c r="C55" s="589" t="s">
        <v>64</v>
      </c>
      <c r="D55" s="597">
        <f>IF(GETPIVOTDATA("Total-New",'Distrib pivot table'!$C$2,"group","1d")/GETPIVOTDATA("Total-New",'Distrib pivot table'!$C$2)=0,,IF(GETPIVOTDATA("Total-New",'Distrib pivot table'!$C$2,"group","1d")/GETPIVOTDATA("Total-New",'Distrib pivot table'!$C$2)&gt;0.0005,GETPIVOTDATA("Total-New",'Distrib pivot table'!$C$2,"group","1d")/GETPIVOTDATA("Total-New",'Distrib pivot table'!$C$2),"*"))</f>
        <v>6.1562098509867283E-2</v>
      </c>
      <c r="E55" s="597">
        <f>IF((GETPIVOTDATA("Total-New",'Distrib pivot table'!$C$2,"state","AL","group","1d")/GETPIVOTDATA("Total-New",'Distrib pivot table'!$C$2,"state","AL"))=0,,IF(GETPIVOTDATA("Total-New",'Distrib pivot table'!$C$2,"state","AL","group","1d")/GETPIVOTDATA("Total-New",'Distrib pivot table'!$C$2,"state","AL")&gt;0.0005,GETPIVOTDATA("Total-New",'Distrib pivot table'!$C$2,"state","AL","group","1d")/GETPIVOTDATA("Total-New",'Distrib pivot table'!$C$2,"state","AL"),"*"))</f>
        <v>0.13587954405775346</v>
      </c>
      <c r="F55" s="597">
        <f>IF((GETPIVOTDATA("Total-New",'Distrib pivot table'!$C$2,"state","AR","group","1d")/GETPIVOTDATA("Total-New",'Distrib pivot table'!$C$2,"state","AR"))=0,,IF(GETPIVOTDATA("Total-New",'Distrib pivot table'!$C$2,"state","AR","group","1d")/GETPIVOTDATA("Total-New",'Distrib pivot table'!$C$2,"state","AR")&gt;0.0005,GETPIVOTDATA("Total-New",'Distrib pivot table'!$C$2,"state","AR","group","1d")/GETPIVOTDATA("Total-New",'Distrib pivot table'!$C$2,"state","AR"),"*"))</f>
        <v>0</v>
      </c>
      <c r="G55" s="597">
        <f>IF((GETPIVOTDATA("Total-New",'Distrib pivot table'!$C$2,"state","DE","group","1d")/GETPIVOTDATA("Total-New",'Distrib pivot table'!$C$2,"state","DE"))=0,,IF(GETPIVOTDATA("Total-New",'Distrib pivot table'!$C$2,"state","DE","group","1d")/GETPIVOTDATA("Total-New",'Distrib pivot table'!$C$2,"state","DE")&gt;0.0005,GETPIVOTDATA("Total-New",'Distrib pivot table'!$C$2,"state","DE","group","1d")/GETPIVOTDATA("Total-New",'Distrib pivot table'!$C$2,"state","DE"),"*"))</f>
        <v>0</v>
      </c>
      <c r="H55" s="597">
        <f>IF((GETPIVOTDATA("Total-New",'Distrib pivot table'!$C$2,"state","FL","group","1d")/GETPIVOTDATA("Total-New",'Distrib pivot table'!$C$2,"state","FL"))=0,,IF(GETPIVOTDATA("Total-New",'Distrib pivot table'!$C$2,"state","FL","group","1d")/GETPIVOTDATA("Total-New",'Distrib pivot table'!$C$2,"state","FL")&gt;0.0005,GETPIVOTDATA("Total-New",'Distrib pivot table'!$C$2,"state","FL","group","1d")/GETPIVOTDATA("Total-New",'Distrib pivot table'!$C$2,"state","FL"),"*"))</f>
        <v>0</v>
      </c>
      <c r="I55" s="597">
        <f>IF((GETPIVOTDATA("Total-New",'Distrib pivot table'!$C$2,"state","GA","group","1d")/GETPIVOTDATA("Total-New",'Distrib pivot table'!$C$2,"state","GA"))=0,,IF(GETPIVOTDATA("Total-New",'Distrib pivot table'!$C$2,"state","GA","group","1d")/GETPIVOTDATA("Total-New",'Distrib pivot table'!$C$2,"state","GA")&gt;0.0005,GETPIVOTDATA("Total-New",'Distrib pivot table'!$C$2,"state","GA","group","1d")/GETPIVOTDATA("Total-New",'Distrib pivot table'!$C$2,"state","GA"),"*"))</f>
        <v>5.1129995009201436E-2</v>
      </c>
      <c r="J55" s="597">
        <f>IF((GETPIVOTDATA("Total-New",'Distrib pivot table'!$C$2,"state","KY","group","1d")/GETPIVOTDATA("Total-New",'Distrib pivot table'!$C$2,"state","KY"))=0,,IF(GETPIVOTDATA("Total-New",'Distrib pivot table'!$C$2,"state","KY","group","1d")/GETPIVOTDATA("Total-New",'Distrib pivot table'!$C$2,"state","KY")&gt;0.0005,GETPIVOTDATA("Total-New",'Distrib pivot table'!$C$2,"state","KY","group","1d")/GETPIVOTDATA("Total-New",'Distrib pivot table'!$C$2,"state","KY"),"*"))</f>
        <v>5.9602447143147073E-2</v>
      </c>
      <c r="K55" s="597">
        <f>IF((GETPIVOTDATA("Total-New",'Distrib pivot table'!$C$2,"state","LA","group","1d")/GETPIVOTDATA("Total-New",'Distrib pivot table'!$C$2,"state","LA"))=0,,IF(GETPIVOTDATA("Total-New",'Distrib pivot table'!$C$2,"state","LA","group","1d")/GETPIVOTDATA("Total-New",'Distrib pivot table'!$C$2,"state","LA")&gt;0.0005,GETPIVOTDATA("Total-New",'Distrib pivot table'!$C$2,"state","LA","group","1d")/GETPIVOTDATA("Total-New",'Distrib pivot table'!$C$2,"state","LA"),"*"))</f>
        <v>0</v>
      </c>
      <c r="L55" s="597">
        <f>IF((GETPIVOTDATA("Total-New",'Distrib pivot table'!$C$2,"state","MD","group","1d")/GETPIVOTDATA("Total-New",'Distrib pivot table'!$C$2,"state","MD"))=0,,IF(GETPIVOTDATA("Total-New",'Distrib pivot table'!$C$2,"state","MD","group","1d")/GETPIVOTDATA("Total-New",'Distrib pivot table'!$C$2,"state","MD")&gt;0.0005,GETPIVOTDATA("Total-New",'Distrib pivot table'!$C$2,"state","MD","group","1d")/GETPIVOTDATA("Total-New",'Distrib pivot table'!$C$2,"state","MD"),"*"))</f>
        <v>0</v>
      </c>
      <c r="M55" s="597">
        <f>IF((GETPIVOTDATA("Total-New",'Distrib pivot table'!$C$2,"state","MS","group","1d")/GETPIVOTDATA("Total-New",'Distrib pivot table'!$C$2,"state","MS"))=0,,IF(GETPIVOTDATA("Total-New",'Distrib pivot table'!$C$2,"state","MS","group","1d")/GETPIVOTDATA("Total-New",'Distrib pivot table'!$C$2,"state","MS")&gt;0.0005,GETPIVOTDATA("Total-New",'Distrib pivot table'!$C$2,"state","MS","group","1d")/GETPIVOTDATA("Total-New",'Distrib pivot table'!$C$2,"state","MS"),"*"))</f>
        <v>2.0160727771542517E-2</v>
      </c>
      <c r="N55" s="597">
        <f>IF((GETPIVOTDATA("Total-New",'Distrib pivot table'!$C$2,"state","NC","group","1d")/GETPIVOTDATA("Total-New",'Distrib pivot table'!$C$2,"state","NC"))=0,,IF(GETPIVOTDATA("Total-New",'Distrib pivot table'!$C$2,"state","NC","group","1d")/GETPIVOTDATA("Total-New",'Distrib pivot table'!$C$2,"state","NC")&gt;0.0005,GETPIVOTDATA("Total-New",'Distrib pivot table'!$C$2,"state","NC","group","1d")/GETPIVOTDATA("Total-New",'Distrib pivot table'!$C$2,"state","NC"),"*"))</f>
        <v>7.2528655596161298E-2</v>
      </c>
      <c r="O55" s="597">
        <f>IF((GETPIVOTDATA("Total-New",'Distrib pivot table'!$C$2,"state","OK","group","1d")/GETPIVOTDATA("Total-New",'Distrib pivot table'!$C$2,"state","OK"))=0,,IF(GETPIVOTDATA("Total-New",'Distrib pivot table'!$C$2,"state","OK","group","1d")/GETPIVOTDATA("Total-New",'Distrib pivot table'!$C$2,"state","OK")&gt;0.0005,GETPIVOTDATA("Total-New",'Distrib pivot table'!$C$2,"state","OK","group","1d")/GETPIVOTDATA("Total-New",'Distrib pivot table'!$C$2,"state","OK"),"*"))</f>
        <v>0</v>
      </c>
      <c r="P55" s="597">
        <f>IF((GETPIVOTDATA("Total-New",'Distrib pivot table'!$C$2,"state","SC","group","1d")/GETPIVOTDATA("Total-New",'Distrib pivot table'!$C$2,"state","SC"))=0,,IF(GETPIVOTDATA("Total-New",'Distrib pivot table'!$C$2,"state","SC","group","1d")/GETPIVOTDATA("Total-New",'Distrib pivot table'!$C$2,"state","SC")&gt;0.0005,GETPIVOTDATA("Total-New",'Distrib pivot table'!$C$2,"state","SC","group","1d")/GETPIVOTDATA("Total-New",'Distrib pivot table'!$C$2,"state","SC"),"*"))</f>
        <v>5.1052113564798475E-3</v>
      </c>
      <c r="Q55" s="597">
        <f>IF((GETPIVOTDATA("Total-New",'Distrib pivot table'!$C$2,"state","TN","group","1d")/GETPIVOTDATA("Total-New",'Distrib pivot table'!$C$2,"state","TN"))=0,,IF(GETPIVOTDATA("Total-New",'Distrib pivot table'!$C$2,"state","TN","group","1d")/GETPIVOTDATA("Total-New",'Distrib pivot table'!$C$2,"state","TN")&gt;0.0005,GETPIVOTDATA("Total-New",'Distrib pivot table'!$C$2,"state","TN","group","1d")/GETPIVOTDATA("Total-New",'Distrib pivot table'!$C$2,"state","TN"),"*"))</f>
        <v>1.752708444329848E-2</v>
      </c>
      <c r="R55" s="597">
        <f>IF((GETPIVOTDATA("Total-New",'Distrib pivot table'!$C$2,"state","TX","group","1d")/GETPIVOTDATA("Total-New",'Distrib pivot table'!$C$2,"state","TX"))=0,,IF(GETPIVOTDATA("Total-New",'Distrib pivot table'!$C$2,"state","TX","group","1d")/GETPIVOTDATA("Total-New",'Distrib pivot table'!$C$2,"state","TX")&gt;0.0005,GETPIVOTDATA("Total-New",'Distrib pivot table'!$C$2,"state","TX","group","1d")/GETPIVOTDATA("Total-New",'Distrib pivot table'!$C$2,"state","TX"),"*"))</f>
        <v>0.12271640842816584</v>
      </c>
      <c r="S55" s="597">
        <f>IF((GETPIVOTDATA("Total-New",'Distrib pivot table'!$C$2,"state","VA","group","1d")/GETPIVOTDATA("Total-New",'Distrib pivot table'!$C$2,"state","VA"))=0,,IF(GETPIVOTDATA("Total-New",'Distrib pivot table'!$C$2,"state","VA","group","1d")/GETPIVOTDATA("Total-New",'Distrib pivot table'!$C$2,"state","VA")&gt;0.0005,GETPIVOTDATA("Total-New",'Distrib pivot table'!$C$2,"state","VA","group","1d")/GETPIVOTDATA("Total-New",'Distrib pivot table'!$C$2,"state","VA"),"*"))</f>
        <v>3.1375200043899876E-2</v>
      </c>
      <c r="T55" s="597">
        <f>IF((GETPIVOTDATA("Total-New",'Distrib pivot table'!$C$2,"state","WV","group","1d")/GETPIVOTDATA("Total-New",'Distrib pivot table'!$C$2,"state","WV"))=0,,IF(GETPIVOTDATA("Total-New",'Distrib pivot table'!$C$2,"state","WV","group","1d")/GETPIVOTDATA("Total-New",'Distrib pivot table'!$C$2,"state","WV")&gt;0.0005,GETPIVOTDATA("Total-New",'Distrib pivot table'!$C$2,"state","WV","group","1d")/GETPIVOTDATA("Total-New",'Distrib pivot table'!$C$2,"state","WV"),"*"))</f>
        <v>0.13867383590826984</v>
      </c>
      <c r="U55" s="576"/>
      <c r="V55" s="576"/>
      <c r="W55" s="576"/>
      <c r="X55" s="576"/>
      <c r="Y55" s="576"/>
      <c r="Z55" s="576"/>
      <c r="AA55" s="576"/>
      <c r="AB55" s="576"/>
      <c r="AC55" s="576"/>
      <c r="AD55" s="576"/>
      <c r="AE55" s="576"/>
      <c r="AF55" s="576"/>
      <c r="AG55" s="576"/>
      <c r="AH55" s="576"/>
      <c r="AI55" s="576"/>
      <c r="AJ55" s="576"/>
      <c r="AK55" s="576"/>
      <c r="AL55" s="576"/>
      <c r="AM55" s="576"/>
      <c r="AN55" s="576"/>
      <c r="AO55" s="576"/>
      <c r="AP55" s="576"/>
      <c r="AQ55" s="576"/>
      <c r="AR55" s="576"/>
      <c r="AS55" s="576"/>
      <c r="AT55" s="576"/>
      <c r="AU55" s="576"/>
      <c r="AV55" s="576"/>
      <c r="AW55" s="576"/>
      <c r="AX55" s="576"/>
    </row>
    <row r="56" spans="1:50" ht="36" customHeight="1">
      <c r="A56" s="1219"/>
      <c r="B56" s="596" t="s">
        <v>1031</v>
      </c>
      <c r="C56" s="589" t="s">
        <v>238</v>
      </c>
      <c r="D56" s="592">
        <f>IF(GETPIVOTDATA("Total-New",'Distrib pivot table'!$C$2,"group","1e")/GETPIVOTDATA("Total-New",'Distrib pivot table'!$C$2)=0,,IF(GETPIVOTDATA("Total-New",'Distrib pivot table'!$C$2,"group","1e")/GETPIVOTDATA("Total-New",'Distrib pivot table'!$C$2)&gt;0.0005,GETPIVOTDATA("Total-New",'Distrib pivot table'!$C$2,"group","1e")/GETPIVOTDATA("Total-New",'Distrib pivot table'!$C$2),"*"))</f>
        <v>1.9816848416737649E-2</v>
      </c>
      <c r="E56" s="592">
        <f>IF((GETPIVOTDATA("Total-New",'Distrib pivot table'!$C$2,"state","AL","group","1e")/GETPIVOTDATA("Total-New",'Distrib pivot table'!$C$2,"state","AL"))=0,,IF(GETPIVOTDATA("Total-New",'Distrib pivot table'!$C$2,"state","AL","group","1e")/GETPIVOTDATA("Total-New",'Distrib pivot table'!$C$2,"state","AL")&gt;0.0005,GETPIVOTDATA("Total-New",'Distrib pivot table'!$C$2,"state","AL","group","1e")/GETPIVOTDATA("Total-New",'Distrib pivot table'!$C$2,"state","AL"),"*"))</f>
        <v>0</v>
      </c>
      <c r="F56" s="592">
        <f>IF((GETPIVOTDATA("Total-New",'Distrib pivot table'!$C$2,"state","AR","group","1e")/GETPIVOTDATA("Total-New",'Distrib pivot table'!$C$2,"state","AR"))=0,,IF(GETPIVOTDATA("Total-New",'Distrib pivot table'!$C$2,"state","AR","group","1e")/GETPIVOTDATA("Total-New",'Distrib pivot table'!$C$2,"state","AR")&gt;0.0005,GETPIVOTDATA("Total-New",'Distrib pivot table'!$C$2,"state","AR","group","1e")/GETPIVOTDATA("Total-New",'Distrib pivot table'!$C$2,"state","AR"),"*"))</f>
        <v>7.7829041389942608E-2</v>
      </c>
      <c r="G56" s="592">
        <f>IF((GETPIVOTDATA("Total-New",'Distrib pivot table'!$C$2,"state","DE","group","1e")/GETPIVOTDATA("Total-New",'Distrib pivot table'!$C$2,"state","DE"))=0,,IF(GETPIVOTDATA("Total-New",'Distrib pivot table'!$C$2,"state","DE","group","1e")/GETPIVOTDATA("Total-New",'Distrib pivot table'!$C$2,"state","DE")&gt;0.0005,GETPIVOTDATA("Total-New",'Distrib pivot table'!$C$2,"state","DE","group","1e")/GETPIVOTDATA("Total-New",'Distrib pivot table'!$C$2,"state","DE"),"*"))</f>
        <v>0</v>
      </c>
      <c r="H56" s="592">
        <f>IF((GETPIVOTDATA("Total-New",'Distrib pivot table'!$C$2,"state","FL","group","1e")/GETPIVOTDATA("Total-New",'Distrib pivot table'!$C$2,"state","FL"))=0,,IF(GETPIVOTDATA("Total-New",'Distrib pivot table'!$C$2,"state","FL","group","1e")/GETPIVOTDATA("Total-New",'Distrib pivot table'!$C$2,"state","FL")&gt;0.0005,GETPIVOTDATA("Total-New",'Distrib pivot table'!$C$2,"state","FL","group","1e")/GETPIVOTDATA("Total-New",'Distrib pivot table'!$C$2,"state","FL"),"*"))</f>
        <v>0</v>
      </c>
      <c r="I56" s="592">
        <f>IF((GETPIVOTDATA("Total-New",'Distrib pivot table'!$C$2,"state","GA","group","1e")/GETPIVOTDATA("Total-New",'Distrib pivot table'!$C$2,"state","GA"))=0,,IF(GETPIVOTDATA("Total-New",'Distrib pivot table'!$C$2,"state","GA","group","1e")/GETPIVOTDATA("Total-New",'Distrib pivot table'!$C$2,"state","GA")&gt;0.0005,GETPIVOTDATA("Total-New",'Distrib pivot table'!$C$2,"state","GA","group","1e")/GETPIVOTDATA("Total-New",'Distrib pivot table'!$C$2,"state","GA"),"*"))</f>
        <v>0</v>
      </c>
      <c r="J56" s="592">
        <f>IF((GETPIVOTDATA("Total-New",'Distrib pivot table'!$C$2,"state","KY","group","1e")/GETPIVOTDATA("Total-New",'Distrib pivot table'!$C$2,"state","KY"))=0,,IF(GETPIVOTDATA("Total-New",'Distrib pivot table'!$C$2,"state","KY","group","1e")/GETPIVOTDATA("Total-New",'Distrib pivot table'!$C$2,"state","KY")&gt;0.0005,GETPIVOTDATA("Total-New",'Distrib pivot table'!$C$2,"state","KY","group","1e")/GETPIVOTDATA("Total-New",'Distrib pivot table'!$C$2,"state","KY"),"*"))</f>
        <v>0</v>
      </c>
      <c r="K56" s="592">
        <f>IF((GETPIVOTDATA("Total-New",'Distrib pivot table'!$C$2,"state","LA","group","1e")/GETPIVOTDATA("Total-New",'Distrib pivot table'!$C$2,"state","LA"))=0,,IF(GETPIVOTDATA("Total-New",'Distrib pivot table'!$C$2,"state","LA","group","1e")/GETPIVOTDATA("Total-New",'Distrib pivot table'!$C$2,"state","LA")&gt;0.0005,GETPIVOTDATA("Total-New",'Distrib pivot table'!$C$2,"state","LA","group","1e")/GETPIVOTDATA("Total-New",'Distrib pivot table'!$C$2,"state","LA"),"*"))</f>
        <v>8.6268423962109028E-2</v>
      </c>
      <c r="L56" s="592">
        <f>IF((GETPIVOTDATA("Total-New",'Distrib pivot table'!$C$2,"state","MD","group","1e")/GETPIVOTDATA("Total-New",'Distrib pivot table'!$C$2,"state","MD"))=0,,IF(GETPIVOTDATA("Total-New",'Distrib pivot table'!$C$2,"state","MD","group","1e")/GETPIVOTDATA("Total-New",'Distrib pivot table'!$C$2,"state","MD")&gt;0.0005,GETPIVOTDATA("Total-New",'Distrib pivot table'!$C$2,"state","MD","group","1e")/GETPIVOTDATA("Total-New",'Distrib pivot table'!$C$2,"state","MD"),"*"))</f>
        <v>8.3159064111513678E-2</v>
      </c>
      <c r="M56" s="592">
        <f>IF((GETPIVOTDATA("Total-New",'Distrib pivot table'!$C$2,"state","MS","group","1e")/GETPIVOTDATA("Total-New",'Distrib pivot table'!$C$2,"state","MS"))=0,,IF(GETPIVOTDATA("Total-New",'Distrib pivot table'!$C$2,"state","MS","group","1e")/GETPIVOTDATA("Total-New",'Distrib pivot table'!$C$2,"state","MS")&gt;0.0005,GETPIVOTDATA("Total-New",'Distrib pivot table'!$C$2,"state","MS","group","1e")/GETPIVOTDATA("Total-New",'Distrib pivot table'!$C$2,"state","MS"),"*"))</f>
        <v>0</v>
      </c>
      <c r="N56" s="592">
        <f>IF((GETPIVOTDATA("Total-New",'Distrib pivot table'!$C$2,"state","NC","group","1e")/GETPIVOTDATA("Total-New",'Distrib pivot table'!$C$2,"state","NC"))=0,,IF(GETPIVOTDATA("Total-New",'Distrib pivot table'!$C$2,"state","NC","group","1e")/GETPIVOTDATA("Total-New",'Distrib pivot table'!$C$2,"state","NC")&gt;0.0005,GETPIVOTDATA("Total-New",'Distrib pivot table'!$C$2,"state","NC","group","1e")/GETPIVOTDATA("Total-New",'Distrib pivot table'!$C$2,"state","NC"),"*"))</f>
        <v>0</v>
      </c>
      <c r="O56" s="592">
        <f>IF((GETPIVOTDATA("Total-New",'Distrib pivot table'!$C$2,"state","OK","group","1e")/GETPIVOTDATA("Total-New",'Distrib pivot table'!$C$2,"state","OK"))=0,,IF(GETPIVOTDATA("Total-New",'Distrib pivot table'!$C$2,"state","OK","group","1e")/GETPIVOTDATA("Total-New",'Distrib pivot table'!$C$2,"state","OK")&gt;0.0005,GETPIVOTDATA("Total-New",'Distrib pivot table'!$C$2,"state","OK","group","1e")/GETPIVOTDATA("Total-New",'Distrib pivot table'!$C$2,"state","OK"),"*"))</f>
        <v>0</v>
      </c>
      <c r="P56" s="592">
        <f>IF((GETPIVOTDATA("Total-New",'Distrib pivot table'!$C$2,"state","SC","group","1e")/GETPIVOTDATA("Total-New",'Distrib pivot table'!$C$2,"state","SC"))=0,,IF(GETPIVOTDATA("Total-New",'Distrib pivot table'!$C$2,"state","SC","group","1e")/GETPIVOTDATA("Total-New",'Distrib pivot table'!$C$2,"state","SC")&gt;0.0005,GETPIVOTDATA("Total-New",'Distrib pivot table'!$C$2,"state","SC","group","1e")/GETPIVOTDATA("Total-New",'Distrib pivot table'!$C$2,"state","SC"),"*"))</f>
        <v>4.9800615886993506E-2</v>
      </c>
      <c r="Q56" s="592">
        <f>IF((GETPIVOTDATA("Total-New",'Distrib pivot table'!$C$2,"state","TN","group","1e")/GETPIVOTDATA("Total-New",'Distrib pivot table'!$C$2,"state","TN"))=0,,IF(GETPIVOTDATA("Total-New",'Distrib pivot table'!$C$2,"state","TN","group","1e")/GETPIVOTDATA("Total-New",'Distrib pivot table'!$C$2,"state","TN")&gt;0.0005,GETPIVOTDATA("Total-New",'Distrib pivot table'!$C$2,"state","TN","group","1e")/GETPIVOTDATA("Total-New",'Distrib pivot table'!$C$2,"state","TN"),"*"))</f>
        <v>7.7090820964607273E-2</v>
      </c>
      <c r="R56" s="592">
        <f>IF((GETPIVOTDATA("Total-New",'Distrib pivot table'!$C$2,"state","TX","group","1e")/GETPIVOTDATA("Total-New",'Distrib pivot table'!$C$2,"state","TX"))=0,,IF(GETPIVOTDATA("Total-New",'Distrib pivot table'!$C$2,"state","TX","group","1e")/GETPIVOTDATA("Total-New",'Distrib pivot table'!$C$2,"state","TX")&gt;0.0005,GETPIVOTDATA("Total-New",'Distrib pivot table'!$C$2,"state","TX","group","1e")/GETPIVOTDATA("Total-New",'Distrib pivot table'!$C$2,"state","TX"),"*"))</f>
        <v>0</v>
      </c>
      <c r="S56" s="592">
        <f>IF((GETPIVOTDATA("Total-New",'Distrib pivot table'!$C$2,"state","VA","group","1e")/GETPIVOTDATA("Total-New",'Distrib pivot table'!$C$2,"state","VA"))=0,,IF(GETPIVOTDATA("Total-New",'Distrib pivot table'!$C$2,"state","VA","group","1e")/GETPIVOTDATA("Total-New",'Distrib pivot table'!$C$2,"state","VA")&gt;0.0005,GETPIVOTDATA("Total-New",'Distrib pivot table'!$C$2,"state","VA","group","1e")/GETPIVOTDATA("Total-New",'Distrib pivot table'!$C$2,"state","VA"),"*"))</f>
        <v>0</v>
      </c>
      <c r="T56" s="592">
        <f>IF((GETPIVOTDATA("Total-New",'Distrib pivot table'!$C$2,"state","WV","group","1e")/GETPIVOTDATA("Total-New",'Distrib pivot table'!$C$2,"state","WV"))=0,,IF(GETPIVOTDATA("Total-New",'Distrib pivot table'!$C$2,"state","WV","group","1e")/GETPIVOTDATA("Total-New",'Distrib pivot table'!$C$2,"state","WV")&gt;0.0005,GETPIVOTDATA("Total-New",'Distrib pivot table'!$C$2,"state","WV","group","1e")/GETPIVOTDATA("Total-New",'Distrib pivot table'!$C$2,"state","WV"),"*"))</f>
        <v>3.2964003833557853E-2</v>
      </c>
      <c r="U56" s="576"/>
      <c r="V56" s="576"/>
      <c r="W56" s="576"/>
      <c r="X56" s="576"/>
      <c r="Y56" s="576"/>
      <c r="Z56" s="576"/>
      <c r="AA56" s="576"/>
      <c r="AB56" s="576"/>
      <c r="AC56" s="576"/>
      <c r="AD56" s="576"/>
      <c r="AE56" s="576"/>
      <c r="AF56" s="576"/>
      <c r="AG56" s="576"/>
      <c r="AH56" s="576"/>
      <c r="AI56" s="576"/>
      <c r="AJ56" s="576"/>
      <c r="AK56" s="576"/>
      <c r="AL56" s="576"/>
      <c r="AM56" s="576"/>
      <c r="AN56" s="576"/>
      <c r="AO56" s="576"/>
      <c r="AP56" s="576"/>
      <c r="AQ56" s="576"/>
      <c r="AR56" s="576"/>
      <c r="AS56" s="576"/>
      <c r="AT56" s="576"/>
      <c r="AU56" s="576"/>
      <c r="AV56" s="576"/>
      <c r="AW56" s="576"/>
      <c r="AX56" s="576"/>
    </row>
    <row r="57" spans="1:50" ht="36" customHeight="1">
      <c r="A57" s="1218"/>
      <c r="B57" s="582" t="s">
        <v>826</v>
      </c>
      <c r="C57" s="598" t="s">
        <v>116</v>
      </c>
      <c r="D57" s="584">
        <f>IF(GETPIVOTDATA("Total-New",'Distrib pivot table'!$C$2,"group","1f")/GETPIVOTDATA("Total-New",'Distrib pivot table'!$C$2)=0,,IF(GETPIVOTDATA("Total-New",'Distrib pivot table'!$C$2,"group","1f")/GETPIVOTDATA("Total-New",'Distrib pivot table'!$C$2)&gt;0.0005,GETPIVOTDATA("Total-New",'Distrib pivot table'!$C$2,"group","1f")/GETPIVOTDATA("Total-New",'Distrib pivot table'!$C$2),"*"))</f>
        <v>9.7190337740695482E-3</v>
      </c>
      <c r="E57" s="584">
        <f>IF((GETPIVOTDATA("Total-New",'Distrib pivot table'!$C$2,"state","AL","group","1f")/GETPIVOTDATA("Total-New",'Distrib pivot table'!$C$2,"state","AL"))=0,,IF(GETPIVOTDATA("Total-New",'Distrib pivot table'!$C$2,"state","AL","group","1f")/GETPIVOTDATA("Total-New",'Distrib pivot table'!$C$2,"state","AL")&gt;0.0005,GETPIVOTDATA("Total-New",'Distrib pivot table'!$C$2,"state","AL","group","1f")/GETPIVOTDATA("Total-New",'Distrib pivot table'!$C$2,"state","AL"),"*"))</f>
        <v>2.785992182097533E-3</v>
      </c>
      <c r="F57" s="584">
        <f>IF((GETPIVOTDATA("Total-New",'Distrib pivot table'!$C$2,"state","AR","group","1f")/GETPIVOTDATA("Total-New",'Distrib pivot table'!$C$2,"state","AR"))=0,,IF(GETPIVOTDATA("Total-New",'Distrib pivot table'!$C$2,"state","AR","group","1f")/GETPIVOTDATA("Total-New",'Distrib pivot table'!$C$2,"state","AR")&gt;0.0005,GETPIVOTDATA("Total-New",'Distrib pivot table'!$C$2,"state","AR","group","1f")/GETPIVOTDATA("Total-New",'Distrib pivot table'!$C$2,"state","AR"),"*"))</f>
        <v>0</v>
      </c>
      <c r="G57" s="584">
        <f>IF((GETPIVOTDATA("Total-New",'Distrib pivot table'!$C$2,"state","DE","group","1f")/GETPIVOTDATA("Total-New",'Distrib pivot table'!$C$2,"state","DE"))=0,,IF(GETPIVOTDATA("Total-New",'Distrib pivot table'!$C$2,"state","DE","group","1f")/GETPIVOTDATA("Total-New",'Distrib pivot table'!$C$2,"state","DE")&gt;0.0005,GETPIVOTDATA("Total-New",'Distrib pivot table'!$C$2,"state","DE","group","1f")/GETPIVOTDATA("Total-New",'Distrib pivot table'!$C$2,"state","DE"),"*"))</f>
        <v>0</v>
      </c>
      <c r="H57" s="584">
        <f>IF((GETPIVOTDATA("Total-New",'Distrib pivot table'!$C$2,"state","FL","group","1f")/GETPIVOTDATA("Total-New",'Distrib pivot table'!$C$2,"state","FL"))=0,,IF(GETPIVOTDATA("Total-New",'Distrib pivot table'!$C$2,"state","FL","group","1f")/GETPIVOTDATA("Total-New",'Distrib pivot table'!$C$2,"state","FL")&gt;0.0005,GETPIVOTDATA("Total-New",'Distrib pivot table'!$C$2,"state","FL","group","1f")/GETPIVOTDATA("Total-New",'Distrib pivot table'!$C$2,"state","FL"),"*"))</f>
        <v>0</v>
      </c>
      <c r="I57" s="584">
        <f>IF((GETPIVOTDATA("Total-New",'Distrib pivot table'!$C$2,"state","GA","group","1f")/GETPIVOTDATA("Total-New",'Distrib pivot table'!$C$2,"state","GA"))=0,,IF(GETPIVOTDATA("Total-New",'Distrib pivot table'!$C$2,"state","GA","group","1f")/GETPIVOTDATA("Total-New",'Distrib pivot table'!$C$2,"state","GA")&gt;0.0005,GETPIVOTDATA("Total-New",'Distrib pivot table'!$C$2,"state","GA","group","1f")/GETPIVOTDATA("Total-New",'Distrib pivot table'!$C$2,"state","GA"),"*"))</f>
        <v>1.6223762015803021E-2</v>
      </c>
      <c r="J57" s="584">
        <f>IF((GETPIVOTDATA("Total-New",'Distrib pivot table'!$C$2,"state","KY","group","1f")/GETPIVOTDATA("Total-New",'Distrib pivot table'!$C$2,"state","KY"))=0,,IF(GETPIVOTDATA("Total-New",'Distrib pivot table'!$C$2,"state","KY","group","1f")/GETPIVOTDATA("Total-New",'Distrib pivot table'!$C$2,"state","KY")&gt;0.0005,GETPIVOTDATA("Total-New",'Distrib pivot table'!$C$2,"state","KY","group","1f")/GETPIVOTDATA("Total-New",'Distrib pivot table'!$C$2,"state","KY"),"*"))</f>
        <v>0</v>
      </c>
      <c r="K57" s="584">
        <f>IF((GETPIVOTDATA("Total-New",'Distrib pivot table'!$C$2,"state","LA","group","1f")/GETPIVOTDATA("Total-New",'Distrib pivot table'!$C$2,"state","LA"))=0,,IF(GETPIVOTDATA("Total-New",'Distrib pivot table'!$C$2,"state","LA","group","1f")/GETPIVOTDATA("Total-New",'Distrib pivot table'!$C$2,"state","LA")&gt;0.0005,GETPIVOTDATA("Total-New",'Distrib pivot table'!$C$2,"state","LA","group","1f")/GETPIVOTDATA("Total-New",'Distrib pivot table'!$C$2,"state","LA"),"*"))</f>
        <v>0</v>
      </c>
      <c r="L57" s="584">
        <f>IF((GETPIVOTDATA("Total-New",'Distrib pivot table'!$C$2,"state","MD","group","1f")/GETPIVOTDATA("Total-New",'Distrib pivot table'!$C$2,"state","MD"))=0,,IF(GETPIVOTDATA("Total-New",'Distrib pivot table'!$C$2,"state","MD","group","1f")/GETPIVOTDATA("Total-New",'Distrib pivot table'!$C$2,"state","MD")&gt;0.0005,GETPIVOTDATA("Total-New",'Distrib pivot table'!$C$2,"state","MD","group","1f")/GETPIVOTDATA("Total-New",'Distrib pivot table'!$C$2,"state","MD"),"*"))</f>
        <v>8.3886158758956053E-2</v>
      </c>
      <c r="M57" s="584">
        <f>IF((GETPIVOTDATA("Total-New",'Distrib pivot table'!$C$2,"state","MS","group","1f")/GETPIVOTDATA("Total-New",'Distrib pivot table'!$C$2,"state","MS"))=0,,IF(GETPIVOTDATA("Total-New",'Distrib pivot table'!$C$2,"state","MS","group","1f")/GETPIVOTDATA("Total-New",'Distrib pivot table'!$C$2,"state","MS")&gt;0.0005,GETPIVOTDATA("Total-New",'Distrib pivot table'!$C$2,"state","MS","group","1f")/GETPIVOTDATA("Total-New",'Distrib pivot table'!$C$2,"state","MS"),"*"))</f>
        <v>0</v>
      </c>
      <c r="N57" s="584">
        <f>IF((GETPIVOTDATA("Total-New",'Distrib pivot table'!$C$2,"state","NC","group","1f")/GETPIVOTDATA("Total-New",'Distrib pivot table'!$C$2,"state","NC"))=0,,IF(GETPIVOTDATA("Total-New",'Distrib pivot table'!$C$2,"state","NC","group","1f")/GETPIVOTDATA("Total-New",'Distrib pivot table'!$C$2,"state","NC")&gt;0.0005,GETPIVOTDATA("Total-New",'Distrib pivot table'!$C$2,"state","NC","group","1f")/GETPIVOTDATA("Total-New",'Distrib pivot table'!$C$2,"state","NC"),"*"))</f>
        <v>7.6044617458257118E-3</v>
      </c>
      <c r="O57" s="584">
        <f>IF((GETPIVOTDATA("Total-New",'Distrib pivot table'!$C$2,"state","OK","group","1f")/GETPIVOTDATA("Total-New",'Distrib pivot table'!$C$2,"state","OK"))=0,,IF(GETPIVOTDATA("Total-New",'Distrib pivot table'!$C$2,"state","OK","group","1f")/GETPIVOTDATA("Total-New",'Distrib pivot table'!$C$2,"state","OK")&gt;0.0005,GETPIVOTDATA("Total-New",'Distrib pivot table'!$C$2,"state","OK","group","1f")/GETPIVOTDATA("Total-New",'Distrib pivot table'!$C$2,"state","OK"),"*"))</f>
        <v>0</v>
      </c>
      <c r="P57" s="584">
        <f>IF((GETPIVOTDATA("Total-New",'Distrib pivot table'!$C$2,"state","SC","group","1f")/GETPIVOTDATA("Total-New",'Distrib pivot table'!$C$2,"state","SC"))=0,,IF(GETPIVOTDATA("Total-New",'Distrib pivot table'!$C$2,"state","SC","group","1f")/GETPIVOTDATA("Total-New",'Distrib pivot table'!$C$2,"state","SC")&gt;0.0005,GETPIVOTDATA("Total-New",'Distrib pivot table'!$C$2,"state","SC","group","1f")/GETPIVOTDATA("Total-New",'Distrib pivot table'!$C$2,"state","SC"),"*"))</f>
        <v>0</v>
      </c>
      <c r="Q57" s="584">
        <f>IF((GETPIVOTDATA("Total-New",'Distrib pivot table'!$C$2,"state","TN","group","1f")/GETPIVOTDATA("Total-New",'Distrib pivot table'!$C$2,"state","TN"))=0,,IF(GETPIVOTDATA("Total-New",'Distrib pivot table'!$C$2,"state","TN","group","1f")/GETPIVOTDATA("Total-New",'Distrib pivot table'!$C$2,"state","TN")&gt;0.0005,GETPIVOTDATA("Total-New",'Distrib pivot table'!$C$2,"state","TN","group","1f")/GETPIVOTDATA("Total-New",'Distrib pivot table'!$C$2,"state","TN"),"*"))</f>
        <v>3.1977065471028572E-3</v>
      </c>
      <c r="R57" s="584">
        <f>IF((GETPIVOTDATA("Total-New",'Distrib pivot table'!$C$2,"state","TX","group","1f")/GETPIVOTDATA("Total-New",'Distrib pivot table'!$C$2,"state","TX"))=0,,IF(GETPIVOTDATA("Total-New",'Distrib pivot table'!$C$2,"state","TX","group","1f")/GETPIVOTDATA("Total-New",'Distrib pivot table'!$C$2,"state","TX")&gt;0.0005,GETPIVOTDATA("Total-New",'Distrib pivot table'!$C$2,"state","TX","group","1f")/GETPIVOTDATA("Total-New",'Distrib pivot table'!$C$2,"state","TX"),"*"))</f>
        <v>0</v>
      </c>
      <c r="S57" s="584">
        <f>IF((GETPIVOTDATA("Total-New",'Distrib pivot table'!$C$2,"state","VA","group","1f")/GETPIVOTDATA("Total-New",'Distrib pivot table'!$C$2,"state","VA"))=0,,IF(GETPIVOTDATA("Total-New",'Distrib pivot table'!$C$2,"state","VA","group","1f")/GETPIVOTDATA("Total-New",'Distrib pivot table'!$C$2,"state","VA")&gt;0.0005,GETPIVOTDATA("Total-New",'Distrib pivot table'!$C$2,"state","VA","group","1f")/GETPIVOTDATA("Total-New",'Distrib pivot table'!$C$2,"state","VA"),"*"))</f>
        <v>8.0332180171549718E-3</v>
      </c>
      <c r="T57" s="584">
        <f>IF((GETPIVOTDATA("Total-New",'Distrib pivot table'!$C$2,"state","WV","group","1f")/GETPIVOTDATA("Total-New",'Distrib pivot table'!$C$2,"state","WV"))=0,,IF(GETPIVOTDATA("Total-New",'Distrib pivot table'!$C$2,"state","WV","group","1f")/GETPIVOTDATA("Total-New",'Distrib pivot table'!$C$2,"state","WV")&gt;0.0005,GETPIVOTDATA("Total-New",'Distrib pivot table'!$C$2,"state","WV","group","1f")/GETPIVOTDATA("Total-New",'Distrib pivot table'!$C$2,"state","WV"),"*"))</f>
        <v>0</v>
      </c>
      <c r="U57" s="576"/>
      <c r="V57" s="576"/>
      <c r="W57" s="576"/>
      <c r="X57" s="576"/>
      <c r="Y57" s="576"/>
      <c r="Z57" s="576"/>
      <c r="AA57" s="576"/>
      <c r="AB57" s="576"/>
      <c r="AC57" s="576"/>
      <c r="AD57" s="576"/>
      <c r="AE57" s="576"/>
      <c r="AF57" s="576"/>
      <c r="AG57" s="576"/>
      <c r="AH57" s="576"/>
      <c r="AI57" s="576"/>
      <c r="AJ57" s="576"/>
      <c r="AK57" s="576"/>
      <c r="AL57" s="576"/>
      <c r="AM57" s="576"/>
      <c r="AN57" s="576"/>
      <c r="AO57" s="576"/>
      <c r="AP57" s="576"/>
      <c r="AQ57" s="576"/>
      <c r="AR57" s="576"/>
      <c r="AS57" s="576"/>
      <c r="AT57" s="576"/>
      <c r="AU57" s="576"/>
      <c r="AV57" s="576"/>
      <c r="AW57" s="576"/>
      <c r="AX57" s="576"/>
    </row>
    <row r="58" spans="1:50" s="77" customFormat="1" ht="12" customHeight="1">
      <c r="A58" s="599"/>
      <c r="B58" s="600" t="s">
        <v>768</v>
      </c>
      <c r="C58" s="601"/>
      <c r="D58" s="602">
        <f t="shared" ref="D58:T58" si="6">SUM(D9,D17,D24,D29,D34,D35,D39,D55,D56,D57)</f>
        <v>0.99589513902352678</v>
      </c>
      <c r="E58" s="602">
        <f t="shared" si="6"/>
        <v>0.99884838485813254</v>
      </c>
      <c r="F58" s="602">
        <f t="shared" si="6"/>
        <v>0.99927976927395179</v>
      </c>
      <c r="G58" s="602">
        <f t="shared" si="6"/>
        <v>0.99906622803244061</v>
      </c>
      <c r="H58" s="602">
        <f t="shared" si="6"/>
        <v>1</v>
      </c>
      <c r="I58" s="602">
        <f t="shared" si="6"/>
        <v>0.99933017009202052</v>
      </c>
      <c r="J58" s="602">
        <f t="shared" si="6"/>
        <v>0.99950624776634667</v>
      </c>
      <c r="K58" s="602">
        <f t="shared" si="6"/>
        <v>0.99947479710560772</v>
      </c>
      <c r="L58" s="602">
        <f t="shared" si="6"/>
        <v>0.9964393292514262</v>
      </c>
      <c r="M58" s="602">
        <f t="shared" si="6"/>
        <v>0.99905934089539161</v>
      </c>
      <c r="N58" s="602">
        <f t="shared" si="6"/>
        <v>0.99947966501077834</v>
      </c>
      <c r="O58" s="602">
        <f>SUM(O9,O17,O24,O29,O34,O35,O39,O55,O56,O57)</f>
        <v>1</v>
      </c>
      <c r="P58" s="602">
        <f t="shared" si="6"/>
        <v>0.99933602123814536</v>
      </c>
      <c r="Q58" s="602">
        <f t="shared" si="6"/>
        <v>0.99980088181346838</v>
      </c>
      <c r="R58" s="602">
        <f t="shared" si="6"/>
        <v>0.99646509140292072</v>
      </c>
      <c r="S58" s="602">
        <f t="shared" si="6"/>
        <v>0.99668740311821646</v>
      </c>
      <c r="T58" s="602">
        <f t="shared" si="6"/>
        <v>0.99983053436472757</v>
      </c>
      <c r="U58" s="287"/>
      <c r="V58" s="287"/>
      <c r="W58" s="287"/>
      <c r="X58" s="287"/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7"/>
      <c r="AJ58" s="287"/>
      <c r="AK58" s="287"/>
      <c r="AL58" s="287"/>
      <c r="AM58" s="287"/>
      <c r="AN58" s="287"/>
      <c r="AO58" s="287"/>
      <c r="AP58" s="287"/>
      <c r="AQ58" s="287"/>
      <c r="AR58" s="287"/>
      <c r="AS58" s="287"/>
      <c r="AT58" s="287"/>
      <c r="AU58" s="287"/>
      <c r="AV58" s="287"/>
      <c r="AW58" s="287"/>
      <c r="AX58" s="287"/>
    </row>
    <row r="59" spans="1:50" ht="36.75" customHeight="1">
      <c r="A59" s="1220" t="s">
        <v>1023</v>
      </c>
      <c r="B59" s="1221"/>
      <c r="C59" s="1221"/>
      <c r="D59" s="1221"/>
      <c r="E59" s="1221"/>
      <c r="F59" s="1221"/>
      <c r="G59" s="1221"/>
      <c r="H59" s="1221"/>
      <c r="I59" s="1221"/>
      <c r="J59" s="1221"/>
      <c r="K59" s="1221"/>
      <c r="L59" s="1221"/>
      <c r="M59" s="1221"/>
      <c r="N59" s="1221"/>
      <c r="O59" s="1221"/>
      <c r="P59" s="1221"/>
      <c r="Q59" s="1221"/>
      <c r="R59" s="1221"/>
      <c r="S59" s="1221"/>
      <c r="T59" s="1221"/>
    </row>
    <row r="60" spans="1:50" ht="15" customHeight="1">
      <c r="A60" s="585" t="s">
        <v>1024</v>
      </c>
      <c r="B60" s="287"/>
      <c r="C60" s="566"/>
      <c r="D60" s="566"/>
      <c r="E60" s="566"/>
      <c r="F60" s="566"/>
      <c r="G60" s="566"/>
      <c r="H60" s="566"/>
      <c r="I60" s="566"/>
      <c r="J60" s="566"/>
      <c r="K60" s="566"/>
      <c r="L60" s="566"/>
      <c r="M60" s="566"/>
      <c r="N60" s="566"/>
      <c r="O60" s="566"/>
      <c r="P60" s="566"/>
      <c r="Q60" s="566"/>
      <c r="R60" s="566"/>
      <c r="S60" s="566"/>
      <c r="T60" s="566"/>
    </row>
    <row r="61" spans="1:50" ht="15" customHeight="1">
      <c r="A61" s="566" t="s">
        <v>1011</v>
      </c>
      <c r="B61" s="287"/>
      <c r="C61" s="566"/>
      <c r="D61" s="566"/>
      <c r="E61" s="566"/>
      <c r="F61" s="566"/>
      <c r="G61" s="566"/>
      <c r="H61" s="566"/>
      <c r="I61" s="566"/>
      <c r="J61" s="566"/>
      <c r="K61" s="566"/>
      <c r="L61" s="566"/>
      <c r="M61" s="566"/>
      <c r="N61" s="566"/>
      <c r="O61" s="566"/>
      <c r="P61" s="566"/>
      <c r="Q61" s="566"/>
      <c r="R61" s="566"/>
      <c r="S61" s="566"/>
      <c r="T61" s="370" t="s">
        <v>1814</v>
      </c>
    </row>
    <row r="65" spans="6:6" ht="13.5">
      <c r="F65" s="605"/>
    </row>
  </sheetData>
  <mergeCells count="4">
    <mergeCell ref="A7:A24"/>
    <mergeCell ref="A25:T25"/>
    <mergeCell ref="A29:A57"/>
    <mergeCell ref="A59:T59"/>
  </mergeCells>
  <printOptions horizontalCentered="1"/>
  <pageMargins left="0.25" right="0.27" top="0.7" bottom="0.5" header="0.7" footer="0.25"/>
  <pageSetup scale="71" firstPageNumber="125" orientation="landscape" useFirstPageNumber="1" r:id="rId1"/>
  <headerFooter alignWithMargins="0">
    <oddHeader>&amp;R&amp;"Arial,Regular"&amp;8SREB-State Data Exchange</oddHeader>
    <oddFooter>&amp;C&amp;"Arial,Regular"&amp;P</oddFooter>
  </headerFooter>
  <rowBreaks count="1" manualBreakCount="1">
    <brk id="28" max="19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8A432-EC65-4CCC-AA71-2018B90814AA}">
  <sheetPr codeName="Sheet5">
    <tabColor theme="5" tint="0.59999389629810485"/>
  </sheetPr>
  <dimension ref="A1:AX62"/>
  <sheetViews>
    <sheetView view="pageBreakPreview" zoomScaleNormal="100" zoomScaleSheetLayoutView="100" workbookViewId="0">
      <pane xSplit="3" ySplit="4" topLeftCell="D6" activePane="bottomRight" state="frozen"/>
      <selection pane="topRight" activeCell="D1" sqref="D1"/>
      <selection pane="bottomLeft" activeCell="A5" sqref="A5"/>
      <selection pane="bottomRight" activeCell="T25" sqref="T25"/>
    </sheetView>
  </sheetViews>
  <sheetFormatPr defaultColWidth="7.84375" defaultRowHeight="12.5"/>
  <cols>
    <col min="1" max="1" width="8.84375" style="53" customWidth="1"/>
    <col min="2" max="2" width="26.3046875" style="77" customWidth="1"/>
    <col min="3" max="3" width="4" style="603" hidden="1" customWidth="1"/>
    <col min="4" max="4" width="5.23046875" style="604" customWidth="1"/>
    <col min="5" max="5" width="5.23046875" style="53" customWidth="1"/>
    <col min="6" max="6" width="5.4609375" style="53" customWidth="1"/>
    <col min="7" max="7" width="6.69140625" style="53" customWidth="1"/>
    <col min="8" max="8" width="5.23046875" style="107" customWidth="1"/>
    <col min="9" max="14" width="5.23046875" style="53" customWidth="1"/>
    <col min="15" max="15" width="5" style="53" bestFit="1" customWidth="1"/>
    <col min="16" max="16" width="6" style="53" customWidth="1"/>
    <col min="17" max="17" width="5.53515625" style="53" customWidth="1"/>
    <col min="18" max="20" width="5.23046875" style="53" customWidth="1"/>
    <col min="21" max="16384" width="7.84375" style="53"/>
  </cols>
  <sheetData>
    <row r="1" spans="1:50" s="77" customFormat="1" ht="18">
      <c r="A1" s="336" t="s">
        <v>1016</v>
      </c>
      <c r="B1" s="355"/>
      <c r="C1" s="343"/>
      <c r="D1" s="355"/>
      <c r="E1" s="355"/>
      <c r="F1" s="355"/>
      <c r="G1" s="355"/>
      <c r="H1" s="551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</row>
    <row r="2" spans="1:50" s="553" customFormat="1" ht="17.5">
      <c r="A2" s="341" t="s">
        <v>974</v>
      </c>
      <c r="B2" s="355"/>
      <c r="C2" s="226"/>
      <c r="D2" s="552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</row>
    <row r="3" spans="1:50" s="553" customFormat="1" ht="15.5">
      <c r="A3" s="341" t="s">
        <v>1477</v>
      </c>
      <c r="B3" s="355"/>
      <c r="C3" s="226"/>
      <c r="D3" s="552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</row>
    <row r="4" spans="1:50" s="560" customFormat="1" ht="12.75" customHeight="1">
      <c r="A4" s="554"/>
      <c r="B4" s="555"/>
      <c r="C4" s="556" t="s">
        <v>1017</v>
      </c>
      <c r="D4" s="557" t="s">
        <v>1018</v>
      </c>
      <c r="E4" s="558" t="s">
        <v>61</v>
      </c>
      <c r="F4" s="559" t="s">
        <v>197</v>
      </c>
      <c r="G4" s="559" t="s">
        <v>283</v>
      </c>
      <c r="H4" s="559" t="s">
        <v>333</v>
      </c>
      <c r="I4" s="559" t="s">
        <v>365</v>
      </c>
      <c r="J4" s="559" t="s">
        <v>432</v>
      </c>
      <c r="K4" s="559" t="s">
        <v>492</v>
      </c>
      <c r="L4" s="559" t="s">
        <v>549</v>
      </c>
      <c r="M4" s="559" t="s">
        <v>599</v>
      </c>
      <c r="N4" s="559" t="s">
        <v>636</v>
      </c>
      <c r="O4" s="559" t="s">
        <v>745</v>
      </c>
      <c r="P4" s="559" t="s">
        <v>746</v>
      </c>
      <c r="Q4" s="559" t="s">
        <v>747</v>
      </c>
      <c r="R4" s="559" t="s">
        <v>748</v>
      </c>
      <c r="S4" s="559" t="s">
        <v>750</v>
      </c>
      <c r="T4" s="559" t="s">
        <v>751</v>
      </c>
    </row>
    <row r="5" spans="1:50" ht="28">
      <c r="A5" s="1222" t="s">
        <v>1019</v>
      </c>
      <c r="B5" s="561" t="s">
        <v>1020</v>
      </c>
      <c r="C5" s="562" t="s">
        <v>62</v>
      </c>
      <c r="D5" s="563">
        <f>IF(GETPIVOTDATA("Total-Old",'Distrib pivot table'!$C$2,"group","1A")/GETPIVOTDATA("Total-Old",'Distrib pivot table'!$C$2)=0,,IF(GETPIVOTDATA("Total-Old",'Distrib pivot table'!$C$2,"group","1A")/GETPIVOTDATA("Total-Old",'Distrib pivot table'!$C$2)&gt;0.0005,GETPIVOTDATA("Total-Old",'Distrib pivot table'!$C$2,"group","1A")/GETPIVOTDATA("Total-Old",'Distrib pivot table'!$C$2),"*"))</f>
        <v>0.79915840983665676</v>
      </c>
      <c r="E5" s="564">
        <f>IF((GETPIVOTDATA("Total-Old",'Distrib pivot table'!$C$2,"state","AL","group","1A")/GETPIVOTDATA("Total-Old",'Distrib pivot table'!$C$2,"state","AL"))=0,,IF(GETPIVOTDATA("Total-Old",'Distrib pivot table'!$C$2,"state","AL","group","1A")/GETPIVOTDATA("Total-Old",'Distrib pivot table'!$C$2,"state","AL")&gt;0.0005,GETPIVOTDATA("Total-Old",'Distrib pivot table'!$C$2,"state","AL","group","1A")/GETPIVOTDATA("Total-Old",'Distrib pivot table'!$C$2,"state","AL"),"*"))</f>
        <v>0.79556321803830654</v>
      </c>
      <c r="F5" s="564">
        <f>IF((GETPIVOTDATA("Total-Old",'Distrib pivot table'!$C$2,"state","AR","group","1A")/GETPIVOTDATA("Total-Old",'Distrib pivot table'!$C$2,"state","AR"))=0,,IF(GETPIVOTDATA("Total-Old",'Distrib pivot table'!$C$2,"state","AR","group","1A")/GETPIVOTDATA("Total-Old",'Distrib pivot table'!$C$2,"state","AR")&gt;0.0005,GETPIVOTDATA("Total-Old",'Distrib pivot table'!$C$2,"state","AR","group","1A")/GETPIVOTDATA("Total-Old",'Distrib pivot table'!$C$2,"state","AR"),"*"))</f>
        <v>0.79640038649504519</v>
      </c>
      <c r="G5" s="564">
        <f>IF((GETPIVOTDATA("Total-Old",'Distrib pivot table'!$C$2,"state","DE","group","1A")/GETPIVOTDATA("Total-Old",'Distrib pivot table'!$C$2,"state","DE"))=0,,IF(GETPIVOTDATA("Total-Old",'Distrib pivot table'!$C$2,"state","DE","group","1A")/GETPIVOTDATA("Total-Old",'Distrib pivot table'!$C$2,"state","DE")&gt;0.0005,GETPIVOTDATA("Total-Old",'Distrib pivot table'!$C$2,"state","DE","group","1A")/GETPIVOTDATA("Total-Old",'Distrib pivot table'!$C$2,"state","DE"),"*"))</f>
        <v>0.97121302467579684</v>
      </c>
      <c r="H5" s="564">
        <f>IF((GETPIVOTDATA("Total-Old",'Distrib pivot table'!$C$2,"state","FL","group","1A")/GETPIVOTDATA("Total-Old",'Distrib pivot table'!$C$2,"state","FL"))=0,,IF(GETPIVOTDATA("Total-Old",'Distrib pivot table'!$C$2,"state","FL","group","1A")/GETPIVOTDATA("Total-Old",'Distrib pivot table'!$C$2,"state","FL")&gt;0.0005,GETPIVOTDATA("Total-Old",'Distrib pivot table'!$C$2,"state","FL","group","1A")/GETPIVOTDATA("Total-Old",'Distrib pivot table'!$C$2,"state","FL"),"*"))</f>
        <v>0.99883035185824254</v>
      </c>
      <c r="I5" s="564">
        <f>IF((GETPIVOTDATA("Total-Old",'Distrib pivot table'!$C$2,"state","GA","group","1A")/GETPIVOTDATA("Total-Old",'Distrib pivot table'!$C$2,"state","GA"))=0,,IF(GETPIVOTDATA("Total-Old",'Distrib pivot table'!$C$2,"state","GA","group","1A")/GETPIVOTDATA("Total-Old",'Distrib pivot table'!$C$2,"state","GA")&gt;0.0005,GETPIVOTDATA("Total-Old",'Distrib pivot table'!$C$2,"state","GA","group","1A")/GETPIVOTDATA("Total-Old",'Distrib pivot table'!$C$2,"state","GA"),"*"))</f>
        <v>0.76150960912590715</v>
      </c>
      <c r="J5" s="564">
        <f>IF((GETPIVOTDATA("Total-Old",'Distrib pivot table'!$C$2,"state","KY","group","1A")/GETPIVOTDATA("Total-Old",'Distrib pivot table'!$C$2,"state","KY"))=0,,IF(GETPIVOTDATA("Total-Old",'Distrib pivot table'!$C$2,"state","KY","group","1A")/GETPIVOTDATA("Total-Old",'Distrib pivot table'!$C$2,"state","KY")&gt;0.0005,GETPIVOTDATA("Total-Old",'Distrib pivot table'!$C$2,"state","KY","group","1A")/GETPIVOTDATA("Total-Old",'Distrib pivot table'!$C$2,"state","KY"),"*"))</f>
        <v>0.79814353531096971</v>
      </c>
      <c r="K5" s="564">
        <f>IF((GETPIVOTDATA("Total-Old",'Distrib pivot table'!$C$2,"state","LA","group","1A")/GETPIVOTDATA("Total-Old",'Distrib pivot table'!$C$2,"state","LA"))=0,,IF(GETPIVOTDATA("Total-Old",'Distrib pivot table'!$C$2,"state","LA","group","1A")/GETPIVOTDATA("Total-Old",'Distrib pivot table'!$C$2,"state","LA")&gt;0.0005,GETPIVOTDATA("Total-Old",'Distrib pivot table'!$C$2,"state","LA","group","1A")/GETPIVOTDATA("Total-Old",'Distrib pivot table'!$C$2,"state","LA"),"*"))</f>
        <v>0.72732627387712234</v>
      </c>
      <c r="L5" s="564">
        <f>IF((GETPIVOTDATA("Total-Old",'Distrib pivot table'!$C$2,"state","MD","group","1A")/GETPIVOTDATA("Total-Old",'Distrib pivot table'!$C$2,"state","MD"))=0,,IF(GETPIVOTDATA("Total-Old",'Distrib pivot table'!$C$2,"state","MD","group","1A")/GETPIVOTDATA("Total-Old",'Distrib pivot table'!$C$2,"state","MD")&gt;0.0005,GETPIVOTDATA("Total-Old",'Distrib pivot table'!$C$2,"state","MD","group","1A")/GETPIVOTDATA("Total-Old",'Distrib pivot table'!$C$2,"state","MD"),"*"))</f>
        <v>0.76074892452294685</v>
      </c>
      <c r="M5" s="564">
        <f>IF((GETPIVOTDATA("Total-Old",'Distrib pivot table'!$C$2,"state","MS","group","1A")/GETPIVOTDATA("Total-Old",'Distrib pivot table'!$C$2,"state","MS"))=0,,IF(GETPIVOTDATA("Total-Old",'Distrib pivot table'!$C$2,"state","MS","group","1A")/GETPIVOTDATA("Total-Old",'Distrib pivot table'!$C$2,"state","MS")&gt;0.0005,GETPIVOTDATA("Total-Old",'Distrib pivot table'!$C$2,"state","MS","group","1A")/GETPIVOTDATA("Total-Old",'Distrib pivot table'!$C$2,"state","MS"),"*"))</f>
        <v>0.88743218426181247</v>
      </c>
      <c r="N5" s="564">
        <f>IF((GETPIVOTDATA("Total-Old",'Distrib pivot table'!$C$2,"state","NC","group","1A")/GETPIVOTDATA("Total-Old",'Distrib pivot table'!$C$2,"state","NC"))=0,,IF(GETPIVOTDATA("Total-Old",'Distrib pivot table'!$C$2,"state","NC","group","1A")/GETPIVOTDATA("Total-Old",'Distrib pivot table'!$C$2,"state","NC")&gt;0.0005,GETPIVOTDATA("Total-Old",'Distrib pivot table'!$C$2,"state","NC","group","1A")/GETPIVOTDATA("Total-Old",'Distrib pivot table'!$C$2,"state","NC"),"*"))</f>
        <v>0.82322848323544295</v>
      </c>
      <c r="O5" s="564">
        <f>IF((GETPIVOTDATA("Total-Old",'Distrib pivot table'!$C$2,"state","OK","group","1A")/GETPIVOTDATA("Total-Old",'Distrib pivot table'!$C$2,"state","OK"))=0,,IF(GETPIVOTDATA("Total-Old",'Distrib pivot table'!$C$2,"state","OK","group","1A")/GETPIVOTDATA("Total-Old",'Distrib pivot table'!$C$2,"state","OK")&gt;0.0005,GETPIVOTDATA("Total-Old",'Distrib pivot table'!$C$2,"state","OK","group","1A")/GETPIVOTDATA("Total-Old",'Distrib pivot table'!$C$2,"state","OK"),"*"))</f>
        <v>0.50000000590857474</v>
      </c>
      <c r="P5" s="564">
        <f>IF((GETPIVOTDATA("Total-Old",'Distrib pivot table'!$C$2,"state","SC","group","1A")/GETPIVOTDATA("Total-Old",'Distrib pivot table'!$C$2,"state","SC"))=0,,IF(GETPIVOTDATA("Total-Old",'Distrib pivot table'!$C$2,"state","SC","group","1A")/GETPIVOTDATA("Total-Old",'Distrib pivot table'!$C$2,"state","SC")&gt;0.0005,GETPIVOTDATA("Total-Old",'Distrib pivot table'!$C$2,"state","SC","group","1A")/GETPIVOTDATA("Total-Old",'Distrib pivot table'!$C$2,"state","SC"),"*"))</f>
        <v>0.80000330641161344</v>
      </c>
      <c r="Q5" s="564">
        <f>IF((GETPIVOTDATA("Total-Old",'Distrib pivot table'!$C$2,"state","TN","group","1A")/GETPIVOTDATA("Total-Old",'Distrib pivot table'!$C$2,"state","TN"))=0,,IF(GETPIVOTDATA("Total-Old",'Distrib pivot table'!$C$2,"state","TN","group","1A")/GETPIVOTDATA("Total-Old",'Distrib pivot table'!$C$2,"state","TN")&gt;0.0005,GETPIVOTDATA("Total-Old",'Distrib pivot table'!$C$2,"state","TN","group","1A")/GETPIVOTDATA("Total-Old",'Distrib pivot table'!$C$2,"state","TN"),"*"))</f>
        <v>0.73305939187095681</v>
      </c>
      <c r="R5" s="564">
        <f>IF((GETPIVOTDATA("Total-Old",'Distrib pivot table'!$C$2,"state","TX","group","1A")/GETPIVOTDATA("Total-Old",'Distrib pivot table'!$C$2,"state","TX"))=0,,IF(GETPIVOTDATA("Total-Old",'Distrib pivot table'!$C$2,"state","TX","group","1A")/GETPIVOTDATA("Total-Old",'Distrib pivot table'!$C$2,"state","TX")&gt;0.0005,GETPIVOTDATA("Total-Old",'Distrib pivot table'!$C$2,"state","TX","group","1A")/GETPIVOTDATA("Total-Old",'Distrib pivot table'!$C$2,"state","TX"),"*"))</f>
        <v>0.79389734355575681</v>
      </c>
      <c r="S5" s="564">
        <f>IF((GETPIVOTDATA("Total-Old",'Distrib pivot table'!$C$2,"state","VA","group","1A")/GETPIVOTDATA("Total-Old",'Distrib pivot table'!$C$2,"state","VA"))=0,,IF(GETPIVOTDATA("Total-Old",'Distrib pivot table'!$C$2,"state","VA","group","1A")/GETPIVOTDATA("Total-Old",'Distrib pivot table'!$C$2,"state","VA")&gt;0.0005,GETPIVOTDATA("Total-Old",'Distrib pivot table'!$C$2,"state","VA","group","1A")/GETPIVOTDATA("Total-Old",'Distrib pivot table'!$C$2,"state","VA"),"*"))</f>
        <v>0.84740141279084769</v>
      </c>
      <c r="T5" s="565">
        <f>IF((GETPIVOTDATA("Total-Old",'Distrib pivot table'!$C$2,"state","WV","group","1A")/GETPIVOTDATA("Total-Old",'Distrib pivot table'!$C$2,"state","WV"))=0,,IF(GETPIVOTDATA("Total-Old",'Distrib pivot table'!$C$2,"state","WV","group","1A")/GETPIVOTDATA("Total-Old",'Distrib pivot table'!$C$2,"state","WV")&gt;0.0005,GETPIVOTDATA("Total-Old",'Distrib pivot table'!$C$2,"state","WV","group","1A")/GETPIVOTDATA("Total-Old",'Distrib pivot table'!$C$2,"state","WV"),"*"))</f>
        <v>0.70572741011079021</v>
      </c>
      <c r="U5" s="566"/>
      <c r="V5" s="566"/>
      <c r="W5" s="566"/>
      <c r="X5" s="566"/>
      <c r="Y5" s="566"/>
      <c r="Z5" s="566"/>
      <c r="AA5" s="566"/>
      <c r="AB5" s="566"/>
      <c r="AC5" s="566"/>
      <c r="AD5" s="566"/>
      <c r="AE5" s="566"/>
      <c r="AF5" s="566"/>
      <c r="AG5" s="566"/>
      <c r="AH5" s="566"/>
      <c r="AI5" s="566"/>
      <c r="AJ5" s="566"/>
      <c r="AK5" s="566"/>
      <c r="AL5" s="566"/>
      <c r="AM5" s="566"/>
      <c r="AN5" s="566"/>
      <c r="AO5" s="566"/>
      <c r="AP5" s="566"/>
      <c r="AQ5" s="566"/>
      <c r="AR5" s="566"/>
      <c r="AS5" s="566"/>
      <c r="AT5" s="566"/>
      <c r="AU5" s="566"/>
      <c r="AV5" s="566"/>
      <c r="AW5" s="566"/>
      <c r="AX5" s="566"/>
    </row>
    <row r="6" spans="1:50" s="571" customFormat="1" ht="28">
      <c r="A6" s="1223"/>
      <c r="B6" s="561" t="s">
        <v>1021</v>
      </c>
      <c r="C6" s="567" t="s">
        <v>67</v>
      </c>
      <c r="D6" s="568">
        <f>SUM(D8:D14)</f>
        <v>1.9392498887324375E-2</v>
      </c>
      <c r="E6" s="568">
        <f>SUM(E8:E14)</f>
        <v>2.1300409826176717E-2</v>
      </c>
      <c r="F6" s="568">
        <f>SUM(F8:F14)</f>
        <v>1.5924506271222223E-2</v>
      </c>
      <c r="G6" s="568">
        <f t="shared" ref="G6:T6" si="0">SUM(G8:G14)</f>
        <v>6.9951201800478521E-3</v>
      </c>
      <c r="H6" s="568">
        <f t="shared" si="0"/>
        <v>0</v>
      </c>
      <c r="I6" s="568">
        <f t="shared" si="0"/>
        <v>1.8488770458092128E-2</v>
      </c>
      <c r="J6" s="568">
        <f t="shared" si="0"/>
        <v>3.4996338321736369E-2</v>
      </c>
      <c r="K6" s="568">
        <f t="shared" si="0"/>
        <v>2.9020971718397931E-2</v>
      </c>
      <c r="L6" s="568">
        <f t="shared" si="0"/>
        <v>1.341168801795355E-2</v>
      </c>
      <c r="M6" s="568">
        <f t="shared" si="0"/>
        <v>5.7855306386892714E-2</v>
      </c>
      <c r="N6" s="568">
        <f t="shared" si="0"/>
        <v>1.6250134058542517E-2</v>
      </c>
      <c r="O6" s="568">
        <f t="shared" si="0"/>
        <v>0</v>
      </c>
      <c r="P6" s="568">
        <f t="shared" si="0"/>
        <v>2.4952330263629953E-2</v>
      </c>
      <c r="Q6" s="568">
        <f t="shared" si="0"/>
        <v>2.4738480601733052E-2</v>
      </c>
      <c r="R6" s="568">
        <f t="shared" si="0"/>
        <v>1.5578054781239114E-2</v>
      </c>
      <c r="S6" s="568">
        <f t="shared" si="0"/>
        <v>1.6610113911522555E-2</v>
      </c>
      <c r="T6" s="569">
        <f t="shared" si="0"/>
        <v>3.0082307900833251E-2</v>
      </c>
      <c r="U6" s="570"/>
      <c r="V6" s="570"/>
      <c r="W6" s="570"/>
      <c r="X6" s="570"/>
      <c r="Y6" s="570"/>
      <c r="Z6" s="570"/>
      <c r="AA6" s="570"/>
      <c r="AB6" s="570"/>
      <c r="AC6" s="570"/>
      <c r="AD6" s="570"/>
      <c r="AE6" s="570"/>
      <c r="AF6" s="570"/>
      <c r="AG6" s="570"/>
      <c r="AH6" s="570"/>
      <c r="AI6" s="570"/>
      <c r="AJ6" s="570"/>
      <c r="AK6" s="570"/>
      <c r="AL6" s="570"/>
      <c r="AM6" s="570"/>
      <c r="AN6" s="570"/>
      <c r="AO6" s="570"/>
      <c r="AP6" s="570"/>
      <c r="AQ6" s="570"/>
      <c r="AR6" s="570"/>
      <c r="AS6" s="570"/>
      <c r="AT6" s="570"/>
      <c r="AU6" s="570"/>
      <c r="AV6" s="570"/>
      <c r="AW6" s="570"/>
      <c r="AX6" s="570"/>
    </row>
    <row r="7" spans="1:50" s="571" customFormat="1" ht="26">
      <c r="A7" s="1223"/>
      <c r="B7" s="572" t="s">
        <v>1022</v>
      </c>
      <c r="C7" s="567"/>
      <c r="D7" s="568">
        <f>+D6+D5</f>
        <v>0.81855090872398117</v>
      </c>
      <c r="E7" s="568">
        <f t="shared" ref="E7:T7" si="1">+E6+E5</f>
        <v>0.8168636278644833</v>
      </c>
      <c r="F7" s="568">
        <f t="shared" si="1"/>
        <v>0.8123248927662674</v>
      </c>
      <c r="G7" s="568">
        <f t="shared" si="1"/>
        <v>0.97820814485584473</v>
      </c>
      <c r="H7" s="568">
        <f t="shared" si="1"/>
        <v>0.99883035185824254</v>
      </c>
      <c r="I7" s="568">
        <f t="shared" si="1"/>
        <v>0.77999837958399931</v>
      </c>
      <c r="J7" s="568">
        <f t="shared" si="1"/>
        <v>0.83313987363270603</v>
      </c>
      <c r="K7" s="568">
        <f t="shared" si="1"/>
        <v>0.75634724559552025</v>
      </c>
      <c r="L7" s="568">
        <f t="shared" si="1"/>
        <v>0.77416061254090041</v>
      </c>
      <c r="M7" s="568">
        <f t="shared" si="1"/>
        <v>0.94528749064870521</v>
      </c>
      <c r="N7" s="568">
        <f t="shared" si="1"/>
        <v>0.83947861729398543</v>
      </c>
      <c r="O7" s="568">
        <f t="shared" si="1"/>
        <v>0.50000000590857474</v>
      </c>
      <c r="P7" s="568">
        <f t="shared" si="1"/>
        <v>0.82495563667524341</v>
      </c>
      <c r="Q7" s="568">
        <f t="shared" si="1"/>
        <v>0.75779787247268982</v>
      </c>
      <c r="R7" s="568">
        <f t="shared" si="1"/>
        <v>0.80947539833699589</v>
      </c>
      <c r="S7" s="568">
        <f t="shared" si="1"/>
        <v>0.86401152670237025</v>
      </c>
      <c r="T7" s="569">
        <f t="shared" si="1"/>
        <v>0.73580971801162343</v>
      </c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0"/>
      <c r="AH7" s="570"/>
      <c r="AI7" s="570"/>
      <c r="AJ7" s="570"/>
      <c r="AK7" s="570"/>
      <c r="AL7" s="570"/>
      <c r="AM7" s="570"/>
      <c r="AN7" s="570"/>
      <c r="AO7" s="570"/>
      <c r="AP7" s="570"/>
      <c r="AQ7" s="570"/>
      <c r="AR7" s="570"/>
      <c r="AS7" s="570"/>
      <c r="AT7" s="570"/>
      <c r="AU7" s="570"/>
      <c r="AV7" s="570"/>
      <c r="AW7" s="570"/>
      <c r="AX7" s="570"/>
    </row>
    <row r="8" spans="1:50" ht="12.65" customHeight="1">
      <c r="A8" s="1223"/>
      <c r="B8" s="573" t="s">
        <v>70</v>
      </c>
      <c r="C8" s="574" t="s">
        <v>69</v>
      </c>
      <c r="D8" s="575">
        <f>IF(GETPIVOTDATA("Total-Old",'Distrib pivot table'!$C$2,"group","1b1")/GETPIVOTDATA("Total-Old",'Distrib pivot table'!$C$2)=0,,IF(GETPIVOTDATA("Total-Old",'Distrib pivot table'!$C$2,"group","1b1")/GETPIVOTDATA("Total-Old",'Distrib pivot table'!$C$2)&gt;0.0005,GETPIVOTDATA("Total-Old",'Distrib pivot table'!$C$2,"group","1b1")/GETPIVOTDATA("Total-Old",'Distrib pivot table'!$C$2),"*"))</f>
        <v>2.7678873500075417E-3</v>
      </c>
      <c r="E8" s="575">
        <f>IF((GETPIVOTDATA("Total-Old",'Distrib pivot table'!$C$2,"state","AL","group","1b1")/GETPIVOTDATA("Total-Old",'Distrib pivot table'!$C$2,"state","AL"))=0,,IF(GETPIVOTDATA("Total-Old",'Distrib pivot table'!$C$2,"state","AL","group","1b1")/GETPIVOTDATA("Total-Old",'Distrib pivot table'!$C$2,"state","AL")&gt;0.0005,GETPIVOTDATA("Total-Old",'Distrib pivot table'!$C$2,"state","AL","group","1b1")/GETPIVOTDATA("Total-Old",'Distrib pivot table'!$C$2,"state","AL"),"*"))</f>
        <v>8.9216697130429872E-4</v>
      </c>
      <c r="F8" s="575">
        <f>IF((GETPIVOTDATA("Total-Old",'Distrib pivot table'!$C$2,"state","AR","group","1b1")/GETPIVOTDATA("Total-Old",'Distrib pivot table'!$C$2,"state","AR"))=0,,IF(GETPIVOTDATA("Total-Old",'Distrib pivot table'!$C$2,"state","AR","group","1b1")/GETPIVOTDATA("Total-Old",'Distrib pivot table'!$C$2,"state","AR")&gt;0.0005,GETPIVOTDATA("Total-Old",'Distrib pivot table'!$C$2,"state","AR","group","1b1")/GETPIVOTDATA("Total-Old",'Distrib pivot table'!$C$2,"state","AR"),"*"))</f>
        <v>1.5924506271222223E-2</v>
      </c>
      <c r="G8" s="575" t="str">
        <f>IF((GETPIVOTDATA("Total-Old",'Distrib pivot table'!$C$2,"state","DE","group","1b1")/GETPIVOTDATA("Total-Old",'Distrib pivot table'!$C$2,"state","DE"))=0,,IF(GETPIVOTDATA("Total-Old",'Distrib pivot table'!$C$2,"state","DE","group","1b1")/GETPIVOTDATA("Total-Old",'Distrib pivot table'!$C$2,"state","DE")&gt;0.0005,GETPIVOTDATA("Total-Old",'Distrib pivot table'!$C$2,"state","DE","group","1b1")/GETPIVOTDATA("Total-Old",'Distrib pivot table'!$C$2,"state","DE"),"*"))</f>
        <v>*</v>
      </c>
      <c r="H8" s="575">
        <f>IF((GETPIVOTDATA("Total-Old",'Distrib pivot table'!$C$2,"state","FL","group","1b1")/GETPIVOTDATA("Total-Old",'Distrib pivot table'!$C$2,"state","FL"))=0,,IF(GETPIVOTDATA("Total-Old",'Distrib pivot table'!$C$2,"state","FL","group","1b1")/GETPIVOTDATA("Total-Old",'Distrib pivot table'!$C$2,"state","FL")&gt;0.0005,GETPIVOTDATA("Total-Old",'Distrib pivot table'!$C$2,"state","FL","group","1b1")/GETPIVOTDATA("Total-Old",'Distrib pivot table'!$C$2,"state","FL"),"*"))</f>
        <v>0</v>
      </c>
      <c r="I8" s="575">
        <f>IF((GETPIVOTDATA("Total-Old",'Distrib pivot table'!$C$2,"state","GA","group","1b1")/GETPIVOTDATA("Total-Old",'Distrib pivot table'!$C$2,"state","GA"))=0,,IF(GETPIVOTDATA("Total-Old",'Distrib pivot table'!$C$2,"state","GA","group","1b1")/GETPIVOTDATA("Total-Old",'Distrib pivot table'!$C$2,"state","GA")&gt;0.0005,GETPIVOTDATA("Total-Old",'Distrib pivot table'!$C$2,"state","GA","group","1b1")/GETPIVOTDATA("Total-Old",'Distrib pivot table'!$C$2,"state","GA"),"*"))</f>
        <v>1.4370048263486486E-3</v>
      </c>
      <c r="J8" s="575">
        <f>IF((GETPIVOTDATA("Total-Old",'Distrib pivot table'!$C$2,"state","KY","group","1b1")/GETPIVOTDATA("Total-Old",'Distrib pivot table'!$C$2,"state","KY"))=0,,IF(GETPIVOTDATA("Total-Old",'Distrib pivot table'!$C$2,"state","KY","group","1b1")/GETPIVOTDATA("Total-Old",'Distrib pivot table'!$C$2,"state","KY")&gt;0.0005,GETPIVOTDATA("Total-Old",'Distrib pivot table'!$C$2,"state","KY","group","1b1")/GETPIVOTDATA("Total-Old",'Distrib pivot table'!$C$2,"state","KY"),"*"))</f>
        <v>9.970901292849851E-3</v>
      </c>
      <c r="K8" s="575">
        <f>IF((GETPIVOTDATA("Total-Old",'Distrib pivot table'!$C$2,"state","LA","group","1b1")/GETPIVOTDATA("Total-Old",'Distrib pivot table'!$C$2,"state","LA"))=0,,IF(GETPIVOTDATA("Total-Old",'Distrib pivot table'!$C$2,"state","LA","group","1b1")/GETPIVOTDATA("Total-Old",'Distrib pivot table'!$C$2,"state","LA")&gt;0.0005,GETPIVOTDATA("Total-Old",'Distrib pivot table'!$C$2,"state","LA","group","1b1")/GETPIVOTDATA("Total-Old",'Distrib pivot table'!$C$2,"state","LA"),"*"))</f>
        <v>0</v>
      </c>
      <c r="L8" s="575">
        <f>IF((GETPIVOTDATA("Total-Old",'Distrib pivot table'!$C$2,"state","MD","group","1b1")/GETPIVOTDATA("Total-Old",'Distrib pivot table'!$C$2,"state","MD"))=0,,IF(GETPIVOTDATA("Total-Old",'Distrib pivot table'!$C$2,"state","MD","group","1b1")/GETPIVOTDATA("Total-Old",'Distrib pivot table'!$C$2,"state","MD")&gt;0.0005,GETPIVOTDATA("Total-Old",'Distrib pivot table'!$C$2,"state","MD","group","1b1")/GETPIVOTDATA("Total-Old",'Distrib pivot table'!$C$2,"state","MD"),"*"))</f>
        <v>0</v>
      </c>
      <c r="M8" s="575" t="str">
        <f>IF((GETPIVOTDATA("Total-Old",'Distrib pivot table'!$C$2,"state","MS","group","1b1")/GETPIVOTDATA("Total-Old",'Distrib pivot table'!$C$2,"state","MS"))=0,,IF(GETPIVOTDATA("Total-Old",'Distrib pivot table'!$C$2,"state","MS","group","1b1")/GETPIVOTDATA("Total-Old",'Distrib pivot table'!$C$2,"state","MS")&gt;0.0005,GETPIVOTDATA("Total-Old",'Distrib pivot table'!$C$2,"state","MS","group","1b1")/GETPIVOTDATA("Total-Old",'Distrib pivot table'!$C$2,"state","MS"),"*"))</f>
        <v>*</v>
      </c>
      <c r="N8" s="575">
        <f>IF((GETPIVOTDATA("Total-Old",'Distrib pivot table'!$C$2,"state","NC","group","1b1")/GETPIVOTDATA("Total-Old",'Distrib pivot table'!$C$2,"state","NC"))=0,,IF(GETPIVOTDATA("Total-Old",'Distrib pivot table'!$C$2,"state","NC","group","1b1")/GETPIVOTDATA("Total-Old",'Distrib pivot table'!$C$2,"state","NC")&gt;0.0005,GETPIVOTDATA("Total-Old",'Distrib pivot table'!$C$2,"state","NC","group","1b1")/GETPIVOTDATA("Total-Old",'Distrib pivot table'!$C$2,"state","NC"),"*"))</f>
        <v>1.4726473284958762E-3</v>
      </c>
      <c r="O8" s="575">
        <f>IF((GETPIVOTDATA("Total-Old",'Distrib pivot table'!$C$2,"state","OK","group","1b1")/GETPIVOTDATA("Total-Old",'Distrib pivot table'!$C$2,"state","OK"))=0,,IF(GETPIVOTDATA("Total-Old",'Distrib pivot table'!$C$2,"state","OK","group","1b1")/GETPIVOTDATA("Total-Old",'Distrib pivot table'!$C$2,"state","OK")&gt;0.0005,GETPIVOTDATA("Total-Old",'Distrib pivot table'!$C$2,"state","OK","group","1b1")/GETPIVOTDATA("Total-Old",'Distrib pivot table'!$C$2,"state","OK"),"*"))</f>
        <v>0</v>
      </c>
      <c r="P8" s="575" t="str">
        <f>IF((GETPIVOTDATA("Total-Old",'Distrib pivot table'!$C$2,"state","SC","group","1b1")/GETPIVOTDATA("Total-Old",'Distrib pivot table'!$C$2,"state","SC"))=0,,IF(GETPIVOTDATA("Total-Old",'Distrib pivot table'!$C$2,"state","SC","group","1b1")/GETPIVOTDATA("Total-Old",'Distrib pivot table'!$C$2,"state","SC")&gt;0.0005,GETPIVOTDATA("Total-Old",'Distrib pivot table'!$C$2,"state","SC","group","1b1")/GETPIVOTDATA("Total-Old",'Distrib pivot table'!$C$2,"state","SC"),"*"))</f>
        <v>*</v>
      </c>
      <c r="Q8" s="575">
        <f>IF((GETPIVOTDATA("Total-Old",'Distrib pivot table'!$C$2,"state","TN","group","1b1")/GETPIVOTDATA("Total-Old",'Distrib pivot table'!$C$2,"state","TN"))=0,,IF(GETPIVOTDATA("Total-Old",'Distrib pivot table'!$C$2,"state","TN","group","1b1")/GETPIVOTDATA("Total-Old",'Distrib pivot table'!$C$2,"state","TN")&gt;0.0005,GETPIVOTDATA("Total-Old",'Distrib pivot table'!$C$2,"state","TN","group","1b1")/GETPIVOTDATA("Total-Old",'Distrib pivot table'!$C$2,"state","TN"),"*"))</f>
        <v>3.4799962420319127E-3</v>
      </c>
      <c r="R8" s="575">
        <f>IF((GETPIVOTDATA("Total-Old",'Distrib pivot table'!$C$2,"state","TX","group","1b1")/GETPIVOTDATA("Total-Old",'Distrib pivot table'!$C$2,"state","TX"))=0,,IF(GETPIVOTDATA("Total-Old",'Distrib pivot table'!$C$2,"state","TX","group","1b1")/GETPIVOTDATA("Total-Old",'Distrib pivot table'!$C$2,"state","TX")&gt;0.0005,GETPIVOTDATA("Total-Old",'Distrib pivot table'!$C$2,"state","TX","group","1b1")/GETPIVOTDATA("Total-Old",'Distrib pivot table'!$C$2,"state","TX"),"*"))</f>
        <v>5.3690005592154861E-3</v>
      </c>
      <c r="S8" s="575">
        <f>IF((GETPIVOTDATA("Total-Old",'Distrib pivot table'!$C$2,"state","VA","group","1b1")/GETPIVOTDATA("Total-Old",'Distrib pivot table'!$C$2,"state","VA"))=0,,IF(GETPIVOTDATA("Total-Old",'Distrib pivot table'!$C$2,"state","VA","group","1b1")/GETPIVOTDATA("Total-Old",'Distrib pivot table'!$C$2,"state","VA")&gt;0.0005,GETPIVOTDATA("Total-Old",'Distrib pivot table'!$C$2,"state","VA","group","1b1")/GETPIVOTDATA("Total-Old",'Distrib pivot table'!$C$2,"state","VA"),"*"))</f>
        <v>0</v>
      </c>
      <c r="T8" s="575">
        <f>IF((GETPIVOTDATA("Total-Old",'Distrib pivot table'!$C$2,"state","WV","group","1b1")/GETPIVOTDATA("Total-Old",'Distrib pivot table'!$C$2,"state","WV"))=0,,IF(GETPIVOTDATA("Total-Old",'Distrib pivot table'!$C$2,"state","WV","group","1b1")/GETPIVOTDATA("Total-Old",'Distrib pivot table'!$C$2,"state","WV")&gt;0.0005,GETPIVOTDATA("Total-Old",'Distrib pivot table'!$C$2,"state","WV","group","1b1")/GETPIVOTDATA("Total-Old",'Distrib pivot table'!$C$2,"state","WV"),"*"))</f>
        <v>0</v>
      </c>
      <c r="U8" s="576"/>
      <c r="V8" s="576"/>
      <c r="W8" s="576"/>
      <c r="X8" s="576"/>
      <c r="Y8" s="576"/>
      <c r="Z8" s="576"/>
      <c r="AA8" s="576"/>
      <c r="AB8" s="576"/>
      <c r="AC8" s="576"/>
      <c r="AD8" s="576"/>
      <c r="AE8" s="576"/>
      <c r="AF8" s="576"/>
      <c r="AG8" s="576"/>
      <c r="AH8" s="576"/>
      <c r="AI8" s="576"/>
      <c r="AJ8" s="576"/>
      <c r="AK8" s="576"/>
      <c r="AL8" s="576"/>
      <c r="AM8" s="576"/>
      <c r="AN8" s="576"/>
      <c r="AO8" s="576"/>
      <c r="AP8" s="576"/>
      <c r="AQ8" s="576"/>
      <c r="AR8" s="576"/>
      <c r="AS8" s="576"/>
      <c r="AT8" s="576"/>
      <c r="AU8" s="576"/>
      <c r="AV8" s="576"/>
      <c r="AW8" s="576"/>
      <c r="AX8" s="576"/>
    </row>
    <row r="9" spans="1:50" ht="12.65" customHeight="1">
      <c r="A9" s="1223"/>
      <c r="B9" s="573" t="s">
        <v>72</v>
      </c>
      <c r="C9" s="574" t="s">
        <v>71</v>
      </c>
      <c r="D9" s="575" t="str">
        <f>IF(GETPIVOTDATA("Total-Old",'Distrib pivot table'!$C$2,"group","1b2")/GETPIVOTDATA("Total-Old",'Distrib pivot table'!$C$2)=0,,IF(GETPIVOTDATA("Total-Old",'Distrib pivot table'!$C$2,"group","1b2")/GETPIVOTDATA("Total-Old",'Distrib pivot table'!$C$2)&gt;0.0005,GETPIVOTDATA("Total-Old",'Distrib pivot table'!$C$2,"group","1b2")/GETPIVOTDATA("Total-Old",'Distrib pivot table'!$C$2),"*"))</f>
        <v>*</v>
      </c>
      <c r="E9" s="575">
        <f>IF((GETPIVOTDATA("Total-Old",'Distrib pivot table'!$C$2,"state","AL","group","1b2")/GETPIVOTDATA("Total-Old",'Distrib pivot table'!$C$2,"state","AL"))=0,,IF(GETPIVOTDATA("Total-Old",'Distrib pivot table'!$C$2,"state","AL","group","1b2")/GETPIVOTDATA("Total-Old",'Distrib pivot table'!$C$2,"state","AL")&gt;0.0005,GETPIVOTDATA("Total-Old",'Distrib pivot table'!$C$2,"state","AL","group","1b2")/GETPIVOTDATA("Total-Old",'Distrib pivot table'!$C$2,"state","AL"),"*"))</f>
        <v>6.1493342372944705E-4</v>
      </c>
      <c r="F9" s="575">
        <f>IF((GETPIVOTDATA("Total-Old",'Distrib pivot table'!$C$2,"state","AR","group","1b2")/GETPIVOTDATA("Total-Old",'Distrib pivot table'!$C$2,"state","AR"))=0,,IF(GETPIVOTDATA("Total-Old",'Distrib pivot table'!$C$2,"state","AR","group","1b2")/GETPIVOTDATA("Total-Old",'Distrib pivot table'!$C$2,"state","AR")&gt;0.0005,GETPIVOTDATA("Total-Old",'Distrib pivot table'!$C$2,"state","AR","group","1b2")/GETPIVOTDATA("Total-Old",'Distrib pivot table'!$C$2,"state","AR"),"*"))</f>
        <v>0</v>
      </c>
      <c r="G9" s="575">
        <f>IF((GETPIVOTDATA("Total-Old",'Distrib pivot table'!$C$2,"state","DE","group","1b2")/GETPIVOTDATA("Total-Old",'Distrib pivot table'!$C$2,"state","DE"))=0,,IF(GETPIVOTDATA("Total-Old",'Distrib pivot table'!$C$2,"state","DE","group","1b2")/GETPIVOTDATA("Total-Old",'Distrib pivot table'!$C$2,"state","DE")&gt;0.0005,GETPIVOTDATA("Total-Old",'Distrib pivot table'!$C$2,"state","DE","group","1b2")/GETPIVOTDATA("Total-Old",'Distrib pivot table'!$C$2,"state","DE"),"*"))</f>
        <v>0</v>
      </c>
      <c r="H9" s="575">
        <f>IF((GETPIVOTDATA("Total-Old",'Distrib pivot table'!$C$2,"state","FL","group","1b2")/GETPIVOTDATA("Total-Old",'Distrib pivot table'!$C$2,"state","FL"))=0,,IF(GETPIVOTDATA("Total-Old",'Distrib pivot table'!$C$2,"state","FL","group","1b2")/GETPIVOTDATA("Total-Old",'Distrib pivot table'!$C$2,"state","FL")&gt;0.0005,GETPIVOTDATA("Total-Old",'Distrib pivot table'!$C$2,"state","FL","group","1b2")/GETPIVOTDATA("Total-Old",'Distrib pivot table'!$C$2,"state","FL"),"*"))</f>
        <v>0</v>
      </c>
      <c r="I9" s="575">
        <f>IF((GETPIVOTDATA("Total-Old",'Distrib pivot table'!$C$2,"state","GA","group","1b2")/GETPIVOTDATA("Total-Old",'Distrib pivot table'!$C$2,"state","GA"))=0,,IF(GETPIVOTDATA("Total-Old",'Distrib pivot table'!$C$2,"state","GA","group","1b2")/GETPIVOTDATA("Total-Old",'Distrib pivot table'!$C$2,"state","GA")&gt;0.0005,GETPIVOTDATA("Total-Old",'Distrib pivot table'!$C$2,"state","GA","group","1b2")/GETPIVOTDATA("Total-Old",'Distrib pivot table'!$C$2,"state","GA"),"*"))</f>
        <v>0</v>
      </c>
      <c r="J9" s="575">
        <f>IF((GETPIVOTDATA("Total-Old",'Distrib pivot table'!$C$2,"state","KY","group","1b2")/GETPIVOTDATA("Total-Old",'Distrib pivot table'!$C$2,"state","KY"))=0,,IF(GETPIVOTDATA("Total-Old",'Distrib pivot table'!$C$2,"state","KY","group","1b2")/GETPIVOTDATA("Total-Old",'Distrib pivot table'!$C$2,"state","KY")&gt;0.0005,GETPIVOTDATA("Total-Old",'Distrib pivot table'!$C$2,"state","KY","group","1b2")/GETPIVOTDATA("Total-Old",'Distrib pivot table'!$C$2,"state","KY"),"*"))</f>
        <v>0</v>
      </c>
      <c r="K9" s="575">
        <f>IF((GETPIVOTDATA("Total-Old",'Distrib pivot table'!$C$2,"state","LA","group","1b2")/GETPIVOTDATA("Total-Old",'Distrib pivot table'!$C$2,"state","LA"))=0,,IF(GETPIVOTDATA("Total-Old",'Distrib pivot table'!$C$2,"state","LA","group","1b2")/GETPIVOTDATA("Total-Old",'Distrib pivot table'!$C$2,"state","LA")&gt;0.0005,GETPIVOTDATA("Total-Old",'Distrib pivot table'!$C$2,"state","LA","group","1b2")/GETPIVOTDATA("Total-Old",'Distrib pivot table'!$C$2,"state","LA"),"*"))</f>
        <v>0</v>
      </c>
      <c r="L9" s="575">
        <f>IF((GETPIVOTDATA("Total-Old",'Distrib pivot table'!$C$2,"state","MD","group","1b2")/GETPIVOTDATA("Total-Old",'Distrib pivot table'!$C$2,"state","MD"))=0,,IF(GETPIVOTDATA("Total-Old",'Distrib pivot table'!$C$2,"state","MD","group","1b2")/GETPIVOTDATA("Total-Old",'Distrib pivot table'!$C$2,"state","MD")&gt;0.0005,GETPIVOTDATA("Total-Old",'Distrib pivot table'!$C$2,"state","MD","group","1b2")/GETPIVOTDATA("Total-Old",'Distrib pivot table'!$C$2,"state","MD"),"*"))</f>
        <v>0</v>
      </c>
      <c r="M9" s="575">
        <f>IF((GETPIVOTDATA("Total-Old",'Distrib pivot table'!$C$2,"state","MS","group","1b2")/GETPIVOTDATA("Total-Old",'Distrib pivot table'!$C$2,"state","MS"))=0,,IF(GETPIVOTDATA("Total-Old",'Distrib pivot table'!$C$2,"state","MS","group","1b2")/GETPIVOTDATA("Total-Old",'Distrib pivot table'!$C$2,"state","MS")&gt;0.0005,GETPIVOTDATA("Total-Old",'Distrib pivot table'!$C$2,"state","MS","group","1b2")/GETPIVOTDATA("Total-Old",'Distrib pivot table'!$C$2,"state","MS"),"*"))</f>
        <v>0</v>
      </c>
      <c r="N9" s="575">
        <f>IF((GETPIVOTDATA("Total-Old",'Distrib pivot table'!$C$2,"state","NC","group","1b2")/GETPIVOTDATA("Total-Old",'Distrib pivot table'!$C$2,"state","NC"))=0,,IF(GETPIVOTDATA("Total-Old",'Distrib pivot table'!$C$2,"state","NC","group","1b2")/GETPIVOTDATA("Total-Old",'Distrib pivot table'!$C$2,"state","NC")&gt;0.0005,GETPIVOTDATA("Total-Old",'Distrib pivot table'!$C$2,"state","NC","group","1b2")/GETPIVOTDATA("Total-Old",'Distrib pivot table'!$C$2,"state","NC"),"*"))</f>
        <v>0</v>
      </c>
      <c r="O9" s="575">
        <f>IF((GETPIVOTDATA("Total-Old",'Distrib pivot table'!$C$2,"state","OK","group","1b2")/GETPIVOTDATA("Total-Old",'Distrib pivot table'!$C$2,"state","OK"))=0,,IF(GETPIVOTDATA("Total-Old",'Distrib pivot table'!$C$2,"state","OK","group","1b2")/GETPIVOTDATA("Total-Old",'Distrib pivot table'!$C$2,"state","OK")&gt;0.0005,GETPIVOTDATA("Total-Old",'Distrib pivot table'!$C$2,"state","OK","group","1b2")/GETPIVOTDATA("Total-Old",'Distrib pivot table'!$C$2,"state","OK"),"*"))</f>
        <v>0</v>
      </c>
      <c r="P9" s="575">
        <f>IF((GETPIVOTDATA("Total-Old",'Distrib pivot table'!$C$2,"state","SC","group","1b2")/GETPIVOTDATA("Total-Old",'Distrib pivot table'!$C$2,"state","SC"))=0,,IF(GETPIVOTDATA("Total-Old",'Distrib pivot table'!$C$2,"state","SC","group","1b2")/GETPIVOTDATA("Total-Old",'Distrib pivot table'!$C$2,"state","SC")&gt;0.0005,GETPIVOTDATA("Total-Old",'Distrib pivot table'!$C$2,"state","SC","group","1b2")/GETPIVOTDATA("Total-Old",'Distrib pivot table'!$C$2,"state","SC"),"*"))</f>
        <v>0</v>
      </c>
      <c r="Q9" s="575">
        <f>IF((GETPIVOTDATA("Total-Old",'Distrib pivot table'!$C$2,"state","TN","group","1b2")/GETPIVOTDATA("Total-Old",'Distrib pivot table'!$C$2,"state","TN"))=0,,IF(GETPIVOTDATA("Total-Old",'Distrib pivot table'!$C$2,"state","TN","group","1b2")/GETPIVOTDATA("Total-Old",'Distrib pivot table'!$C$2,"state","TN")&gt;0.0005,GETPIVOTDATA("Total-Old",'Distrib pivot table'!$C$2,"state","TN","group","1b2")/GETPIVOTDATA("Total-Old",'Distrib pivot table'!$C$2,"state","TN"),"*"))</f>
        <v>0</v>
      </c>
      <c r="R9" s="575">
        <f>IF((GETPIVOTDATA("Total-Old",'Distrib pivot table'!$C$2,"state","TX","group","1b2")/GETPIVOTDATA("Total-Old",'Distrib pivot table'!$C$2,"state","TX"))=0,,IF(GETPIVOTDATA("Total-Old",'Distrib pivot table'!$C$2,"state","TX","group","1b2")/GETPIVOTDATA("Total-Old",'Distrib pivot table'!$C$2,"state","TX")&gt;0.0005,GETPIVOTDATA("Total-Old",'Distrib pivot table'!$C$2,"state","TX","group","1b2")/GETPIVOTDATA("Total-Old",'Distrib pivot table'!$C$2,"state","TX"),"*"))</f>
        <v>0</v>
      </c>
      <c r="S9" s="575">
        <f>IF((GETPIVOTDATA("Total-Old",'Distrib pivot table'!$C$2,"state","VA","group","1b2")/GETPIVOTDATA("Total-Old",'Distrib pivot table'!$C$2,"state","VA"))=0,,IF(GETPIVOTDATA("Total-Old",'Distrib pivot table'!$C$2,"state","VA","group","1b2")/GETPIVOTDATA("Total-Old",'Distrib pivot table'!$C$2,"state","VA")&gt;0.0005,GETPIVOTDATA("Total-Old",'Distrib pivot table'!$C$2,"state","VA","group","1b2")/GETPIVOTDATA("Total-Old",'Distrib pivot table'!$C$2,"state","VA"),"*"))</f>
        <v>0</v>
      </c>
      <c r="T9" s="575">
        <f>IF((GETPIVOTDATA("Total-Old",'Distrib pivot table'!$C$2,"state","WV","group","1b2")/GETPIVOTDATA("Total-Old",'Distrib pivot table'!$C$2,"state","WV"))=0,,IF(GETPIVOTDATA("Total-Old",'Distrib pivot table'!$C$2,"state","WV","group","1b2")/GETPIVOTDATA("Total-Old",'Distrib pivot table'!$C$2,"state","WV")&gt;0.0005,GETPIVOTDATA("Total-Old",'Distrib pivot table'!$C$2,"state","WV","group","1b2")/GETPIVOTDATA("Total-Old",'Distrib pivot table'!$C$2,"state","WV"),"*"))</f>
        <v>0</v>
      </c>
      <c r="U9" s="576"/>
      <c r="V9" s="576"/>
      <c r="W9" s="576"/>
      <c r="X9" s="576"/>
      <c r="Y9" s="576"/>
      <c r="Z9" s="576"/>
      <c r="AA9" s="576"/>
      <c r="AB9" s="576"/>
      <c r="AC9" s="576"/>
      <c r="AD9" s="576"/>
      <c r="AE9" s="576"/>
      <c r="AF9" s="576"/>
      <c r="AG9" s="576"/>
      <c r="AH9" s="576"/>
      <c r="AI9" s="576"/>
      <c r="AJ9" s="576"/>
      <c r="AK9" s="576"/>
      <c r="AL9" s="576"/>
      <c r="AM9" s="576"/>
      <c r="AN9" s="576"/>
      <c r="AO9" s="576"/>
      <c r="AP9" s="576"/>
      <c r="AQ9" s="576"/>
      <c r="AR9" s="576"/>
      <c r="AS9" s="576"/>
      <c r="AT9" s="576"/>
      <c r="AU9" s="576"/>
      <c r="AV9" s="576"/>
      <c r="AW9" s="576"/>
      <c r="AX9" s="576"/>
    </row>
    <row r="10" spans="1:50" ht="12.65" customHeight="1">
      <c r="A10" s="1223"/>
      <c r="B10" s="573" t="s">
        <v>75</v>
      </c>
      <c r="C10" s="574" t="s">
        <v>74</v>
      </c>
      <c r="D10" s="575">
        <f>IF(GETPIVOTDATA("Total-Old",'Distrib pivot table'!$C$2,"group","1b3")/GETPIVOTDATA("Total-Old",'Distrib pivot table'!$C$2)=0,,IF(GETPIVOTDATA("Total-Old",'Distrib pivot table'!$C$2,"group","1b3")/GETPIVOTDATA("Total-Old",'Distrib pivot table'!$C$2)&gt;0.0005,GETPIVOTDATA("Total-Old",'Distrib pivot table'!$C$2,"group","1b3")/GETPIVOTDATA("Total-Old",'Distrib pivot table'!$C$2),"*"))</f>
        <v>7.9581243240049258E-3</v>
      </c>
      <c r="E10" s="575">
        <f>IF((GETPIVOTDATA("Total-Old",'Distrib pivot table'!$C$2,"state","AL","group","1b3")/GETPIVOTDATA("Total-Old",'Distrib pivot table'!$C$2,"state","AL"))=0,,IF(GETPIVOTDATA("Total-Old",'Distrib pivot table'!$C$2,"state","AL","group","1b3")/GETPIVOTDATA("Total-Old",'Distrib pivot table'!$C$2,"state","AL")&gt;0.0005,GETPIVOTDATA("Total-Old",'Distrib pivot table'!$C$2,"state","AL","group","1b3")/GETPIVOTDATA("Total-Old",'Distrib pivot table'!$C$2,"state","AL"),"*"))</f>
        <v>9.5897526607043922E-3</v>
      </c>
      <c r="F10" s="575">
        <f>IF((GETPIVOTDATA("Total-Old",'Distrib pivot table'!$C$2,"state","AR","group","1b3")/GETPIVOTDATA("Total-Old",'Distrib pivot table'!$C$2,"state","AR"))=0,,IF(GETPIVOTDATA("Total-Old",'Distrib pivot table'!$C$2,"state","AR","group","1b3")/GETPIVOTDATA("Total-Old",'Distrib pivot table'!$C$2,"state","AR")&gt;0.0005,GETPIVOTDATA("Total-Old",'Distrib pivot table'!$C$2,"state","AR","group","1b3")/GETPIVOTDATA("Total-Old",'Distrib pivot table'!$C$2,"state","AR"),"*"))</f>
        <v>0</v>
      </c>
      <c r="G10" s="575">
        <f>IF((GETPIVOTDATA("Total-Old",'Distrib pivot table'!$C$2,"state","DE","group","1b3")/GETPIVOTDATA("Total-Old",'Distrib pivot table'!$C$2,"state","DE"))=0,,IF(GETPIVOTDATA("Total-Old",'Distrib pivot table'!$C$2,"state","DE","group","1b3")/GETPIVOTDATA("Total-Old",'Distrib pivot table'!$C$2,"state","DE")&gt;0.0005,GETPIVOTDATA("Total-Old",'Distrib pivot table'!$C$2,"state","DE","group","1b3")/GETPIVOTDATA("Total-Old",'Distrib pivot table'!$C$2,"state","DE"),"*"))</f>
        <v>2.3723711409719315E-3</v>
      </c>
      <c r="H10" s="575">
        <f>IF((GETPIVOTDATA("Total-Old",'Distrib pivot table'!$C$2,"state","FL","group","1b3")/GETPIVOTDATA("Total-Old",'Distrib pivot table'!$C$2,"state","FL"))=0,,IF(GETPIVOTDATA("Total-Old",'Distrib pivot table'!$C$2,"state","FL","group","1b3")/GETPIVOTDATA("Total-Old",'Distrib pivot table'!$C$2,"state","FL")&gt;0.0005,GETPIVOTDATA("Total-Old",'Distrib pivot table'!$C$2,"state","FL","group","1b3")/GETPIVOTDATA("Total-Old",'Distrib pivot table'!$C$2,"state","FL"),"*"))</f>
        <v>0</v>
      </c>
      <c r="I10" s="575">
        <f>IF((GETPIVOTDATA("Total-Old",'Distrib pivot table'!$C$2,"state","GA","group","1b3")/GETPIVOTDATA("Total-Old",'Distrib pivot table'!$C$2,"state","GA"))=0,,IF(GETPIVOTDATA("Total-Old",'Distrib pivot table'!$C$2,"state","GA","group","1b3")/GETPIVOTDATA("Total-Old",'Distrib pivot table'!$C$2,"state","GA")&gt;0.0005,GETPIVOTDATA("Total-Old",'Distrib pivot table'!$C$2,"state","GA","group","1b3")/GETPIVOTDATA("Total-Old",'Distrib pivot table'!$C$2,"state","GA"),"*"))</f>
        <v>6.6968277163599521E-3</v>
      </c>
      <c r="J10" s="575">
        <f>IF((GETPIVOTDATA("Total-Old",'Distrib pivot table'!$C$2,"state","KY","group","1b3")/GETPIVOTDATA("Total-Old",'Distrib pivot table'!$C$2,"state","KY"))=0,,IF(GETPIVOTDATA("Total-Old",'Distrib pivot table'!$C$2,"state","KY","group","1b3")/GETPIVOTDATA("Total-Old",'Distrib pivot table'!$C$2,"state","KY")&gt;0.0005,GETPIVOTDATA("Total-Old",'Distrib pivot table'!$C$2,"state","KY","group","1b3")/GETPIVOTDATA("Total-Old",'Distrib pivot table'!$C$2,"state","KY"),"*"))</f>
        <v>2.2041474714615646E-2</v>
      </c>
      <c r="K10" s="575">
        <f>IF((GETPIVOTDATA("Total-Old",'Distrib pivot table'!$C$2,"state","LA","group","1b3")/GETPIVOTDATA("Total-Old",'Distrib pivot table'!$C$2,"state","LA"))=0,,IF(GETPIVOTDATA("Total-Old",'Distrib pivot table'!$C$2,"state","LA","group","1b3")/GETPIVOTDATA("Total-Old",'Distrib pivot table'!$C$2,"state","LA")&gt;0.0005,GETPIVOTDATA("Total-Old",'Distrib pivot table'!$C$2,"state","LA","group","1b3")/GETPIVOTDATA("Total-Old",'Distrib pivot table'!$C$2,"state","LA"),"*"))</f>
        <v>1.6610064484651806E-2</v>
      </c>
      <c r="L10" s="575">
        <f>IF((GETPIVOTDATA("Total-Old",'Distrib pivot table'!$C$2,"state","MD","group","1b3")/GETPIVOTDATA("Total-Old",'Distrib pivot table'!$C$2,"state","MD"))=0,,IF(GETPIVOTDATA("Total-Old",'Distrib pivot table'!$C$2,"state","MD","group","1b3")/GETPIVOTDATA("Total-Old",'Distrib pivot table'!$C$2,"state","MD")&gt;0.0005,GETPIVOTDATA("Total-Old",'Distrib pivot table'!$C$2,"state","MD","group","1b3")/GETPIVOTDATA("Total-Old",'Distrib pivot table'!$C$2,"state","MD"),"*"))</f>
        <v>4.4351713781372341E-3</v>
      </c>
      <c r="M10" s="575">
        <f>IF((GETPIVOTDATA("Total-Old",'Distrib pivot table'!$C$2,"state","MS","group","1b3")/GETPIVOTDATA("Total-Old",'Distrib pivot table'!$C$2,"state","MS"))=0,,IF(GETPIVOTDATA("Total-Old",'Distrib pivot table'!$C$2,"state","MS","group","1b3")/GETPIVOTDATA("Total-Old",'Distrib pivot table'!$C$2,"state","MS")&gt;0.0005,GETPIVOTDATA("Total-Old",'Distrib pivot table'!$C$2,"state","MS","group","1b3")/GETPIVOTDATA("Total-Old",'Distrib pivot table'!$C$2,"state","MS"),"*"))</f>
        <v>2.2967011569493281E-2</v>
      </c>
      <c r="N10" s="575">
        <f>IF((GETPIVOTDATA("Total-Old",'Distrib pivot table'!$C$2,"state","NC","group","1b3")/GETPIVOTDATA("Total-Old",'Distrib pivot table'!$C$2,"state","NC"))=0,,IF(GETPIVOTDATA("Total-Old",'Distrib pivot table'!$C$2,"state","NC","group","1b3")/GETPIVOTDATA("Total-Old",'Distrib pivot table'!$C$2,"state","NC")&gt;0.0005,GETPIVOTDATA("Total-Old",'Distrib pivot table'!$C$2,"state","NC","group","1b3")/GETPIVOTDATA("Total-Old",'Distrib pivot table'!$C$2,"state","NC"),"*"))</f>
        <v>6.3043762511176618E-3</v>
      </c>
      <c r="O10" s="575">
        <f>IF((GETPIVOTDATA("Total-Old",'Distrib pivot table'!$C$2,"state","OK","group","1b3")/GETPIVOTDATA("Total-Old",'Distrib pivot table'!$C$2,"state","OK"))=0,,IF(GETPIVOTDATA("Total-Old",'Distrib pivot table'!$C$2,"state","OK","group","1b3")/GETPIVOTDATA("Total-Old",'Distrib pivot table'!$C$2,"state","OK")&gt;0.0005,GETPIVOTDATA("Total-Old",'Distrib pivot table'!$C$2,"state","OK","group","1b3")/GETPIVOTDATA("Total-Old",'Distrib pivot table'!$C$2,"state","OK"),"*"))</f>
        <v>0</v>
      </c>
      <c r="P10" s="575">
        <f>IF((GETPIVOTDATA("Total-Old",'Distrib pivot table'!$C$2,"state","SC","group","1b3")/GETPIVOTDATA("Total-Old",'Distrib pivot table'!$C$2,"state","SC"))=0,,IF(GETPIVOTDATA("Total-Old",'Distrib pivot table'!$C$2,"state","SC","group","1b3")/GETPIVOTDATA("Total-Old",'Distrib pivot table'!$C$2,"state","SC")&gt;0.0005,GETPIVOTDATA("Total-Old",'Distrib pivot table'!$C$2,"state","SC","group","1b3")/GETPIVOTDATA("Total-Old",'Distrib pivot table'!$C$2,"state","SC"),"*"))</f>
        <v>1.3430668263332814E-2</v>
      </c>
      <c r="Q10" s="575">
        <f>IF((GETPIVOTDATA("Total-Old",'Distrib pivot table'!$C$2,"state","TN","group","1b3")/GETPIVOTDATA("Total-Old",'Distrib pivot table'!$C$2,"state","TN"))=0,,IF(GETPIVOTDATA("Total-Old",'Distrib pivot table'!$C$2,"state","TN","group","1b3")/GETPIVOTDATA("Total-Old",'Distrib pivot table'!$C$2,"state","TN")&gt;0.0005,GETPIVOTDATA("Total-Old",'Distrib pivot table'!$C$2,"state","TN","group","1b3")/GETPIVOTDATA("Total-Old",'Distrib pivot table'!$C$2,"state","TN"),"*"))</f>
        <v>1.2934426601766344E-2</v>
      </c>
      <c r="R10" s="575">
        <f>IF((GETPIVOTDATA("Total-Old",'Distrib pivot table'!$C$2,"state","TX","group","1b3")/GETPIVOTDATA("Total-Old",'Distrib pivot table'!$C$2,"state","TX"))=0,,IF(GETPIVOTDATA("Total-Old",'Distrib pivot table'!$C$2,"state","TX","group","1b3")/GETPIVOTDATA("Total-Old",'Distrib pivot table'!$C$2,"state","TX")&gt;0.0005,GETPIVOTDATA("Total-Old",'Distrib pivot table'!$C$2,"state","TX","group","1b3")/GETPIVOTDATA("Total-Old",'Distrib pivot table'!$C$2,"state","TX"),"*"))</f>
        <v>4.3066604234925374E-3</v>
      </c>
      <c r="S10" s="575">
        <f>IF((GETPIVOTDATA("Total-Old",'Distrib pivot table'!$C$2,"state","VA","group","1b3")/GETPIVOTDATA("Total-Old",'Distrib pivot table'!$C$2,"state","VA"))=0,,IF(GETPIVOTDATA("Total-Old",'Distrib pivot table'!$C$2,"state","VA","group","1b3")/GETPIVOTDATA("Total-Old",'Distrib pivot table'!$C$2,"state","VA")&gt;0.0005,GETPIVOTDATA("Total-Old",'Distrib pivot table'!$C$2,"state","VA","group","1b3")/GETPIVOTDATA("Total-Old",'Distrib pivot table'!$C$2,"state","VA"),"*"))</f>
        <v>6.7590102114964898E-3</v>
      </c>
      <c r="T10" s="575">
        <f>IF((GETPIVOTDATA("Total-Old",'Distrib pivot table'!$C$2,"state","WV","group","1b3")/GETPIVOTDATA("Total-Old",'Distrib pivot table'!$C$2,"state","WV"))=0,,IF(GETPIVOTDATA("Total-Old",'Distrib pivot table'!$C$2,"state","WV","group","1b3")/GETPIVOTDATA("Total-Old",'Distrib pivot table'!$C$2,"state","WV")&gt;0.0005,GETPIVOTDATA("Total-Old",'Distrib pivot table'!$C$2,"state","WV","group","1b3")/GETPIVOTDATA("Total-Old",'Distrib pivot table'!$C$2,"state","WV"),"*"))</f>
        <v>1.1532618765400625E-2</v>
      </c>
      <c r="U10" s="576"/>
      <c r="V10" s="576"/>
      <c r="W10" s="576"/>
      <c r="X10" s="576"/>
      <c r="Y10" s="576"/>
      <c r="Z10" s="576"/>
      <c r="AA10" s="576"/>
      <c r="AB10" s="576"/>
      <c r="AC10" s="576"/>
      <c r="AD10" s="576"/>
      <c r="AE10" s="576"/>
      <c r="AF10" s="576"/>
      <c r="AG10" s="576"/>
      <c r="AH10" s="576"/>
      <c r="AI10" s="576"/>
      <c r="AJ10" s="576"/>
      <c r="AK10" s="576"/>
      <c r="AL10" s="576"/>
      <c r="AM10" s="576"/>
      <c r="AN10" s="576"/>
      <c r="AO10" s="576"/>
      <c r="AP10" s="576"/>
      <c r="AQ10" s="576"/>
      <c r="AR10" s="576"/>
      <c r="AS10" s="576"/>
      <c r="AT10" s="576"/>
      <c r="AU10" s="576"/>
      <c r="AV10" s="576"/>
      <c r="AW10" s="576"/>
      <c r="AX10" s="576"/>
    </row>
    <row r="11" spans="1:50" ht="12.65" customHeight="1">
      <c r="A11" s="1223"/>
      <c r="B11" s="573" t="s">
        <v>77</v>
      </c>
      <c r="C11" s="574" t="s">
        <v>76</v>
      </c>
      <c r="D11" s="575">
        <f>IF(GETPIVOTDATA("Total-Old",'Distrib pivot table'!$C$2,"group","1b4")/GETPIVOTDATA("Total-Old",'Distrib pivot table'!$C$2)=0,,IF(GETPIVOTDATA("Total-Old",'Distrib pivot table'!$C$2,"group","1b4")/GETPIVOTDATA("Total-Old",'Distrib pivot table'!$C$2)&gt;0.0005,GETPIVOTDATA("Total-Old",'Distrib pivot table'!$C$2,"group","1b4")/GETPIVOTDATA("Total-Old",'Distrib pivot table'!$C$2),"*"))</f>
        <v>5.4694483041822731E-3</v>
      </c>
      <c r="E11" s="575">
        <f>IF((GETPIVOTDATA("Total-Old",'Distrib pivot table'!$C$2,"state","AL","group","1b4")/GETPIVOTDATA("Total-Old",'Distrib pivot table'!$C$2,"state","AL"))=0,,IF(GETPIVOTDATA("Total-Old",'Distrib pivot table'!$C$2,"state","AL","group","1b4")/GETPIVOTDATA("Total-Old",'Distrib pivot table'!$C$2,"state","AL")&gt;0.0005,GETPIVOTDATA("Total-Old",'Distrib pivot table'!$C$2,"state","AL","group","1b4")/GETPIVOTDATA("Total-Old",'Distrib pivot table'!$C$2,"state","AL"),"*"))</f>
        <v>7.5067261987247216E-3</v>
      </c>
      <c r="F11" s="575">
        <f>IF((GETPIVOTDATA("Total-Old",'Distrib pivot table'!$C$2,"state","AR","group","1b4")/GETPIVOTDATA("Total-Old",'Distrib pivot table'!$C$2,"state","AR"))=0,,IF(GETPIVOTDATA("Total-Old",'Distrib pivot table'!$C$2,"state","AR","group","1b4")/GETPIVOTDATA("Total-Old",'Distrib pivot table'!$C$2,"state","AR")&gt;0.0005,GETPIVOTDATA("Total-Old",'Distrib pivot table'!$C$2,"state","AR","group","1b4")/GETPIVOTDATA("Total-Old",'Distrib pivot table'!$C$2,"state","AR"),"*"))</f>
        <v>0</v>
      </c>
      <c r="G11" s="575">
        <f>IF((GETPIVOTDATA("Total-Old",'Distrib pivot table'!$C$2,"state","DE","group","1b4")/GETPIVOTDATA("Total-Old",'Distrib pivot table'!$C$2,"state","DE"))=0,,IF(GETPIVOTDATA("Total-Old",'Distrib pivot table'!$C$2,"state","DE","group","1b4")/GETPIVOTDATA("Total-Old",'Distrib pivot table'!$C$2,"state","DE")&gt;0.0005,GETPIVOTDATA("Total-Old",'Distrib pivot table'!$C$2,"state","DE","group","1b4")/GETPIVOTDATA("Total-Old",'Distrib pivot table'!$C$2,"state","DE"),"*"))</f>
        <v>6.5980056272429998E-4</v>
      </c>
      <c r="H11" s="575">
        <f>IF((GETPIVOTDATA("Total-Old",'Distrib pivot table'!$C$2,"state","FL","group","1b4")/GETPIVOTDATA("Total-Old",'Distrib pivot table'!$C$2,"state","FL"))=0,,IF(GETPIVOTDATA("Total-Old",'Distrib pivot table'!$C$2,"state","FL","group","1b4")/GETPIVOTDATA("Total-Old",'Distrib pivot table'!$C$2,"state","FL")&gt;0.0005,GETPIVOTDATA("Total-Old",'Distrib pivot table'!$C$2,"state","FL","group","1b4")/GETPIVOTDATA("Total-Old",'Distrib pivot table'!$C$2,"state","FL"),"*"))</f>
        <v>0</v>
      </c>
      <c r="I11" s="575">
        <f>IF((GETPIVOTDATA("Total-Old",'Distrib pivot table'!$C$2,"state","GA","group","1b4")/GETPIVOTDATA("Total-Old",'Distrib pivot table'!$C$2,"state","GA"))=0,,IF(GETPIVOTDATA("Total-Old",'Distrib pivot table'!$C$2,"state","GA","group","1b4")/GETPIVOTDATA("Total-Old",'Distrib pivot table'!$C$2,"state","GA")&gt;0.0005,GETPIVOTDATA("Total-Old",'Distrib pivot table'!$C$2,"state","GA","group","1b4")/GETPIVOTDATA("Total-Old",'Distrib pivot table'!$C$2,"state","GA"),"*"))</f>
        <v>7.2303883512846532E-3</v>
      </c>
      <c r="J11" s="575">
        <f>IF((GETPIVOTDATA("Total-Old",'Distrib pivot table'!$C$2,"state","KY","group","1b4")/GETPIVOTDATA("Total-Old",'Distrib pivot table'!$C$2,"state","KY"))=0,,IF(GETPIVOTDATA("Total-Old",'Distrib pivot table'!$C$2,"state","KY","group","1b4")/GETPIVOTDATA("Total-Old",'Distrib pivot table'!$C$2,"state","KY")&gt;0.0005,GETPIVOTDATA("Total-Old",'Distrib pivot table'!$C$2,"state","KY","group","1b4")/GETPIVOTDATA("Total-Old",'Distrib pivot table'!$C$2,"state","KY"),"*"))</f>
        <v>0</v>
      </c>
      <c r="K11" s="575">
        <f>IF((GETPIVOTDATA("Total-Old",'Distrib pivot table'!$C$2,"state","LA","group","1b4")/GETPIVOTDATA("Total-Old",'Distrib pivot table'!$C$2,"state","LA"))=0,,IF(GETPIVOTDATA("Total-Old",'Distrib pivot table'!$C$2,"state","LA","group","1b4")/GETPIVOTDATA("Total-Old",'Distrib pivot table'!$C$2,"state","LA")&gt;0.0005,GETPIVOTDATA("Total-Old",'Distrib pivot table'!$C$2,"state","LA","group","1b4")/GETPIVOTDATA("Total-Old",'Distrib pivot table'!$C$2,"state","LA"),"*"))</f>
        <v>1.2410907233746127E-2</v>
      </c>
      <c r="L11" s="575">
        <f>IF((GETPIVOTDATA("Total-Old",'Distrib pivot table'!$C$2,"state","MD","group","1b4")/GETPIVOTDATA("Total-Old",'Distrib pivot table'!$C$2,"state","MD"))=0,,IF(GETPIVOTDATA("Total-Old",'Distrib pivot table'!$C$2,"state","MD","group","1b4")/GETPIVOTDATA("Total-Old",'Distrib pivot table'!$C$2,"state","MD")&gt;0.0005,GETPIVOTDATA("Total-Old",'Distrib pivot table'!$C$2,"state","MD","group","1b4")/GETPIVOTDATA("Total-Old",'Distrib pivot table'!$C$2,"state","MD"),"*"))</f>
        <v>4.2108393748068167E-3</v>
      </c>
      <c r="M11" s="575">
        <f>IF((GETPIVOTDATA("Total-Old",'Distrib pivot table'!$C$2,"state","MS","group","1b4")/GETPIVOTDATA("Total-Old",'Distrib pivot table'!$C$2,"state","MS"))=0,,IF(GETPIVOTDATA("Total-Old",'Distrib pivot table'!$C$2,"state","MS","group","1b4")/GETPIVOTDATA("Total-Old",'Distrib pivot table'!$C$2,"state","MS")&gt;0.0005,GETPIVOTDATA("Total-Old",'Distrib pivot table'!$C$2,"state","MS","group","1b4")/GETPIVOTDATA("Total-Old",'Distrib pivot table'!$C$2,"state","MS"),"*"))</f>
        <v>1.4577036107966214E-2</v>
      </c>
      <c r="N11" s="575">
        <f>IF((GETPIVOTDATA("Total-Old",'Distrib pivot table'!$C$2,"state","NC","group","1b4")/GETPIVOTDATA("Total-Old",'Distrib pivot table'!$C$2,"state","NC"))=0,,IF(GETPIVOTDATA("Total-Old",'Distrib pivot table'!$C$2,"state","NC","group","1b4")/GETPIVOTDATA("Total-Old",'Distrib pivot table'!$C$2,"state","NC")&gt;0.0005,GETPIVOTDATA("Total-Old",'Distrib pivot table'!$C$2,"state","NC","group","1b4")/GETPIVOTDATA("Total-Old",'Distrib pivot table'!$C$2,"state","NC"),"*"))</f>
        <v>8.4731104789289805E-3</v>
      </c>
      <c r="O11" s="575">
        <f>IF((GETPIVOTDATA("Total-Old",'Distrib pivot table'!$C$2,"state","OK","group","1b4")/GETPIVOTDATA("Total-Old",'Distrib pivot table'!$C$2,"state","OK"))=0,,IF(GETPIVOTDATA("Total-Old",'Distrib pivot table'!$C$2,"state","OK","group","1b4")/GETPIVOTDATA("Total-Old",'Distrib pivot table'!$C$2,"state","OK")&gt;0.0005,GETPIVOTDATA("Total-Old",'Distrib pivot table'!$C$2,"state","OK","group","1b4")/GETPIVOTDATA("Total-Old",'Distrib pivot table'!$C$2,"state","OK"),"*"))</f>
        <v>0</v>
      </c>
      <c r="P11" s="575">
        <f>IF((GETPIVOTDATA("Total-Old",'Distrib pivot table'!$C$2,"state","SC","group","1b4")/GETPIVOTDATA("Total-Old",'Distrib pivot table'!$C$2,"state","SC"))=0,,IF(GETPIVOTDATA("Total-Old",'Distrib pivot table'!$C$2,"state","SC","group","1b4")/GETPIVOTDATA("Total-Old",'Distrib pivot table'!$C$2,"state","SC")&gt;0.0005,GETPIVOTDATA("Total-Old",'Distrib pivot table'!$C$2,"state","SC","group","1b4")/GETPIVOTDATA("Total-Old",'Distrib pivot table'!$C$2,"state","SC"),"*"))</f>
        <v>0</v>
      </c>
      <c r="Q11" s="575">
        <f>IF((GETPIVOTDATA("Total-Old",'Distrib pivot table'!$C$2,"state","TN","group","1b4")/GETPIVOTDATA("Total-Old",'Distrib pivot table'!$C$2,"state","TN"))=0,,IF(GETPIVOTDATA("Total-Old",'Distrib pivot table'!$C$2,"state","TN","group","1b4")/GETPIVOTDATA("Total-Old",'Distrib pivot table'!$C$2,"state","TN")&gt;0.0005,GETPIVOTDATA("Total-Old",'Distrib pivot table'!$C$2,"state","TN","group","1b4")/GETPIVOTDATA("Total-Old",'Distrib pivot table'!$C$2,"state","TN"),"*"))</f>
        <v>8.3240577579347923E-3</v>
      </c>
      <c r="R11" s="575">
        <f>IF((GETPIVOTDATA("Total-Old",'Distrib pivot table'!$C$2,"state","TX","group","1b4")/GETPIVOTDATA("Total-Old",'Distrib pivot table'!$C$2,"state","TX"))=0,,IF(GETPIVOTDATA("Total-Old",'Distrib pivot table'!$C$2,"state","TX","group","1b4")/GETPIVOTDATA("Total-Old",'Distrib pivot table'!$C$2,"state","TX")&gt;0.0005,GETPIVOTDATA("Total-Old",'Distrib pivot table'!$C$2,"state","TX","group","1b4")/GETPIVOTDATA("Total-Old",'Distrib pivot table'!$C$2,"state","TX"),"*"))</f>
        <v>4.3381145641540955E-3</v>
      </c>
      <c r="S11" s="575">
        <f>IF((GETPIVOTDATA("Total-Old",'Distrib pivot table'!$C$2,"state","VA","group","1b4")/GETPIVOTDATA("Total-Old",'Distrib pivot table'!$C$2,"state","VA"))=0,,IF(GETPIVOTDATA("Total-Old",'Distrib pivot table'!$C$2,"state","VA","group","1b4")/GETPIVOTDATA("Total-Old",'Distrib pivot table'!$C$2,"state","VA")&gt;0.0005,GETPIVOTDATA("Total-Old",'Distrib pivot table'!$C$2,"state","VA","group","1b4")/GETPIVOTDATA("Total-Old",'Distrib pivot table'!$C$2,"state","VA"),"*"))</f>
        <v>5.9453198363463517E-3</v>
      </c>
      <c r="T11" s="575">
        <f>IF((GETPIVOTDATA("Total-Old",'Distrib pivot table'!$C$2,"state","WV","group","1b4")/GETPIVOTDATA("Total-Old",'Distrib pivot table'!$C$2,"state","WV"))=0,,IF(GETPIVOTDATA("Total-Old",'Distrib pivot table'!$C$2,"state","WV","group","1b4")/GETPIVOTDATA("Total-Old",'Distrib pivot table'!$C$2,"state","WV")&gt;0.0005,GETPIVOTDATA("Total-Old",'Distrib pivot table'!$C$2,"state","WV","group","1b4")/GETPIVOTDATA("Total-Old",'Distrib pivot table'!$C$2,"state","WV"),"*"))</f>
        <v>7.0698693198092766E-3</v>
      </c>
      <c r="U11" s="576"/>
      <c r="V11" s="576"/>
      <c r="W11" s="576"/>
      <c r="X11" s="576"/>
      <c r="Y11" s="576"/>
      <c r="Z11" s="576"/>
      <c r="AA11" s="576"/>
      <c r="AB11" s="576"/>
      <c r="AC11" s="576"/>
      <c r="AD11" s="576"/>
      <c r="AE11" s="576"/>
      <c r="AF11" s="576"/>
      <c r="AG11" s="576"/>
      <c r="AH11" s="576"/>
      <c r="AI11" s="576"/>
      <c r="AJ11" s="576"/>
      <c r="AK11" s="576"/>
      <c r="AL11" s="576"/>
      <c r="AM11" s="576"/>
      <c r="AN11" s="576"/>
      <c r="AO11" s="576"/>
      <c r="AP11" s="576"/>
      <c r="AQ11" s="576"/>
      <c r="AR11" s="576"/>
      <c r="AS11" s="576"/>
      <c r="AT11" s="576"/>
      <c r="AU11" s="576"/>
      <c r="AV11" s="576"/>
      <c r="AW11" s="576"/>
      <c r="AX11" s="576"/>
    </row>
    <row r="12" spans="1:50" ht="12.65" customHeight="1">
      <c r="A12" s="1223"/>
      <c r="B12" s="573" t="s">
        <v>752</v>
      </c>
      <c r="C12" s="574" t="s">
        <v>381</v>
      </c>
      <c r="D12" s="575">
        <f>IF(GETPIVOTDATA("Total-Old",'Distrib pivot table'!$C$2,"group","1b5")/GETPIVOTDATA("Total-Old",'Distrib pivot table'!$C$2)=0,,IF(GETPIVOTDATA("Total-Old",'Distrib pivot table'!$C$2,"group","1b5")/GETPIVOTDATA("Total-Old",'Distrib pivot table'!$C$2)&gt;0.0005,GETPIVOTDATA("Total-Old",'Distrib pivot table'!$C$2,"group","1b5")/GETPIVOTDATA("Total-Old",'Distrib pivot table'!$C$2),"*"))</f>
        <v>5.6647298911240292E-4</v>
      </c>
      <c r="E12" s="575">
        <f>IF((GETPIVOTDATA("Total-Old",'Distrib pivot table'!$C$2,"state","AL","group","1b5")/GETPIVOTDATA("Total-Old",'Distrib pivot table'!$C$2,"state","AL"))=0,,IF(GETPIVOTDATA("Total-Old",'Distrib pivot table'!$C$2,"state","AL","group","1b5")/GETPIVOTDATA("Total-Old",'Distrib pivot table'!$C$2,"state","AL")&gt;0.0005,GETPIVOTDATA("Total-Old",'Distrib pivot table'!$C$2,"state","AL","group","1b5")/GETPIVOTDATA("Total-Old",'Distrib pivot table'!$C$2,"state","AL"),"*"))</f>
        <v>0</v>
      </c>
      <c r="F12" s="575">
        <f>IF((GETPIVOTDATA("Total-Old",'Distrib pivot table'!$C$2,"state","AR","group","1b5")/GETPIVOTDATA("Total-Old",'Distrib pivot table'!$C$2,"state","AR"))=0,,IF(GETPIVOTDATA("Total-Old",'Distrib pivot table'!$C$2,"state","AR","group","1b5")/GETPIVOTDATA("Total-Old",'Distrib pivot table'!$C$2,"state","AR")&gt;0.0005,GETPIVOTDATA("Total-Old",'Distrib pivot table'!$C$2,"state","AR","group","1b5")/GETPIVOTDATA("Total-Old",'Distrib pivot table'!$C$2,"state","AR"),"*"))</f>
        <v>0</v>
      </c>
      <c r="G12" s="575">
        <f>IF((GETPIVOTDATA("Total-Old",'Distrib pivot table'!$C$2,"state","DE","group","1b5")/GETPIVOTDATA("Total-Old",'Distrib pivot table'!$C$2,"state","DE"))=0,,IF(GETPIVOTDATA("Total-Old",'Distrib pivot table'!$C$2,"state","DE","group","1b5")/GETPIVOTDATA("Total-Old",'Distrib pivot table'!$C$2,"state","DE")&gt;0.0005,GETPIVOTDATA("Total-Old",'Distrib pivot table'!$C$2,"state","DE","group","1b5")/GETPIVOTDATA("Total-Old",'Distrib pivot table'!$C$2,"state","DE"),"*"))</f>
        <v>0</v>
      </c>
      <c r="H12" s="575">
        <f>IF((GETPIVOTDATA("Total-Old",'Distrib pivot table'!$C$2,"state","FL","group","1b5")/GETPIVOTDATA("Total-Old",'Distrib pivot table'!$C$2,"state","FL"))=0,,IF(GETPIVOTDATA("Total-Old",'Distrib pivot table'!$C$2,"state","FL","group","1b5")/GETPIVOTDATA("Total-Old",'Distrib pivot table'!$C$2,"state","FL")&gt;0.0005,GETPIVOTDATA("Total-Old",'Distrib pivot table'!$C$2,"state","FL","group","1b5")/GETPIVOTDATA("Total-Old",'Distrib pivot table'!$C$2,"state","FL"),"*"))</f>
        <v>0</v>
      </c>
      <c r="I12" s="575">
        <f>IF((GETPIVOTDATA("Total-Old",'Distrib pivot table'!$C$2,"state","GA","group","1b5")/GETPIVOTDATA("Total-Old",'Distrib pivot table'!$C$2,"state","GA"))=0,,IF(GETPIVOTDATA("Total-Old",'Distrib pivot table'!$C$2,"state","GA","group","1b5")/GETPIVOTDATA("Total-Old",'Distrib pivot table'!$C$2,"state","GA")&gt;0.0005,GETPIVOTDATA("Total-Old",'Distrib pivot table'!$C$2,"state","GA","group","1b5")/GETPIVOTDATA("Total-Old",'Distrib pivot table'!$C$2,"state","GA"),"*"))</f>
        <v>9.2398180192183345E-4</v>
      </c>
      <c r="J12" s="575">
        <f>IF((GETPIVOTDATA("Total-Old",'Distrib pivot table'!$C$2,"state","KY","group","1b5")/GETPIVOTDATA("Total-Old",'Distrib pivot table'!$C$2,"state","KY"))=0,,IF(GETPIVOTDATA("Total-Old",'Distrib pivot table'!$C$2,"state","KY","group","1b5")/GETPIVOTDATA("Total-Old",'Distrib pivot table'!$C$2,"state","KY")&gt;0.0005,GETPIVOTDATA("Total-Old",'Distrib pivot table'!$C$2,"state","KY","group","1b5")/GETPIVOTDATA("Total-Old",'Distrib pivot table'!$C$2,"state","KY"),"*"))</f>
        <v>0</v>
      </c>
      <c r="K12" s="575">
        <f>IF((GETPIVOTDATA("Total-Old",'Distrib pivot table'!$C$2,"state","LA","group","1b5")/GETPIVOTDATA("Total-Old",'Distrib pivot table'!$C$2,"state","LA"))=0,,IF(GETPIVOTDATA("Total-Old",'Distrib pivot table'!$C$2,"state","LA","group","1b5")/GETPIVOTDATA("Total-Old",'Distrib pivot table'!$C$2,"state","LA")&gt;0.0005,GETPIVOTDATA("Total-Old",'Distrib pivot table'!$C$2,"state","LA","group","1b5")/GETPIVOTDATA("Total-Old",'Distrib pivot table'!$C$2,"state","LA"),"*"))</f>
        <v>0</v>
      </c>
      <c r="L12" s="575">
        <f>IF((GETPIVOTDATA("Total-Old",'Distrib pivot table'!$C$2,"state","MD","group","1b5")/GETPIVOTDATA("Total-Old",'Distrib pivot table'!$C$2,"state","MD"))=0,,IF(GETPIVOTDATA("Total-Old",'Distrib pivot table'!$C$2,"state","MD","group","1b5")/GETPIVOTDATA("Total-Old",'Distrib pivot table'!$C$2,"state","MD")&gt;0.0005,GETPIVOTDATA("Total-Old",'Distrib pivot table'!$C$2,"state","MD","group","1b5")/GETPIVOTDATA("Total-Old",'Distrib pivot table'!$C$2,"state","MD"),"*"))</f>
        <v>0</v>
      </c>
      <c r="M12" s="575">
        <f>IF((GETPIVOTDATA("Total-Old",'Distrib pivot table'!$C$2,"state","MS","group","1b5")/GETPIVOTDATA("Total-Old",'Distrib pivot table'!$C$2,"state","MS"))=0,,IF(GETPIVOTDATA("Total-Old",'Distrib pivot table'!$C$2,"state","MS","group","1b5")/GETPIVOTDATA("Total-Old",'Distrib pivot table'!$C$2,"state","MS")&gt;0.0005,GETPIVOTDATA("Total-Old",'Distrib pivot table'!$C$2,"state","MS","group","1b5")/GETPIVOTDATA("Total-Old",'Distrib pivot table'!$C$2,"state","MS"),"*"))</f>
        <v>0</v>
      </c>
      <c r="N12" s="575">
        <f>IF((GETPIVOTDATA("Total-Old",'Distrib pivot table'!$C$2,"state","NC","group","1b5")/GETPIVOTDATA("Total-Old",'Distrib pivot table'!$C$2,"state","NC"))=0,,IF(GETPIVOTDATA("Total-Old",'Distrib pivot table'!$C$2,"state","NC","group","1b5")/GETPIVOTDATA("Total-Old",'Distrib pivot table'!$C$2,"state","NC")&gt;0.0005,GETPIVOTDATA("Total-Old",'Distrib pivot table'!$C$2,"state","NC","group","1b5")/GETPIVOTDATA("Total-Old",'Distrib pivot table'!$C$2,"state","NC"),"*"))</f>
        <v>0</v>
      </c>
      <c r="O12" s="575">
        <f>IF((GETPIVOTDATA("Total-Old",'Distrib pivot table'!$C$2,"state","OK","group","1b5")/GETPIVOTDATA("Total-Old",'Distrib pivot table'!$C$2,"state","OK"))=0,,IF(GETPIVOTDATA("Total-Old",'Distrib pivot table'!$C$2,"state","OK","group","1b5")/GETPIVOTDATA("Total-Old",'Distrib pivot table'!$C$2,"state","OK")&gt;0.0005,GETPIVOTDATA("Total-Old",'Distrib pivot table'!$C$2,"state","OK","group","1b5")/GETPIVOTDATA("Total-Old",'Distrib pivot table'!$C$2,"state","OK"),"*"))</f>
        <v>0</v>
      </c>
      <c r="P12" s="575">
        <f>IF((GETPIVOTDATA("Total-Old",'Distrib pivot table'!$C$2,"state","SC","group","1b5")/GETPIVOTDATA("Total-Old",'Distrib pivot table'!$C$2,"state","SC"))=0,,IF(GETPIVOTDATA("Total-Old",'Distrib pivot table'!$C$2,"state","SC","group","1b5")/GETPIVOTDATA("Total-Old",'Distrib pivot table'!$C$2,"state","SC")&gt;0.0005,GETPIVOTDATA("Total-Old",'Distrib pivot table'!$C$2,"state","SC","group","1b5")/GETPIVOTDATA("Total-Old",'Distrib pivot table'!$C$2,"state","SC"),"*"))</f>
        <v>0</v>
      </c>
      <c r="Q12" s="575">
        <f>IF((GETPIVOTDATA("Total-Old",'Distrib pivot table'!$C$2,"state","TN","group","1b5")/GETPIVOTDATA("Total-Old",'Distrib pivot table'!$C$2,"state","TN"))=0,,IF(GETPIVOTDATA("Total-Old",'Distrib pivot table'!$C$2,"state","TN","group","1b5")/GETPIVOTDATA("Total-Old",'Distrib pivot table'!$C$2,"state","TN")&gt;0.0005,GETPIVOTDATA("Total-Old",'Distrib pivot table'!$C$2,"state","TN","group","1b5")/GETPIVOTDATA("Total-Old",'Distrib pivot table'!$C$2,"state","TN"),"*"))</f>
        <v>0</v>
      </c>
      <c r="R12" s="575">
        <f>IF((GETPIVOTDATA("Total-Old",'Distrib pivot table'!$C$2,"state","TX","group","1b5")/GETPIVOTDATA("Total-Old",'Distrib pivot table'!$C$2,"state","TX"))=0,,IF(GETPIVOTDATA("Total-Old",'Distrib pivot table'!$C$2,"state","TX","group","1b5")/GETPIVOTDATA("Total-Old",'Distrib pivot table'!$C$2,"state","TX")&gt;0.0005,GETPIVOTDATA("Total-Old",'Distrib pivot table'!$C$2,"state","TX","group","1b5")/GETPIVOTDATA("Total-Old",'Distrib pivot table'!$C$2,"state","TX"),"*"))</f>
        <v>1.5642792343769948E-3</v>
      </c>
      <c r="S12" s="575">
        <f>IF((GETPIVOTDATA("Total-Old",'Distrib pivot table'!$C$2,"state","VA","group","1b5")/GETPIVOTDATA("Total-Old",'Distrib pivot table'!$C$2,"state","VA"))=0,,IF(GETPIVOTDATA("Total-Old",'Distrib pivot table'!$C$2,"state","VA","group","1b5")/GETPIVOTDATA("Total-Old",'Distrib pivot table'!$C$2,"state","VA")&gt;0.0005,GETPIVOTDATA("Total-Old",'Distrib pivot table'!$C$2,"state","VA","group","1b5")/GETPIVOTDATA("Total-Old",'Distrib pivot table'!$C$2,"state","VA"),"*"))</f>
        <v>0</v>
      </c>
      <c r="T12" s="575">
        <f>IF((GETPIVOTDATA("Total-Old",'Distrib pivot table'!$C$2,"state","WV","group","1b5")/GETPIVOTDATA("Total-Old",'Distrib pivot table'!$C$2,"state","WV"))=0,,IF(GETPIVOTDATA("Total-Old",'Distrib pivot table'!$C$2,"state","WV","group","1b5")/GETPIVOTDATA("Total-Old",'Distrib pivot table'!$C$2,"state","WV")&gt;0.0005,GETPIVOTDATA("Total-Old",'Distrib pivot table'!$C$2,"state","WV","group","1b5")/GETPIVOTDATA("Total-Old",'Distrib pivot table'!$C$2,"state","WV"),"*"))</f>
        <v>4.9059298595894195E-3</v>
      </c>
      <c r="U12" s="576"/>
      <c r="V12" s="576"/>
      <c r="W12" s="576"/>
      <c r="X12" s="576"/>
      <c r="Y12" s="576"/>
      <c r="Z12" s="576"/>
      <c r="AA12" s="576"/>
      <c r="AB12" s="576"/>
      <c r="AC12" s="576"/>
      <c r="AD12" s="576"/>
      <c r="AE12" s="576"/>
      <c r="AF12" s="576"/>
      <c r="AG12" s="576"/>
      <c r="AH12" s="576"/>
      <c r="AI12" s="576"/>
      <c r="AJ12" s="576"/>
      <c r="AK12" s="576"/>
      <c r="AL12" s="576"/>
      <c r="AM12" s="576"/>
      <c r="AN12" s="576"/>
      <c r="AO12" s="576"/>
      <c r="AP12" s="576"/>
      <c r="AQ12" s="576"/>
      <c r="AR12" s="576"/>
      <c r="AS12" s="576"/>
      <c r="AT12" s="576"/>
      <c r="AU12" s="576"/>
      <c r="AV12" s="576"/>
      <c r="AW12" s="576"/>
      <c r="AX12" s="576"/>
    </row>
    <row r="13" spans="1:50" ht="12.65" customHeight="1">
      <c r="A13" s="1223"/>
      <c r="B13" s="573" t="s">
        <v>79</v>
      </c>
      <c r="C13" s="574" t="s">
        <v>78</v>
      </c>
      <c r="D13" s="575">
        <f>IF(GETPIVOTDATA("Total-Old",'Distrib pivot table'!$C$2,"group","1b6")/GETPIVOTDATA("Total-Old",'Distrib pivot table'!$C$2)=0,,IF(GETPIVOTDATA("Total-Old",'Distrib pivot table'!$C$2,"group","1b6")/GETPIVOTDATA("Total-Old",'Distrib pivot table'!$C$2)&gt;0.0005,GETPIVOTDATA("Total-Old",'Distrib pivot table'!$C$2,"group","1b6")/GETPIVOTDATA("Total-Old",'Distrib pivot table'!$C$2),"*"))</f>
        <v>1.9631118194758886E-3</v>
      </c>
      <c r="E13" s="575">
        <f>IF((GETPIVOTDATA("Total-Old",'Distrib pivot table'!$C$2,"state","AL","group","1b6")/GETPIVOTDATA("Total-Old",'Distrib pivot table'!$C$2,"state","AL"))=0,,IF(GETPIVOTDATA("Total-Old",'Distrib pivot table'!$C$2,"state","AL","group","1b6")/GETPIVOTDATA("Total-Old",'Distrib pivot table'!$C$2,"state","AL")&gt;0.0005,GETPIVOTDATA("Total-Old",'Distrib pivot table'!$C$2,"state","AL","group","1b6")/GETPIVOTDATA("Total-Old",'Distrib pivot table'!$C$2,"state","AL"),"*"))</f>
        <v>2.6968305717138593E-3</v>
      </c>
      <c r="F13" s="575">
        <f>IF((GETPIVOTDATA("Total-Old",'Distrib pivot table'!$C$2,"state","AR","group","1b6")/GETPIVOTDATA("Total-Old",'Distrib pivot table'!$C$2,"state","AR"))=0,,IF(GETPIVOTDATA("Total-Old",'Distrib pivot table'!$C$2,"state","AR","group","1b6")/GETPIVOTDATA("Total-Old",'Distrib pivot table'!$C$2,"state","AR")&gt;0.0005,GETPIVOTDATA("Total-Old",'Distrib pivot table'!$C$2,"state","AR","group","1b6")/GETPIVOTDATA("Total-Old",'Distrib pivot table'!$C$2,"state","AR"),"*"))</f>
        <v>0</v>
      </c>
      <c r="G13" s="575">
        <f>IF((GETPIVOTDATA("Total-Old",'Distrib pivot table'!$C$2,"state","DE","group","1b6")/GETPIVOTDATA("Total-Old",'Distrib pivot table'!$C$2,"state","DE"))=0,,IF(GETPIVOTDATA("Total-Old",'Distrib pivot table'!$C$2,"state","DE","group","1b6")/GETPIVOTDATA("Total-Old",'Distrib pivot table'!$C$2,"state","DE")&gt;0.0005,GETPIVOTDATA("Total-Old",'Distrib pivot table'!$C$2,"state","DE","group","1b6")/GETPIVOTDATA("Total-Old",'Distrib pivot table'!$C$2,"state","DE"),"*"))</f>
        <v>3.9629484763516205E-3</v>
      </c>
      <c r="H13" s="575">
        <f>IF((GETPIVOTDATA("Total-Old",'Distrib pivot table'!$C$2,"state","FL","group","1b6")/GETPIVOTDATA("Total-Old",'Distrib pivot table'!$C$2,"state","FL"))=0,,IF(GETPIVOTDATA("Total-Old",'Distrib pivot table'!$C$2,"state","FL","group","1b6")/GETPIVOTDATA("Total-Old",'Distrib pivot table'!$C$2,"state","FL")&gt;0.0005,GETPIVOTDATA("Total-Old",'Distrib pivot table'!$C$2,"state","FL","group","1b6")/GETPIVOTDATA("Total-Old",'Distrib pivot table'!$C$2,"state","FL"),"*"))</f>
        <v>0</v>
      </c>
      <c r="I13" s="575">
        <f>IF((GETPIVOTDATA("Total-Old",'Distrib pivot table'!$C$2,"state","GA","group","1b6")/GETPIVOTDATA("Total-Old",'Distrib pivot table'!$C$2,"state","GA"))=0,,IF(GETPIVOTDATA("Total-Old",'Distrib pivot table'!$C$2,"state","GA","group","1b6")/GETPIVOTDATA("Total-Old",'Distrib pivot table'!$C$2,"state","GA")&gt;0.0005,GETPIVOTDATA("Total-Old",'Distrib pivot table'!$C$2,"state","GA","group","1b6")/GETPIVOTDATA("Total-Old",'Distrib pivot table'!$C$2,"state","GA"),"*"))</f>
        <v>2.2005677621770403E-3</v>
      </c>
      <c r="J13" s="575">
        <f>IF((GETPIVOTDATA("Total-Old",'Distrib pivot table'!$C$2,"state","KY","group","1b6")/GETPIVOTDATA("Total-Old",'Distrib pivot table'!$C$2,"state","KY"))=0,,IF(GETPIVOTDATA("Total-Old",'Distrib pivot table'!$C$2,"state","KY","group","1b6")/GETPIVOTDATA("Total-Old",'Distrib pivot table'!$C$2,"state","KY")&gt;0.0005,GETPIVOTDATA("Total-Old",'Distrib pivot table'!$C$2,"state","KY","group","1b6")/GETPIVOTDATA("Total-Old",'Distrib pivot table'!$C$2,"state","KY"),"*"))</f>
        <v>2.9839623142708699E-3</v>
      </c>
      <c r="K13" s="575">
        <f>IF((GETPIVOTDATA("Total-Old",'Distrib pivot table'!$C$2,"state","LA","group","1b6")/GETPIVOTDATA("Total-Old",'Distrib pivot table'!$C$2,"state","LA"))=0,,IF(GETPIVOTDATA("Total-Old",'Distrib pivot table'!$C$2,"state","LA","group","1b6")/GETPIVOTDATA("Total-Old",'Distrib pivot table'!$C$2,"state","LA")&gt;0.0005,GETPIVOTDATA("Total-Old",'Distrib pivot table'!$C$2,"state","LA","group","1b6")/GETPIVOTDATA("Total-Old",'Distrib pivot table'!$C$2,"state","LA"),"*"))</f>
        <v>0</v>
      </c>
      <c r="L13" s="575">
        <f>IF((GETPIVOTDATA("Total-Old",'Distrib pivot table'!$C$2,"state","MD","group","1b6")/GETPIVOTDATA("Total-Old",'Distrib pivot table'!$C$2,"state","MD"))=0,,IF(GETPIVOTDATA("Total-Old",'Distrib pivot table'!$C$2,"state","MD","group","1b6")/GETPIVOTDATA("Total-Old",'Distrib pivot table'!$C$2,"state","MD")&gt;0.0005,GETPIVOTDATA("Total-Old",'Distrib pivot table'!$C$2,"state","MD","group","1b6")/GETPIVOTDATA("Total-Old",'Distrib pivot table'!$C$2,"state","MD"),"*"))</f>
        <v>4.765677265009499E-3</v>
      </c>
      <c r="M13" s="575">
        <f>IF((GETPIVOTDATA("Total-Old",'Distrib pivot table'!$C$2,"state","MS","group","1b6")/GETPIVOTDATA("Total-Old",'Distrib pivot table'!$C$2,"state","MS"))=0,,IF(GETPIVOTDATA("Total-Old",'Distrib pivot table'!$C$2,"state","MS","group","1b6")/GETPIVOTDATA("Total-Old",'Distrib pivot table'!$C$2,"state","MS")&gt;0.0005,GETPIVOTDATA("Total-Old",'Distrib pivot table'!$C$2,"state","MS","group","1b6")/GETPIVOTDATA("Total-Old",'Distrib pivot table'!$C$2,"state","MS"),"*"))</f>
        <v>2.0311258709433219E-2</v>
      </c>
      <c r="N13" s="575">
        <f>IF((GETPIVOTDATA("Total-Old",'Distrib pivot table'!$C$2,"state","NC","group","1b6")/GETPIVOTDATA("Total-Old",'Distrib pivot table'!$C$2,"state","NC"))=0,,IF(GETPIVOTDATA("Total-Old",'Distrib pivot table'!$C$2,"state","NC","group","1b6")/GETPIVOTDATA("Total-Old",'Distrib pivot table'!$C$2,"state","NC")&gt;0.0005,GETPIVOTDATA("Total-Old",'Distrib pivot table'!$C$2,"state","NC","group","1b6")/GETPIVOTDATA("Total-Old",'Distrib pivot table'!$C$2,"state","NC"),"*"))</f>
        <v>0</v>
      </c>
      <c r="O13" s="575">
        <f>IF((GETPIVOTDATA("Total-Old",'Distrib pivot table'!$C$2,"state","OK","group","1b6")/GETPIVOTDATA("Total-Old",'Distrib pivot table'!$C$2,"state","OK"))=0,,IF(GETPIVOTDATA("Total-Old",'Distrib pivot table'!$C$2,"state","OK","group","1b6")/GETPIVOTDATA("Total-Old",'Distrib pivot table'!$C$2,"state","OK")&gt;0.0005,GETPIVOTDATA("Total-Old",'Distrib pivot table'!$C$2,"state","OK","group","1b6")/GETPIVOTDATA("Total-Old",'Distrib pivot table'!$C$2,"state","OK"),"*"))</f>
        <v>0</v>
      </c>
      <c r="P13" s="575">
        <f>IF((GETPIVOTDATA("Total-Old",'Distrib pivot table'!$C$2,"state","SC","group","1b6")/GETPIVOTDATA("Total-Old",'Distrib pivot table'!$C$2,"state","SC"))=0,,IF(GETPIVOTDATA("Total-Old",'Distrib pivot table'!$C$2,"state","SC","group","1b6")/GETPIVOTDATA("Total-Old",'Distrib pivot table'!$C$2,"state","SC")&gt;0.0005,GETPIVOTDATA("Total-Old",'Distrib pivot table'!$C$2,"state","SC","group","1b6")/GETPIVOTDATA("Total-Old",'Distrib pivot table'!$C$2,"state","SC"),"*"))</f>
        <v>8.7809685689669811E-4</v>
      </c>
      <c r="Q13" s="575">
        <f>IF((GETPIVOTDATA("Total-Old",'Distrib pivot table'!$C$2,"state","TN","group","1b6")/GETPIVOTDATA("Total-Old",'Distrib pivot table'!$C$2,"state","TN"))=0,,IF(GETPIVOTDATA("Total-Old",'Distrib pivot table'!$C$2,"state","TN","group","1b6")/GETPIVOTDATA("Total-Old",'Distrib pivot table'!$C$2,"state","TN")&gt;0.0005,GETPIVOTDATA("Total-Old",'Distrib pivot table'!$C$2,"state","TN","group","1b6")/GETPIVOTDATA("Total-Old",'Distrib pivot table'!$C$2,"state","TN"),"*"))</f>
        <v>0</v>
      </c>
      <c r="R13" s="575">
        <f>IF((GETPIVOTDATA("Total-Old",'Distrib pivot table'!$C$2,"state","TX","group","1b6")/GETPIVOTDATA("Total-Old",'Distrib pivot table'!$C$2,"state","TX"))=0,,IF(GETPIVOTDATA("Total-Old",'Distrib pivot table'!$C$2,"state","TX","group","1b6")/GETPIVOTDATA("Total-Old",'Distrib pivot table'!$C$2,"state","TX")&gt;0.0005,GETPIVOTDATA("Total-Old",'Distrib pivot table'!$C$2,"state","TX","group","1b6")/GETPIVOTDATA("Total-Old",'Distrib pivot table'!$C$2,"state","TX"),"*"))</f>
        <v>0</v>
      </c>
      <c r="S13" s="575">
        <f>IF((GETPIVOTDATA("Total-Old",'Distrib pivot table'!$C$2,"state","VA","group","1b6")/GETPIVOTDATA("Total-Old",'Distrib pivot table'!$C$2,"state","VA"))=0,,IF(GETPIVOTDATA("Total-Old",'Distrib pivot table'!$C$2,"state","VA","group","1b6")/GETPIVOTDATA("Total-Old",'Distrib pivot table'!$C$2,"state","VA")&gt;0.0005,GETPIVOTDATA("Total-Old",'Distrib pivot table'!$C$2,"state","VA","group","1b6")/GETPIVOTDATA("Total-Old",'Distrib pivot table'!$C$2,"state","VA"),"*"))</f>
        <v>3.9057838636797158E-3</v>
      </c>
      <c r="T13" s="575">
        <f>IF((GETPIVOTDATA("Total-Old",'Distrib pivot table'!$C$2,"state","WV","group","1b6")/GETPIVOTDATA("Total-Old",'Distrib pivot table'!$C$2,"state","WV"))=0,,IF(GETPIVOTDATA("Total-Old",'Distrib pivot table'!$C$2,"state","WV","group","1b6")/GETPIVOTDATA("Total-Old",'Distrib pivot table'!$C$2,"state","WV")&gt;0.0005,GETPIVOTDATA("Total-Old",'Distrib pivot table'!$C$2,"state","WV","group","1b6")/GETPIVOTDATA("Total-Old",'Distrib pivot table'!$C$2,"state","WV"),"*"))</f>
        <v>4.329249125359748E-3</v>
      </c>
      <c r="U13" s="576"/>
      <c r="V13" s="576"/>
      <c r="W13" s="576"/>
      <c r="X13" s="576"/>
      <c r="Y13" s="576"/>
      <c r="Z13" s="576"/>
      <c r="AA13" s="576"/>
      <c r="AB13" s="576"/>
      <c r="AC13" s="576"/>
      <c r="AD13" s="576"/>
      <c r="AE13" s="576"/>
      <c r="AF13" s="576"/>
      <c r="AG13" s="576"/>
      <c r="AH13" s="576"/>
      <c r="AI13" s="576"/>
      <c r="AJ13" s="576"/>
      <c r="AK13" s="576"/>
      <c r="AL13" s="576"/>
      <c r="AM13" s="576"/>
      <c r="AN13" s="576"/>
      <c r="AO13" s="576"/>
      <c r="AP13" s="576"/>
      <c r="AQ13" s="576"/>
      <c r="AR13" s="576"/>
      <c r="AS13" s="576"/>
      <c r="AT13" s="576"/>
      <c r="AU13" s="576"/>
      <c r="AV13" s="576"/>
      <c r="AW13" s="576"/>
      <c r="AX13" s="576"/>
    </row>
    <row r="14" spans="1:50" ht="12.65" customHeight="1">
      <c r="A14" s="1223"/>
      <c r="B14" s="573" t="s">
        <v>847</v>
      </c>
      <c r="C14" s="574" t="s">
        <v>99</v>
      </c>
      <c r="D14" s="575">
        <f>IF(GETPIVOTDATA("Total-Old",'Distrib pivot table'!$C$2,"group","1b7")/GETPIVOTDATA("Total-Old",'Distrib pivot table'!$C$2)=0,,IF(GETPIVOTDATA("Total-Old",'Distrib pivot table'!$C$2,"group","1b7")/GETPIVOTDATA("Total-Old",'Distrib pivot table'!$C$2)&gt;0.0005,GETPIVOTDATA("Total-Old",'Distrib pivot table'!$C$2,"group","1b7")/GETPIVOTDATA("Total-Old",'Distrib pivot table'!$C$2),"*"))</f>
        <v>6.674541005413393E-4</v>
      </c>
      <c r="E14" s="575">
        <f>IF((GETPIVOTDATA("Total-Old",'Distrib pivot table'!$C$2,"state","AL","group","1b7")/GETPIVOTDATA("Total-Old",'Distrib pivot table'!$C$2,"state","AL"))=0,,IF(GETPIVOTDATA("Total-Old",'Distrib pivot table'!$C$2,"state","AL","group","1b7")/GETPIVOTDATA("Total-Old",'Distrib pivot table'!$C$2,"state","AL")&gt;0.0005,GETPIVOTDATA("Total-Old",'Distrib pivot table'!$C$2,"state","AL","group","1b7")/GETPIVOTDATA("Total-Old",'Distrib pivot table'!$C$2,"state","AL"),"*"))</f>
        <v>0</v>
      </c>
      <c r="F14" s="575">
        <f>IF((GETPIVOTDATA("Total-Old",'Distrib pivot table'!$C$2,"state","AR","group","1b7")/GETPIVOTDATA("Total-Old",'Distrib pivot table'!$C$2,"state","AR"))=0,,IF(GETPIVOTDATA("Total-Old",'Distrib pivot table'!$C$2,"state","AR","group","1b7")/GETPIVOTDATA("Total-Old",'Distrib pivot table'!$C$2,"state","AR")&gt;0.0005,GETPIVOTDATA("Total-Old",'Distrib pivot table'!$C$2,"state","AR","group","1b7")/GETPIVOTDATA("Total-Old",'Distrib pivot table'!$C$2,"state","AR"),"*"))</f>
        <v>0</v>
      </c>
      <c r="G14" s="575">
        <f>IF((GETPIVOTDATA("Total-Old",'Distrib pivot table'!$C$2,"state","DE","group","1b7")/GETPIVOTDATA("Total-Old",'Distrib pivot table'!$C$2,"state","DE"))=0,,IF(GETPIVOTDATA("Total-Old",'Distrib pivot table'!$C$2,"state","DE","group","1b7")/GETPIVOTDATA("Total-Old",'Distrib pivot table'!$C$2,"state","DE")&gt;0.0005,GETPIVOTDATA("Total-Old",'Distrib pivot table'!$C$2,"state","DE","group","1b7")/GETPIVOTDATA("Total-Old",'Distrib pivot table'!$C$2,"state","DE"),"*"))</f>
        <v>0</v>
      </c>
      <c r="H14" s="575">
        <f>IF((GETPIVOTDATA("Total-Old",'Distrib pivot table'!$C$2,"state","FL","group","1b7")/GETPIVOTDATA("Total-Old",'Distrib pivot table'!$C$2,"state","FL"))=0,,IF(GETPIVOTDATA("Total-Old",'Distrib pivot table'!$C$2,"state","FL","group","1b7")/GETPIVOTDATA("Total-Old",'Distrib pivot table'!$C$2,"state","FL")&gt;0.0005,GETPIVOTDATA("Total-Old",'Distrib pivot table'!$C$2,"state","FL","group","1b7")/GETPIVOTDATA("Total-Old",'Distrib pivot table'!$C$2,"state","FL"),"*"))</f>
        <v>0</v>
      </c>
      <c r="I14" s="575">
        <f>IF((GETPIVOTDATA("Total-Old",'Distrib pivot table'!$C$2,"state","GA","group","1b7")/GETPIVOTDATA("Total-Old",'Distrib pivot table'!$C$2,"state","GA"))=0,,IF(GETPIVOTDATA("Total-Old",'Distrib pivot table'!$C$2,"state","GA","group","1b7")/GETPIVOTDATA("Total-Old",'Distrib pivot table'!$C$2,"state","GA")&gt;0.0005,GETPIVOTDATA("Total-Old",'Distrib pivot table'!$C$2,"state","GA","group","1b7")/GETPIVOTDATA("Total-Old",'Distrib pivot table'!$C$2,"state","GA"),"*"))</f>
        <v>0</v>
      </c>
      <c r="J14" s="575">
        <f>IF((GETPIVOTDATA("Total-Old",'Distrib pivot table'!$C$2,"state","KY","group","1b7")/GETPIVOTDATA("Total-Old",'Distrib pivot table'!$C$2,"state","KY"))=0,,IF(GETPIVOTDATA("Total-Old",'Distrib pivot table'!$C$2,"state","KY","group","1b7")/GETPIVOTDATA("Total-Old",'Distrib pivot table'!$C$2,"state","KY")&gt;0.0005,GETPIVOTDATA("Total-Old",'Distrib pivot table'!$C$2,"state","KY","group","1b7")/GETPIVOTDATA("Total-Old",'Distrib pivot table'!$C$2,"state","KY"),"*"))</f>
        <v>0</v>
      </c>
      <c r="K14" s="575">
        <f>IF((GETPIVOTDATA("Total-Old",'Distrib pivot table'!$C$2,"state","LA","group","1b7")/GETPIVOTDATA("Total-Old",'Distrib pivot table'!$C$2,"state","LA"))=0,,IF(GETPIVOTDATA("Total-Old",'Distrib pivot table'!$C$2,"state","LA","group","1b7")/GETPIVOTDATA("Total-Old",'Distrib pivot table'!$C$2,"state","LA")&gt;0.0005,GETPIVOTDATA("Total-Old",'Distrib pivot table'!$C$2,"state","LA","group","1b7")/GETPIVOTDATA("Total-Old",'Distrib pivot table'!$C$2,"state","LA"),"*"))</f>
        <v>0</v>
      </c>
      <c r="L14" s="575">
        <f>IF((GETPIVOTDATA("Total-Old",'Distrib pivot table'!$C$2,"state","MD","group","1b7")/GETPIVOTDATA("Total-Old",'Distrib pivot table'!$C$2,"state","MD"))=0,,IF(GETPIVOTDATA("Total-Old",'Distrib pivot table'!$C$2,"state","MD","group","1b7")/GETPIVOTDATA("Total-Old",'Distrib pivot table'!$C$2,"state","MD")&gt;0.0005,GETPIVOTDATA("Total-Old",'Distrib pivot table'!$C$2,"state","MD","group","1b7")/GETPIVOTDATA("Total-Old",'Distrib pivot table'!$C$2,"state","MD"),"*"))</f>
        <v>0</v>
      </c>
      <c r="M14" s="575">
        <f>IF((GETPIVOTDATA("Total-Old",'Distrib pivot table'!$C$2,"state","MS","group","1b7")/GETPIVOTDATA("Total-Old",'Distrib pivot table'!$C$2,"state","MS"))=0,,IF(GETPIVOTDATA("Total-Old",'Distrib pivot table'!$C$2,"state","MS","group","1b7")/GETPIVOTDATA("Total-Old",'Distrib pivot table'!$C$2,"state","MS")&gt;0.0005,GETPIVOTDATA("Total-Old",'Distrib pivot table'!$C$2,"state","MS","group","1b7")/GETPIVOTDATA("Total-Old",'Distrib pivot table'!$C$2,"state","MS"),"*"))</f>
        <v>0</v>
      </c>
      <c r="N14" s="575">
        <f>IF((GETPIVOTDATA("Total-Old",'Distrib pivot table'!$C$2,"state","NC","group","1b7")/GETPIVOTDATA("Total-Old",'Distrib pivot table'!$C$2,"state","NC"))=0,,IF(GETPIVOTDATA("Total-Old",'Distrib pivot table'!$C$2,"state","NC","group","1b7")/GETPIVOTDATA("Total-Old",'Distrib pivot table'!$C$2,"state","NC")&gt;0.0005,GETPIVOTDATA("Total-Old",'Distrib pivot table'!$C$2,"state","NC","group","1b7")/GETPIVOTDATA("Total-Old",'Distrib pivot table'!$C$2,"state","NC"),"*"))</f>
        <v>0</v>
      </c>
      <c r="O14" s="575">
        <f>IF((GETPIVOTDATA("Total-Old",'Distrib pivot table'!$C$2,"state","OK","group","1b7")/GETPIVOTDATA("Total-Old",'Distrib pivot table'!$C$2,"state","OK"))=0,,IF(GETPIVOTDATA("Total-Old",'Distrib pivot table'!$C$2,"state","OK","group","1b7")/GETPIVOTDATA("Total-Old",'Distrib pivot table'!$C$2,"state","OK")&gt;0.0005,GETPIVOTDATA("Total-Old",'Distrib pivot table'!$C$2,"state","OK","group","1b7")/GETPIVOTDATA("Total-Old",'Distrib pivot table'!$C$2,"state","OK"),"*"))</f>
        <v>0</v>
      </c>
      <c r="P14" s="575">
        <f>IF((GETPIVOTDATA("Total-Old",'Distrib pivot table'!$C$2,"state","SC","group","1b7")/GETPIVOTDATA("Total-Old",'Distrib pivot table'!$C$2,"state","SC"))=0,,IF(GETPIVOTDATA("Total-Old",'Distrib pivot table'!$C$2,"state","SC","group","1b7")/GETPIVOTDATA("Total-Old",'Distrib pivot table'!$C$2,"state","SC")&gt;0.0005,GETPIVOTDATA("Total-Old",'Distrib pivot table'!$C$2,"state","SC","group","1b7")/GETPIVOTDATA("Total-Old",'Distrib pivot table'!$C$2,"state","SC"),"*"))</f>
        <v>1.064356514340044E-2</v>
      </c>
      <c r="Q14" s="575">
        <f>IF((GETPIVOTDATA("Total-Old",'Distrib pivot table'!$C$2,"state","TN","group","1b7")/GETPIVOTDATA("Total-Old",'Distrib pivot table'!$C$2,"state","TN"))=0,,IF(GETPIVOTDATA("Total-Old",'Distrib pivot table'!$C$2,"state","TN","group","1b7")/GETPIVOTDATA("Total-Old",'Distrib pivot table'!$C$2,"state","TN")&gt;0.0005,GETPIVOTDATA("Total-Old",'Distrib pivot table'!$C$2,"state","TN","group","1b7")/GETPIVOTDATA("Total-Old",'Distrib pivot table'!$C$2,"state","TN"),"*"))</f>
        <v>0</v>
      </c>
      <c r="R14" s="575">
        <f>IF((GETPIVOTDATA("Total-Old",'Distrib pivot table'!$C$2,"state","TX","group","1b7")/GETPIVOTDATA("Total-Old",'Distrib pivot table'!$C$2,"state","TX"))=0,,IF(GETPIVOTDATA("Total-Old",'Distrib pivot table'!$C$2,"state","TX","group","1b7")/GETPIVOTDATA("Total-Old",'Distrib pivot table'!$C$2,"state","TX")&gt;0.0005,GETPIVOTDATA("Total-Old",'Distrib pivot table'!$C$2,"state","TX","group","1b7")/GETPIVOTDATA("Total-Old",'Distrib pivot table'!$C$2,"state","TX"),"*"))</f>
        <v>0</v>
      </c>
      <c r="S14" s="575">
        <f>IF((GETPIVOTDATA("Total-Old",'Distrib pivot table'!$C$2,"state","VA","group","1b7")/GETPIVOTDATA("Total-Old",'Distrib pivot table'!$C$2,"state","VA"))=0,,IF(GETPIVOTDATA("Total-Old",'Distrib pivot table'!$C$2,"state","VA","group","1b7")/GETPIVOTDATA("Total-Old",'Distrib pivot table'!$C$2,"state","VA")&gt;0.0005,GETPIVOTDATA("Total-Old",'Distrib pivot table'!$C$2,"state","VA","group","1b7")/GETPIVOTDATA("Total-Old",'Distrib pivot table'!$C$2,"state","VA"),"*"))</f>
        <v>0</v>
      </c>
      <c r="T14" s="575">
        <f>IF((GETPIVOTDATA("Total-Old",'Distrib pivot table'!$C$2,"state","WV","group","1b7")/GETPIVOTDATA("Total-Old",'Distrib pivot table'!$C$2,"state","WV"))=0,,IF(GETPIVOTDATA("Total-Old",'Distrib pivot table'!$C$2,"state","WV","group","1b7")/GETPIVOTDATA("Total-Old",'Distrib pivot table'!$C$2,"state","WV")&gt;0.0005,GETPIVOTDATA("Total-Old",'Distrib pivot table'!$C$2,"state","WV","group","1b7")/GETPIVOTDATA("Total-Old",'Distrib pivot table'!$C$2,"state","WV"),"*"))</f>
        <v>2.2446408306741822E-3</v>
      </c>
      <c r="U14" s="576"/>
      <c r="V14" s="576"/>
      <c r="W14" s="576"/>
      <c r="X14" s="576"/>
      <c r="Y14" s="576"/>
      <c r="Z14" s="576"/>
      <c r="AA14" s="576"/>
      <c r="AB14" s="576"/>
      <c r="AC14" s="576"/>
      <c r="AD14" s="576"/>
      <c r="AE14" s="576"/>
      <c r="AF14" s="576"/>
      <c r="AG14" s="576"/>
      <c r="AH14" s="576"/>
      <c r="AI14" s="576"/>
      <c r="AJ14" s="576"/>
      <c r="AK14" s="576"/>
      <c r="AL14" s="576"/>
      <c r="AM14" s="576"/>
      <c r="AN14" s="576"/>
      <c r="AO14" s="576"/>
      <c r="AP14" s="576"/>
      <c r="AQ14" s="576"/>
      <c r="AR14" s="576"/>
      <c r="AS14" s="576"/>
      <c r="AT14" s="576"/>
      <c r="AU14" s="576"/>
      <c r="AV14" s="576"/>
      <c r="AW14" s="576"/>
      <c r="AX14" s="576"/>
    </row>
    <row r="15" spans="1:50" s="571" customFormat="1" ht="26.25" customHeight="1">
      <c r="A15" s="1223"/>
      <c r="B15" s="577" t="s">
        <v>741</v>
      </c>
      <c r="C15" s="567" t="s">
        <v>118</v>
      </c>
      <c r="D15" s="578">
        <f>SUM(D16:D21)</f>
        <v>1.0102133924565836E-2</v>
      </c>
      <c r="E15" s="578">
        <f>SUM(E16:E21)</f>
        <v>1.6294100708607491E-2</v>
      </c>
      <c r="F15" s="578">
        <f>SUM(F16:F21)</f>
        <v>3.8754940603446648E-2</v>
      </c>
      <c r="G15" s="578">
        <f t="shared" ref="G15:T15" si="2">SUM(G16:G21)</f>
        <v>0</v>
      </c>
      <c r="H15" s="578">
        <f t="shared" si="2"/>
        <v>0</v>
      </c>
      <c r="I15" s="578">
        <f t="shared" si="2"/>
        <v>6.995005983880487E-3</v>
      </c>
      <c r="J15" s="578">
        <f t="shared" si="2"/>
        <v>3.2759881313779906E-3</v>
      </c>
      <c r="K15" s="578">
        <f t="shared" si="2"/>
        <v>7.4578408803967844E-3</v>
      </c>
      <c r="L15" s="578">
        <f t="shared" si="2"/>
        <v>0</v>
      </c>
      <c r="M15" s="578">
        <f t="shared" si="2"/>
        <v>0</v>
      </c>
      <c r="N15" s="578">
        <f t="shared" si="2"/>
        <v>3.6061888212728037E-2</v>
      </c>
      <c r="O15" s="578">
        <f t="shared" si="2"/>
        <v>0</v>
      </c>
      <c r="P15" s="578">
        <f t="shared" si="2"/>
        <v>0</v>
      </c>
      <c r="Q15" s="578">
        <f t="shared" si="2"/>
        <v>0</v>
      </c>
      <c r="R15" s="578">
        <f t="shared" si="2"/>
        <v>9.1690725649680553E-3</v>
      </c>
      <c r="S15" s="578">
        <f t="shared" si="2"/>
        <v>1.0565312921732033E-2</v>
      </c>
      <c r="T15" s="578">
        <f t="shared" si="2"/>
        <v>3.3664694519743312E-3</v>
      </c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79"/>
      <c r="AF15" s="579"/>
      <c r="AG15" s="579"/>
      <c r="AH15" s="579"/>
      <c r="AI15" s="579"/>
      <c r="AJ15" s="579"/>
      <c r="AK15" s="579"/>
      <c r="AL15" s="579"/>
      <c r="AM15" s="579"/>
      <c r="AN15" s="579"/>
      <c r="AO15" s="579"/>
      <c r="AP15" s="579"/>
      <c r="AQ15" s="579"/>
      <c r="AR15" s="579"/>
      <c r="AS15" s="579"/>
      <c r="AT15" s="579"/>
      <c r="AU15" s="579"/>
      <c r="AV15" s="579"/>
      <c r="AW15" s="579"/>
      <c r="AX15" s="579"/>
    </row>
    <row r="16" spans="1:50" ht="12.65" customHeight="1">
      <c r="A16" s="1223"/>
      <c r="B16" s="573" t="s">
        <v>70</v>
      </c>
      <c r="C16" s="574" t="s">
        <v>336</v>
      </c>
      <c r="D16" s="575">
        <f>IF(GETPIVOTDATA("Total-Old",'Distrib pivot table'!$C$2,"group","1c1")/GETPIVOTDATA("Total-Old",'Distrib pivot table'!$C$2)=0,,IF(GETPIVOTDATA("Total-Old",'Distrib pivot table'!$C$2,"group","1c1")/GETPIVOTDATA("Total-Old",'Distrib pivot table'!$C$2)&gt;0.0005,GETPIVOTDATA("Total-Old",'Distrib pivot table'!$C$2,"group","1c1")/GETPIVOTDATA("Total-Old",'Distrib pivot table'!$C$2),"*"))</f>
        <v>2.9143993594108754E-3</v>
      </c>
      <c r="E16" s="575">
        <f>IF((GETPIVOTDATA("Total-Old",'Distrib pivot table'!$C$2,"state","AL","group","1c1")/GETPIVOTDATA("Total-Old",'Distrib pivot table'!$C$2,"state","AL"))=0,,IF(GETPIVOTDATA("Total-Old",'Distrib pivot table'!$C$2,"state","AL","group","1c1")/GETPIVOTDATA("Total-Old",'Distrib pivot table'!$C$2,"state","AL")&gt;0.0005,GETPIVOTDATA("Total-Old",'Distrib pivot table'!$C$2,"state","AL","group","1c1")/GETPIVOTDATA("Total-Old",'Distrib pivot table'!$C$2,"state","AL"),"*"))</f>
        <v>0</v>
      </c>
      <c r="F16" s="575">
        <f>IF((GETPIVOTDATA("Total-Old",'Distrib pivot table'!$C$2,"state","AR","group","1c1")/GETPIVOTDATA("Total-Old",'Distrib pivot table'!$C$2,"state","AR"))=0,,IF(GETPIVOTDATA("Total-Old",'Distrib pivot table'!$C$2,"state","AR","group","1c1")/GETPIVOTDATA("Total-Old",'Distrib pivot table'!$C$2,"state","AR")&gt;0.0005,GETPIVOTDATA("Total-Old",'Distrib pivot table'!$C$2,"state","AR","group","1c1")/GETPIVOTDATA("Total-Old",'Distrib pivot table'!$C$2,"state","AR"),"*"))</f>
        <v>0</v>
      </c>
      <c r="G16" s="575">
        <f>IF((GETPIVOTDATA("Total-Old",'Distrib pivot table'!$C$2,"state","DE","group","1c1")/GETPIVOTDATA("Total-Old",'Distrib pivot table'!$C$2,"state","DE"))=0,,IF(GETPIVOTDATA("Total-Old",'Distrib pivot table'!$C$2,"state","DE","group","1c1")/GETPIVOTDATA("Total-Old",'Distrib pivot table'!$C$2,"state","DE")&gt;0.0005,GETPIVOTDATA("Total-Old",'Distrib pivot table'!$C$2,"state","DE","group","1c1")/GETPIVOTDATA("Total-Old",'Distrib pivot table'!$C$2,"state","DE"),"*"))</f>
        <v>0</v>
      </c>
      <c r="H16" s="575">
        <f>IF((GETPIVOTDATA("Total-Old",'Distrib pivot table'!$C$2,"state","FL","group","1c1")/GETPIVOTDATA("Total-Old",'Distrib pivot table'!$C$2,"state","FL"))=0,,IF(GETPIVOTDATA("Total-Old",'Distrib pivot table'!$C$2,"state","FL","group","1c1")/GETPIVOTDATA("Total-Old",'Distrib pivot table'!$C$2,"state","FL")&gt;0.0005,GETPIVOTDATA("Total-Old",'Distrib pivot table'!$C$2,"state","FL","group","1c1")/GETPIVOTDATA("Total-Old",'Distrib pivot table'!$C$2,"state","FL"),"*"))</f>
        <v>0</v>
      </c>
      <c r="I16" s="575">
        <f>IF((GETPIVOTDATA("Total-Old",'Distrib pivot table'!$C$2,"state","GA","group","1c1")/GETPIVOTDATA("Total-Old",'Distrib pivot table'!$C$2,"state","GA"))=0,,IF(GETPIVOTDATA("Total-Old",'Distrib pivot table'!$C$2,"state","GA","group","1c1")/GETPIVOTDATA("Total-Old",'Distrib pivot table'!$C$2,"state","GA")&gt;0.0005,GETPIVOTDATA("Total-Old",'Distrib pivot table'!$C$2,"state","GA","group","1c1")/GETPIVOTDATA("Total-Old",'Distrib pivot table'!$C$2,"state","GA"),"*"))</f>
        <v>0</v>
      </c>
      <c r="J16" s="575">
        <f>IF((GETPIVOTDATA("Total-Old",'Distrib pivot table'!$C$2,"state","KY","group","1c1")/GETPIVOTDATA("Total-Old",'Distrib pivot table'!$C$2,"state","KY"))=0,,IF(GETPIVOTDATA("Total-Old",'Distrib pivot table'!$C$2,"state","KY","group","1c1")/GETPIVOTDATA("Total-Old",'Distrib pivot table'!$C$2,"state","KY")&gt;0.0005,GETPIVOTDATA("Total-Old",'Distrib pivot table'!$C$2,"state","KY","group","1c1")/GETPIVOTDATA("Total-Old",'Distrib pivot table'!$C$2,"state","KY"),"*"))</f>
        <v>3.2759881313779906E-3</v>
      </c>
      <c r="K16" s="575" t="str">
        <f>IF((GETPIVOTDATA("Total-Old",'Distrib pivot table'!$C$2,"state","LA","group","1c1")/GETPIVOTDATA("Total-Old",'Distrib pivot table'!$C$2,"state","LA"))=0,,IF(GETPIVOTDATA("Total-Old",'Distrib pivot table'!$C$2,"state","LA","group","1c1")/GETPIVOTDATA("Total-Old",'Distrib pivot table'!$C$2,"state","LA")&gt;0.0005,GETPIVOTDATA("Total-Old",'Distrib pivot table'!$C$2,"state","LA","group","1c1")/GETPIVOTDATA("Total-Old",'Distrib pivot table'!$C$2,"state","LA"),"*"))</f>
        <v>*</v>
      </c>
      <c r="L16" s="575">
        <f>IF((GETPIVOTDATA("Total-Old",'Distrib pivot table'!$C$2,"state","MD","group","1c1")/GETPIVOTDATA("Total-Old",'Distrib pivot table'!$C$2,"state","MD"))=0,,IF(GETPIVOTDATA("Total-Old",'Distrib pivot table'!$C$2,"state","MD","group","1c1")/GETPIVOTDATA("Total-Old",'Distrib pivot table'!$C$2,"state","MD")&gt;0.0005,GETPIVOTDATA("Total-Old",'Distrib pivot table'!$C$2,"state","MD","group","1c1")/GETPIVOTDATA("Total-Old",'Distrib pivot table'!$C$2,"state","MD"),"*"))</f>
        <v>0</v>
      </c>
      <c r="M16" s="575" t="str">
        <f>IF((GETPIVOTDATA("Total-Old",'Distrib pivot table'!$C$2,"state","MS","group","1c1")/GETPIVOTDATA("Total-Old",'Distrib pivot table'!$C$2,"state","MS"))=0,,IF(GETPIVOTDATA("Total-Old",'Distrib pivot table'!$C$2,"state","MS","group","1c1")/GETPIVOTDATA("Total-Old",'Distrib pivot table'!$C$2,"state","MS")&gt;0.0005,GETPIVOTDATA("Total-Old",'Distrib pivot table'!$C$2,"state","MS","group","1c1")/GETPIVOTDATA("Total-Old",'Distrib pivot table'!$C$2,"state","MS"),"*"))</f>
        <v>*</v>
      </c>
      <c r="N16" s="575">
        <f>IF((GETPIVOTDATA("Total-Old",'Distrib pivot table'!$C$2,"state","NC","group","1c1")/GETPIVOTDATA("Total-Old",'Distrib pivot table'!$C$2,"state","NC"))=0,,IF(GETPIVOTDATA("Total-Old",'Distrib pivot table'!$C$2,"state","NC","group","1c1")/GETPIVOTDATA("Total-Old",'Distrib pivot table'!$C$2,"state","NC")&gt;0.0005,GETPIVOTDATA("Total-Old",'Distrib pivot table'!$C$2,"state","NC","group","1c1")/GETPIVOTDATA("Total-Old",'Distrib pivot table'!$C$2,"state","NC"),"*"))</f>
        <v>9.1468046102454702E-3</v>
      </c>
      <c r="O16" s="575">
        <f>IF((GETPIVOTDATA("Total-Old",'Distrib pivot table'!$C$2,"state","OK","group","1c1")/GETPIVOTDATA("Total-Old",'Distrib pivot table'!$C$2,"state","OK"))=0,,IF(GETPIVOTDATA("Total-Old",'Distrib pivot table'!$C$2,"state","OK","group","1c1")/GETPIVOTDATA("Total-Old",'Distrib pivot table'!$C$2,"state","OK")&gt;0.0005,GETPIVOTDATA("Total-Old",'Distrib pivot table'!$C$2,"state","OK","group","1c1")/GETPIVOTDATA("Total-Old",'Distrib pivot table'!$C$2,"state","OK"),"*"))</f>
        <v>0</v>
      </c>
      <c r="P16" s="575">
        <f>IF((GETPIVOTDATA("Total-Old",'Distrib pivot table'!$C$2,"state","SC","group","1c1")/GETPIVOTDATA("Total-Old",'Distrib pivot table'!$C$2,"state","SC"))=0,,IF(GETPIVOTDATA("Total-Old",'Distrib pivot table'!$C$2,"state","SC","group","1c1")/GETPIVOTDATA("Total-Old",'Distrib pivot table'!$C$2,"state","SC")&gt;0.0005,GETPIVOTDATA("Total-Old",'Distrib pivot table'!$C$2,"state","SC","group","1c1")/GETPIVOTDATA("Total-Old",'Distrib pivot table'!$C$2,"state","SC"),"*"))</f>
        <v>0</v>
      </c>
      <c r="Q16" s="575">
        <f>IF((GETPIVOTDATA("Total-Old",'Distrib pivot table'!$C$2,"state","TN","group","1c1")/GETPIVOTDATA("Total-Old",'Distrib pivot table'!$C$2,"state","TN"))=0,,IF(GETPIVOTDATA("Total-Old",'Distrib pivot table'!$C$2,"state","TN","group","1c1")/GETPIVOTDATA("Total-Old",'Distrib pivot table'!$C$2,"state","TN")&gt;0.0005,GETPIVOTDATA("Total-Old",'Distrib pivot table'!$C$2,"state","TN","group","1c1")/GETPIVOTDATA("Total-Old",'Distrib pivot table'!$C$2,"state","TN"),"*"))</f>
        <v>0</v>
      </c>
      <c r="R16" s="575">
        <f>IF((GETPIVOTDATA("Total-Old",'Distrib pivot table'!$C$2,"state","TX","group","1c1")/GETPIVOTDATA("Total-Old",'Distrib pivot table'!$C$2,"state","TX"))=0,,IF(GETPIVOTDATA("Total-Old",'Distrib pivot table'!$C$2,"state","TX","group","1c1")/GETPIVOTDATA("Total-Old",'Distrib pivot table'!$C$2,"state","TX")&gt;0.0005,GETPIVOTDATA("Total-Old",'Distrib pivot table'!$C$2,"state","TX","group","1c1")/GETPIVOTDATA("Total-Old",'Distrib pivot table'!$C$2,"state","TX"),"*"))</f>
        <v>7.4047921105169986E-3</v>
      </c>
      <c r="S16" s="575">
        <f>IF((GETPIVOTDATA("Total-Old",'Distrib pivot table'!$C$2,"state","VA","group","1c1")/GETPIVOTDATA("Total-Old",'Distrib pivot table'!$C$2,"state","VA"))=0,,IF(GETPIVOTDATA("Total-Old",'Distrib pivot table'!$C$2,"state","VA","group","1c1")/GETPIVOTDATA("Total-Old",'Distrib pivot table'!$C$2,"state","VA")&gt;0.0005,GETPIVOTDATA("Total-Old",'Distrib pivot table'!$C$2,"state","VA","group","1c1")/GETPIVOTDATA("Total-Old",'Distrib pivot table'!$C$2,"state","VA"),"*"))</f>
        <v>0</v>
      </c>
      <c r="T16" s="575">
        <f>IF((GETPIVOTDATA("Total-Old",'Distrib pivot table'!$C$2,"state","WV","group","1c1")/GETPIVOTDATA("Total-Old",'Distrib pivot table'!$C$2,"state","WV"))=0,,IF(GETPIVOTDATA("Total-Old",'Distrib pivot table'!$C$2,"state","WV","group","1c1")/GETPIVOTDATA("Total-Old",'Distrib pivot table'!$C$2,"state","WV")&gt;0.0005,GETPIVOTDATA("Total-Old",'Distrib pivot table'!$C$2,"state","WV","group","1c1")/GETPIVOTDATA("Total-Old",'Distrib pivot table'!$C$2,"state","WV"),"*"))</f>
        <v>3.3664694519743312E-3</v>
      </c>
      <c r="U16" s="576"/>
      <c r="V16" s="576"/>
      <c r="W16" s="576"/>
      <c r="X16" s="576"/>
      <c r="Y16" s="576"/>
      <c r="Z16" s="576"/>
      <c r="AA16" s="576"/>
      <c r="AB16" s="576"/>
      <c r="AC16" s="576"/>
      <c r="AD16" s="576"/>
      <c r="AE16" s="576"/>
      <c r="AF16" s="576"/>
      <c r="AG16" s="576"/>
      <c r="AH16" s="576"/>
      <c r="AI16" s="576"/>
      <c r="AJ16" s="576"/>
      <c r="AK16" s="576"/>
      <c r="AL16" s="576"/>
      <c r="AM16" s="576"/>
      <c r="AN16" s="576"/>
      <c r="AO16" s="576"/>
      <c r="AP16" s="576"/>
      <c r="AQ16" s="576"/>
      <c r="AR16" s="576"/>
      <c r="AS16" s="576"/>
      <c r="AT16" s="576"/>
      <c r="AU16" s="576"/>
      <c r="AV16" s="576"/>
      <c r="AW16" s="576"/>
      <c r="AX16" s="576"/>
    </row>
    <row r="17" spans="1:50" ht="12.65" customHeight="1">
      <c r="A17" s="1223"/>
      <c r="B17" s="573" t="s">
        <v>72</v>
      </c>
      <c r="C17" s="574" t="s">
        <v>685</v>
      </c>
      <c r="D17" s="575">
        <f>IF(GETPIVOTDATA("Total-Old",'Distrib pivot table'!$C$2,"group","1c2")/GETPIVOTDATA("Total-Old",'Distrib pivot table'!$C$2)=0,,IF(GETPIVOTDATA("Total-Old",'Distrib pivot table'!$C$2,"group","1c2")/GETPIVOTDATA("Total-Old",'Distrib pivot table'!$C$2)&gt;0.0005,GETPIVOTDATA("Total-Old",'Distrib pivot table'!$C$2,"group","1c2")/GETPIVOTDATA("Total-Old",'Distrib pivot table'!$C$2),"*"))</f>
        <v>2.2921744420286972E-3</v>
      </c>
      <c r="E17" s="575">
        <f>IF((GETPIVOTDATA("Total-Old",'Distrib pivot table'!$C$2,"state","AL","group","1c2")/GETPIVOTDATA("Total-Old",'Distrib pivot table'!$C$2,"state","AL"))=0,,IF(GETPIVOTDATA("Total-Old",'Distrib pivot table'!$C$2,"state","AL","group","1c2")/GETPIVOTDATA("Total-Old",'Distrib pivot table'!$C$2,"state","AL")&gt;0.0005,GETPIVOTDATA("Total-Old",'Distrib pivot table'!$C$2,"state","AL","group","1c2")/GETPIVOTDATA("Total-Old",'Distrib pivot table'!$C$2,"state","AL"),"*"))</f>
        <v>0</v>
      </c>
      <c r="F17" s="575">
        <f>IF((GETPIVOTDATA("Total-Old",'Distrib pivot table'!$C$2,"state","AR","group","1c2")/GETPIVOTDATA("Total-Old",'Distrib pivot table'!$C$2,"state","AR"))=0,,IF(GETPIVOTDATA("Total-Old",'Distrib pivot table'!$C$2,"state","AR","group","1c2")/GETPIVOTDATA("Total-Old",'Distrib pivot table'!$C$2,"state","AR")&gt;0.0005,GETPIVOTDATA("Total-Old",'Distrib pivot table'!$C$2,"state","AR","group","1c2")/GETPIVOTDATA("Total-Old",'Distrib pivot table'!$C$2,"state","AR"),"*"))</f>
        <v>0</v>
      </c>
      <c r="G17" s="575">
        <f>IF((GETPIVOTDATA("Total-Old",'Distrib pivot table'!$C$2,"state","DE","group","1c2")/GETPIVOTDATA("Total-Old",'Distrib pivot table'!$C$2,"state","DE"))=0,,IF(GETPIVOTDATA("Total-Old",'Distrib pivot table'!$C$2,"state","DE","group","1c2")/GETPIVOTDATA("Total-Old",'Distrib pivot table'!$C$2,"state","DE")&gt;0.0005,GETPIVOTDATA("Total-Old",'Distrib pivot table'!$C$2,"state","DE","group","1c2")/GETPIVOTDATA("Total-Old",'Distrib pivot table'!$C$2,"state","DE"),"*"))</f>
        <v>0</v>
      </c>
      <c r="H17" s="575">
        <f>IF((GETPIVOTDATA("Total-Old",'Distrib pivot table'!$C$2,"state","FL","group","1c2")/GETPIVOTDATA("Total-Old",'Distrib pivot table'!$C$2,"state","FL"))=0,,IF(GETPIVOTDATA("Total-Old",'Distrib pivot table'!$C$2,"state","FL","group","1c2")/GETPIVOTDATA("Total-Old",'Distrib pivot table'!$C$2,"state","FL")&gt;0.0005,GETPIVOTDATA("Total-Old",'Distrib pivot table'!$C$2,"state","FL","group","1c2")/GETPIVOTDATA("Total-Old",'Distrib pivot table'!$C$2,"state","FL"),"*"))</f>
        <v>0</v>
      </c>
      <c r="I17" s="575">
        <f>IF((GETPIVOTDATA("Total-Old",'Distrib pivot table'!$C$2,"state","GA","group","1c2")/GETPIVOTDATA("Total-Old",'Distrib pivot table'!$C$2,"state","GA"))=0,,IF(GETPIVOTDATA("Total-Old",'Distrib pivot table'!$C$2,"state","GA","group","1c2")/GETPIVOTDATA("Total-Old",'Distrib pivot table'!$C$2,"state","GA")&gt;0.0005,GETPIVOTDATA("Total-Old",'Distrib pivot table'!$C$2,"state","GA","group","1c2")/GETPIVOTDATA("Total-Old",'Distrib pivot table'!$C$2,"state","GA"),"*"))</f>
        <v>0</v>
      </c>
      <c r="J17" s="575">
        <f>IF((GETPIVOTDATA("Total-Old",'Distrib pivot table'!$C$2,"state","KY","group","1c2")/GETPIVOTDATA("Total-Old",'Distrib pivot table'!$C$2,"state","KY"))=0,,IF(GETPIVOTDATA("Total-Old",'Distrib pivot table'!$C$2,"state","KY","group","1c2")/GETPIVOTDATA("Total-Old",'Distrib pivot table'!$C$2,"state","KY")&gt;0.0005,GETPIVOTDATA("Total-Old",'Distrib pivot table'!$C$2,"state","KY","group","1c2")/GETPIVOTDATA("Total-Old",'Distrib pivot table'!$C$2,"state","KY"),"*"))</f>
        <v>0</v>
      </c>
      <c r="K17" s="575">
        <f>IF((GETPIVOTDATA("Total-Old",'Distrib pivot table'!$C$2,"state","LA","group","1c2")/GETPIVOTDATA("Total-Old",'Distrib pivot table'!$C$2,"state","LA"))=0,,IF(GETPIVOTDATA("Total-Old",'Distrib pivot table'!$C$2,"state","LA","group","1c2")/GETPIVOTDATA("Total-Old",'Distrib pivot table'!$C$2,"state","LA")&gt;0.0005,GETPIVOTDATA("Total-Old",'Distrib pivot table'!$C$2,"state","LA","group","1c2")/GETPIVOTDATA("Total-Old",'Distrib pivot table'!$C$2,"state","LA"),"*"))</f>
        <v>0</v>
      </c>
      <c r="L17" s="575">
        <f>IF((GETPIVOTDATA("Total-Old",'Distrib pivot table'!$C$2,"state","MD","group","1c2")/GETPIVOTDATA("Total-Old",'Distrib pivot table'!$C$2,"state","MD"))=0,,IF(GETPIVOTDATA("Total-Old",'Distrib pivot table'!$C$2,"state","MD","group","1c2")/GETPIVOTDATA("Total-Old",'Distrib pivot table'!$C$2,"state","MD")&gt;0.0005,GETPIVOTDATA("Total-Old",'Distrib pivot table'!$C$2,"state","MD","group","1c2")/GETPIVOTDATA("Total-Old",'Distrib pivot table'!$C$2,"state","MD"),"*"))</f>
        <v>0</v>
      </c>
      <c r="M17" s="575">
        <f>IF((GETPIVOTDATA("Total-Old",'Distrib pivot table'!$C$2,"state","MS","group","1c2")/GETPIVOTDATA("Total-Old",'Distrib pivot table'!$C$2,"state","MS"))=0,,IF(GETPIVOTDATA("Total-Old",'Distrib pivot table'!$C$2,"state","MS","group","1c2")/GETPIVOTDATA("Total-Old",'Distrib pivot table'!$C$2,"state","MS")&gt;0.0005,GETPIVOTDATA("Total-Old",'Distrib pivot table'!$C$2,"state","MS","group","1c2")/GETPIVOTDATA("Total-Old",'Distrib pivot table'!$C$2,"state","MS"),"*"))</f>
        <v>0</v>
      </c>
      <c r="N17" s="575">
        <f>IF((GETPIVOTDATA("Total-Old",'Distrib pivot table'!$C$2,"state","NC","group","1c2")/GETPIVOTDATA("Total-Old",'Distrib pivot table'!$C$2,"state","NC"))=0,,IF(GETPIVOTDATA("Total-Old",'Distrib pivot table'!$C$2,"state","NC","group","1c2")/GETPIVOTDATA("Total-Old",'Distrib pivot table'!$C$2,"state","NC")&gt;0.0005,GETPIVOTDATA("Total-Old",'Distrib pivot table'!$C$2,"state","NC","group","1c2")/GETPIVOTDATA("Total-Old",'Distrib pivot table'!$C$2,"state","NC"),"*"))</f>
        <v>2.3006795936632091E-2</v>
      </c>
      <c r="O17" s="575">
        <f>IF((GETPIVOTDATA("Total-Old",'Distrib pivot table'!$C$2,"state","OK","group","1c2")/GETPIVOTDATA("Total-Old",'Distrib pivot table'!$C$2,"state","OK"))=0,,IF(GETPIVOTDATA("Total-Old",'Distrib pivot table'!$C$2,"state","OK","group","1c2")/GETPIVOTDATA("Total-Old",'Distrib pivot table'!$C$2,"state","OK")&gt;0.0005,GETPIVOTDATA("Total-Old",'Distrib pivot table'!$C$2,"state","OK","group","1c2")/GETPIVOTDATA("Total-Old",'Distrib pivot table'!$C$2,"state","OK"),"*"))</f>
        <v>0</v>
      </c>
      <c r="P17" s="575">
        <f>IF((GETPIVOTDATA("Total-Old",'Distrib pivot table'!$C$2,"state","SC","group","1c2")/GETPIVOTDATA("Total-Old",'Distrib pivot table'!$C$2,"state","SC"))=0,,IF(GETPIVOTDATA("Total-Old",'Distrib pivot table'!$C$2,"state","SC","group","1c2")/GETPIVOTDATA("Total-Old",'Distrib pivot table'!$C$2,"state","SC")&gt;0.0005,GETPIVOTDATA("Total-Old",'Distrib pivot table'!$C$2,"state","SC","group","1c2")/GETPIVOTDATA("Total-Old",'Distrib pivot table'!$C$2,"state","SC"),"*"))</f>
        <v>0</v>
      </c>
      <c r="Q17" s="575">
        <f>IF((GETPIVOTDATA("Total-Old",'Distrib pivot table'!$C$2,"state","TN","group","1c2")/GETPIVOTDATA("Total-Old",'Distrib pivot table'!$C$2,"state","TN"))=0,,IF(GETPIVOTDATA("Total-Old",'Distrib pivot table'!$C$2,"state","TN","group","1c2")/GETPIVOTDATA("Total-Old",'Distrib pivot table'!$C$2,"state","TN")&gt;0.0005,GETPIVOTDATA("Total-Old",'Distrib pivot table'!$C$2,"state","TN","group","1c2")/GETPIVOTDATA("Total-Old",'Distrib pivot table'!$C$2,"state","TN"),"*"))</f>
        <v>0</v>
      </c>
      <c r="R17" s="575">
        <f>IF((GETPIVOTDATA("Total-Old",'Distrib pivot table'!$C$2,"state","TX","group","1c2")/GETPIVOTDATA("Total-Old",'Distrib pivot table'!$C$2,"state","TX"))=0,,IF(GETPIVOTDATA("Total-Old",'Distrib pivot table'!$C$2,"state","TX","group","1c2")/GETPIVOTDATA("Total-Old",'Distrib pivot table'!$C$2,"state","TX")&gt;0.0005,GETPIVOTDATA("Total-Old",'Distrib pivot table'!$C$2,"state","TX","group","1c2")/GETPIVOTDATA("Total-Old",'Distrib pivot table'!$C$2,"state","TX"),"*"))</f>
        <v>0</v>
      </c>
      <c r="S17" s="575">
        <f>IF((GETPIVOTDATA("Total-Old",'Distrib pivot table'!$C$2,"state","VA","group","1c2")/GETPIVOTDATA("Total-Old",'Distrib pivot table'!$C$2,"state","VA"))=0,,IF(GETPIVOTDATA("Total-Old",'Distrib pivot table'!$C$2,"state","VA","group","1c2")/GETPIVOTDATA("Total-Old",'Distrib pivot table'!$C$2,"state","VA")&gt;0.0005,GETPIVOTDATA("Total-Old",'Distrib pivot table'!$C$2,"state","VA","group","1c2")/GETPIVOTDATA("Total-Old",'Distrib pivot table'!$C$2,"state","VA"),"*"))</f>
        <v>0</v>
      </c>
      <c r="T17" s="575" t="str">
        <f>IF((GETPIVOTDATA("Total-Old",'Distrib pivot table'!$C$2,"state","WV","group","1c2")/GETPIVOTDATA("Total-Old",'Distrib pivot table'!$C$2,"state","WV"))=0,,IF(GETPIVOTDATA("Total-Old",'Distrib pivot table'!$C$2,"state","WV","group","1c2")/GETPIVOTDATA("Total-Old",'Distrib pivot table'!$C$2,"state","WV")&gt;0.0005,GETPIVOTDATA("Total-Old",'Distrib pivot table'!$C$2,"state","WV","group","1c2")/GETPIVOTDATA("Total-Old",'Distrib pivot table'!$C$2,"state","WV"),"*"))</f>
        <v>*</v>
      </c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6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576"/>
      <c r="AS17" s="576"/>
      <c r="AT17" s="576"/>
      <c r="AU17" s="576"/>
      <c r="AV17" s="576"/>
      <c r="AW17" s="576"/>
      <c r="AX17" s="576"/>
    </row>
    <row r="18" spans="1:50" ht="12.65" customHeight="1">
      <c r="A18" s="1223"/>
      <c r="B18" s="573" t="s">
        <v>75</v>
      </c>
      <c r="C18" s="574" t="s">
        <v>199</v>
      </c>
      <c r="D18" s="575">
        <f>IF(GETPIVOTDATA("Total-Old",'Distrib pivot table'!$C$2,"group","1c3")/GETPIVOTDATA("Total-Old",'Distrib pivot table'!$C$2)=0,,IF(GETPIVOTDATA("Total-Old",'Distrib pivot table'!$C$2,"group","1c3")/GETPIVOTDATA("Total-Old",'Distrib pivot table'!$C$2)&gt;0.0005,GETPIVOTDATA("Total-Old",'Distrib pivot table'!$C$2,"group","1c3")/GETPIVOTDATA("Total-Old",'Distrib pivot table'!$C$2),"*"))</f>
        <v>1.0717290124105194E-3</v>
      </c>
      <c r="E18" s="575">
        <f>IF((GETPIVOTDATA("Total-Old",'Distrib pivot table'!$C$2,"state","AL","group","1c3")/GETPIVOTDATA("Total-Old",'Distrib pivot table'!$C$2,"state","AL"))=0,,IF(GETPIVOTDATA("Total-Old",'Distrib pivot table'!$C$2,"state","AL","group","1c3")/GETPIVOTDATA("Total-Old",'Distrib pivot table'!$C$2,"state","AL")&gt;0.0005,GETPIVOTDATA("Total-Old",'Distrib pivot table'!$C$2,"state","AL","group","1c3")/GETPIVOTDATA("Total-Old",'Distrib pivot table'!$C$2,"state","AL"),"*"))</f>
        <v>0</v>
      </c>
      <c r="F18" s="575">
        <f>IF((GETPIVOTDATA("Total-Old",'Distrib pivot table'!$C$2,"state","AR","group","1c3")/GETPIVOTDATA("Total-Old",'Distrib pivot table'!$C$2,"state","AR"))=0,,IF(GETPIVOTDATA("Total-Old",'Distrib pivot table'!$C$2,"state","AR","group","1c3")/GETPIVOTDATA("Total-Old",'Distrib pivot table'!$C$2,"state","AR")&gt;0.0005,GETPIVOTDATA("Total-Old",'Distrib pivot table'!$C$2,"state","AR","group","1c3")/GETPIVOTDATA("Total-Old",'Distrib pivot table'!$C$2,"state","AR"),"*"))</f>
        <v>3.6477157764456349E-2</v>
      </c>
      <c r="G18" s="575">
        <f>IF((GETPIVOTDATA("Total-Old",'Distrib pivot table'!$C$2,"state","DE","group","1c3")/GETPIVOTDATA("Total-Old",'Distrib pivot table'!$C$2,"state","DE"))=0,,IF(GETPIVOTDATA("Total-Old",'Distrib pivot table'!$C$2,"state","DE","group","1c3")/GETPIVOTDATA("Total-Old",'Distrib pivot table'!$C$2,"state","DE")&gt;0.0005,GETPIVOTDATA("Total-Old",'Distrib pivot table'!$C$2,"state","DE","group","1c3")/GETPIVOTDATA("Total-Old",'Distrib pivot table'!$C$2,"state","DE"),"*"))</f>
        <v>0</v>
      </c>
      <c r="H18" s="575">
        <f>IF((GETPIVOTDATA("Total-Old",'Distrib pivot table'!$C$2,"state","FL","group","1c3")/GETPIVOTDATA("Total-Old",'Distrib pivot table'!$C$2,"state","FL"))=0,,IF(GETPIVOTDATA("Total-Old",'Distrib pivot table'!$C$2,"state","FL","group","1c3")/GETPIVOTDATA("Total-Old",'Distrib pivot table'!$C$2,"state","FL")&gt;0.0005,GETPIVOTDATA("Total-Old",'Distrib pivot table'!$C$2,"state","FL","group","1c3")/GETPIVOTDATA("Total-Old",'Distrib pivot table'!$C$2,"state","FL"),"*"))</f>
        <v>0</v>
      </c>
      <c r="I18" s="575">
        <f>IF((GETPIVOTDATA("Total-Old",'Distrib pivot table'!$C$2,"state","GA","group","1c3")/GETPIVOTDATA("Total-Old",'Distrib pivot table'!$C$2,"state","GA"))=0,,IF(GETPIVOTDATA("Total-Old",'Distrib pivot table'!$C$2,"state","GA","group","1c3")/GETPIVOTDATA("Total-Old",'Distrib pivot table'!$C$2,"state","GA")&gt;0.0005,GETPIVOTDATA("Total-Old",'Distrib pivot table'!$C$2,"state","GA","group","1c3")/GETPIVOTDATA("Total-Old",'Distrib pivot table'!$C$2,"state","GA"),"*"))</f>
        <v>0</v>
      </c>
      <c r="J18" s="575">
        <f>IF((GETPIVOTDATA("Total-Old",'Distrib pivot table'!$C$2,"state","KY","group","1c3")/GETPIVOTDATA("Total-Old",'Distrib pivot table'!$C$2,"state","KY"))=0,,IF(GETPIVOTDATA("Total-Old",'Distrib pivot table'!$C$2,"state","KY","group","1c3")/GETPIVOTDATA("Total-Old",'Distrib pivot table'!$C$2,"state","KY")&gt;0.0005,GETPIVOTDATA("Total-Old",'Distrib pivot table'!$C$2,"state","KY","group","1c3")/GETPIVOTDATA("Total-Old",'Distrib pivot table'!$C$2,"state","KY"),"*"))</f>
        <v>0</v>
      </c>
      <c r="K18" s="575">
        <f>IF((GETPIVOTDATA("Total-Old",'Distrib pivot table'!$C$2,"state","LA","group","1c3")/GETPIVOTDATA("Total-Old",'Distrib pivot table'!$C$2,"state","LA"))=0,,IF(GETPIVOTDATA("Total-Old",'Distrib pivot table'!$C$2,"state","LA","group","1c3")/GETPIVOTDATA("Total-Old",'Distrib pivot table'!$C$2,"state","LA")&gt;0.0005,GETPIVOTDATA("Total-Old",'Distrib pivot table'!$C$2,"state","LA","group","1c3")/GETPIVOTDATA("Total-Old",'Distrib pivot table'!$C$2,"state","LA"),"*"))</f>
        <v>0</v>
      </c>
      <c r="L18" s="575">
        <f>IF((GETPIVOTDATA("Total-Old",'Distrib pivot table'!$C$2,"state","MD","group","1c3")/GETPIVOTDATA("Total-Old",'Distrib pivot table'!$C$2,"state","MD"))=0,,IF(GETPIVOTDATA("Total-Old",'Distrib pivot table'!$C$2,"state","MD","group","1c3")/GETPIVOTDATA("Total-Old",'Distrib pivot table'!$C$2,"state","MD")&gt;0.0005,GETPIVOTDATA("Total-Old",'Distrib pivot table'!$C$2,"state","MD","group","1c3")/GETPIVOTDATA("Total-Old",'Distrib pivot table'!$C$2,"state","MD"),"*"))</f>
        <v>0</v>
      </c>
      <c r="M18" s="575">
        <f>IF((GETPIVOTDATA("Total-Old",'Distrib pivot table'!$C$2,"state","MS","group","1c3")/GETPIVOTDATA("Total-Old",'Distrib pivot table'!$C$2,"state","MS"))=0,,IF(GETPIVOTDATA("Total-Old",'Distrib pivot table'!$C$2,"state","MS","group","1c3")/GETPIVOTDATA("Total-Old",'Distrib pivot table'!$C$2,"state","MS")&gt;0.0005,GETPIVOTDATA("Total-Old",'Distrib pivot table'!$C$2,"state","MS","group","1c3")/GETPIVOTDATA("Total-Old",'Distrib pivot table'!$C$2,"state","MS"),"*"))</f>
        <v>0</v>
      </c>
      <c r="N18" s="575">
        <f>IF((GETPIVOTDATA("Total-Old",'Distrib pivot table'!$C$2,"state","NC","group","1c3")/GETPIVOTDATA("Total-Old",'Distrib pivot table'!$C$2,"state","NC"))=0,,IF(GETPIVOTDATA("Total-Old",'Distrib pivot table'!$C$2,"state","NC","group","1c3")/GETPIVOTDATA("Total-Old",'Distrib pivot table'!$C$2,"state","NC")&gt;0.0005,GETPIVOTDATA("Total-Old",'Distrib pivot table'!$C$2,"state","NC","group","1c3")/GETPIVOTDATA("Total-Old",'Distrib pivot table'!$C$2,"state","NC"),"*"))</f>
        <v>0</v>
      </c>
      <c r="O18" s="575">
        <f>IF((GETPIVOTDATA("Total-Old",'Distrib pivot table'!$C$2,"state","OK","group","1c3")/GETPIVOTDATA("Total-Old",'Distrib pivot table'!$C$2,"state","OK"))=0,,IF(GETPIVOTDATA("Total-Old",'Distrib pivot table'!$C$2,"state","OK","group","1c3")/GETPIVOTDATA("Total-Old",'Distrib pivot table'!$C$2,"state","OK")&gt;0.0005,GETPIVOTDATA("Total-Old",'Distrib pivot table'!$C$2,"state","OK","group","1c3")/GETPIVOTDATA("Total-Old",'Distrib pivot table'!$C$2,"state","OK"),"*"))</f>
        <v>0</v>
      </c>
      <c r="P18" s="575">
        <f>IF((GETPIVOTDATA("Total-Old",'Distrib pivot table'!$C$2,"state","SC","group","1c3")/GETPIVOTDATA("Total-Old",'Distrib pivot table'!$C$2,"state","SC"))=0,,IF(GETPIVOTDATA("Total-Old",'Distrib pivot table'!$C$2,"state","SC","group","1c3")/GETPIVOTDATA("Total-Old",'Distrib pivot table'!$C$2,"state","SC")&gt;0.0005,GETPIVOTDATA("Total-Old",'Distrib pivot table'!$C$2,"state","SC","group","1c3")/GETPIVOTDATA("Total-Old",'Distrib pivot table'!$C$2,"state","SC"),"*"))</f>
        <v>0</v>
      </c>
      <c r="Q18" s="575">
        <f>IF((GETPIVOTDATA("Total-Old",'Distrib pivot table'!$C$2,"state","TN","group","1c3")/GETPIVOTDATA("Total-Old",'Distrib pivot table'!$C$2,"state","TN"))=0,,IF(GETPIVOTDATA("Total-Old",'Distrib pivot table'!$C$2,"state","TN","group","1c3")/GETPIVOTDATA("Total-Old",'Distrib pivot table'!$C$2,"state","TN")&gt;0.0005,GETPIVOTDATA("Total-Old",'Distrib pivot table'!$C$2,"state","TN","group","1c3")/GETPIVOTDATA("Total-Old",'Distrib pivot table'!$C$2,"state","TN"),"*"))</f>
        <v>0</v>
      </c>
      <c r="R18" s="575">
        <f>IF((GETPIVOTDATA("Total-Old",'Distrib pivot table'!$C$2,"state","TX","group","1c3")/GETPIVOTDATA("Total-Old",'Distrib pivot table'!$C$2,"state","TX"))=0,,IF(GETPIVOTDATA("Total-Old",'Distrib pivot table'!$C$2,"state","TX","group","1c3")/GETPIVOTDATA("Total-Old",'Distrib pivot table'!$C$2,"state","TX")&gt;0.0005,GETPIVOTDATA("Total-Old",'Distrib pivot table'!$C$2,"state","TX","group","1c3")/GETPIVOTDATA("Total-Old",'Distrib pivot table'!$C$2,"state","TX"),"*"))</f>
        <v>0</v>
      </c>
      <c r="S18" s="575">
        <f>IF((GETPIVOTDATA("Total-Old",'Distrib pivot table'!$C$2,"state","VA","group","1c3")/GETPIVOTDATA("Total-Old",'Distrib pivot table'!$C$2,"state","VA"))=0,,IF(GETPIVOTDATA("Total-Old",'Distrib pivot table'!$C$2,"state","VA","group","1c3")/GETPIVOTDATA("Total-Old",'Distrib pivot table'!$C$2,"state","VA")&gt;0.0005,GETPIVOTDATA("Total-Old",'Distrib pivot table'!$C$2,"state","VA","group","1c3")/GETPIVOTDATA("Total-Old",'Distrib pivot table'!$C$2,"state","VA"),"*"))</f>
        <v>0</v>
      </c>
      <c r="T18" s="575">
        <f>IF((GETPIVOTDATA("Total-Old",'Distrib pivot table'!$C$2,"state","WV","group","1c3")/GETPIVOTDATA("Total-Old",'Distrib pivot table'!$C$2,"state","WV"))=0,,IF(GETPIVOTDATA("Total-Old",'Distrib pivot table'!$C$2,"state","WV","group","1c3")/GETPIVOTDATA("Total-Old",'Distrib pivot table'!$C$2,"state","WV")&gt;0.0005,GETPIVOTDATA("Total-Old",'Distrib pivot table'!$C$2,"state","WV","group","1c3")/GETPIVOTDATA("Total-Old",'Distrib pivot table'!$C$2,"state","WV"),"*"))</f>
        <v>0</v>
      </c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</row>
    <row r="19" spans="1:50" ht="12.65" customHeight="1">
      <c r="A19" s="1223"/>
      <c r="B19" s="573" t="s">
        <v>752</v>
      </c>
      <c r="C19" s="574" t="s">
        <v>749</v>
      </c>
      <c r="D19" s="575" t="str">
        <f>IF(GETPIVOTDATA("Total-Old",'Distrib pivot table'!$C$2,"group","1c5")/GETPIVOTDATA("Total-Old",'Distrib pivot table'!$C$2)=0,,IF(GETPIVOTDATA("Total-Old",'Distrib pivot table'!$C$2,"group","1c5")/GETPIVOTDATA("Total-Old",'Distrib pivot table'!$C$2)&gt;0.0005,GETPIVOTDATA("Total-Old",'Distrib pivot table'!$C$2,"group","1c5")/GETPIVOTDATA("Total-Old",'Distrib pivot table'!$C$2),"*"))</f>
        <v>*</v>
      </c>
      <c r="E19" s="575">
        <f>IF((GETPIVOTDATA("Total-Old",'Distrib pivot table'!$C$2,"state","AL","group","1c5")/GETPIVOTDATA("Total-Old",'Distrib pivot table'!$C$2,"state","AL"))=0,,IF(GETPIVOTDATA("Total-Old",'Distrib pivot table'!$C$2,"state","AL","group","1c5")/GETPIVOTDATA("Total-Old",'Distrib pivot table'!$C$2,"state","AL")&gt;0.0005,GETPIVOTDATA("Total-Old",'Distrib pivot table'!$C$2,"state","AL","group","1c5")/GETPIVOTDATA("Total-Old",'Distrib pivot table'!$C$2,"state","AL"),"*"))</f>
        <v>0</v>
      </c>
      <c r="F19" s="575">
        <f>IF((GETPIVOTDATA("Total-Old",'Distrib pivot table'!$C$2,"state","AR","group","1c5")/GETPIVOTDATA("Total-Old",'Distrib pivot table'!$C$2,"state","AR"))=0,,IF(GETPIVOTDATA("Total-Old",'Distrib pivot table'!$C$2,"state","AR","group","1c5")/GETPIVOTDATA("Total-Old",'Distrib pivot table'!$C$2,"state","AR")&gt;0.0005,GETPIVOTDATA("Total-Old",'Distrib pivot table'!$C$2,"state","AR","group","1c5")/GETPIVOTDATA("Total-Old",'Distrib pivot table'!$C$2,"state","AR"),"*"))</f>
        <v>0</v>
      </c>
      <c r="G19" s="575">
        <f>IF((GETPIVOTDATA("Total-Old",'Distrib pivot table'!$C$2,"state","DE","group","1c5")/GETPIVOTDATA("Total-Old",'Distrib pivot table'!$C$2,"state","DE"))=0,,IF(GETPIVOTDATA("Total-Old",'Distrib pivot table'!$C$2,"state","DE","group","1c5")/GETPIVOTDATA("Total-Old",'Distrib pivot table'!$C$2,"state","DE")&gt;0.0005,GETPIVOTDATA("Total-Old",'Distrib pivot table'!$C$2,"state","DE","group","1c5")/GETPIVOTDATA("Total-Old",'Distrib pivot table'!$C$2,"state","DE"),"*"))</f>
        <v>0</v>
      </c>
      <c r="H19" s="575">
        <f>IF((GETPIVOTDATA("Total-Old",'Distrib pivot table'!$C$2,"state","FL","group","1c5")/GETPIVOTDATA("Total-Old",'Distrib pivot table'!$C$2,"state","FL"))=0,,IF(GETPIVOTDATA("Total-Old",'Distrib pivot table'!$C$2,"state","FL","group","1c5")/GETPIVOTDATA("Total-Old",'Distrib pivot table'!$C$2,"state","FL")&gt;0.0005,GETPIVOTDATA("Total-Old",'Distrib pivot table'!$C$2,"state","FL","group","1c5")/GETPIVOTDATA("Total-Old",'Distrib pivot table'!$C$2,"state","FL"),"*"))</f>
        <v>0</v>
      </c>
      <c r="I19" s="575">
        <f>IF((GETPIVOTDATA("Total-Old",'Distrib pivot table'!$C$2,"state","GA","group","1c5")/GETPIVOTDATA("Total-Old",'Distrib pivot table'!$C$2,"state","GA"))=0,,IF(GETPIVOTDATA("Total-Old",'Distrib pivot table'!$C$2,"state","GA","group","1c5")/GETPIVOTDATA("Total-Old",'Distrib pivot table'!$C$2,"state","GA")&gt;0.0005,GETPIVOTDATA("Total-Old",'Distrib pivot table'!$C$2,"state","GA","group","1c5")/GETPIVOTDATA("Total-Old",'Distrib pivot table'!$C$2,"state","GA"),"*"))</f>
        <v>0</v>
      </c>
      <c r="J19" s="575">
        <f>IF((GETPIVOTDATA("Total-Old",'Distrib pivot table'!$C$2,"state","KY","group","1c5")/GETPIVOTDATA("Total-Old",'Distrib pivot table'!$C$2,"state","KY"))=0,,IF(GETPIVOTDATA("Total-Old",'Distrib pivot table'!$C$2,"state","KY","group","1c5")/GETPIVOTDATA("Total-Old",'Distrib pivot table'!$C$2,"state","KY")&gt;0.0005,GETPIVOTDATA("Total-Old",'Distrib pivot table'!$C$2,"state","KY","group","1c5")/GETPIVOTDATA("Total-Old",'Distrib pivot table'!$C$2,"state","KY"),"*"))</f>
        <v>0</v>
      </c>
      <c r="K19" s="575">
        <f>IF((GETPIVOTDATA("Total-Old",'Distrib pivot table'!$C$2,"state","LA","group","1c5")/GETPIVOTDATA("Total-Old",'Distrib pivot table'!$C$2,"state","LA"))=0,,IF(GETPIVOTDATA("Total-Old",'Distrib pivot table'!$C$2,"state","LA","group","1c5")/GETPIVOTDATA("Total-Old",'Distrib pivot table'!$C$2,"state","LA")&gt;0.0005,GETPIVOTDATA("Total-Old",'Distrib pivot table'!$C$2,"state","LA","group","1c5")/GETPIVOTDATA("Total-Old",'Distrib pivot table'!$C$2,"state","LA"),"*"))</f>
        <v>0</v>
      </c>
      <c r="L19" s="575">
        <f>IF((GETPIVOTDATA("Total-Old",'Distrib pivot table'!$C$2,"state","MD","group","1c5")/GETPIVOTDATA("Total-Old",'Distrib pivot table'!$C$2,"state","MD"))=0,,IF(GETPIVOTDATA("Total-Old",'Distrib pivot table'!$C$2,"state","MD","group","1c5")/GETPIVOTDATA("Total-Old",'Distrib pivot table'!$C$2,"state","MD")&gt;0.0005,GETPIVOTDATA("Total-Old",'Distrib pivot table'!$C$2,"state","MD","group","1c5")/GETPIVOTDATA("Total-Old",'Distrib pivot table'!$C$2,"state","MD"),"*"))</f>
        <v>0</v>
      </c>
      <c r="M19" s="575">
        <f>IF((GETPIVOTDATA("Total-Old",'Distrib pivot table'!$C$2,"state","MS","group","1c5")/GETPIVOTDATA("Total-Old",'Distrib pivot table'!$C$2,"state","MS"))=0,,IF(GETPIVOTDATA("Total-Old",'Distrib pivot table'!$C$2,"state","MS","group","1c5")/GETPIVOTDATA("Total-Old",'Distrib pivot table'!$C$2,"state","MS")&gt;0.0005,GETPIVOTDATA("Total-Old",'Distrib pivot table'!$C$2,"state","MS","group","1c5")/GETPIVOTDATA("Total-Old",'Distrib pivot table'!$C$2,"state","MS"),"*"))</f>
        <v>0</v>
      </c>
      <c r="N19" s="575">
        <f>IF((GETPIVOTDATA("Total-Old",'Distrib pivot table'!$C$2,"state","NC","group","1c5")/GETPIVOTDATA("Total-Old",'Distrib pivot table'!$C$2,"state","NC"))=0,,IF(GETPIVOTDATA("Total-Old",'Distrib pivot table'!$C$2,"state","NC","group","1c5")/GETPIVOTDATA("Total-Old",'Distrib pivot table'!$C$2,"state","NC")&gt;0.0005,GETPIVOTDATA("Total-Old",'Distrib pivot table'!$C$2,"state","NC","group","1c5")/GETPIVOTDATA("Total-Old",'Distrib pivot table'!$C$2,"state","NC"),"*"))</f>
        <v>0</v>
      </c>
      <c r="O19" s="575">
        <f>IF((GETPIVOTDATA("Total-Old",'Distrib pivot table'!$C$2,"state","OK","group","1c5")/GETPIVOTDATA("Total-Old",'Distrib pivot table'!$C$2,"state","OK"))=0,,IF(GETPIVOTDATA("Total-Old",'Distrib pivot table'!$C$2,"state","OK","group","1c5")/GETPIVOTDATA("Total-Old",'Distrib pivot table'!$C$2,"state","OK")&gt;0.0005,GETPIVOTDATA("Total-Old",'Distrib pivot table'!$C$2,"state","OK","group","1c5")/GETPIVOTDATA("Total-Old",'Distrib pivot table'!$C$2,"state","OK"),"*"))</f>
        <v>0</v>
      </c>
      <c r="P19" s="575">
        <f>IF((GETPIVOTDATA("Total-Old",'Distrib pivot table'!$C$2,"state","SC","group","1c5")/GETPIVOTDATA("Total-Old",'Distrib pivot table'!$C$2,"state","SC"))=0,,IF(GETPIVOTDATA("Total-Old",'Distrib pivot table'!$C$2,"state","SC","group","1c5")/GETPIVOTDATA("Total-Old",'Distrib pivot table'!$C$2,"state","SC")&gt;0.0005,GETPIVOTDATA("Total-Old",'Distrib pivot table'!$C$2,"state","SC","group","1c5")/GETPIVOTDATA("Total-Old",'Distrib pivot table'!$C$2,"state","SC"),"*"))</f>
        <v>0</v>
      </c>
      <c r="Q19" s="575">
        <f>IF((GETPIVOTDATA("Total-Old",'Distrib pivot table'!$C$2,"state","TN","group","1c5")/GETPIVOTDATA("Total-Old",'Distrib pivot table'!$C$2,"state","TN"))=0,,IF(GETPIVOTDATA("Total-Old",'Distrib pivot table'!$C$2,"state","TN","group","1c5")/GETPIVOTDATA("Total-Old",'Distrib pivot table'!$C$2,"state","TN")&gt;0.0005,GETPIVOTDATA("Total-Old",'Distrib pivot table'!$C$2,"state","TN","group","1c5")/GETPIVOTDATA("Total-Old",'Distrib pivot table'!$C$2,"state","TN"),"*"))</f>
        <v>0</v>
      </c>
      <c r="R19" s="575">
        <f>IF((GETPIVOTDATA("Total-Old",'Distrib pivot table'!$C$2,"state","TX","group","1c5")/GETPIVOTDATA("Total-Old",'Distrib pivot table'!$C$2,"state","TX"))=0,,IF(GETPIVOTDATA("Total-Old",'Distrib pivot table'!$C$2,"state","TX","group","1c5")/GETPIVOTDATA("Total-Old",'Distrib pivot table'!$C$2,"state","TX")&gt;0.0005,GETPIVOTDATA("Total-Old",'Distrib pivot table'!$C$2,"state","TX","group","1c5")/GETPIVOTDATA("Total-Old",'Distrib pivot table'!$C$2,"state","TX"),"*"))</f>
        <v>6.1947529548504407E-4</v>
      </c>
      <c r="S19" s="575">
        <f>IF((GETPIVOTDATA("Total-Old",'Distrib pivot table'!$C$2,"state","VA","group","1c5")/GETPIVOTDATA("Total-Old",'Distrib pivot table'!$C$2,"state","VA"))=0,,IF(GETPIVOTDATA("Total-Old",'Distrib pivot table'!$C$2,"state","VA","group","1c5")/GETPIVOTDATA("Total-Old",'Distrib pivot table'!$C$2,"state","VA")&gt;0.0005,GETPIVOTDATA("Total-Old",'Distrib pivot table'!$C$2,"state","VA","group","1c5")/GETPIVOTDATA("Total-Old",'Distrib pivot table'!$C$2,"state","VA"),"*"))</f>
        <v>0</v>
      </c>
      <c r="T19" s="575">
        <f>IF((GETPIVOTDATA("Total-Old",'Distrib pivot table'!$C$2,"state","WV","group","1c5")/GETPIVOTDATA("Total-Old",'Distrib pivot table'!$C$2,"state","WV"))=0,,IF(GETPIVOTDATA("Total-Old",'Distrib pivot table'!$C$2,"state","WV","group","1c5")/GETPIVOTDATA("Total-Old",'Distrib pivot table'!$C$2,"state","WV")&gt;0.0005,GETPIVOTDATA("Total-Old",'Distrib pivot table'!$C$2,"state","WV","group","1c5")/GETPIVOTDATA("Total-Old",'Distrib pivot table'!$C$2,"state","WV"),"*"))</f>
        <v>0</v>
      </c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6"/>
      <c r="AV19" s="576"/>
      <c r="AW19" s="576"/>
      <c r="AX19" s="576"/>
    </row>
    <row r="20" spans="1:50" ht="12.65" customHeight="1">
      <c r="A20" s="1223"/>
      <c r="B20" s="573" t="s">
        <v>79</v>
      </c>
      <c r="C20" s="574" t="s">
        <v>120</v>
      </c>
      <c r="D20" s="575">
        <f>IF(GETPIVOTDATA("Total-Old",'Distrib pivot table'!$C$2,"group","1c6")/GETPIVOTDATA("Total-Old",'Distrib pivot table'!$C$2)=0,,IF(GETPIVOTDATA("Total-Old",'Distrib pivot table'!$C$2,"group","1c6")/GETPIVOTDATA("Total-Old",'Distrib pivot table'!$C$2)&gt;0.0005,GETPIVOTDATA("Total-Old",'Distrib pivot table'!$C$2,"group","1c6")/GETPIVOTDATA("Total-Old",'Distrib pivot table'!$C$2),"*"))</f>
        <v>2.230784252919176E-3</v>
      </c>
      <c r="E20" s="575">
        <f>IF((GETPIVOTDATA("Total-Old",'Distrib pivot table'!$C$2,"state","AL","group","1c6")/GETPIVOTDATA("Total-Old",'Distrib pivot table'!$C$2,"state","AL"))=0,,IF(GETPIVOTDATA("Total-Old",'Distrib pivot table'!$C$2,"state","AL","group","1c6")/GETPIVOTDATA("Total-Old",'Distrib pivot table'!$C$2,"state","AL")&gt;0.0005,GETPIVOTDATA("Total-Old",'Distrib pivot table'!$C$2,"state","AL","group","1c6")/GETPIVOTDATA("Total-Old",'Distrib pivot table'!$C$2,"state","AL"),"*"))</f>
        <v>1.6500066452673409E-3</v>
      </c>
      <c r="F20" s="575">
        <f>IF((GETPIVOTDATA("Total-Old",'Distrib pivot table'!$C$2,"state","AR","group","1c6")/GETPIVOTDATA("Total-Old",'Distrib pivot table'!$C$2,"state","AR"))=0,,IF(GETPIVOTDATA("Total-Old",'Distrib pivot table'!$C$2,"state","AR","group","1c6")/GETPIVOTDATA("Total-Old",'Distrib pivot table'!$C$2,"state","AR")&gt;0.0005,GETPIVOTDATA("Total-Old",'Distrib pivot table'!$C$2,"state","AR","group","1c6")/GETPIVOTDATA("Total-Old",'Distrib pivot table'!$C$2,"state","AR"),"*"))</f>
        <v>2.2777828389902977E-3</v>
      </c>
      <c r="G20" s="575">
        <f>IF((GETPIVOTDATA("Total-Old",'Distrib pivot table'!$C$2,"state","DE","group","1c6")/GETPIVOTDATA("Total-Old",'Distrib pivot table'!$C$2,"state","DE"))=0,,IF(GETPIVOTDATA("Total-Old",'Distrib pivot table'!$C$2,"state","DE","group","1c6")/GETPIVOTDATA("Total-Old",'Distrib pivot table'!$C$2,"state","DE")&gt;0.0005,GETPIVOTDATA("Total-Old",'Distrib pivot table'!$C$2,"state","DE","group","1c6")/GETPIVOTDATA("Total-Old",'Distrib pivot table'!$C$2,"state","DE"),"*"))</f>
        <v>0</v>
      </c>
      <c r="H20" s="575">
        <f>IF((GETPIVOTDATA("Total-Old",'Distrib pivot table'!$C$2,"state","FL","group","1c6")/GETPIVOTDATA("Total-Old",'Distrib pivot table'!$C$2,"state","FL"))=0,,IF(GETPIVOTDATA("Total-Old",'Distrib pivot table'!$C$2,"state","FL","group","1c6")/GETPIVOTDATA("Total-Old",'Distrib pivot table'!$C$2,"state","FL")&gt;0.0005,GETPIVOTDATA("Total-Old",'Distrib pivot table'!$C$2,"state","FL","group","1c6")/GETPIVOTDATA("Total-Old",'Distrib pivot table'!$C$2,"state","FL"),"*"))</f>
        <v>0</v>
      </c>
      <c r="I20" s="575">
        <f>IF((GETPIVOTDATA("Total-Old",'Distrib pivot table'!$C$2,"state","GA","group","1c6")/GETPIVOTDATA("Total-Old",'Distrib pivot table'!$C$2,"state","GA"))=0,,IF(GETPIVOTDATA("Total-Old",'Distrib pivot table'!$C$2,"state","GA","group","1c6")/GETPIVOTDATA("Total-Old",'Distrib pivot table'!$C$2,"state","GA")&gt;0.0005,GETPIVOTDATA("Total-Old",'Distrib pivot table'!$C$2,"state","GA","group","1c6")/GETPIVOTDATA("Total-Old",'Distrib pivot table'!$C$2,"state","GA"),"*"))</f>
        <v>6.995005983880487E-3</v>
      </c>
      <c r="J20" s="575">
        <f>IF((GETPIVOTDATA("Total-Old",'Distrib pivot table'!$C$2,"state","KY","group","1c6")/GETPIVOTDATA("Total-Old",'Distrib pivot table'!$C$2,"state","KY"))=0,,IF(GETPIVOTDATA("Total-Old",'Distrib pivot table'!$C$2,"state","KY","group","1c6")/GETPIVOTDATA("Total-Old",'Distrib pivot table'!$C$2,"state","KY")&gt;0.0005,GETPIVOTDATA("Total-Old",'Distrib pivot table'!$C$2,"state","KY","group","1c6")/GETPIVOTDATA("Total-Old",'Distrib pivot table'!$C$2,"state","KY"),"*"))</f>
        <v>0</v>
      </c>
      <c r="K20" s="575">
        <f>IF((GETPIVOTDATA("Total-Old",'Distrib pivot table'!$C$2,"state","LA","group","1c6")/GETPIVOTDATA("Total-Old",'Distrib pivot table'!$C$2,"state","LA"))=0,,IF(GETPIVOTDATA("Total-Old",'Distrib pivot table'!$C$2,"state","LA","group","1c6")/GETPIVOTDATA("Total-Old",'Distrib pivot table'!$C$2,"state","LA")&gt;0.0005,GETPIVOTDATA("Total-Old",'Distrib pivot table'!$C$2,"state","LA","group","1c6")/GETPIVOTDATA("Total-Old",'Distrib pivot table'!$C$2,"state","LA"),"*"))</f>
        <v>7.4578408803967844E-3</v>
      </c>
      <c r="L20" s="575">
        <f>IF((GETPIVOTDATA("Total-Old",'Distrib pivot table'!$C$2,"state","MD","group","1c6")/GETPIVOTDATA("Total-Old",'Distrib pivot table'!$C$2,"state","MD"))=0,,IF(GETPIVOTDATA("Total-Old",'Distrib pivot table'!$C$2,"state","MD","group","1c6")/GETPIVOTDATA("Total-Old",'Distrib pivot table'!$C$2,"state","MD")&gt;0.0005,GETPIVOTDATA("Total-Old",'Distrib pivot table'!$C$2,"state","MD","group","1c6")/GETPIVOTDATA("Total-Old",'Distrib pivot table'!$C$2,"state","MD"),"*"))</f>
        <v>0</v>
      </c>
      <c r="M20" s="575">
        <f>IF((GETPIVOTDATA("Total-Old",'Distrib pivot table'!$C$2,"state","MS","group","1c6")/GETPIVOTDATA("Total-Old",'Distrib pivot table'!$C$2,"state","MS"))=0,,IF(GETPIVOTDATA("Total-Old",'Distrib pivot table'!$C$2,"state","MS","group","1c6")/GETPIVOTDATA("Total-Old",'Distrib pivot table'!$C$2,"state","MS")&gt;0.0005,GETPIVOTDATA("Total-Old",'Distrib pivot table'!$C$2,"state","MS","group","1c6")/GETPIVOTDATA("Total-Old",'Distrib pivot table'!$C$2,"state","MS"),"*"))</f>
        <v>0</v>
      </c>
      <c r="N20" s="575">
        <f>IF((GETPIVOTDATA("Total-Old",'Distrib pivot table'!$C$2,"state","NC","group","1c6")/GETPIVOTDATA("Total-Old",'Distrib pivot table'!$C$2,"state","NC"))=0,,IF(GETPIVOTDATA("Total-Old",'Distrib pivot table'!$C$2,"state","NC","group","1c6")/GETPIVOTDATA("Total-Old",'Distrib pivot table'!$C$2,"state","NC")&gt;0.0005,GETPIVOTDATA("Total-Old",'Distrib pivot table'!$C$2,"state","NC","group","1c6")/GETPIVOTDATA("Total-Old",'Distrib pivot table'!$C$2,"state","NC"),"*"))</f>
        <v>7.3748158716077921E-4</v>
      </c>
      <c r="O20" s="575">
        <f>IF((GETPIVOTDATA("Total-Old",'Distrib pivot table'!$C$2,"state","OK","group","1c6")/GETPIVOTDATA("Total-Old",'Distrib pivot table'!$C$2,"state","OK"))=0,,IF(GETPIVOTDATA("Total-Old",'Distrib pivot table'!$C$2,"state","OK","group","1c6")/GETPIVOTDATA("Total-Old",'Distrib pivot table'!$C$2,"state","OK")&gt;0.0005,GETPIVOTDATA("Total-Old",'Distrib pivot table'!$C$2,"state","OK","group","1c6")/GETPIVOTDATA("Total-Old",'Distrib pivot table'!$C$2,"state","OK"),"*"))</f>
        <v>0</v>
      </c>
      <c r="P20" s="575">
        <f>IF((GETPIVOTDATA("Total-Old",'Distrib pivot table'!$C$2,"state","SC","group","1c6")/GETPIVOTDATA("Total-Old",'Distrib pivot table'!$C$2,"state","SC"))=0,,IF(GETPIVOTDATA("Total-Old",'Distrib pivot table'!$C$2,"state","SC","group","1c6")/GETPIVOTDATA("Total-Old",'Distrib pivot table'!$C$2,"state","SC")&gt;0.0005,GETPIVOTDATA("Total-Old",'Distrib pivot table'!$C$2,"state","SC","group","1c6")/GETPIVOTDATA("Total-Old",'Distrib pivot table'!$C$2,"state","SC"),"*"))</f>
        <v>0</v>
      </c>
      <c r="Q20" s="575">
        <f>IF((GETPIVOTDATA("Total-Old",'Distrib pivot table'!$C$2,"state","TN","group","1c6")/GETPIVOTDATA("Total-Old",'Distrib pivot table'!$C$2,"state","TN"))=0,,IF(GETPIVOTDATA("Total-Old",'Distrib pivot table'!$C$2,"state","TN","group","1c6")/GETPIVOTDATA("Total-Old",'Distrib pivot table'!$C$2,"state","TN")&gt;0.0005,GETPIVOTDATA("Total-Old",'Distrib pivot table'!$C$2,"state","TN","group","1c6")/GETPIVOTDATA("Total-Old",'Distrib pivot table'!$C$2,"state","TN"),"*"))</f>
        <v>0</v>
      </c>
      <c r="R20" s="575">
        <f>IF((GETPIVOTDATA("Total-Old",'Distrib pivot table'!$C$2,"state","TX","group","1c6")/GETPIVOTDATA("Total-Old",'Distrib pivot table'!$C$2,"state","TX"))=0,,IF(GETPIVOTDATA("Total-Old",'Distrib pivot table'!$C$2,"state","TX","group","1c6")/GETPIVOTDATA("Total-Old",'Distrib pivot table'!$C$2,"state","TX")&gt;0.0005,GETPIVOTDATA("Total-Old",'Distrib pivot table'!$C$2,"state","TX","group","1c6")/GETPIVOTDATA("Total-Old",'Distrib pivot table'!$C$2,"state","TX"),"*"))</f>
        <v>0</v>
      </c>
      <c r="S20" s="575">
        <f>IF((GETPIVOTDATA("Total-Old",'Distrib pivot table'!$C$2,"state","VA","group","1c6")/GETPIVOTDATA("Total-Old",'Distrib pivot table'!$C$2,"state","VA"))=0,,IF(GETPIVOTDATA("Total-Old",'Distrib pivot table'!$C$2,"state","VA","group","1c6")/GETPIVOTDATA("Total-Old",'Distrib pivot table'!$C$2,"state","VA")&gt;0.0005,GETPIVOTDATA("Total-Old",'Distrib pivot table'!$C$2,"state","VA","group","1c6")/GETPIVOTDATA("Total-Old",'Distrib pivot table'!$C$2,"state","VA"),"*"))</f>
        <v>1.0565312921732033E-2</v>
      </c>
      <c r="T20" s="575">
        <f>IF((GETPIVOTDATA("Total-Old",'Distrib pivot table'!$C$2,"state","WV","group","1c6")/GETPIVOTDATA("Total-Old",'Distrib pivot table'!$C$2,"state","WV"))=0,,IF(GETPIVOTDATA("Total-Old",'Distrib pivot table'!$C$2,"state","WV","group","1c6")/GETPIVOTDATA("Total-Old",'Distrib pivot table'!$C$2,"state","WV")&gt;0.0005,GETPIVOTDATA("Total-Old",'Distrib pivot table'!$C$2,"state","WV","group","1c6")/GETPIVOTDATA("Total-Old",'Distrib pivot table'!$C$2,"state","WV"),"*"))</f>
        <v>0</v>
      </c>
      <c r="U20" s="576"/>
      <c r="V20" s="576"/>
      <c r="W20" s="576"/>
      <c r="X20" s="576"/>
      <c r="Y20" s="576"/>
      <c r="Z20" s="576"/>
      <c r="AA20" s="576"/>
      <c r="AB20" s="576"/>
      <c r="AC20" s="576"/>
      <c r="AD20" s="576"/>
      <c r="AE20" s="576"/>
      <c r="AF20" s="576"/>
      <c r="AG20" s="576"/>
      <c r="AH20" s="576"/>
      <c r="AI20" s="576"/>
      <c r="AJ20" s="576"/>
      <c r="AK20" s="576"/>
      <c r="AL20" s="576"/>
      <c r="AM20" s="576"/>
      <c r="AN20" s="576"/>
      <c r="AO20" s="576"/>
      <c r="AP20" s="576"/>
      <c r="AQ20" s="576"/>
      <c r="AR20" s="576"/>
      <c r="AS20" s="576"/>
      <c r="AT20" s="576"/>
      <c r="AU20" s="576"/>
      <c r="AV20" s="576"/>
      <c r="AW20" s="576"/>
      <c r="AX20" s="576"/>
    </row>
    <row r="21" spans="1:50" ht="12.65" customHeight="1">
      <c r="A21" s="1223"/>
      <c r="B21" s="573" t="s">
        <v>847</v>
      </c>
      <c r="C21" s="574" t="s">
        <v>123</v>
      </c>
      <c r="D21" s="575">
        <f>IF(GETPIVOTDATA("Total-Old",'Distrib pivot table'!$C$2,"group","1c7")/GETPIVOTDATA("Total-Old",'Distrib pivot table'!$C$2)=0,,IF(GETPIVOTDATA("Total-Old",'Distrib pivot table'!$C$2,"group","1c7")/GETPIVOTDATA("Total-Old",'Distrib pivot table'!$C$2)&gt;0.0005,GETPIVOTDATA("Total-Old",'Distrib pivot table'!$C$2,"group","1c7")/GETPIVOTDATA("Total-Old",'Distrib pivot table'!$C$2),"*"))</f>
        <v>1.5930468577965685E-3</v>
      </c>
      <c r="E21" s="580">
        <f>IF((GETPIVOTDATA("Total-Old",'Distrib pivot table'!$C$2,"state","AL","group","1c7")/GETPIVOTDATA("Total-Old",'Distrib pivot table'!$C$2,"state","AL"))=0,,IF(GETPIVOTDATA("Total-Old",'Distrib pivot table'!$C$2,"state","AL","group","1c7")/GETPIVOTDATA("Total-Old",'Distrib pivot table'!$C$2,"state","AL")&gt;0.0005,GETPIVOTDATA("Total-Old",'Distrib pivot table'!$C$2,"state","AL","group","1c7")/GETPIVOTDATA("Total-Old",'Distrib pivot table'!$C$2,"state","AL"),"*"))</f>
        <v>1.4644094063340149E-2</v>
      </c>
      <c r="F21" s="580">
        <f>IF((GETPIVOTDATA("Total-Old",'Distrib pivot table'!$C$2,"state","AR","group","1c7")/GETPIVOTDATA("Total-Old",'Distrib pivot table'!$C$2,"state","AR"))=0,,IF(GETPIVOTDATA("Total-Old",'Distrib pivot table'!$C$2,"state","AR","group","1c7")/GETPIVOTDATA("Total-Old",'Distrib pivot table'!$C$2,"state","AR")&gt;0.0005,GETPIVOTDATA("Total-Old",'Distrib pivot table'!$C$2,"state","AR","group","1c7")/GETPIVOTDATA("Total-Old",'Distrib pivot table'!$C$2,"state","AR"),"*"))</f>
        <v>0</v>
      </c>
      <c r="G21" s="580">
        <f>IF((GETPIVOTDATA("Total-Old",'Distrib pivot table'!$C$2,"state","DE","group","1c7")/GETPIVOTDATA("Total-Old",'Distrib pivot table'!$C$2,"state","DE"))=0,,IF(GETPIVOTDATA("Total-Old",'Distrib pivot table'!$C$2,"state","DE","group","1c7")/GETPIVOTDATA("Total-Old",'Distrib pivot table'!$C$2,"state","DE")&gt;0.0005,GETPIVOTDATA("Total-Old",'Distrib pivot table'!$C$2,"state","DE","group","1c7")/GETPIVOTDATA("Total-Old",'Distrib pivot table'!$C$2,"state","DE"),"*"))</f>
        <v>0</v>
      </c>
      <c r="H21" s="580">
        <f>IF((GETPIVOTDATA("Total-Old",'Distrib pivot table'!$C$2,"state","FL","group","1c7")/GETPIVOTDATA("Total-Old",'Distrib pivot table'!$C$2,"state","FL"))=0,,IF(GETPIVOTDATA("Total-Old",'Distrib pivot table'!$C$2,"state","FL","group","1c7")/GETPIVOTDATA("Total-Old",'Distrib pivot table'!$C$2,"state","FL")&gt;0.0005,GETPIVOTDATA("Total-Old",'Distrib pivot table'!$C$2,"state","FL","group","1c7")/GETPIVOTDATA("Total-Old",'Distrib pivot table'!$C$2,"state","FL"),"*"))</f>
        <v>0</v>
      </c>
      <c r="I21" s="580">
        <f>IF((GETPIVOTDATA("Total-Old",'Distrib pivot table'!$C$2,"state","GA","group","1c7")/GETPIVOTDATA("Total-Old",'Distrib pivot table'!$C$2,"state","GA"))=0,,IF(GETPIVOTDATA("Total-Old",'Distrib pivot table'!$C$2,"state","GA","group","1c7")/GETPIVOTDATA("Total-Old",'Distrib pivot table'!$C$2,"state","GA")&gt;0.0005,GETPIVOTDATA("Total-Old",'Distrib pivot table'!$C$2,"state","GA","group","1c7")/GETPIVOTDATA("Total-Old",'Distrib pivot table'!$C$2,"state","GA"),"*"))</f>
        <v>0</v>
      </c>
      <c r="J21" s="580">
        <f>IF((GETPIVOTDATA("Total-Old",'Distrib pivot table'!$C$2,"state","KY","group","1c7")/GETPIVOTDATA("Total-Old",'Distrib pivot table'!$C$2,"state","KY"))=0,,IF(GETPIVOTDATA("Total-Old",'Distrib pivot table'!$C$2,"state","KY","group","1c7")/GETPIVOTDATA("Total-Old",'Distrib pivot table'!$C$2,"state","KY")&gt;0.0005,GETPIVOTDATA("Total-Old",'Distrib pivot table'!$C$2,"state","KY","group","1c7")/GETPIVOTDATA("Total-Old",'Distrib pivot table'!$C$2,"state","KY"),"*"))</f>
        <v>0</v>
      </c>
      <c r="K21" s="580">
        <f>IF((GETPIVOTDATA("Total-Old",'Distrib pivot table'!$C$2,"state","LA","group","1c7")/GETPIVOTDATA("Total-Old",'Distrib pivot table'!$C$2,"state","LA"))=0,,IF(GETPIVOTDATA("Total-Old",'Distrib pivot table'!$C$2,"state","LA","group","1c7")/GETPIVOTDATA("Total-Old",'Distrib pivot table'!$C$2,"state","LA")&gt;0.0005,GETPIVOTDATA("Total-Old",'Distrib pivot table'!$C$2,"state","LA","group","1c7")/GETPIVOTDATA("Total-Old",'Distrib pivot table'!$C$2,"state","LA"),"*"))</f>
        <v>0</v>
      </c>
      <c r="L21" s="580">
        <f>IF((GETPIVOTDATA("Total-Old",'Distrib pivot table'!$C$2,"state","MD","group","1c7")/GETPIVOTDATA("Total-Old",'Distrib pivot table'!$C$2,"state","MD"))=0,,IF(GETPIVOTDATA("Total-Old",'Distrib pivot table'!$C$2,"state","MD","group","1c7")/GETPIVOTDATA("Total-Old",'Distrib pivot table'!$C$2,"state","MD")&gt;0.0005,GETPIVOTDATA("Total-Old",'Distrib pivot table'!$C$2,"state","MD","group","1c7")/GETPIVOTDATA("Total-Old",'Distrib pivot table'!$C$2,"state","MD"),"*"))</f>
        <v>0</v>
      </c>
      <c r="M21" s="580">
        <f>IF((GETPIVOTDATA("Total-Old",'Distrib pivot table'!$C$2,"state","MS","group","1c7")/GETPIVOTDATA("Total-Old",'Distrib pivot table'!$C$2,"state","MS"))=0,,IF(GETPIVOTDATA("Total-Old",'Distrib pivot table'!$C$2,"state","MS","group","1c7")/GETPIVOTDATA("Total-Old",'Distrib pivot table'!$C$2,"state","MS")&gt;0.0005,GETPIVOTDATA("Total-Old",'Distrib pivot table'!$C$2,"state","MS","group","1c7")/GETPIVOTDATA("Total-Old",'Distrib pivot table'!$C$2,"state","MS"),"*"))</f>
        <v>0</v>
      </c>
      <c r="N21" s="580">
        <f>IF((GETPIVOTDATA("Total-Old",'Distrib pivot table'!$C$2,"state","NC","group","1c7")/GETPIVOTDATA("Total-Old",'Distrib pivot table'!$C$2,"state","NC"))=0,,IF(GETPIVOTDATA("Total-Old",'Distrib pivot table'!$C$2,"state","NC","group","1c7")/GETPIVOTDATA("Total-Old",'Distrib pivot table'!$C$2,"state","NC")&gt;0.0005,GETPIVOTDATA("Total-Old",'Distrib pivot table'!$C$2,"state","NC","group","1c7")/GETPIVOTDATA("Total-Old",'Distrib pivot table'!$C$2,"state","NC"),"*"))</f>
        <v>3.1708060786897006E-3</v>
      </c>
      <c r="O21" s="580">
        <f>IF((GETPIVOTDATA("Total-Old",'Distrib pivot table'!$C$2,"state","OK","group","1c7")/GETPIVOTDATA("Total-Old",'Distrib pivot table'!$C$2,"state","OK"))=0,,IF(GETPIVOTDATA("Total-Old",'Distrib pivot table'!$C$2,"state","OK","group","1c7")/GETPIVOTDATA("Total-Old",'Distrib pivot table'!$C$2,"state","OK")&gt;0.0005,GETPIVOTDATA("Total-Old",'Distrib pivot table'!$C$2,"state","OK","group","1c7")/GETPIVOTDATA("Total-Old",'Distrib pivot table'!$C$2,"state","OK"),"*"))</f>
        <v>0</v>
      </c>
      <c r="P21" s="580">
        <f>IF((GETPIVOTDATA("Total-Old",'Distrib pivot table'!$C$2,"state","SC","group","1c7")/GETPIVOTDATA("Total-Old",'Distrib pivot table'!$C$2,"state","SC"))=0,,IF(GETPIVOTDATA("Total-Old",'Distrib pivot table'!$C$2,"state","SC","group","1c7")/GETPIVOTDATA("Total-Old",'Distrib pivot table'!$C$2,"state","SC")&gt;0.0005,GETPIVOTDATA("Total-Old",'Distrib pivot table'!$C$2,"state","SC","group","1c7")/GETPIVOTDATA("Total-Old",'Distrib pivot table'!$C$2,"state","SC"),"*"))</f>
        <v>0</v>
      </c>
      <c r="Q21" s="580">
        <f>IF((GETPIVOTDATA("Total-Old",'Distrib pivot table'!$C$2,"state","TN","group","1c7")/GETPIVOTDATA("Total-Old",'Distrib pivot table'!$C$2,"state","TN"))=0,,IF(GETPIVOTDATA("Total-Old",'Distrib pivot table'!$C$2,"state","TN","group","1c7")/GETPIVOTDATA("Total-Old",'Distrib pivot table'!$C$2,"state","TN")&gt;0.0005,GETPIVOTDATA("Total-Old",'Distrib pivot table'!$C$2,"state","TN","group","1c7")/GETPIVOTDATA("Total-Old",'Distrib pivot table'!$C$2,"state","TN"),"*"))</f>
        <v>0</v>
      </c>
      <c r="R21" s="580">
        <f>IF((GETPIVOTDATA("Total-Old",'Distrib pivot table'!$C$2,"state","TX","group","1c7")/GETPIVOTDATA("Total-Old",'Distrib pivot table'!$C$2,"state","TX"))=0,,IF(GETPIVOTDATA("Total-Old",'Distrib pivot table'!$C$2,"state","TX","group","1c7")/GETPIVOTDATA("Total-Old",'Distrib pivot table'!$C$2,"state","TX")&gt;0.0005,GETPIVOTDATA("Total-Old",'Distrib pivot table'!$C$2,"state","TX","group","1c7")/GETPIVOTDATA("Total-Old",'Distrib pivot table'!$C$2,"state","TX"),"*"))</f>
        <v>1.1448051589660131E-3</v>
      </c>
      <c r="S21" s="580">
        <f>IF((GETPIVOTDATA("Total-Old",'Distrib pivot table'!$C$2,"state","VA","group","1c7")/GETPIVOTDATA("Total-Old",'Distrib pivot table'!$C$2,"state","VA"))=0,,IF(GETPIVOTDATA("Total-Old",'Distrib pivot table'!$C$2,"state","VA","group","1c7")/GETPIVOTDATA("Total-Old",'Distrib pivot table'!$C$2,"state","VA")&gt;0.0005,GETPIVOTDATA("Total-Old",'Distrib pivot table'!$C$2,"state","VA","group","1c7")/GETPIVOTDATA("Total-Old",'Distrib pivot table'!$C$2,"state","VA"),"*"))</f>
        <v>0</v>
      </c>
      <c r="T21" s="581">
        <f>IF((GETPIVOTDATA("Total-Old",'Distrib pivot table'!$C$2,"state","WV","group","1c7")/GETPIVOTDATA("Total-Old",'Distrib pivot table'!$C$2,"state","WV"))=0,,IF(GETPIVOTDATA("Total-Old",'Distrib pivot table'!$C$2,"state","WV","group","1c7")/GETPIVOTDATA("Total-Old",'Distrib pivot table'!$C$2,"state","WV")&gt;0.0005,GETPIVOTDATA("Total-Old",'Distrib pivot table'!$C$2,"state","WV","group","1c7")/GETPIVOTDATA("Total-Old",'Distrib pivot table'!$C$2,"state","WV"),"*"))</f>
        <v>0</v>
      </c>
      <c r="U21" s="576"/>
      <c r="V21" s="576"/>
      <c r="W21" s="576"/>
      <c r="X21" s="576"/>
      <c r="Y21" s="576"/>
      <c r="Z21" s="576"/>
      <c r="AA21" s="576"/>
      <c r="AB21" s="576"/>
      <c r="AC21" s="576"/>
      <c r="AD21" s="576"/>
      <c r="AE21" s="576"/>
      <c r="AF21" s="576"/>
      <c r="AG21" s="576"/>
      <c r="AH21" s="576"/>
      <c r="AI21" s="576"/>
      <c r="AJ21" s="576"/>
      <c r="AK21" s="576"/>
      <c r="AL21" s="576"/>
      <c r="AM21" s="576"/>
      <c r="AN21" s="576"/>
      <c r="AO21" s="576"/>
      <c r="AP21" s="576"/>
      <c r="AQ21" s="576"/>
      <c r="AR21" s="576"/>
      <c r="AS21" s="576"/>
      <c r="AT21" s="576"/>
      <c r="AU21" s="576"/>
      <c r="AV21" s="576"/>
      <c r="AW21" s="576"/>
      <c r="AX21" s="576"/>
    </row>
    <row r="22" spans="1:50" ht="25.5" customHeight="1">
      <c r="A22" s="1226"/>
      <c r="B22" s="582" t="s">
        <v>297</v>
      </c>
      <c r="C22" s="583" t="s">
        <v>132</v>
      </c>
      <c r="D22" s="584">
        <f>IF(GETPIVOTDATA("Total-Old",'Distrib pivot table'!$C$2,"group","1g")/GETPIVOTDATA("Total-Old",'Distrib pivot table'!$C$2)=0,,IF(GETPIVOTDATA("Total-Old",'Distrib pivot table'!$C$2,"group","1g")/GETPIVOTDATA("Total-Old",'Distrib pivot table'!$C$2)&gt;0.0005,GETPIVOTDATA("Total-Old",'Distrib pivot table'!$C$2,"group","1g")/GETPIVOTDATA("Total-Old",'Distrib pivot table'!$C$2),"*"))</f>
        <v>4.4148364190906564E-3</v>
      </c>
      <c r="E22" s="584" t="str">
        <f>IF((GETPIVOTDATA("Total-Old",'Distrib pivot table'!$C$2,"state","AL","group","1g")/GETPIVOTDATA("Total-Old",'Distrib pivot table'!$C$2,"state","AL"))=0,,IF(GETPIVOTDATA("Total-Old",'Distrib pivot table'!$C$2,"state","AL","group","1g")/GETPIVOTDATA("Total-Old",'Distrib pivot table'!$C$2,"state","AL")&gt;0.0005,GETPIVOTDATA("Total-Old",'Distrib pivot table'!$C$2,"state","AL","group","1g")/GETPIVOTDATA("Total-Old",'Distrib pivot table'!$C$2,"state","AL"),"*"))</f>
        <v>*</v>
      </c>
      <c r="F22" s="584" t="str">
        <f>IF((GETPIVOTDATA("Total-Old",'Distrib pivot table'!$C$2,"state","AR","group","1g")/GETPIVOTDATA("Total-Old",'Distrib pivot table'!$C$2,"state","AR"))=0,,IF(GETPIVOTDATA("Total-Old",'Distrib pivot table'!$C$2,"state","AR","group","1g")/GETPIVOTDATA("Total-Old",'Distrib pivot table'!$C$2,"state","AR")&gt;0.0005,GETPIVOTDATA("Total-Old",'Distrib pivot table'!$C$2,"state","AR","group","1g")/GETPIVOTDATA("Total-Old",'Distrib pivot table'!$C$2,"state","AR"),"*"))</f>
        <v>*</v>
      </c>
      <c r="G22" s="584">
        <f>IF((GETPIVOTDATA("Total-Old",'Distrib pivot table'!$C$2,"state","DE","group","1g")/GETPIVOTDATA("Total-Old",'Distrib pivot table'!$C$2,"state","DE"))=0,,IF(GETPIVOTDATA("Total-Old",'Distrib pivot table'!$C$2,"state","DE","group","1g")/GETPIVOTDATA("Total-Old",'Distrib pivot table'!$C$2,"state","DE")&gt;0.0005,GETPIVOTDATA("Total-Old",'Distrib pivot table'!$C$2,"state","DE","group","1g")/GETPIVOTDATA("Total-Old",'Distrib pivot table'!$C$2,"state","DE"),"*"))</f>
        <v>1.6814241105072639E-3</v>
      </c>
      <c r="H22" s="584">
        <f>IF((GETPIVOTDATA("Total-Old",'Distrib pivot table'!$C$2,"state","FL","group","1g")/GETPIVOTDATA("Total-Old",'Distrib pivot table'!$C$2,"state","FL"))=0,,IF(GETPIVOTDATA("Total-Old",'Distrib pivot table'!$C$2,"state","FL","group","1g")/GETPIVOTDATA("Total-Old",'Distrib pivot table'!$C$2,"state","FL")&gt;0.0005,GETPIVOTDATA("Total-Old",'Distrib pivot table'!$C$2,"state","FL","group","1g")/GETPIVOTDATA("Total-Old",'Distrib pivot table'!$C$2,"state","FL"),"*"))</f>
        <v>0</v>
      </c>
      <c r="I22" s="584">
        <f>IF((GETPIVOTDATA("Total-Old",'Distrib pivot table'!$C$2,"state","GA","group","1g")/GETPIVOTDATA("Total-Old",'Distrib pivot table'!$C$2,"state","GA"))=0,,IF(GETPIVOTDATA("Total-Old",'Distrib pivot table'!$C$2,"state","GA","group","1g")/GETPIVOTDATA("Total-Old",'Distrib pivot table'!$C$2,"state","GA")&gt;0.0005,GETPIVOTDATA("Total-Old",'Distrib pivot table'!$C$2,"state","GA","group","1g")/GETPIVOTDATA("Total-Old",'Distrib pivot table'!$C$2,"state","GA"),"*"))</f>
        <v>1.1873863990018737E-2</v>
      </c>
      <c r="J22" s="584">
        <f>IF((GETPIVOTDATA("Total-Old",'Distrib pivot table'!$C$2,"state","KY","group","1g")/GETPIVOTDATA("Total-Old",'Distrib pivot table'!$C$2,"state","KY"))=0,,IF(GETPIVOTDATA("Total-Old",'Distrib pivot table'!$C$2,"state","KY","group","1g")/GETPIVOTDATA("Total-Old",'Distrib pivot table'!$C$2,"state","KY")&gt;0.0005,GETPIVOTDATA("Total-Old",'Distrib pivot table'!$C$2,"state","KY","group","1g")/GETPIVOTDATA("Total-Old",'Distrib pivot table'!$C$2,"state","KY"),"*"))</f>
        <v>9.1212283702219316E-3</v>
      </c>
      <c r="K22" s="584">
        <f>IF((GETPIVOTDATA("Total-Old",'Distrib pivot table'!$C$2,"state","LA","group","1g")/GETPIVOTDATA("Total-Old",'Distrib pivot table'!$C$2,"state","LA"))=0,,IF(GETPIVOTDATA("Total-Old",'Distrib pivot table'!$C$2,"state","LA","group","1g")/GETPIVOTDATA("Total-Old",'Distrib pivot table'!$C$2,"state","LA")&gt;0.0005,GETPIVOTDATA("Total-Old",'Distrib pivot table'!$C$2,"state","LA","group","1g")/GETPIVOTDATA("Total-Old",'Distrib pivot table'!$C$2,"state","LA"),"*"))</f>
        <v>4.4856788761237776E-3</v>
      </c>
      <c r="L22" s="584">
        <f>IF((GETPIVOTDATA("Total-Old",'Distrib pivot table'!$C$2,"state","MD","group","1g")/GETPIVOTDATA("Total-Old",'Distrib pivot table'!$C$2,"state","MD"))=0,,IF(GETPIVOTDATA("Total-Old",'Distrib pivot table'!$C$2,"state","MD","group","1g")/GETPIVOTDATA("Total-Old",'Distrib pivot table'!$C$2,"state","MD")&gt;0.0005,GETPIVOTDATA("Total-Old",'Distrib pivot table'!$C$2,"state","MD","group","1g")/GETPIVOTDATA("Total-Old",'Distrib pivot table'!$C$2,"state","MD"),"*"))</f>
        <v>1.2108142909160544E-3</v>
      </c>
      <c r="M22" s="584">
        <f>IF((GETPIVOTDATA("Total-Old",'Distrib pivot table'!$C$2,"state","MS","group","1g")/GETPIVOTDATA("Total-Old",'Distrib pivot table'!$C$2,"state","MS"))=0,,IF(GETPIVOTDATA("Total-Old",'Distrib pivot table'!$C$2,"state","MS","group","1g")/GETPIVOTDATA("Total-Old",'Distrib pivot table'!$C$2,"state","MS")&gt;0.0005,GETPIVOTDATA("Total-Old",'Distrib pivot table'!$C$2,"state","MS","group","1g")/GETPIVOTDATA("Total-Old",'Distrib pivot table'!$C$2,"state","MS"),"*"))</f>
        <v>0</v>
      </c>
      <c r="N22" s="584">
        <f>IF((GETPIVOTDATA("Total-Old",'Distrib pivot table'!$C$2,"state","NC","group","1g")/GETPIVOTDATA("Total-Old",'Distrib pivot table'!$C$2,"state","NC"))=0,,IF(GETPIVOTDATA("Total-Old",'Distrib pivot table'!$C$2,"state","NC","group","1g")/GETPIVOTDATA("Total-Old",'Distrib pivot table'!$C$2,"state","NC")&gt;0.0005,GETPIVOTDATA("Total-Old",'Distrib pivot table'!$C$2,"state","NC","group","1g")/GETPIVOTDATA("Total-Old",'Distrib pivot table'!$C$2,"state","NC"),"*"))</f>
        <v>2.6090170346681936E-3</v>
      </c>
      <c r="O22" s="584">
        <f>IF((GETPIVOTDATA("Total-Old",'Distrib pivot table'!$C$2,"state","OK","group","1g")/GETPIVOTDATA("Total-Old",'Distrib pivot table'!$C$2,"state","OK"))=0,,IF(GETPIVOTDATA("Total-Old",'Distrib pivot table'!$C$2,"state","OK","group","1g")/GETPIVOTDATA("Total-Old",'Distrib pivot table'!$C$2,"state","OK")&gt;0.0005,GETPIVOTDATA("Total-Old",'Distrib pivot table'!$C$2,"state","OK","group","1g")/GETPIVOTDATA("Total-Old",'Distrib pivot table'!$C$2,"state","OK"),"*"))</f>
        <v>0</v>
      </c>
      <c r="P22" s="584">
        <f>IF((GETPIVOTDATA("Total-Old",'Distrib pivot table'!$C$2,"state","SC","group","1g")/GETPIVOTDATA("Total-Old",'Distrib pivot table'!$C$2,"state","SC"))=0,,IF(GETPIVOTDATA("Total-Old",'Distrib pivot table'!$C$2,"state","SC","group","1g")/GETPIVOTDATA("Total-Old",'Distrib pivot table'!$C$2,"state","SC")&gt;0.0005,GETPIVOTDATA("Total-Old",'Distrib pivot table'!$C$2,"state","SC","group","1g")/GETPIVOTDATA("Total-Old",'Distrib pivot table'!$C$2,"state","SC"),"*"))</f>
        <v>1.1777497867829674E-3</v>
      </c>
      <c r="Q22" s="584" t="str">
        <f>IF((GETPIVOTDATA("Total-Old",'Distrib pivot table'!$C$2,"state","TN","group","1g")/GETPIVOTDATA("Total-Old",'Distrib pivot table'!$C$2,"state","TN"))=0,,IF(GETPIVOTDATA("Total-Old",'Distrib pivot table'!$C$2,"state","TN","group","1g")/GETPIVOTDATA("Total-Old",'Distrib pivot table'!$C$2,"state","TN")&gt;0.0005,GETPIVOTDATA("Total-Old",'Distrib pivot table'!$C$2,"state","TN","group","1g")/GETPIVOTDATA("Total-Old",'Distrib pivot table'!$C$2,"state","TN"),"*"))</f>
        <v>*</v>
      </c>
      <c r="R22" s="584">
        <f>IF((GETPIVOTDATA("Total-Old",'Distrib pivot table'!$C$2,"state","TX","group","1g")/GETPIVOTDATA("Total-Old",'Distrib pivot table'!$C$2,"state","TX"))=0,,IF(GETPIVOTDATA("Total-Old",'Distrib pivot table'!$C$2,"state","TX","group","1g")/GETPIVOTDATA("Total-Old",'Distrib pivot table'!$C$2,"state","TX")&gt;0.0005,GETPIVOTDATA("Total-Old",'Distrib pivot table'!$C$2,"state","TX","group","1g")/GETPIVOTDATA("Total-Old",'Distrib pivot table'!$C$2,"state","TX"),"*"))</f>
        <v>0</v>
      </c>
      <c r="S22" s="584">
        <f>IF((GETPIVOTDATA("Total-Old",'Distrib pivot table'!$C$2,"state","VA","group","1g")/GETPIVOTDATA("Total-Old",'Distrib pivot table'!$C$2,"state","VA"))=0,,IF(GETPIVOTDATA("Total-Old",'Distrib pivot table'!$C$2,"state","VA","group","1g")/GETPIVOTDATA("Total-Old",'Distrib pivot table'!$C$2,"state","VA")&gt;0.0005,GETPIVOTDATA("Total-Old",'Distrib pivot table'!$C$2,"state","VA","group","1g")/GETPIVOTDATA("Total-Old",'Distrib pivot table'!$C$2,"state","VA"),"*"))</f>
        <v>2.1272156740619459E-2</v>
      </c>
      <c r="T22" s="584">
        <f>IF((GETPIVOTDATA("Total-Old",'Distrib pivot table'!$C$2,"state","WV","group","1g")/GETPIVOTDATA("Total-Old",'Distrib pivot table'!$C$2,"state","WV"))=0,,IF(GETPIVOTDATA("Total-Old",'Distrib pivot table'!$C$2,"state","WV","group","1g")/GETPIVOTDATA("Total-Old",'Distrib pivot table'!$C$2,"state","WV")&gt;0.0005,GETPIVOTDATA("Total-Old",'Distrib pivot table'!$C$2,"state","WV","group","1g")/GETPIVOTDATA("Total-Old",'Distrib pivot table'!$C$2,"state","WV"),"*"))</f>
        <v>7.3772841144940831E-3</v>
      </c>
      <c r="U22" s="576"/>
      <c r="V22" s="576"/>
      <c r="W22" s="576"/>
      <c r="X22" s="576"/>
      <c r="Y22" s="576"/>
      <c r="Z22" s="576"/>
      <c r="AA22" s="576"/>
      <c r="AB22" s="576"/>
      <c r="AC22" s="576"/>
      <c r="AD22" s="576"/>
      <c r="AE22" s="576"/>
      <c r="AF22" s="576"/>
      <c r="AG22" s="576"/>
      <c r="AH22" s="576"/>
      <c r="AI22" s="576"/>
      <c r="AJ22" s="576"/>
      <c r="AK22" s="576"/>
      <c r="AL22" s="576"/>
      <c r="AM22" s="576"/>
      <c r="AN22" s="576"/>
      <c r="AO22" s="576"/>
      <c r="AP22" s="576"/>
      <c r="AQ22" s="576"/>
      <c r="AR22" s="576"/>
      <c r="AS22" s="576"/>
      <c r="AT22" s="576"/>
      <c r="AU22" s="576"/>
      <c r="AV22" s="576"/>
      <c r="AW22" s="576"/>
      <c r="AX22" s="576"/>
    </row>
    <row r="23" spans="1:50" ht="39.75" customHeight="1">
      <c r="A23" s="1220" t="s">
        <v>1023</v>
      </c>
      <c r="B23" s="1221"/>
      <c r="C23" s="1221"/>
      <c r="D23" s="1221"/>
      <c r="E23" s="1221"/>
      <c r="F23" s="1221"/>
      <c r="G23" s="1221"/>
      <c r="H23" s="1221"/>
      <c r="I23" s="1221"/>
      <c r="J23" s="1221"/>
      <c r="K23" s="1221"/>
      <c r="L23" s="1221"/>
      <c r="M23" s="1221"/>
      <c r="N23" s="1221"/>
      <c r="O23" s="1221"/>
      <c r="P23" s="1221"/>
      <c r="Q23" s="1221"/>
      <c r="R23" s="1221"/>
      <c r="S23" s="1221"/>
      <c r="T23" s="1221"/>
    </row>
    <row r="24" spans="1:50" ht="15.75" customHeight="1">
      <c r="A24" s="585" t="s">
        <v>1024</v>
      </c>
      <c r="B24" s="287"/>
      <c r="C24" s="566"/>
      <c r="D24" s="566"/>
      <c r="E24" s="566"/>
      <c r="F24" s="566"/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566"/>
      <c r="T24" s="566"/>
    </row>
    <row r="25" spans="1:50" ht="14.25" customHeight="1">
      <c r="A25" s="566" t="s">
        <v>1011</v>
      </c>
      <c r="B25" s="287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370" t="s">
        <v>1814</v>
      </c>
    </row>
    <row r="26" spans="1:50" s="571" customFormat="1" ht="12.65" customHeight="1">
      <c r="A26" s="1222" t="s">
        <v>825</v>
      </c>
      <c r="B26" s="586" t="s">
        <v>301</v>
      </c>
      <c r="C26" s="587" t="s">
        <v>138</v>
      </c>
      <c r="D26" s="588">
        <f>SUM(D27:D30)</f>
        <v>7.8900195544578059E-3</v>
      </c>
      <c r="E26" s="588">
        <f>SUM(E27:E30)</f>
        <v>5.3540843378070378E-3</v>
      </c>
      <c r="F26" s="588">
        <f t="shared" ref="F26:T26" si="3">SUM(F27:F30)</f>
        <v>5.18628662850252E-3</v>
      </c>
      <c r="G26" s="588">
        <f t="shared" si="3"/>
        <v>1.2322066597359857E-2</v>
      </c>
      <c r="H26" s="588">
        <f t="shared" si="3"/>
        <v>1.1696481417574429E-3</v>
      </c>
      <c r="I26" s="588">
        <f t="shared" si="3"/>
        <v>1.7385601338219649E-3</v>
      </c>
      <c r="J26" s="588">
        <f t="shared" si="3"/>
        <v>1.0698770250585505E-2</v>
      </c>
      <c r="K26" s="588">
        <f t="shared" si="3"/>
        <v>1.6219626969813987E-2</v>
      </c>
      <c r="L26" s="588">
        <f t="shared" si="3"/>
        <v>3.9455491564575826E-3</v>
      </c>
      <c r="M26" s="588">
        <f t="shared" si="3"/>
        <v>5.3189294423807588E-3</v>
      </c>
      <c r="N26" s="588">
        <f t="shared" si="3"/>
        <v>5.1935489124326634E-3</v>
      </c>
      <c r="O26" s="588">
        <f>IF((GETPIVOTDATA("Total-Old",'Distrib pivot table'!$C$2,"state","OK","group","2a")/GETPIVOTDATA("Total-Old",'Distrib pivot table'!$C$2,"state","OK"))=0,,IF(GETPIVOTDATA("Total-Old",'Distrib pivot table'!$C$2,"state","OK","group","2a")/GETPIVOTDATA("Total-Old",'Distrib pivot table'!$C$2,"state","OK")&gt;0.0005,GETPIVOTDATA("Total-Old",'Distrib pivot table'!$C$2,"state","OK","group","2a")/GETPIVOTDATA("Total-Old",'Distrib pivot table'!$C$2,"state","OK"),"*"))</f>
        <v>0.49999999409142526</v>
      </c>
      <c r="P26" s="588">
        <f t="shared" si="3"/>
        <v>7.0498195093195819E-3</v>
      </c>
      <c r="Q26" s="588">
        <f t="shared" si="3"/>
        <v>9.2437308486407882E-3</v>
      </c>
      <c r="R26" s="588">
        <f t="shared" si="3"/>
        <v>1.436448451645516E-2</v>
      </c>
      <c r="S26" s="588">
        <f t="shared" si="3"/>
        <v>7.5999871333005927E-3</v>
      </c>
      <c r="T26" s="588">
        <f t="shared" si="3"/>
        <v>7.0367334271904348E-3</v>
      </c>
      <c r="U26" s="570"/>
      <c r="V26" s="570"/>
      <c r="W26" s="570"/>
      <c r="X26" s="570"/>
      <c r="Y26" s="570"/>
      <c r="Z26" s="570"/>
      <c r="AA26" s="570"/>
      <c r="AB26" s="570"/>
      <c r="AC26" s="570"/>
      <c r="AD26" s="570"/>
      <c r="AE26" s="570"/>
      <c r="AF26" s="570"/>
      <c r="AG26" s="570"/>
      <c r="AH26" s="570"/>
      <c r="AI26" s="570"/>
      <c r="AJ26" s="570"/>
      <c r="AK26" s="570"/>
      <c r="AL26" s="570"/>
      <c r="AM26" s="570"/>
      <c r="AN26" s="570"/>
      <c r="AO26" s="570"/>
      <c r="AP26" s="570"/>
      <c r="AQ26" s="570"/>
      <c r="AR26" s="570"/>
      <c r="AS26" s="570"/>
      <c r="AT26" s="570"/>
      <c r="AU26" s="570"/>
      <c r="AV26" s="570"/>
      <c r="AW26" s="570"/>
      <c r="AX26" s="570"/>
    </row>
    <row r="27" spans="1:50" ht="12.65" customHeight="1">
      <c r="A27" s="1225"/>
      <c r="B27" s="573" t="s">
        <v>141</v>
      </c>
      <c r="C27" s="589" t="s">
        <v>140</v>
      </c>
      <c r="D27" s="575">
        <f>IF(GETPIVOTDATA("Total-Old",'Distrib pivot table'!$C$2,"group","2a1")/GETPIVOTDATA("Total-Old",'Distrib pivot table'!$C$2)=0,,IF(GETPIVOTDATA("Total-Old",'Distrib pivot table'!$C$2,"group","2a1")/GETPIVOTDATA("Total-Old",'Distrib pivot table'!$C$2)&gt;0.0005,GETPIVOTDATA("Total-Old",'Distrib pivot table'!$C$2,"group","2a1")/GETPIVOTDATA("Total-Old",'Distrib pivot table'!$C$2),"*"))</f>
        <v>5.6571200296063303E-3</v>
      </c>
      <c r="E27" s="575">
        <f>IF((GETPIVOTDATA("Total-Old",'Distrib pivot table'!$C$2,"state","AL","group","2a1")/GETPIVOTDATA("Total-Old",'Distrib pivot table'!$C$2,"state","AL"))=0,,IF(GETPIVOTDATA("Total-Old",'Distrib pivot table'!$C$2,"state","AL","group","2a1")/GETPIVOTDATA("Total-Old",'Distrib pivot table'!$C$2,"state","AL")&gt;0.0005,GETPIVOTDATA("Total-Old",'Distrib pivot table'!$C$2,"state","AL","group","2a1")/GETPIVOTDATA("Total-Old",'Distrib pivot table'!$C$2,"state","AL"),"*"))</f>
        <v>8.0201263375980706E-4</v>
      </c>
      <c r="F27" s="575">
        <f>IF((GETPIVOTDATA("Total-Old",'Distrib pivot table'!$C$2,"state","AR","group","2a1")/GETPIVOTDATA("Total-Old",'Distrib pivot table'!$C$2,"state","AR"))=0,,IF(GETPIVOTDATA("Total-Old",'Distrib pivot table'!$C$2,"state","AR","group","2a1")/GETPIVOTDATA("Total-Old",'Distrib pivot table'!$C$2,"state","AR")&gt;0.0005,GETPIVOTDATA("Total-Old",'Distrib pivot table'!$C$2,"state","AR","group","2a1")/GETPIVOTDATA("Total-Old",'Distrib pivot table'!$C$2,"state","AR"),"*"))</f>
        <v>5.18628662850252E-3</v>
      </c>
      <c r="G27" s="575" t="str">
        <f>IF((GETPIVOTDATA("Total-Old",'Distrib pivot table'!$C$2,"state","DE","group","2a1")/GETPIVOTDATA("Total-Old",'Distrib pivot table'!$C$2,"state","DE"))=0,,IF(GETPIVOTDATA("Total-Old",'Distrib pivot table'!$C$2,"state","DE","group","2a1")/GETPIVOTDATA("Total-Old",'Distrib pivot table'!$C$2,"state","DE")&gt;0.0005,GETPIVOTDATA("Total-Old",'Distrib pivot table'!$C$2,"state","DE","group","2a1")/GETPIVOTDATA("Total-Old",'Distrib pivot table'!$C$2,"state","DE"),"*"))</f>
        <v>*</v>
      </c>
      <c r="H27" s="575">
        <f>IF((GETPIVOTDATA("Total-Old",'Distrib pivot table'!$C$2,"state","FL","group","2a1")/GETPIVOTDATA("Total-Old",'Distrib pivot table'!$C$2,"state","FL"))=0,,IF(GETPIVOTDATA("Total-Old",'Distrib pivot table'!$C$2,"state","FL","group","2a1")/GETPIVOTDATA("Total-Old",'Distrib pivot table'!$C$2,"state","FL")&gt;0.0005,GETPIVOTDATA("Total-Old",'Distrib pivot table'!$C$2,"state","FL","group","2a1")/GETPIVOTDATA("Total-Old",'Distrib pivot table'!$C$2,"state","FL"),"*"))</f>
        <v>0</v>
      </c>
      <c r="I27" s="575">
        <f>IF((GETPIVOTDATA("Total-Old",'Distrib pivot table'!$C$2,"state","GA","group","2a1")/GETPIVOTDATA("Total-Old",'Distrib pivot table'!$C$2,"state","GA"))=0,,IF(GETPIVOTDATA("Total-Old",'Distrib pivot table'!$C$2,"state","GA","group","2a1")/GETPIVOTDATA("Total-Old",'Distrib pivot table'!$C$2,"state","GA")&gt;0.0005,GETPIVOTDATA("Total-Old",'Distrib pivot table'!$C$2,"state","GA","group","2a1")/GETPIVOTDATA("Total-Old",'Distrib pivot table'!$C$2,"state","GA"),"*"))</f>
        <v>1.7385601338219649E-3</v>
      </c>
      <c r="J27" s="575">
        <f>IF((GETPIVOTDATA("Total-Old",'Distrib pivot table'!$C$2,"state","KY","group","2a1")/GETPIVOTDATA("Total-Old",'Distrib pivot table'!$C$2,"state","KY"))=0,,IF(GETPIVOTDATA("Total-Old",'Distrib pivot table'!$C$2,"state","KY","group","2a1")/GETPIVOTDATA("Total-Old",'Distrib pivot table'!$C$2,"state","KY")&gt;0.0005,GETPIVOTDATA("Total-Old",'Distrib pivot table'!$C$2,"state","KY","group","2a1")/GETPIVOTDATA("Total-Old",'Distrib pivot table'!$C$2,"state","KY"),"*"))</f>
        <v>1.9959148186689565E-3</v>
      </c>
      <c r="K27" s="575">
        <f>IF((GETPIVOTDATA("Total-Old",'Distrib pivot table'!$C$2,"state","LA","group","2a1")/GETPIVOTDATA("Total-Old",'Distrib pivot table'!$C$2,"state","LA"))=0,,IF(GETPIVOTDATA("Total-Old",'Distrib pivot table'!$C$2,"state","LA","group","2a1")/GETPIVOTDATA("Total-Old",'Distrib pivot table'!$C$2,"state","LA")&gt;0.0005,GETPIVOTDATA("Total-Old",'Distrib pivot table'!$C$2,"state","LA","group","2a1")/GETPIVOTDATA("Total-Old",'Distrib pivot table'!$C$2,"state","LA"),"*"))</f>
        <v>4.4076302388739762E-3</v>
      </c>
      <c r="L27" s="575">
        <f>IF((GETPIVOTDATA("Total-Old",'Distrib pivot table'!$C$2,"state","MD","group","2a1")/GETPIVOTDATA("Total-Old",'Distrib pivot table'!$C$2,"state","MD"))=0,,IF(GETPIVOTDATA("Total-Old",'Distrib pivot table'!$C$2,"state","MD","group","2a1")/GETPIVOTDATA("Total-Old",'Distrib pivot table'!$C$2,"state","MD")&gt;0.0005,GETPIVOTDATA("Total-Old",'Distrib pivot table'!$C$2,"state","MD","group","2a1")/GETPIVOTDATA("Total-Old",'Distrib pivot table'!$C$2,"state","MD"),"*"))</f>
        <v>3.9455491564575826E-3</v>
      </c>
      <c r="M27" s="575">
        <f>IF((GETPIVOTDATA("Total-Old",'Distrib pivot table'!$C$2,"state","MS","group","2a1")/GETPIVOTDATA("Total-Old",'Distrib pivot table'!$C$2,"state","MS"))=0,,IF(GETPIVOTDATA("Total-Old",'Distrib pivot table'!$C$2,"state","MS","group","2a1")/GETPIVOTDATA("Total-Old",'Distrib pivot table'!$C$2,"state","MS")&gt;0.0005,GETPIVOTDATA("Total-Old",'Distrib pivot table'!$C$2,"state","MS","group","2a1")/GETPIVOTDATA("Total-Old",'Distrib pivot table'!$C$2,"state","MS"),"*"))</f>
        <v>4.6039559951333514E-3</v>
      </c>
      <c r="N27" s="575">
        <f>IF((GETPIVOTDATA("Total-Old",'Distrib pivot table'!$C$2,"state","NC","group","2a1")/GETPIVOTDATA("Total-Old",'Distrib pivot table'!$C$2,"state","NC"))=0,,IF(GETPIVOTDATA("Total-Old",'Distrib pivot table'!$C$2,"state","NC","group","2a1")/GETPIVOTDATA("Total-Old",'Distrib pivot table'!$C$2,"state","NC")&gt;0.0005,GETPIVOTDATA("Total-Old",'Distrib pivot table'!$C$2,"state","NC","group","2a1")/GETPIVOTDATA("Total-Old",'Distrib pivot table'!$C$2,"state","NC"),"*"))</f>
        <v>5.1935489124326634E-3</v>
      </c>
      <c r="O27" s="575" t="s">
        <v>1812</v>
      </c>
      <c r="P27" s="575">
        <f>IF((GETPIVOTDATA("Total-Old",'Distrib pivot table'!$C$2,"state","SC","group","2a1")/GETPIVOTDATA("Total-Old",'Distrib pivot table'!$C$2,"state","SC"))=0,,IF(GETPIVOTDATA("Total-Old",'Distrib pivot table'!$C$2,"state","SC","group","2a1")/GETPIVOTDATA("Total-Old",'Distrib pivot table'!$C$2,"state","SC")&gt;0.0005,GETPIVOTDATA("Total-Old",'Distrib pivot table'!$C$2,"state","SC","group","2a1")/GETPIVOTDATA("Total-Old",'Distrib pivot table'!$C$2,"state","SC"),"*"))</f>
        <v>1.0604127269150557E-3</v>
      </c>
      <c r="Q27" s="575">
        <f>IF((GETPIVOTDATA("Total-Old",'Distrib pivot table'!$C$2,"state","TN","group","2a1")/GETPIVOTDATA("Total-Old",'Distrib pivot table'!$C$2,"state","TN"))=0,,IF(GETPIVOTDATA("Total-Old",'Distrib pivot table'!$C$2,"state","TN","group","2a1")/GETPIVOTDATA("Total-Old",'Distrib pivot table'!$C$2,"state","TN")&gt;0.0005,GETPIVOTDATA("Total-Old",'Distrib pivot table'!$C$2,"state","TN","group","2a1")/GETPIVOTDATA("Total-Old",'Distrib pivot table'!$C$2,"state","TN"),"*"))</f>
        <v>8.6738632255233539E-3</v>
      </c>
      <c r="R27" s="575">
        <f>IF((GETPIVOTDATA("Total-Old",'Distrib pivot table'!$C$2,"state","TX","group","2a1")/GETPIVOTDATA("Total-Old",'Distrib pivot table'!$C$2,"state","TX"))=0,,IF(GETPIVOTDATA("Total-Old",'Distrib pivot table'!$C$2,"state","TX","group","2a1")/GETPIVOTDATA("Total-Old",'Distrib pivot table'!$C$2,"state","TX")&gt;0.0005,GETPIVOTDATA("Total-Old",'Distrib pivot table'!$C$2,"state","TX","group","2a1")/GETPIVOTDATA("Total-Old",'Distrib pivot table'!$C$2,"state","TX"),"*"))</f>
        <v>1.3783265815152036E-2</v>
      </c>
      <c r="S27" s="575">
        <f>IF((GETPIVOTDATA("Total-Old",'Distrib pivot table'!$C$2,"state","VA","group","2a1")/GETPIVOTDATA("Total-Old",'Distrib pivot table'!$C$2,"state","VA"))=0,,IF(GETPIVOTDATA("Total-Old",'Distrib pivot table'!$C$2,"state","VA","group","2a1")/GETPIVOTDATA("Total-Old",'Distrib pivot table'!$C$2,"state","VA")&gt;0.0005,GETPIVOTDATA("Total-Old",'Distrib pivot table'!$C$2,"state","VA","group","2a1")/GETPIVOTDATA("Total-Old",'Distrib pivot table'!$C$2,"state","VA"),"*"))</f>
        <v>1.2385743486782947E-3</v>
      </c>
      <c r="T27" s="575">
        <f>IF((GETPIVOTDATA("Total-Old",'Distrib pivot table'!$C$2,"state","WV","group","2a1")/GETPIVOTDATA("Total-Old",'Distrib pivot table'!$C$2,"state","WV"))=0,,IF(GETPIVOTDATA("Total-Old",'Distrib pivot table'!$C$2,"state","WV","group","2a1")/GETPIVOTDATA("Total-Old",'Distrib pivot table'!$C$2,"state","WV")&gt;0.0005,GETPIVOTDATA("Total-Old",'Distrib pivot table'!$C$2,"state","WV","group","2a1")/GETPIVOTDATA("Total-Old",'Distrib pivot table'!$C$2,"state","WV"),"*"))</f>
        <v>5.330088434612917E-3</v>
      </c>
      <c r="U27" s="576"/>
      <c r="V27" s="576"/>
      <c r="W27" s="576"/>
      <c r="X27" s="576"/>
      <c r="Y27" s="576"/>
      <c r="Z27" s="576"/>
      <c r="AA27" s="576"/>
      <c r="AB27" s="576"/>
      <c r="AC27" s="576"/>
      <c r="AD27" s="576"/>
      <c r="AE27" s="576"/>
      <c r="AF27" s="576"/>
      <c r="AG27" s="576"/>
      <c r="AH27" s="576"/>
      <c r="AI27" s="576"/>
      <c r="AJ27" s="576"/>
      <c r="AK27" s="576"/>
      <c r="AL27" s="576"/>
      <c r="AM27" s="576"/>
      <c r="AN27" s="576"/>
      <c r="AO27" s="576"/>
      <c r="AP27" s="576"/>
      <c r="AQ27" s="576"/>
      <c r="AR27" s="576"/>
      <c r="AS27" s="576"/>
      <c r="AT27" s="576"/>
      <c r="AU27" s="576"/>
      <c r="AV27" s="576"/>
      <c r="AW27" s="576"/>
      <c r="AX27" s="576"/>
    </row>
    <row r="28" spans="1:50" ht="12.65" customHeight="1">
      <c r="A28" s="1225"/>
      <c r="B28" s="573" t="s">
        <v>143</v>
      </c>
      <c r="C28" s="589" t="s">
        <v>142</v>
      </c>
      <c r="D28" s="575">
        <f>IF(GETPIVOTDATA("Total-Old",'Distrib pivot table'!$C$2,"group","2a2")/GETPIVOTDATA("Total-Old",'Distrib pivot table'!$C$2)=0,,IF(GETPIVOTDATA("Total-Old",'Distrib pivot table'!$C$2,"group","2a2")/GETPIVOTDATA("Total-Old",'Distrib pivot table'!$C$2)&gt;0.0005,GETPIVOTDATA("Total-Old",'Distrib pivot table'!$C$2,"group","2a2")/GETPIVOTDATA("Total-Old",'Distrib pivot table'!$C$2),"*"))</f>
        <v>2.2328995248514752E-3</v>
      </c>
      <c r="E28" s="575">
        <f>IF((GETPIVOTDATA("Total-Old",'Distrib pivot table'!$C$2,"state","AL","group","2a2")/GETPIVOTDATA("Total-Old",'Distrib pivot table'!$C$2,"state","AL"))=0,,IF(GETPIVOTDATA("Total-Old",'Distrib pivot table'!$C$2,"state","AL","group","2a2")/GETPIVOTDATA("Total-Old",'Distrib pivot table'!$C$2,"state","AL")&gt;0.0005,GETPIVOTDATA("Total-Old",'Distrib pivot table'!$C$2,"state","AL","group","2a2")/GETPIVOTDATA("Total-Old",'Distrib pivot table'!$C$2,"state","AL"),"*"))</f>
        <v>4.5520717040472307E-3</v>
      </c>
      <c r="F28" s="575">
        <f>IF((GETPIVOTDATA("Total-Old",'Distrib pivot table'!$C$2,"state","AR","group","2a2")/GETPIVOTDATA("Total-Old",'Distrib pivot table'!$C$2,"state","AR"))=0,,IF(GETPIVOTDATA("Total-Old",'Distrib pivot table'!$C$2,"state","AR","group","2a2")/GETPIVOTDATA("Total-Old",'Distrib pivot table'!$C$2,"state","AR")&gt;0.0005,GETPIVOTDATA("Total-Old",'Distrib pivot table'!$C$2,"state","AR","group","2a2")/GETPIVOTDATA("Total-Old",'Distrib pivot table'!$C$2,"state","AR"),"*"))</f>
        <v>0</v>
      </c>
      <c r="G28" s="575">
        <f>IF((GETPIVOTDATA("Total-Old",'Distrib pivot table'!$C$2,"state","DE","group","2a2")/GETPIVOTDATA("Total-Old",'Distrib pivot table'!$C$2,"state","DE"))=0,,IF(GETPIVOTDATA("Total-Old",'Distrib pivot table'!$C$2,"state","DE","group","2a2")/GETPIVOTDATA("Total-Old",'Distrib pivot table'!$C$2,"state","DE")&gt;0.0005,GETPIVOTDATA("Total-Old",'Distrib pivot table'!$C$2,"state","DE","group","2a2")/GETPIVOTDATA("Total-Old",'Distrib pivot table'!$C$2,"state","DE"),"*"))</f>
        <v>1.2322066597359857E-2</v>
      </c>
      <c r="H28" s="575">
        <f>IF((GETPIVOTDATA("Total-Old",'Distrib pivot table'!$C$2,"state","FL","group","2a2")/GETPIVOTDATA("Total-Old",'Distrib pivot table'!$C$2,"state","FL"))=0,,IF(GETPIVOTDATA("Total-Old",'Distrib pivot table'!$C$2,"state","FL","group","2a2")/GETPIVOTDATA("Total-Old",'Distrib pivot table'!$C$2,"state","FL")&gt;0.0005,GETPIVOTDATA("Total-Old",'Distrib pivot table'!$C$2,"state","FL","group","2a2")/GETPIVOTDATA("Total-Old",'Distrib pivot table'!$C$2,"state","FL"),"*"))</f>
        <v>1.1696481417574429E-3</v>
      </c>
      <c r="I28" s="575">
        <f>IF((GETPIVOTDATA("Total-Old",'Distrib pivot table'!$C$2,"state","GA","group","2a2")/GETPIVOTDATA("Total-Old",'Distrib pivot table'!$C$2,"state","GA"))=0,,IF(GETPIVOTDATA("Total-Old",'Distrib pivot table'!$C$2,"state","GA","group","2a2")/GETPIVOTDATA("Total-Old",'Distrib pivot table'!$C$2,"state","GA")&gt;0.0005,GETPIVOTDATA("Total-Old",'Distrib pivot table'!$C$2,"state","GA","group","2a2")/GETPIVOTDATA("Total-Old",'Distrib pivot table'!$C$2,"state","GA"),"*"))</f>
        <v>0</v>
      </c>
      <c r="J28" s="575">
        <f>IF((GETPIVOTDATA("Total-Old",'Distrib pivot table'!$C$2,"state","KY","group","2a2")/GETPIVOTDATA("Total-Old",'Distrib pivot table'!$C$2,"state","KY"))=0,,IF(GETPIVOTDATA("Total-Old",'Distrib pivot table'!$C$2,"state","KY","group","2a2")/GETPIVOTDATA("Total-Old",'Distrib pivot table'!$C$2,"state","KY")&gt;0.0005,GETPIVOTDATA("Total-Old",'Distrib pivot table'!$C$2,"state","KY","group","2a2")/GETPIVOTDATA("Total-Old",'Distrib pivot table'!$C$2,"state","KY"),"*"))</f>
        <v>8.7028554319165483E-3</v>
      </c>
      <c r="K28" s="575">
        <f>IF((GETPIVOTDATA("Total-Old",'Distrib pivot table'!$C$2,"state","LA","group","2a2")/GETPIVOTDATA("Total-Old",'Distrib pivot table'!$C$2,"state","LA"))=0,,IF(GETPIVOTDATA("Total-Old",'Distrib pivot table'!$C$2,"state","LA","group","2a2")/GETPIVOTDATA("Total-Old",'Distrib pivot table'!$C$2,"state","LA")&gt;0.0005,GETPIVOTDATA("Total-Old",'Distrib pivot table'!$C$2,"state","LA","group","2a2")/GETPIVOTDATA("Total-Old",'Distrib pivot table'!$C$2,"state","LA"),"*"))</f>
        <v>7.7262226501842446E-3</v>
      </c>
      <c r="L28" s="575">
        <f>IF((GETPIVOTDATA("Total-Old",'Distrib pivot table'!$C$2,"state","MD","group","2a2")/GETPIVOTDATA("Total-Old",'Distrib pivot table'!$C$2,"state","MD"))=0,,IF(GETPIVOTDATA("Total-Old",'Distrib pivot table'!$C$2,"state","MD","group","2a2")/GETPIVOTDATA("Total-Old",'Distrib pivot table'!$C$2,"state","MD")&gt;0.0005,GETPIVOTDATA("Total-Old",'Distrib pivot table'!$C$2,"state","MD","group","2a2")/GETPIVOTDATA("Total-Old",'Distrib pivot table'!$C$2,"state","MD"),"*"))</f>
        <v>0</v>
      </c>
      <c r="M28" s="575">
        <f>IF((GETPIVOTDATA("Total-Old",'Distrib pivot table'!$C$2,"state","MS","group","2a2")/GETPIVOTDATA("Total-Old",'Distrib pivot table'!$C$2,"state","MS"))=0,,IF(GETPIVOTDATA("Total-Old",'Distrib pivot table'!$C$2,"state","MS","group","2a2")/GETPIVOTDATA("Total-Old",'Distrib pivot table'!$C$2,"state","MS")&gt;0.0005,GETPIVOTDATA("Total-Old",'Distrib pivot table'!$C$2,"state","MS","group","2a2")/GETPIVOTDATA("Total-Old",'Distrib pivot table'!$C$2,"state","MS"),"*"))</f>
        <v>0</v>
      </c>
      <c r="N28" s="575">
        <f>IF((GETPIVOTDATA("Total-Old",'Distrib pivot table'!$C$2,"state","NC","group","2a2")/GETPIVOTDATA("Total-Old",'Distrib pivot table'!$C$2,"state","NC"))=0,,IF(GETPIVOTDATA("Total-Old",'Distrib pivot table'!$C$2,"state","NC","group","2a2")/GETPIVOTDATA("Total-Old",'Distrib pivot table'!$C$2,"state","NC")&gt;0.0005,GETPIVOTDATA("Total-Old",'Distrib pivot table'!$C$2,"state","NC","group","2a2")/GETPIVOTDATA("Total-Old",'Distrib pivot table'!$C$2,"state","NC"),"*"))</f>
        <v>0</v>
      </c>
      <c r="O28" s="575" t="s">
        <v>1812</v>
      </c>
      <c r="P28" s="575">
        <f>IF((GETPIVOTDATA("Total-Old",'Distrib pivot table'!$C$2,"state","SC","group","2a2")/GETPIVOTDATA("Total-Old",'Distrib pivot table'!$C$2,"state","SC"))=0,,IF(GETPIVOTDATA("Total-Old",'Distrib pivot table'!$C$2,"state","SC","group","2a2")/GETPIVOTDATA("Total-Old",'Distrib pivot table'!$C$2,"state","SC")&gt;0.0005,GETPIVOTDATA("Total-Old",'Distrib pivot table'!$C$2,"state","SC","group","2a2")/GETPIVOTDATA("Total-Old",'Distrib pivot table'!$C$2,"state","SC"),"*"))</f>
        <v>5.9894067824045258E-3</v>
      </c>
      <c r="Q28" s="575">
        <f>IF((GETPIVOTDATA("Total-Old",'Distrib pivot table'!$C$2,"state","TN","group","2a2")/GETPIVOTDATA("Total-Old",'Distrib pivot table'!$C$2,"state","TN"))=0,,IF(GETPIVOTDATA("Total-Old",'Distrib pivot table'!$C$2,"state","TN","group","2a2")/GETPIVOTDATA("Total-Old",'Distrib pivot table'!$C$2,"state","TN")&gt;0.0005,GETPIVOTDATA("Total-Old",'Distrib pivot table'!$C$2,"state","TN","group","2a2")/GETPIVOTDATA("Total-Old",'Distrib pivot table'!$C$2,"state","TN"),"*"))</f>
        <v>0</v>
      </c>
      <c r="R28" s="575">
        <f>IF((GETPIVOTDATA("Total-Old",'Distrib pivot table'!$C$2,"state","TX","group","2a2")/GETPIVOTDATA("Total-Old",'Distrib pivot table'!$C$2,"state","TX"))=0,,IF(GETPIVOTDATA("Total-Old",'Distrib pivot table'!$C$2,"state","TX","group","2a2")/GETPIVOTDATA("Total-Old",'Distrib pivot table'!$C$2,"state","TX")&gt;0.0005,GETPIVOTDATA("Total-Old",'Distrib pivot table'!$C$2,"state","TX","group","2a2")/GETPIVOTDATA("Total-Old",'Distrib pivot table'!$C$2,"state","TX"),"*"))</f>
        <v>5.8121870130312418E-4</v>
      </c>
      <c r="S28" s="575">
        <f>IF((GETPIVOTDATA("Total-Old",'Distrib pivot table'!$C$2,"state","VA","group","2a2")/GETPIVOTDATA("Total-Old",'Distrib pivot table'!$C$2,"state","VA"))=0,,IF(GETPIVOTDATA("Total-Old",'Distrib pivot table'!$C$2,"state","VA","group","2a2")/GETPIVOTDATA("Total-Old",'Distrib pivot table'!$C$2,"state","VA")&gt;0.0005,GETPIVOTDATA("Total-Old",'Distrib pivot table'!$C$2,"state","VA","group","2a2")/GETPIVOTDATA("Total-Old",'Distrib pivot table'!$C$2,"state","VA"),"*"))</f>
        <v>5.1919149822827835E-3</v>
      </c>
      <c r="T28" s="575">
        <f>IF((GETPIVOTDATA("Total-Old",'Distrib pivot table'!$C$2,"state","WV","group","2a2")/GETPIVOTDATA("Total-Old",'Distrib pivot table'!$C$2,"state","WV"))=0,,IF(GETPIVOTDATA("Total-Old",'Distrib pivot table'!$C$2,"state","WV","group","2a2")/GETPIVOTDATA("Total-Old",'Distrib pivot table'!$C$2,"state","WV")&gt;0.0005,GETPIVOTDATA("Total-Old",'Distrib pivot table'!$C$2,"state","WV","group","2a2")/GETPIVOTDATA("Total-Old",'Distrib pivot table'!$C$2,"state","WV"),"*"))</f>
        <v>5.3600835187067467E-4</v>
      </c>
      <c r="U28" s="576"/>
      <c r="V28" s="576"/>
      <c r="W28" s="576"/>
      <c r="X28" s="576"/>
      <c r="Y28" s="576"/>
      <c r="Z28" s="576"/>
      <c r="AA28" s="576"/>
      <c r="AB28" s="576"/>
      <c r="AC28" s="576"/>
      <c r="AD28" s="576"/>
      <c r="AE28" s="576"/>
      <c r="AF28" s="576"/>
      <c r="AG28" s="576"/>
      <c r="AH28" s="576"/>
      <c r="AI28" s="576"/>
      <c r="AJ28" s="576"/>
      <c r="AK28" s="576"/>
      <c r="AL28" s="576"/>
      <c r="AM28" s="576"/>
      <c r="AN28" s="576"/>
      <c r="AO28" s="576"/>
      <c r="AP28" s="576"/>
      <c r="AQ28" s="576"/>
      <c r="AR28" s="576"/>
      <c r="AS28" s="576"/>
      <c r="AT28" s="576"/>
      <c r="AU28" s="576"/>
      <c r="AV28" s="576"/>
      <c r="AW28" s="576"/>
      <c r="AX28" s="576"/>
    </row>
    <row r="29" spans="1:50" ht="23">
      <c r="A29" s="1225"/>
      <c r="B29" s="590" t="s">
        <v>146</v>
      </c>
      <c r="C29" s="589" t="s">
        <v>145</v>
      </c>
      <c r="D29" s="575" t="str">
        <f>IF(GETPIVOTDATA("Total-Old",'Distrib pivot table'!$C$2,"group","2a3")/GETPIVOTDATA("Total-Old",'Distrib pivot table'!$C$2)=0,,IF(GETPIVOTDATA("Total-Old",'Distrib pivot table'!$C$2,"group","2a3")/GETPIVOTDATA("Total-Old",'Distrib pivot table'!$C$2)&gt;0.0005,GETPIVOTDATA("Total-Old",'Distrib pivot table'!$C$2,"group","2a3")/GETPIVOTDATA("Total-Old",'Distrib pivot table'!$C$2),"*"))</f>
        <v>*</v>
      </c>
      <c r="E29" s="575" t="str">
        <f>IF((GETPIVOTDATA("Total-Old",'Distrib pivot table'!$C$2,"state","AL","group","2a3")/GETPIVOTDATA("Total-Old",'Distrib pivot table'!$C$2,"state","AL"))=0,,IF(GETPIVOTDATA("Total-Old",'Distrib pivot table'!$C$2,"state","AL","group","2a3")/GETPIVOTDATA("Total-Old",'Distrib pivot table'!$C$2,"state","AL")&gt;0.0005,GETPIVOTDATA("Total-Old",'Distrib pivot table'!$C$2,"state","AL","group","2a3")/GETPIVOTDATA("Total-Old",'Distrib pivot table'!$C$2,"state","AL"),"*"))</f>
        <v>*</v>
      </c>
      <c r="F29" s="575">
        <f>IF((GETPIVOTDATA("Total-Old",'Distrib pivot table'!$C$2,"state","AR","group","2a3")/GETPIVOTDATA("Total-Old",'Distrib pivot table'!$C$2,"state","AR"))=0,,IF(GETPIVOTDATA("Total-Old",'Distrib pivot table'!$C$2,"state","AR","group","2a3")/GETPIVOTDATA("Total-Old",'Distrib pivot table'!$C$2,"state","AR")&gt;0.0005,GETPIVOTDATA("Total-Old",'Distrib pivot table'!$C$2,"state","AR","group","2a3")/GETPIVOTDATA("Total-Old",'Distrib pivot table'!$C$2,"state","AR"),"*"))</f>
        <v>0</v>
      </c>
      <c r="G29" s="575" t="str">
        <f>IF((GETPIVOTDATA("Total-Old",'Distrib pivot table'!$C$2,"state","DE","group","2a3")/GETPIVOTDATA("Total-Old",'Distrib pivot table'!$C$2,"state","DE"))=0,,IF(GETPIVOTDATA("Total-Old",'Distrib pivot table'!$C$2,"state","DE","group","2a3")/GETPIVOTDATA("Total-Old",'Distrib pivot table'!$C$2,"state","DE")&gt;0.0005,GETPIVOTDATA("Total-Old",'Distrib pivot table'!$C$2,"state","DE","group","2a3")/GETPIVOTDATA("Total-Old",'Distrib pivot table'!$C$2,"state","DE"),"*"))</f>
        <v>*</v>
      </c>
      <c r="H29" s="575">
        <f>IF((GETPIVOTDATA("Total-Old",'Distrib pivot table'!$C$2,"state","FL","group","2a3")/GETPIVOTDATA("Total-Old",'Distrib pivot table'!$C$2,"state","FL"))=0,,IF(GETPIVOTDATA("Total-Old",'Distrib pivot table'!$C$2,"state","FL","group","2a3")/GETPIVOTDATA("Total-Old",'Distrib pivot table'!$C$2,"state","FL")&gt;0.0005,GETPIVOTDATA("Total-Old",'Distrib pivot table'!$C$2,"state","FL","group","2a3")/GETPIVOTDATA("Total-Old",'Distrib pivot table'!$C$2,"state","FL"),"*"))</f>
        <v>0</v>
      </c>
      <c r="I29" s="575" t="str">
        <f>IF((GETPIVOTDATA("Total-Old",'Distrib pivot table'!$C$2,"state","GA","group","2a3")/GETPIVOTDATA("Total-Old",'Distrib pivot table'!$C$2,"state","GA"))=0,,IF(GETPIVOTDATA("Total-Old",'Distrib pivot table'!$C$2,"state","GA","group","2a3")/GETPIVOTDATA("Total-Old",'Distrib pivot table'!$C$2,"state","GA")&gt;0.0005,GETPIVOTDATA("Total-Old",'Distrib pivot table'!$C$2,"state","GA","group","2a3")/GETPIVOTDATA("Total-Old",'Distrib pivot table'!$C$2,"state","GA"),"*"))</f>
        <v>*</v>
      </c>
      <c r="J29" s="575" t="str">
        <f>IF((GETPIVOTDATA("Total-Old",'Distrib pivot table'!$C$2,"state","KY","group","2a3")/GETPIVOTDATA("Total-Old",'Distrib pivot table'!$C$2,"state","KY"))=0,,IF(GETPIVOTDATA("Total-Old",'Distrib pivot table'!$C$2,"state","KY","group","2a3")/GETPIVOTDATA("Total-Old",'Distrib pivot table'!$C$2,"state","KY")&gt;0.0005,GETPIVOTDATA("Total-Old",'Distrib pivot table'!$C$2,"state","KY","group","2a3")/GETPIVOTDATA("Total-Old",'Distrib pivot table'!$C$2,"state","KY"),"*"))</f>
        <v>*</v>
      </c>
      <c r="K29" s="575">
        <f>IF((GETPIVOTDATA("Total-Old",'Distrib pivot table'!$C$2,"state","LA","group","2a3")/GETPIVOTDATA("Total-Old",'Distrib pivot table'!$C$2,"state","LA"))=0,,IF(GETPIVOTDATA("Total-Old",'Distrib pivot table'!$C$2,"state","LA","group","2a3")/GETPIVOTDATA("Total-Old",'Distrib pivot table'!$C$2,"state","LA")&gt;0.0005,GETPIVOTDATA("Total-Old",'Distrib pivot table'!$C$2,"state","LA","group","2a3")/GETPIVOTDATA("Total-Old",'Distrib pivot table'!$C$2,"state","LA"),"*"))</f>
        <v>0</v>
      </c>
      <c r="L29" s="575">
        <f>IF((GETPIVOTDATA("Total-Old",'Distrib pivot table'!$C$2,"state","MD","group","2a3")/GETPIVOTDATA("Total-Old",'Distrib pivot table'!$C$2,"state","MD"))=0,,IF(GETPIVOTDATA("Total-Old",'Distrib pivot table'!$C$2,"state","MD","group","2a3")/GETPIVOTDATA("Total-Old",'Distrib pivot table'!$C$2,"state","MD")&gt;0.0005,GETPIVOTDATA("Total-Old",'Distrib pivot table'!$C$2,"state","MD","group","2a3")/GETPIVOTDATA("Total-Old",'Distrib pivot table'!$C$2,"state","MD"),"*"))</f>
        <v>0</v>
      </c>
      <c r="M29" s="575">
        <f>IF((GETPIVOTDATA("Total-Old",'Distrib pivot table'!$C$2,"state","MS","group","2a3")/GETPIVOTDATA("Total-Old",'Distrib pivot table'!$C$2,"state","MS"))=0,,IF(GETPIVOTDATA("Total-Old",'Distrib pivot table'!$C$2,"state","MS","group","2a3")/GETPIVOTDATA("Total-Old",'Distrib pivot table'!$C$2,"state","MS")&gt;0.0005,GETPIVOTDATA("Total-Old",'Distrib pivot table'!$C$2,"state","MS","group","2a3")/GETPIVOTDATA("Total-Old",'Distrib pivot table'!$C$2,"state","MS"),"*"))</f>
        <v>0</v>
      </c>
      <c r="N29" s="575" t="str">
        <f>IF((GETPIVOTDATA("Total-Old",'Distrib pivot table'!$C$2,"state","NC","group","2a3")/GETPIVOTDATA("Total-Old",'Distrib pivot table'!$C$2,"state","NC"))=0,,IF(GETPIVOTDATA("Total-Old",'Distrib pivot table'!$C$2,"state","NC","group","2a3")/GETPIVOTDATA("Total-Old",'Distrib pivot table'!$C$2,"state","NC")&gt;0.0005,GETPIVOTDATA("Total-Old",'Distrib pivot table'!$C$2,"state","NC","group","2a3")/GETPIVOTDATA("Total-Old",'Distrib pivot table'!$C$2,"state","NC"),"*"))</f>
        <v>*</v>
      </c>
      <c r="O29" s="575">
        <f>IF((GETPIVOTDATA("Total-Old",'Distrib pivot table'!$C$2,"state","OK","group","2a3")/GETPIVOTDATA("Total-Old",'Distrib pivot table'!$C$2,"state","OK"))=0,,IF(GETPIVOTDATA("Total-Old",'Distrib pivot table'!$C$2,"state","OK","group","2a3")/GETPIVOTDATA("Total-Old",'Distrib pivot table'!$C$2,"state","OK")&gt;0.0005,GETPIVOTDATA("Total-Old",'Distrib pivot table'!$C$2,"state","OK","group","2a3")/GETPIVOTDATA("Total-Old",'Distrib pivot table'!$C$2,"state","OK"),"*"))</f>
        <v>0</v>
      </c>
      <c r="P29" s="575" t="str">
        <f>IF((GETPIVOTDATA("Total-Old",'Distrib pivot table'!$C$2,"state","SC","group","2a3")/GETPIVOTDATA("Total-Old",'Distrib pivot table'!$C$2,"state","SC"))=0,,IF(GETPIVOTDATA("Total-Old",'Distrib pivot table'!$C$2,"state","SC","group","2a3")/GETPIVOTDATA("Total-Old",'Distrib pivot table'!$C$2,"state","SC")&gt;0.0005,GETPIVOTDATA("Total-Old",'Distrib pivot table'!$C$2,"state","SC","group","2a3")/GETPIVOTDATA("Total-Old",'Distrib pivot table'!$C$2,"state","SC"),"*"))</f>
        <v>*</v>
      </c>
      <c r="Q29" s="575">
        <f>IF((GETPIVOTDATA("Total-Old",'Distrib pivot table'!$C$2,"state","TN","group","2a3")/GETPIVOTDATA("Total-Old",'Distrib pivot table'!$C$2,"state","TN"))=0,,IF(GETPIVOTDATA("Total-Old",'Distrib pivot table'!$C$2,"state","TN","group","2a3")/GETPIVOTDATA("Total-Old",'Distrib pivot table'!$C$2,"state","TN")&gt;0.0005,GETPIVOTDATA("Total-Old",'Distrib pivot table'!$C$2,"state","TN","group","2a3")/GETPIVOTDATA("Total-Old",'Distrib pivot table'!$C$2,"state","TN"),"*"))</f>
        <v>0</v>
      </c>
      <c r="R29" s="575">
        <f>IF((GETPIVOTDATA("Total-Old",'Distrib pivot table'!$C$2,"state","TX","group","2a3")/GETPIVOTDATA("Total-Old",'Distrib pivot table'!$C$2,"state","TX"))=0,,IF(GETPIVOTDATA("Total-Old",'Distrib pivot table'!$C$2,"state","TX","group","2a3")/GETPIVOTDATA("Total-Old",'Distrib pivot table'!$C$2,"state","TX")&gt;0.0005,GETPIVOTDATA("Total-Old",'Distrib pivot table'!$C$2,"state","TX","group","2a3")/GETPIVOTDATA("Total-Old",'Distrib pivot table'!$C$2,"state","TX"),"*"))</f>
        <v>0</v>
      </c>
      <c r="S29" s="575">
        <f>IF((GETPIVOTDATA("Total-Old",'Distrib pivot table'!$C$2,"state","VA","group","2a3")/GETPIVOTDATA("Total-Old",'Distrib pivot table'!$C$2,"state","VA"))=0,,IF(GETPIVOTDATA("Total-Old",'Distrib pivot table'!$C$2,"state","VA","group","2a3")/GETPIVOTDATA("Total-Old",'Distrib pivot table'!$C$2,"state","VA")&gt;0.0005,GETPIVOTDATA("Total-Old",'Distrib pivot table'!$C$2,"state","VA","group","2a3")/GETPIVOTDATA("Total-Old",'Distrib pivot table'!$C$2,"state","VA"),"*"))</f>
        <v>0</v>
      </c>
      <c r="T29" s="575">
        <f>IF((GETPIVOTDATA("Total-Old",'Distrib pivot table'!$C$2,"state","WV","group","2a3")/GETPIVOTDATA("Total-Old",'Distrib pivot table'!$C$2,"state","WV"))=0,,IF(GETPIVOTDATA("Total-Old",'Distrib pivot table'!$C$2,"state","WV","group","2a3")/GETPIVOTDATA("Total-Old",'Distrib pivot table'!$C$2,"state","WV")&gt;0.0005,GETPIVOTDATA("Total-Old",'Distrib pivot table'!$C$2,"state","WV","group","2a3")/GETPIVOTDATA("Total-Old",'Distrib pivot table'!$C$2,"state","WV"),"*"))</f>
        <v>0</v>
      </c>
      <c r="U29" s="576"/>
      <c r="V29" s="576"/>
      <c r="W29" s="576"/>
      <c r="X29" s="576"/>
      <c r="Y29" s="576"/>
      <c r="Z29" s="576"/>
      <c r="AA29" s="576"/>
      <c r="AB29" s="576"/>
      <c r="AC29" s="576"/>
      <c r="AD29" s="576"/>
      <c r="AE29" s="576"/>
      <c r="AF29" s="576"/>
      <c r="AG29" s="576"/>
      <c r="AH29" s="576"/>
      <c r="AI29" s="576"/>
      <c r="AJ29" s="576"/>
      <c r="AK29" s="576"/>
      <c r="AL29" s="576"/>
      <c r="AM29" s="576"/>
      <c r="AN29" s="576"/>
      <c r="AO29" s="576"/>
      <c r="AP29" s="576"/>
      <c r="AQ29" s="576"/>
      <c r="AR29" s="576"/>
      <c r="AS29" s="576"/>
      <c r="AT29" s="576"/>
      <c r="AU29" s="576"/>
      <c r="AV29" s="576"/>
      <c r="AW29" s="576"/>
      <c r="AX29" s="576"/>
    </row>
    <row r="30" spans="1:50" ht="34.5">
      <c r="A30" s="1225"/>
      <c r="B30" s="590" t="s">
        <v>1025</v>
      </c>
      <c r="C30" s="589" t="s">
        <v>149</v>
      </c>
      <c r="D30" s="575" t="str">
        <f>IF(GETPIVOTDATA("Total-Old",'Distrib pivot table'!$C$2,"group","2a4")/GETPIVOTDATA("Total-Old",'Distrib pivot table'!$C$2)=0,,IF(GETPIVOTDATA("Total-Old",'Distrib pivot table'!$C$2,"group","2a4")/GETPIVOTDATA("Total-Old",'Distrib pivot table'!$C$2)&gt;0.0005,GETPIVOTDATA("Total-Old",'Distrib pivot table'!$C$2,"group","2a4")/GETPIVOTDATA("Total-Old",'Distrib pivot table'!$C$2),"*"))</f>
        <v>*</v>
      </c>
      <c r="E30" s="575" t="str">
        <f>IF((GETPIVOTDATA("Total-Old",'Distrib pivot table'!$C$2,"state","AL","group","2a4")/GETPIVOTDATA("Total-Old",'Distrib pivot table'!$C$2,"state","AL"))=0,,IF(GETPIVOTDATA("Total-Old",'Distrib pivot table'!$C$2,"state","AL","group","2a4")/GETPIVOTDATA("Total-Old",'Distrib pivot table'!$C$2,"state","AL")&gt;0.0005,GETPIVOTDATA("Total-Old",'Distrib pivot table'!$C$2,"state","AL","group","2a4")/GETPIVOTDATA("Total-Old",'Distrib pivot table'!$C$2,"state","AL"),"*"))</f>
        <v>*</v>
      </c>
      <c r="F30" s="575">
        <f>IF((GETPIVOTDATA("Total-Old",'Distrib pivot table'!$C$2,"state","AR","group","2a4")/GETPIVOTDATA("Total-Old",'Distrib pivot table'!$C$2,"state","AR"))=0,,IF(GETPIVOTDATA("Total-Old",'Distrib pivot table'!$C$2,"state","AR","group","2a4")/GETPIVOTDATA("Total-Old",'Distrib pivot table'!$C$2,"state","AR")&gt;0.0005,GETPIVOTDATA("Total-Old",'Distrib pivot table'!$C$2,"state","AR","group","2a4")/GETPIVOTDATA("Total-Old",'Distrib pivot table'!$C$2,"state","AR"),"*"))</f>
        <v>0</v>
      </c>
      <c r="G30" s="575">
        <f>IF((GETPIVOTDATA("Total-Old",'Distrib pivot table'!$C$2,"state","DE","group","2a4")/GETPIVOTDATA("Total-Old",'Distrib pivot table'!$C$2,"state","DE"))=0,,IF(GETPIVOTDATA("Total-Old",'Distrib pivot table'!$C$2,"state","DE","group","2a4")/GETPIVOTDATA("Total-Old",'Distrib pivot table'!$C$2,"state","DE")&gt;0.0005,GETPIVOTDATA("Total-Old",'Distrib pivot table'!$C$2,"state","DE","group","2a4")/GETPIVOTDATA("Total-Old",'Distrib pivot table'!$C$2,"state","DE"),"*"))</f>
        <v>0</v>
      </c>
      <c r="H30" s="575">
        <f>IF((GETPIVOTDATA("Total-Old",'Distrib pivot table'!$C$2,"state","FL","group","2a4")/GETPIVOTDATA("Total-Old",'Distrib pivot table'!$C$2,"state","FL"))=0,,IF(GETPIVOTDATA("Total-Old",'Distrib pivot table'!$C$2,"state","FL","group","2a4")/GETPIVOTDATA("Total-Old",'Distrib pivot table'!$C$2,"state","FL")&gt;0.0005,GETPIVOTDATA("Total-Old",'Distrib pivot table'!$C$2,"state","FL","group","2a4")/GETPIVOTDATA("Total-Old",'Distrib pivot table'!$C$2,"state","FL"),"*"))</f>
        <v>0</v>
      </c>
      <c r="I30" s="575">
        <f>IF((GETPIVOTDATA("Total-Old",'Distrib pivot table'!$C$2,"state","GA","group","2a4")/GETPIVOTDATA("Total-Old",'Distrib pivot table'!$C$2,"state","GA"))=0,,IF(GETPIVOTDATA("Total-Old",'Distrib pivot table'!$C$2,"state","GA","group","2a4")/GETPIVOTDATA("Total-Old",'Distrib pivot table'!$C$2,"state","GA")&gt;0.0005,GETPIVOTDATA("Total-Old",'Distrib pivot table'!$C$2,"state","GA","group","2a4")/GETPIVOTDATA("Total-Old",'Distrib pivot table'!$C$2,"state","GA"),"*"))</f>
        <v>0</v>
      </c>
      <c r="J30" s="575">
        <f>IF((GETPIVOTDATA("Total-Old",'Distrib pivot table'!$C$2,"state","KY","group","2a4")/GETPIVOTDATA("Total-Old",'Distrib pivot table'!$C$2,"state","KY"))=0,,IF(GETPIVOTDATA("Total-Old",'Distrib pivot table'!$C$2,"state","KY","group","2a4")/GETPIVOTDATA("Total-Old",'Distrib pivot table'!$C$2,"state","KY")&gt;0.0005,GETPIVOTDATA("Total-Old",'Distrib pivot table'!$C$2,"state","KY","group","2a4")/GETPIVOTDATA("Total-Old",'Distrib pivot table'!$C$2,"state","KY"),"*"))</f>
        <v>0</v>
      </c>
      <c r="K30" s="575">
        <f>IF((GETPIVOTDATA("Total-Old",'Distrib pivot table'!$C$2,"state","LA","group","2a4")/GETPIVOTDATA("Total-Old",'Distrib pivot table'!$C$2,"state","LA"))=0,,IF(GETPIVOTDATA("Total-Old",'Distrib pivot table'!$C$2,"state","LA","group","2a4")/GETPIVOTDATA("Total-Old",'Distrib pivot table'!$C$2,"state","LA")&gt;0.0005,GETPIVOTDATA("Total-Old",'Distrib pivot table'!$C$2,"state","LA","group","2a4")/GETPIVOTDATA("Total-Old",'Distrib pivot table'!$C$2,"state","LA"),"*"))</f>
        <v>4.0857740807557653E-3</v>
      </c>
      <c r="L30" s="575">
        <f>IF((GETPIVOTDATA("Total-Old",'Distrib pivot table'!$C$2,"state","MD","group","2a4")/GETPIVOTDATA("Total-Old",'Distrib pivot table'!$C$2,"state","MD"))=0,,IF(GETPIVOTDATA("Total-Old",'Distrib pivot table'!$C$2,"state","MD","group","2a4")/GETPIVOTDATA("Total-Old",'Distrib pivot table'!$C$2,"state","MD")&gt;0.0005,GETPIVOTDATA("Total-Old",'Distrib pivot table'!$C$2,"state","MD","group","2a4")/GETPIVOTDATA("Total-Old",'Distrib pivot table'!$C$2,"state","MD"),"*"))</f>
        <v>0</v>
      </c>
      <c r="M30" s="575">
        <f>IF((GETPIVOTDATA("Total-Old",'Distrib pivot table'!$C$2,"state","MS","group","2a4")/GETPIVOTDATA("Total-Old",'Distrib pivot table'!$C$2,"state","MS"))=0,,IF(GETPIVOTDATA("Total-Old",'Distrib pivot table'!$C$2,"state","MS","group","2a4")/GETPIVOTDATA("Total-Old",'Distrib pivot table'!$C$2,"state","MS")&gt;0.0005,GETPIVOTDATA("Total-Old",'Distrib pivot table'!$C$2,"state","MS","group","2a4")/GETPIVOTDATA("Total-Old",'Distrib pivot table'!$C$2,"state","MS"),"*"))</f>
        <v>7.1497344724740723E-4</v>
      </c>
      <c r="N30" s="575">
        <f>IF((GETPIVOTDATA("Total-Old",'Distrib pivot table'!$C$2,"state","NC","group","2a4")/GETPIVOTDATA("Total-Old",'Distrib pivot table'!$C$2,"state","NC"))=0,,IF(GETPIVOTDATA("Total-Old",'Distrib pivot table'!$C$2,"state","NC","group","2a4")/GETPIVOTDATA("Total-Old",'Distrib pivot table'!$C$2,"state","NC")&gt;0.0005,GETPIVOTDATA("Total-Old",'Distrib pivot table'!$C$2,"state","NC","group","2a4")/GETPIVOTDATA("Total-Old",'Distrib pivot table'!$C$2,"state","NC"),"*"))</f>
        <v>0</v>
      </c>
      <c r="O30" s="575">
        <f>IF((GETPIVOTDATA("Total-Old",'Distrib pivot table'!$C$2,"state","OK","group","2a4")/GETPIVOTDATA("Total-Old",'Distrib pivot table'!$C$2,"state","OK"))=0,,IF(GETPIVOTDATA("Total-Old",'Distrib pivot table'!$C$2,"state","OK","group","2a4")/GETPIVOTDATA("Total-Old",'Distrib pivot table'!$C$2,"state","OK")&gt;0.0005,GETPIVOTDATA("Total-Old",'Distrib pivot table'!$C$2,"state","OK","group","2a4")/GETPIVOTDATA("Total-Old",'Distrib pivot table'!$C$2,"state","OK"),"*"))</f>
        <v>0</v>
      </c>
      <c r="P30" s="575">
        <f>IF((GETPIVOTDATA("Total-Old",'Distrib pivot table'!$C$2,"state","SC","group","2a4")/GETPIVOTDATA("Total-Old",'Distrib pivot table'!$C$2,"state","SC"))=0,,IF(GETPIVOTDATA("Total-Old",'Distrib pivot table'!$C$2,"state","SC","group","2a4")/GETPIVOTDATA("Total-Old",'Distrib pivot table'!$C$2,"state","SC")&gt;0.0005,GETPIVOTDATA("Total-Old",'Distrib pivot table'!$C$2,"state","SC","group","2a4")/GETPIVOTDATA("Total-Old",'Distrib pivot table'!$C$2,"state","SC"),"*"))</f>
        <v>0</v>
      </c>
      <c r="Q30" s="575">
        <f>IF((GETPIVOTDATA("Total-Old",'Distrib pivot table'!$C$2,"state","TN","group","2a4")/GETPIVOTDATA("Total-Old",'Distrib pivot table'!$C$2,"state","TN"))=0,,IF(GETPIVOTDATA("Total-Old",'Distrib pivot table'!$C$2,"state","TN","group","2a4")/GETPIVOTDATA("Total-Old",'Distrib pivot table'!$C$2,"state","TN")&gt;0.0005,GETPIVOTDATA("Total-Old",'Distrib pivot table'!$C$2,"state","TN","group","2a4")/GETPIVOTDATA("Total-Old",'Distrib pivot table'!$C$2,"state","TN"),"*"))</f>
        <v>5.698676231174339E-4</v>
      </c>
      <c r="R30" s="575">
        <f>IF((GETPIVOTDATA("Total-Old",'Distrib pivot table'!$C$2,"state","TX","group","2a4")/GETPIVOTDATA("Total-Old",'Distrib pivot table'!$C$2,"state","TX"))=0,,IF(GETPIVOTDATA("Total-Old",'Distrib pivot table'!$C$2,"state","TX","group","2a4")/GETPIVOTDATA("Total-Old",'Distrib pivot table'!$C$2,"state","TX")&gt;0.0005,GETPIVOTDATA("Total-Old",'Distrib pivot table'!$C$2,"state","TX","group","2a4")/GETPIVOTDATA("Total-Old",'Distrib pivot table'!$C$2,"state","TX"),"*"))</f>
        <v>0</v>
      </c>
      <c r="S30" s="575">
        <f>IF((GETPIVOTDATA("Total-Old",'Distrib pivot table'!$C$2,"state","VA","group","2a4")/GETPIVOTDATA("Total-Old",'Distrib pivot table'!$C$2,"state","VA"))=0,,IF(GETPIVOTDATA("Total-Old",'Distrib pivot table'!$C$2,"state","VA","group","2a4")/GETPIVOTDATA("Total-Old",'Distrib pivot table'!$C$2,"state","VA")&gt;0.0005,GETPIVOTDATA("Total-Old",'Distrib pivot table'!$C$2,"state","VA","group","2a4")/GETPIVOTDATA("Total-Old",'Distrib pivot table'!$C$2,"state","VA"),"*"))</f>
        <v>1.1694978023395143E-3</v>
      </c>
      <c r="T30" s="575">
        <f>IF((GETPIVOTDATA("Total-Old",'Distrib pivot table'!$C$2,"state","WV","group","2a4")/GETPIVOTDATA("Total-Old",'Distrib pivot table'!$C$2,"state","WV"))=0,,IF(GETPIVOTDATA("Total-Old",'Distrib pivot table'!$C$2,"state","WV","group","2a4")/GETPIVOTDATA("Total-Old",'Distrib pivot table'!$C$2,"state","WV")&gt;0.0005,GETPIVOTDATA("Total-Old",'Distrib pivot table'!$C$2,"state","WV","group","2a4")/GETPIVOTDATA("Total-Old",'Distrib pivot table'!$C$2,"state","WV"),"*"))</f>
        <v>1.1706366407068438E-3</v>
      </c>
      <c r="U30" s="576"/>
      <c r="V30" s="576"/>
      <c r="W30" s="576"/>
      <c r="X30" s="576"/>
      <c r="Y30" s="576"/>
      <c r="Z30" s="576"/>
      <c r="AA30" s="576"/>
      <c r="AB30" s="576"/>
      <c r="AC30" s="576"/>
      <c r="AD30" s="576"/>
      <c r="AE30" s="576"/>
      <c r="AF30" s="576"/>
      <c r="AG30" s="576"/>
      <c r="AH30" s="576"/>
      <c r="AI30" s="576"/>
      <c r="AJ30" s="576"/>
      <c r="AK30" s="576"/>
      <c r="AL30" s="576"/>
      <c r="AM30" s="576"/>
      <c r="AN30" s="576"/>
      <c r="AO30" s="576"/>
      <c r="AP30" s="576"/>
      <c r="AQ30" s="576"/>
      <c r="AR30" s="576"/>
      <c r="AS30" s="576"/>
      <c r="AT30" s="576"/>
      <c r="AU30" s="576"/>
      <c r="AV30" s="576"/>
      <c r="AW30" s="576"/>
      <c r="AX30" s="576"/>
    </row>
    <row r="31" spans="1:50" ht="26.25" customHeight="1">
      <c r="A31" s="1225"/>
      <c r="B31" s="591" t="s">
        <v>306</v>
      </c>
      <c r="C31" s="589" t="s">
        <v>151</v>
      </c>
      <c r="D31" s="592">
        <f>IF(GETPIVOTDATA("Total-Old",'Distrib pivot table'!$C$2,"group","2b")/GETPIVOTDATA("Total-Old",'Distrib pivot table'!$C$2)=0,,IF(GETPIVOTDATA("Total-Old",'Distrib pivot table'!$C$2,"group","2b")/GETPIVOTDATA("Total-Old",'Distrib pivot table'!$C$2)&gt;0.0005,GETPIVOTDATA("Total-Old",'Distrib pivot table'!$C$2,"group","2b")/GETPIVOTDATA("Total-Old",'Distrib pivot table'!$C$2),"*"))</f>
        <v>2.9383437034219196E-3</v>
      </c>
      <c r="E31" s="592">
        <f>IF((GETPIVOTDATA("Total-Old",'Distrib pivot table'!$C$2,"state","AL","group","2b")/GETPIVOTDATA("Total-Old",'Distrib pivot table'!$C$2,"state","AL"))=0,,IF(GETPIVOTDATA("Total-Old",'Distrib pivot table'!$C$2,"state","AL","group","2b")/GETPIVOTDATA("Total-Old",'Distrib pivot table'!$C$2,"state","AL")&gt;0.0005,GETPIVOTDATA("Total-Old",'Distrib pivot table'!$C$2,"state","AL","group","2b")/GETPIVOTDATA("Total-Old",'Distrib pivot table'!$C$2,"state","AL"),"*"))</f>
        <v>3.5003915268324703E-3</v>
      </c>
      <c r="F31" s="592">
        <f>IF((GETPIVOTDATA("Total-Old",'Distrib pivot table'!$C$2,"state","AR","group","2b")/GETPIVOTDATA("Total-Old",'Distrib pivot table'!$C$2,"state","AR"))=0,,IF(GETPIVOTDATA("Total-Old",'Distrib pivot table'!$C$2,"state","AR","group","2b")/GETPIVOTDATA("Total-Old",'Distrib pivot table'!$C$2,"state","AR")&gt;0.0005,GETPIVOTDATA("Total-Old",'Distrib pivot table'!$C$2,"state","AR","group","2b")/GETPIVOTDATA("Total-Old",'Distrib pivot table'!$C$2,"state","AR"),"*"))</f>
        <v>0</v>
      </c>
      <c r="G31" s="592">
        <f>IF((GETPIVOTDATA("Total-Old",'Distrib pivot table'!$C$2,"state","DE","group","2b")/GETPIVOTDATA("Total-Old",'Distrib pivot table'!$C$2,"state","DE"))=0,,IF(GETPIVOTDATA("Total-Old",'Distrib pivot table'!$C$2,"state","DE","group","2b")/GETPIVOTDATA("Total-Old",'Distrib pivot table'!$C$2,"state","DE")&gt;0.0005,GETPIVOTDATA("Total-Old",'Distrib pivot table'!$C$2,"state","DE","group","2b")/GETPIVOTDATA("Total-Old",'Distrib pivot table'!$C$2,"state","DE"),"*"))</f>
        <v>0</v>
      </c>
      <c r="H31" s="592">
        <f>IF((GETPIVOTDATA("Total-Old",'Distrib pivot table'!$C$2,"state","FL","group","2b")/GETPIVOTDATA("Total-Old",'Distrib pivot table'!$C$2,"state","FL"))=0,,IF(GETPIVOTDATA("Total-Old",'Distrib pivot table'!$C$2,"state","FL","group","2b")/GETPIVOTDATA("Total-Old",'Distrib pivot table'!$C$2,"state","FL")&gt;0.0005,GETPIVOTDATA("Total-Old",'Distrib pivot table'!$C$2,"state","FL","group","2b")/GETPIVOTDATA("Total-Old",'Distrib pivot table'!$C$2,"state","FL"),"*"))</f>
        <v>0</v>
      </c>
      <c r="I31" s="592">
        <f>IF((GETPIVOTDATA("Total-Old",'Distrib pivot table'!$C$2,"state","GA","group","2b")/GETPIVOTDATA("Total-Old",'Distrib pivot table'!$C$2,"state","GA"))=0,,IF(GETPIVOTDATA("Total-Old",'Distrib pivot table'!$C$2,"state","GA","group","2b")/GETPIVOTDATA("Total-Old",'Distrib pivot table'!$C$2,"state","GA")&gt;0.0005,GETPIVOTDATA("Total-Old",'Distrib pivot table'!$C$2,"state","GA","group","2b")/GETPIVOTDATA("Total-Old",'Distrib pivot table'!$C$2,"state","GA"),"*"))</f>
        <v>9.5915739724233805E-3</v>
      </c>
      <c r="J31" s="592">
        <f>IF((GETPIVOTDATA("Total-Old",'Distrib pivot table'!$C$2,"state","KY","group","2b")/GETPIVOTDATA("Total-Old",'Distrib pivot table'!$C$2,"state","KY"))=0,,IF(GETPIVOTDATA("Total-Old",'Distrib pivot table'!$C$2,"state","KY","group","2b")/GETPIVOTDATA("Total-Old",'Distrib pivot table'!$C$2,"state","KY")&gt;0.0005,GETPIVOTDATA("Total-Old",'Distrib pivot table'!$C$2,"state","KY","group","2b")/GETPIVOTDATA("Total-Old",'Distrib pivot table'!$C$2,"state","KY"),"*"))</f>
        <v>0</v>
      </c>
      <c r="K31" s="592">
        <f>IF((GETPIVOTDATA("Total-Old",'Distrib pivot table'!$C$2,"state","LA","group","2b")/GETPIVOTDATA("Total-Old",'Distrib pivot table'!$C$2,"state","LA"))=0,,IF(GETPIVOTDATA("Total-Old",'Distrib pivot table'!$C$2,"state","LA","group","2b")/GETPIVOTDATA("Total-Old",'Distrib pivot table'!$C$2,"state","LA")&gt;0.0005,GETPIVOTDATA("Total-Old",'Distrib pivot table'!$C$2,"state","LA","group","2b")/GETPIVOTDATA("Total-Old",'Distrib pivot table'!$C$2,"state","LA"),"*"))</f>
        <v>0</v>
      </c>
      <c r="L31" s="592">
        <f>IF((GETPIVOTDATA("Total-Old",'Distrib pivot table'!$C$2,"state","MD","group","2b")/GETPIVOTDATA("Total-Old",'Distrib pivot table'!$C$2,"state","MD"))=0,,IF(GETPIVOTDATA("Total-Old",'Distrib pivot table'!$C$2,"state","MD","group","2b")/GETPIVOTDATA("Total-Old",'Distrib pivot table'!$C$2,"state","MD")&gt;0.0005,GETPIVOTDATA("Total-Old",'Distrib pivot table'!$C$2,"state","MD","group","2b")/GETPIVOTDATA("Total-Old",'Distrib pivot table'!$C$2,"state","MD"),"*"))</f>
        <v>1.1911366415660412E-2</v>
      </c>
      <c r="M31" s="592">
        <f>IF((GETPIVOTDATA("Total-Old",'Distrib pivot table'!$C$2,"state","MS","group","2b")/GETPIVOTDATA("Total-Old",'Distrib pivot table'!$C$2,"state","MS"))=0,,IF(GETPIVOTDATA("Total-Old",'Distrib pivot table'!$C$2,"state","MS","group","2b")/GETPIVOTDATA("Total-Old",'Distrib pivot table'!$C$2,"state","MS")&gt;0.0005,GETPIVOTDATA("Total-Old",'Distrib pivot table'!$C$2,"state","MS","group","2b")/GETPIVOTDATA("Total-Old",'Distrib pivot table'!$C$2,"state","MS"),"*"))</f>
        <v>0</v>
      </c>
      <c r="N31" s="592">
        <f>IF((GETPIVOTDATA("Total-Old",'Distrib pivot table'!$C$2,"state","NC","group","2b")/GETPIVOTDATA("Total-Old",'Distrib pivot table'!$C$2,"state","NC"))=0,,IF(GETPIVOTDATA("Total-Old",'Distrib pivot table'!$C$2,"state","NC","group","2b")/GETPIVOTDATA("Total-Old",'Distrib pivot table'!$C$2,"state","NC")&gt;0.0005,GETPIVOTDATA("Total-Old",'Distrib pivot table'!$C$2,"state","NC","group","2b")/GETPIVOTDATA("Total-Old",'Distrib pivot table'!$C$2,"state","NC"),"*"))</f>
        <v>0</v>
      </c>
      <c r="O31" s="592">
        <f>IF((GETPIVOTDATA("Total-Old",'Distrib pivot table'!$C$2,"state","OK","group","2b")/GETPIVOTDATA("Total-Old",'Distrib pivot table'!$C$2,"state","OK"))=0,,IF(GETPIVOTDATA("Total-Old",'Distrib pivot table'!$C$2,"state","OK","group","2b")/GETPIVOTDATA("Total-Old",'Distrib pivot table'!$C$2,"state","OK")&gt;0.0005,GETPIVOTDATA("Total-Old",'Distrib pivot table'!$C$2,"state","OK","group","2b")/GETPIVOTDATA("Total-Old",'Distrib pivot table'!$C$2,"state","OK"),"*"))</f>
        <v>0</v>
      </c>
      <c r="P31" s="592">
        <f>IF((GETPIVOTDATA("Total-Old",'Distrib pivot table'!$C$2,"state","SC","group","2b")/GETPIVOTDATA("Total-Old",'Distrib pivot table'!$C$2,"state","SC"))=0,,IF(GETPIVOTDATA("Total-Old",'Distrib pivot table'!$C$2,"state","SC","group","2b")/GETPIVOTDATA("Total-Old",'Distrib pivot table'!$C$2,"state","SC")&gt;0.0005,GETPIVOTDATA("Total-Old",'Distrib pivot table'!$C$2,"state","SC","group","2b")/GETPIVOTDATA("Total-Old",'Distrib pivot table'!$C$2,"state","SC"),"*"))</f>
        <v>2.1771345469869408E-3</v>
      </c>
      <c r="Q31" s="592">
        <f>IF((GETPIVOTDATA("Total-Old",'Distrib pivot table'!$C$2,"state","TN","group","2b")/GETPIVOTDATA("Total-Old",'Distrib pivot table'!$C$2,"state","TN"))=0,,IF(GETPIVOTDATA("Total-Old",'Distrib pivot table'!$C$2,"state","TN","group","2b")/GETPIVOTDATA("Total-Old",'Distrib pivot table'!$C$2,"state","TN")&gt;0.0005,GETPIVOTDATA("Total-Old",'Distrib pivot table'!$C$2,"state","TN","group","2b")/GETPIVOTDATA("Total-Old",'Distrib pivot table'!$C$2,"state","TN"),"*"))</f>
        <v>0</v>
      </c>
      <c r="R31" s="592">
        <f>IF((GETPIVOTDATA("Total-Old",'Distrib pivot table'!$C$2,"state","TX","group","2b")/GETPIVOTDATA("Total-Old",'Distrib pivot table'!$C$2,"state","TX"))=0,,IF(GETPIVOTDATA("Total-Old",'Distrib pivot table'!$C$2,"state","TX","group","2b")/GETPIVOTDATA("Total-Old",'Distrib pivot table'!$C$2,"state","TX")&gt;0.0005,GETPIVOTDATA("Total-Old",'Distrib pivot table'!$C$2,"state","TX","group","2b")/GETPIVOTDATA("Total-Old",'Distrib pivot table'!$C$2,"state","TX"),"*"))</f>
        <v>3.0999578967137293E-3</v>
      </c>
      <c r="S31" s="592">
        <f>IF((GETPIVOTDATA("Total-Old",'Distrib pivot table'!$C$2,"state","VA","group","2b")/GETPIVOTDATA("Total-Old",'Distrib pivot table'!$C$2,"state","VA"))=0,,IF(GETPIVOTDATA("Total-Old",'Distrib pivot table'!$C$2,"state","VA","group","2b")/GETPIVOTDATA("Total-Old",'Distrib pivot table'!$C$2,"state","VA")&gt;0.0005,GETPIVOTDATA("Total-Old",'Distrib pivot table'!$C$2,"state","VA","group","2b")/GETPIVOTDATA("Total-Old",'Distrib pivot table'!$C$2,"state","VA"),"*"))</f>
        <v>0</v>
      </c>
      <c r="T31" s="592">
        <f>IF((GETPIVOTDATA("Total-Old",'Distrib pivot table'!$C$2,"state","WV","group","2b")/GETPIVOTDATA("Total-Old",'Distrib pivot table'!$C$2,"state","WV"))=0,,IF(GETPIVOTDATA("Total-Old",'Distrib pivot table'!$C$2,"state","WV","group","2b")/GETPIVOTDATA("Total-Old",'Distrib pivot table'!$C$2,"state","WV")&gt;0.0005,GETPIVOTDATA("Total-Old",'Distrib pivot table'!$C$2,"state","WV","group","2b")/GETPIVOTDATA("Total-Old",'Distrib pivot table'!$C$2,"state","WV"),"*"))</f>
        <v>0</v>
      </c>
      <c r="U31" s="576"/>
      <c r="V31" s="576"/>
      <c r="W31" s="576"/>
      <c r="X31" s="576"/>
      <c r="Y31" s="576"/>
      <c r="Z31" s="576"/>
      <c r="AA31" s="576"/>
      <c r="AB31" s="576"/>
      <c r="AC31" s="576"/>
      <c r="AD31" s="576"/>
      <c r="AE31" s="576"/>
      <c r="AF31" s="576"/>
      <c r="AG31" s="576"/>
      <c r="AH31" s="576"/>
      <c r="AI31" s="576"/>
      <c r="AJ31" s="576"/>
      <c r="AK31" s="576"/>
      <c r="AL31" s="576"/>
      <c r="AM31" s="576"/>
      <c r="AN31" s="576"/>
      <c r="AO31" s="576"/>
      <c r="AP31" s="576"/>
      <c r="AQ31" s="576"/>
      <c r="AR31" s="576"/>
      <c r="AS31" s="576"/>
      <c r="AT31" s="576"/>
      <c r="AU31" s="576"/>
      <c r="AV31" s="576"/>
      <c r="AW31" s="576"/>
      <c r="AX31" s="576"/>
    </row>
    <row r="32" spans="1:50" s="571" customFormat="1" ht="12.65" customHeight="1">
      <c r="A32" s="1225"/>
      <c r="B32" s="577" t="s">
        <v>307</v>
      </c>
      <c r="C32" s="593" t="s">
        <v>248</v>
      </c>
      <c r="D32" s="578">
        <f>SUM(D33:D35)</f>
        <v>0</v>
      </c>
      <c r="E32" s="578">
        <f>SUM(E33:E35)</f>
        <v>0</v>
      </c>
      <c r="F32" s="578">
        <f t="shared" ref="F32:T32" si="4">SUM(F33:F35)</f>
        <v>1.9902596250232262E-3</v>
      </c>
      <c r="G32" s="578">
        <f t="shared" si="4"/>
        <v>2.5224757689917099E-3</v>
      </c>
      <c r="H32" s="578">
        <f t="shared" si="4"/>
        <v>0</v>
      </c>
      <c r="I32" s="578">
        <f t="shared" si="4"/>
        <v>6.0294097392096725E-4</v>
      </c>
      <c r="J32" s="578">
        <f t="shared" si="4"/>
        <v>1.6458329957226995E-3</v>
      </c>
      <c r="K32" s="578">
        <f t="shared" si="4"/>
        <v>0</v>
      </c>
      <c r="L32" s="578">
        <f t="shared" si="4"/>
        <v>0</v>
      </c>
      <c r="M32" s="578">
        <f t="shared" si="4"/>
        <v>0</v>
      </c>
      <c r="N32" s="578">
        <f t="shared" si="4"/>
        <v>0</v>
      </c>
      <c r="O32" s="578">
        <f t="shared" si="4"/>
        <v>0</v>
      </c>
      <c r="P32" s="578">
        <f t="shared" si="4"/>
        <v>8.1420897476804988E-4</v>
      </c>
      <c r="Q32" s="578">
        <f t="shared" si="4"/>
        <v>5.4359353545732007E-4</v>
      </c>
      <c r="R32" s="578">
        <f t="shared" si="4"/>
        <v>0</v>
      </c>
      <c r="S32" s="578">
        <f t="shared" si="4"/>
        <v>0</v>
      </c>
      <c r="T32" s="578">
        <f t="shared" si="4"/>
        <v>8.8865296539545843E-4</v>
      </c>
      <c r="U32" s="579"/>
      <c r="V32" s="579"/>
      <c r="W32" s="579"/>
      <c r="X32" s="579"/>
      <c r="Y32" s="579"/>
      <c r="Z32" s="579"/>
      <c r="AA32" s="579"/>
      <c r="AB32" s="579"/>
      <c r="AC32" s="579"/>
      <c r="AD32" s="579"/>
      <c r="AE32" s="579"/>
      <c r="AF32" s="579"/>
      <c r="AG32" s="579"/>
      <c r="AH32" s="579"/>
      <c r="AI32" s="579"/>
      <c r="AJ32" s="579"/>
      <c r="AK32" s="579"/>
      <c r="AL32" s="579"/>
      <c r="AM32" s="579"/>
      <c r="AN32" s="579"/>
      <c r="AO32" s="579"/>
      <c r="AP32" s="579"/>
      <c r="AQ32" s="579"/>
      <c r="AR32" s="579"/>
      <c r="AS32" s="579"/>
      <c r="AT32" s="579"/>
      <c r="AU32" s="579"/>
      <c r="AV32" s="579"/>
      <c r="AW32" s="579"/>
      <c r="AX32" s="579"/>
    </row>
    <row r="33" spans="1:50" ht="12.65" customHeight="1">
      <c r="A33" s="1225"/>
      <c r="B33" s="573" t="s">
        <v>1026</v>
      </c>
      <c r="C33" s="589" t="s">
        <v>250</v>
      </c>
      <c r="D33" s="575" t="str">
        <f>IF(GETPIVOTDATA("Total-Old",'Distrib pivot table'!$C$2,"group","2c1")/GETPIVOTDATA("Total-Old",'Distrib pivot table'!$C$2)=0,,IF(GETPIVOTDATA("Total-Old",'Distrib pivot table'!$C$2,"group","2c1")/GETPIVOTDATA("Total-Old",'Distrib pivot table'!$C$2)&gt;0.0005,GETPIVOTDATA("Total-Old",'Distrib pivot table'!$C$2,"group","2c1")/GETPIVOTDATA("Total-Old",'Distrib pivot table'!$C$2),"*"))</f>
        <v>*</v>
      </c>
      <c r="E33" s="575">
        <f>IF((GETPIVOTDATA("Total-Old",'Distrib pivot table'!$C$2,"state","AL","group","2c1")/GETPIVOTDATA("Total-Old",'Distrib pivot table'!$C$2,"state","AL"))=0,,IF(GETPIVOTDATA("Total-Old",'Distrib pivot table'!$C$2,"state","AL","group","2c1")/GETPIVOTDATA("Total-Old",'Distrib pivot table'!$C$2,"state","AL")&gt;0.0005,GETPIVOTDATA("Total-Old",'Distrib pivot table'!$C$2,"state","AL","group","2c1")/GETPIVOTDATA("Total-Old",'Distrib pivot table'!$C$2,"state","AL"),"*"))</f>
        <v>0</v>
      </c>
      <c r="F33" s="575" t="str">
        <f>IF((GETPIVOTDATA("Total-Old",'Distrib pivot table'!$C$2,"state","AR","group","2c1")/GETPIVOTDATA("Total-Old",'Distrib pivot table'!$C$2,"state","AR"))=0,,IF(GETPIVOTDATA("Total-Old",'Distrib pivot table'!$C$2,"state","AR","group","2c1")/GETPIVOTDATA("Total-Old",'Distrib pivot table'!$C$2,"state","AR")&gt;0.0005,GETPIVOTDATA("Total-Old",'Distrib pivot table'!$C$2,"state","AR","group","2c1")/GETPIVOTDATA("Total-Old",'Distrib pivot table'!$C$2,"state","AR"),"*"))</f>
        <v>*</v>
      </c>
      <c r="G33" s="575">
        <f>IF((GETPIVOTDATA("Total-Old",'Distrib pivot table'!$C$2,"state","DE","group","2c1")/GETPIVOTDATA("Total-Old",'Distrib pivot table'!$C$2,"state","DE"))=0,,IF(GETPIVOTDATA("Total-Old",'Distrib pivot table'!$C$2,"state","DE","group","2c1")/GETPIVOTDATA("Total-Old",'Distrib pivot table'!$C$2,"state","DE")&gt;0.0005,GETPIVOTDATA("Total-Old",'Distrib pivot table'!$C$2,"state","DE","group","2c1")/GETPIVOTDATA("Total-Old",'Distrib pivot table'!$C$2,"state","DE"),"*"))</f>
        <v>1.921378050450969E-3</v>
      </c>
      <c r="H33" s="575">
        <f>IF((GETPIVOTDATA("Total-Old",'Distrib pivot table'!$C$2,"state","FL","group","2c1")/GETPIVOTDATA("Total-Old",'Distrib pivot table'!$C$2,"state","FL"))=0,,IF(GETPIVOTDATA("Total-Old",'Distrib pivot table'!$C$2,"state","FL","group","2c1")/GETPIVOTDATA("Total-Old",'Distrib pivot table'!$C$2,"state","FL")&gt;0.0005,GETPIVOTDATA("Total-Old",'Distrib pivot table'!$C$2,"state","FL","group","2c1")/GETPIVOTDATA("Total-Old",'Distrib pivot table'!$C$2,"state","FL"),"*"))</f>
        <v>0</v>
      </c>
      <c r="I33" s="575" t="str">
        <f>IF((GETPIVOTDATA("Total-Old",'Distrib pivot table'!$C$2,"state","GA","group","2c1")/GETPIVOTDATA("Total-Old",'Distrib pivot table'!$C$2,"state","GA"))=0,,IF(GETPIVOTDATA("Total-Old",'Distrib pivot table'!$C$2,"state","GA","group","2c1")/GETPIVOTDATA("Total-Old",'Distrib pivot table'!$C$2,"state","GA")&gt;0.0005,GETPIVOTDATA("Total-Old",'Distrib pivot table'!$C$2,"state","GA","group","2c1")/GETPIVOTDATA("Total-Old",'Distrib pivot table'!$C$2,"state","GA"),"*"))</f>
        <v>*</v>
      </c>
      <c r="J33" s="575" t="str">
        <f>IF((GETPIVOTDATA("Total-Old",'Distrib pivot table'!$C$2,"state","KY","group","2c1")/GETPIVOTDATA("Total-Old",'Distrib pivot table'!$C$2,"state","KY"))=0,,IF(GETPIVOTDATA("Total-Old",'Distrib pivot table'!$C$2,"state","KY","group","2c1")/GETPIVOTDATA("Total-Old",'Distrib pivot table'!$C$2,"state","KY")&gt;0.0005,GETPIVOTDATA("Total-Old",'Distrib pivot table'!$C$2,"state","KY","group","2c1")/GETPIVOTDATA("Total-Old",'Distrib pivot table'!$C$2,"state","KY"),"*"))</f>
        <v>*</v>
      </c>
      <c r="K33" s="575">
        <f>IF((GETPIVOTDATA("Total-Old",'Distrib pivot table'!$C$2,"state","LA","group","2c1")/GETPIVOTDATA("Total-Old",'Distrib pivot table'!$C$2,"state","LA"))=0,,IF(GETPIVOTDATA("Total-Old",'Distrib pivot table'!$C$2,"state","LA","group","2c1")/GETPIVOTDATA("Total-Old",'Distrib pivot table'!$C$2,"state","LA")&gt;0.0005,GETPIVOTDATA("Total-Old",'Distrib pivot table'!$C$2,"state","LA","group","2c1")/GETPIVOTDATA("Total-Old",'Distrib pivot table'!$C$2,"state","LA"),"*"))</f>
        <v>0</v>
      </c>
      <c r="L33" s="575">
        <f>IF((GETPIVOTDATA("Total-Old",'Distrib pivot table'!$C$2,"state","MD","group","2c1")/GETPIVOTDATA("Total-Old",'Distrib pivot table'!$C$2,"state","MD"))=0,,IF(GETPIVOTDATA("Total-Old",'Distrib pivot table'!$C$2,"state","MD","group","2c1")/GETPIVOTDATA("Total-Old",'Distrib pivot table'!$C$2,"state","MD")&gt;0.0005,GETPIVOTDATA("Total-Old",'Distrib pivot table'!$C$2,"state","MD","group","2c1")/GETPIVOTDATA("Total-Old",'Distrib pivot table'!$C$2,"state","MD"),"*"))</f>
        <v>0</v>
      </c>
      <c r="M33" s="575" t="str">
        <f>IF((GETPIVOTDATA("Total-Old",'Distrib pivot table'!$C$2,"state","MS","group","2c1")/GETPIVOTDATA("Total-Old",'Distrib pivot table'!$C$2,"state","MS"))=0,,IF(GETPIVOTDATA("Total-Old",'Distrib pivot table'!$C$2,"state","MS","group","2c1")/GETPIVOTDATA("Total-Old",'Distrib pivot table'!$C$2,"state","MS")&gt;0.0005,GETPIVOTDATA("Total-Old",'Distrib pivot table'!$C$2,"state","MS","group","2c1")/GETPIVOTDATA("Total-Old",'Distrib pivot table'!$C$2,"state","MS"),"*"))</f>
        <v>*</v>
      </c>
      <c r="N33" s="575">
        <f>IF((GETPIVOTDATA("Total-Old",'Distrib pivot table'!$C$2,"state","NC","group","2c1")/GETPIVOTDATA("Total-Old",'Distrib pivot table'!$C$2,"state","NC"))=0,,IF(GETPIVOTDATA("Total-Old",'Distrib pivot table'!$C$2,"state","NC","group","2c1")/GETPIVOTDATA("Total-Old",'Distrib pivot table'!$C$2,"state","NC")&gt;0.0005,GETPIVOTDATA("Total-Old",'Distrib pivot table'!$C$2,"state","NC","group","2c1")/GETPIVOTDATA("Total-Old",'Distrib pivot table'!$C$2,"state","NC"),"*"))</f>
        <v>0</v>
      </c>
      <c r="O33" s="575">
        <f>IF((GETPIVOTDATA("Total-Old",'Distrib pivot table'!$C$2,"state","OK","group","2c1")/GETPIVOTDATA("Total-Old",'Distrib pivot table'!$C$2,"state","OK"))=0,,IF(GETPIVOTDATA("Total-Old",'Distrib pivot table'!$C$2,"state","OK","group","2c1")/GETPIVOTDATA("Total-Old",'Distrib pivot table'!$C$2,"state","OK")&gt;0.0005,GETPIVOTDATA("Total-Old",'Distrib pivot table'!$C$2,"state","OK","group","2c1")/GETPIVOTDATA("Total-Old",'Distrib pivot table'!$C$2,"state","OK"),"*"))</f>
        <v>0</v>
      </c>
      <c r="P33" s="575" t="str">
        <f>IF((GETPIVOTDATA("Total-Old",'Distrib pivot table'!$C$2,"state","SC","group","2c1")/GETPIVOTDATA("Total-Old",'Distrib pivot table'!$C$2,"state","SC"))=0,,IF(GETPIVOTDATA("Total-Old",'Distrib pivot table'!$C$2,"state","SC","group","2c1")/GETPIVOTDATA("Total-Old",'Distrib pivot table'!$C$2,"state","SC")&gt;0.0005,GETPIVOTDATA("Total-Old",'Distrib pivot table'!$C$2,"state","SC","group","2c1")/GETPIVOTDATA("Total-Old",'Distrib pivot table'!$C$2,"state","SC"),"*"))</f>
        <v>*</v>
      </c>
      <c r="Q33" s="575">
        <f>IF((GETPIVOTDATA("Total-Old",'Distrib pivot table'!$C$2,"state","TN","group","2c1")/GETPIVOTDATA("Total-Old",'Distrib pivot table'!$C$2,"state","TN"))=0,,IF(GETPIVOTDATA("Total-Old",'Distrib pivot table'!$C$2,"state","TN","group","2c1")/GETPIVOTDATA("Total-Old",'Distrib pivot table'!$C$2,"state","TN")&gt;0.0005,GETPIVOTDATA("Total-Old",'Distrib pivot table'!$C$2,"state","TN","group","2c1")/GETPIVOTDATA("Total-Old",'Distrib pivot table'!$C$2,"state","TN"),"*"))</f>
        <v>5.4359353545732007E-4</v>
      </c>
      <c r="R33" s="575">
        <f>IF((GETPIVOTDATA("Total-Old",'Distrib pivot table'!$C$2,"state","TX","group","2c1")/GETPIVOTDATA("Total-Old",'Distrib pivot table'!$C$2,"state","TX"))=0,,IF(GETPIVOTDATA("Total-Old",'Distrib pivot table'!$C$2,"state","TX","group","2c1")/GETPIVOTDATA("Total-Old",'Distrib pivot table'!$C$2,"state","TX")&gt;0.0005,GETPIVOTDATA("Total-Old",'Distrib pivot table'!$C$2,"state","TX","group","2c1")/GETPIVOTDATA("Total-Old",'Distrib pivot table'!$C$2,"state","TX"),"*"))</f>
        <v>0</v>
      </c>
      <c r="S33" s="575" t="str">
        <f>IF((GETPIVOTDATA("Total-Old",'Distrib pivot table'!$C$2,"state","VA","group","2c1")/GETPIVOTDATA("Total-Old",'Distrib pivot table'!$C$2,"state","VA"))=0,,IF(GETPIVOTDATA("Total-Old",'Distrib pivot table'!$C$2,"state","VA","group","2c1")/GETPIVOTDATA("Total-Old",'Distrib pivot table'!$C$2,"state","VA")&gt;0.0005,GETPIVOTDATA("Total-Old",'Distrib pivot table'!$C$2,"state","VA","group","2c1")/GETPIVOTDATA("Total-Old",'Distrib pivot table'!$C$2,"state","VA"),"*"))</f>
        <v>*</v>
      </c>
      <c r="T33" s="575">
        <f>IF((GETPIVOTDATA("Total-Old",'Distrib pivot table'!$C$2,"state","WV","group","2c1")/GETPIVOTDATA("Total-Old",'Distrib pivot table'!$C$2,"state","WV"))=0,,IF(GETPIVOTDATA("Total-Old",'Distrib pivot table'!$C$2,"state","WV","group","2c1")/GETPIVOTDATA("Total-Old",'Distrib pivot table'!$C$2,"state","WV")&gt;0.0005,GETPIVOTDATA("Total-Old",'Distrib pivot table'!$C$2,"state","WV","group","2c1")/GETPIVOTDATA("Total-Old",'Distrib pivot table'!$C$2,"state","WV"),"*"))</f>
        <v>0</v>
      </c>
      <c r="U33" s="576"/>
      <c r="V33" s="576"/>
      <c r="W33" s="576"/>
      <c r="X33" s="576"/>
      <c r="Y33" s="576"/>
      <c r="Z33" s="576"/>
      <c r="AA33" s="576"/>
      <c r="AB33" s="576"/>
      <c r="AC33" s="576"/>
      <c r="AD33" s="576"/>
      <c r="AE33" s="576"/>
      <c r="AF33" s="576"/>
      <c r="AG33" s="576"/>
      <c r="AH33" s="576"/>
      <c r="AI33" s="576"/>
      <c r="AJ33" s="576"/>
      <c r="AK33" s="576"/>
      <c r="AL33" s="576"/>
      <c r="AM33" s="576"/>
      <c r="AN33" s="576"/>
      <c r="AO33" s="576"/>
      <c r="AP33" s="576"/>
      <c r="AQ33" s="576"/>
      <c r="AR33" s="576"/>
      <c r="AS33" s="576"/>
      <c r="AT33" s="576"/>
      <c r="AU33" s="576"/>
      <c r="AV33" s="576"/>
      <c r="AW33" s="576"/>
      <c r="AX33" s="576"/>
    </row>
    <row r="34" spans="1:50" ht="12.65" customHeight="1">
      <c r="A34" s="1225"/>
      <c r="B34" s="573" t="s">
        <v>1027</v>
      </c>
      <c r="C34" s="589" t="s">
        <v>258</v>
      </c>
      <c r="D34" s="575" t="str">
        <f>IF(GETPIVOTDATA("Total-Old",'Distrib pivot table'!$C$2,"group","2c2")/GETPIVOTDATA("Total-Old",'Distrib pivot table'!$C$2)=0,,IF(GETPIVOTDATA("Total-Old",'Distrib pivot table'!$C$2,"group","2c2")/GETPIVOTDATA("Total-Old",'Distrib pivot table'!$C$2)&gt;0.0005,GETPIVOTDATA("Total-Old",'Distrib pivot table'!$C$2,"group","2c2")/GETPIVOTDATA("Total-Old",'Distrib pivot table'!$C$2),"*"))</f>
        <v>*</v>
      </c>
      <c r="E34" s="575">
        <f>IF((GETPIVOTDATA("Total-Old",'Distrib pivot table'!$C$2,"state","AL","group","2c2")/GETPIVOTDATA("Total-Old",'Distrib pivot table'!$C$2,"state","AL"))=0,,IF(GETPIVOTDATA("Total-Old",'Distrib pivot table'!$C$2,"state","AL","group","2c2")/GETPIVOTDATA("Total-Old",'Distrib pivot table'!$C$2,"state","AL")&gt;0.0005,GETPIVOTDATA("Total-Old",'Distrib pivot table'!$C$2,"state","AL","group","2c2")/GETPIVOTDATA("Total-Old",'Distrib pivot table'!$C$2,"state","AL"),"*"))</f>
        <v>0</v>
      </c>
      <c r="F34" s="575">
        <f>IF((GETPIVOTDATA("Total-Old",'Distrib pivot table'!$C$2,"state","AR","group","2c2")/GETPIVOTDATA("Total-Old",'Distrib pivot table'!$C$2,"state","AR"))=0,,IF(GETPIVOTDATA("Total-Old",'Distrib pivot table'!$C$2,"state","AR","group","2c2")/GETPIVOTDATA("Total-Old",'Distrib pivot table'!$C$2,"state","AR")&gt;0.0005,GETPIVOTDATA("Total-Old",'Distrib pivot table'!$C$2,"state","AR","group","2c2")/GETPIVOTDATA("Total-Old",'Distrib pivot table'!$C$2,"state","AR"),"*"))</f>
        <v>1.9902596250232262E-3</v>
      </c>
      <c r="G34" s="575">
        <f>IF((GETPIVOTDATA("Total-Old",'Distrib pivot table'!$C$2,"state","DE","group","2c2")/GETPIVOTDATA("Total-Old",'Distrib pivot table'!$C$2,"state","DE"))=0,,IF(GETPIVOTDATA("Total-Old",'Distrib pivot table'!$C$2,"state","DE","group","2c2")/GETPIVOTDATA("Total-Old",'Distrib pivot table'!$C$2,"state","DE")&gt;0.0005,GETPIVOTDATA("Total-Old",'Distrib pivot table'!$C$2,"state","DE","group","2c2")/GETPIVOTDATA("Total-Old",'Distrib pivot table'!$C$2,"state","DE"),"*"))</f>
        <v>6.0109771854074099E-4</v>
      </c>
      <c r="H34" s="575">
        <f>IF((GETPIVOTDATA("Total-Old",'Distrib pivot table'!$C$2,"state","FL","group","2c2")/GETPIVOTDATA("Total-Old",'Distrib pivot table'!$C$2,"state","FL"))=0,,IF(GETPIVOTDATA("Total-Old",'Distrib pivot table'!$C$2,"state","FL","group","2c2")/GETPIVOTDATA("Total-Old",'Distrib pivot table'!$C$2,"state","FL")&gt;0.0005,GETPIVOTDATA("Total-Old",'Distrib pivot table'!$C$2,"state","FL","group","2c2")/GETPIVOTDATA("Total-Old",'Distrib pivot table'!$C$2,"state","FL"),"*"))</f>
        <v>0</v>
      </c>
      <c r="I34" s="575" t="str">
        <f>IF((GETPIVOTDATA("Total-Old",'Distrib pivot table'!$C$2,"state","GA","group","2c2")/GETPIVOTDATA("Total-Old",'Distrib pivot table'!$C$2,"state","GA"))=0,,IF(GETPIVOTDATA("Total-Old",'Distrib pivot table'!$C$2,"state","GA","group","2c2")/GETPIVOTDATA("Total-Old",'Distrib pivot table'!$C$2,"state","GA")&gt;0.0005,GETPIVOTDATA("Total-Old",'Distrib pivot table'!$C$2,"state","GA","group","2c2")/GETPIVOTDATA("Total-Old",'Distrib pivot table'!$C$2,"state","GA"),"*"))</f>
        <v>*</v>
      </c>
      <c r="J34" s="575">
        <f>IF((GETPIVOTDATA("Total-Old",'Distrib pivot table'!$C$2,"state","KY","group","2c2")/GETPIVOTDATA("Total-Old",'Distrib pivot table'!$C$2,"state","KY"))=0,,IF(GETPIVOTDATA("Total-Old",'Distrib pivot table'!$C$2,"state","KY","group","2c2")/GETPIVOTDATA("Total-Old",'Distrib pivot table'!$C$2,"state","KY")&gt;0.0005,GETPIVOTDATA("Total-Old",'Distrib pivot table'!$C$2,"state","KY","group","2c2")/GETPIVOTDATA("Total-Old",'Distrib pivot table'!$C$2,"state","KY"),"*"))</f>
        <v>1.6458329957226995E-3</v>
      </c>
      <c r="K34" s="575" t="str">
        <f>IF((GETPIVOTDATA("Total-Old",'Distrib pivot table'!$C$2,"state","LA","group","2c2")/GETPIVOTDATA("Total-Old",'Distrib pivot table'!$C$2,"state","LA"))=0,,IF(GETPIVOTDATA("Total-Old",'Distrib pivot table'!$C$2,"state","LA","group","2c2")/GETPIVOTDATA("Total-Old",'Distrib pivot table'!$C$2,"state","LA")&gt;0.0005,GETPIVOTDATA("Total-Old",'Distrib pivot table'!$C$2,"state","LA","group","2c2")/GETPIVOTDATA("Total-Old",'Distrib pivot table'!$C$2,"state","LA"),"*"))</f>
        <v>*</v>
      </c>
      <c r="L34" s="575">
        <f>IF((GETPIVOTDATA("Total-Old",'Distrib pivot table'!$C$2,"state","MD","group","2c2")/GETPIVOTDATA("Total-Old",'Distrib pivot table'!$C$2,"state","MD"))=0,,IF(GETPIVOTDATA("Total-Old",'Distrib pivot table'!$C$2,"state","MD","group","2c2")/GETPIVOTDATA("Total-Old",'Distrib pivot table'!$C$2,"state","MD")&gt;0.0005,GETPIVOTDATA("Total-Old",'Distrib pivot table'!$C$2,"state","MD","group","2c2")/GETPIVOTDATA("Total-Old",'Distrib pivot table'!$C$2,"state","MD"),"*"))</f>
        <v>0</v>
      </c>
      <c r="M34" s="575" t="str">
        <f>IF((GETPIVOTDATA("Total-Old",'Distrib pivot table'!$C$2,"state","MS","group","2c2")/GETPIVOTDATA("Total-Old",'Distrib pivot table'!$C$2,"state","MS"))=0,,IF(GETPIVOTDATA("Total-Old",'Distrib pivot table'!$C$2,"state","MS","group","2c2")/GETPIVOTDATA("Total-Old",'Distrib pivot table'!$C$2,"state","MS")&gt;0.0005,GETPIVOTDATA("Total-Old",'Distrib pivot table'!$C$2,"state","MS","group","2c2")/GETPIVOTDATA("Total-Old",'Distrib pivot table'!$C$2,"state","MS"),"*"))</f>
        <v>*</v>
      </c>
      <c r="N34" s="575">
        <f>IF((GETPIVOTDATA("Total-Old",'Distrib pivot table'!$C$2,"state","NC","group","2c2")/GETPIVOTDATA("Total-Old",'Distrib pivot table'!$C$2,"state","NC"))=0,,IF(GETPIVOTDATA("Total-Old",'Distrib pivot table'!$C$2,"state","NC","group","2c2")/GETPIVOTDATA("Total-Old",'Distrib pivot table'!$C$2,"state","NC")&gt;0.0005,GETPIVOTDATA("Total-Old",'Distrib pivot table'!$C$2,"state","NC","group","2c2")/GETPIVOTDATA("Total-Old",'Distrib pivot table'!$C$2,"state","NC"),"*"))</f>
        <v>0</v>
      </c>
      <c r="O34" s="575">
        <f>IF((GETPIVOTDATA("Total-Old",'Distrib pivot table'!$C$2,"state","OK","group","2c2")/GETPIVOTDATA("Total-Old",'Distrib pivot table'!$C$2,"state","OK"))=0,,IF(GETPIVOTDATA("Total-Old",'Distrib pivot table'!$C$2,"state","OK","group","2c2")/GETPIVOTDATA("Total-Old",'Distrib pivot table'!$C$2,"state","OK")&gt;0.0005,GETPIVOTDATA("Total-Old",'Distrib pivot table'!$C$2,"state","OK","group","2c2")/GETPIVOTDATA("Total-Old",'Distrib pivot table'!$C$2,"state","OK"),"*"))</f>
        <v>0</v>
      </c>
      <c r="P34" s="575">
        <f>IF((GETPIVOTDATA("Total-Old",'Distrib pivot table'!$C$2,"state","SC","group","2c2")/GETPIVOTDATA("Total-Old",'Distrib pivot table'!$C$2,"state","SC"))=0,,IF(GETPIVOTDATA("Total-Old",'Distrib pivot table'!$C$2,"state","SC","group","2c2")/GETPIVOTDATA("Total-Old",'Distrib pivot table'!$C$2,"state","SC")&gt;0.0005,GETPIVOTDATA("Total-Old",'Distrib pivot table'!$C$2,"state","SC","group","2c2")/GETPIVOTDATA("Total-Old",'Distrib pivot table'!$C$2,"state","SC"),"*"))</f>
        <v>8.1420897476804988E-4</v>
      </c>
      <c r="Q34" s="575">
        <f>IF((GETPIVOTDATA("Total-Old",'Distrib pivot table'!$C$2,"state","TN","group","2c2")/GETPIVOTDATA("Total-Old",'Distrib pivot table'!$C$2,"state","TN"))=0,,IF(GETPIVOTDATA("Total-Old",'Distrib pivot table'!$C$2,"state","TN","group","2c2")/GETPIVOTDATA("Total-Old",'Distrib pivot table'!$C$2,"state","TN")&gt;0.0005,GETPIVOTDATA("Total-Old",'Distrib pivot table'!$C$2,"state","TN","group","2c2")/GETPIVOTDATA("Total-Old",'Distrib pivot table'!$C$2,"state","TN"),"*"))</f>
        <v>0</v>
      </c>
      <c r="R34" s="575">
        <f>IF((GETPIVOTDATA("Total-Old",'Distrib pivot table'!$C$2,"state","TX","group","2c2")/GETPIVOTDATA("Total-Old",'Distrib pivot table'!$C$2,"state","TX"))=0,,IF(GETPIVOTDATA("Total-Old",'Distrib pivot table'!$C$2,"state","TX","group","2c2")/GETPIVOTDATA("Total-Old",'Distrib pivot table'!$C$2,"state","TX")&gt;0.0005,GETPIVOTDATA("Total-Old",'Distrib pivot table'!$C$2,"state","TX","group","2c2")/GETPIVOTDATA("Total-Old",'Distrib pivot table'!$C$2,"state","TX"),"*"))</f>
        <v>0</v>
      </c>
      <c r="S34" s="575">
        <f>IF((GETPIVOTDATA("Total-Old",'Distrib pivot table'!$C$2,"state","VA","group","2c2")/GETPIVOTDATA("Total-Old",'Distrib pivot table'!$C$2,"state","VA"))=0,,IF(GETPIVOTDATA("Total-Old",'Distrib pivot table'!$C$2,"state","VA","group","2c2")/GETPIVOTDATA("Total-Old",'Distrib pivot table'!$C$2,"state","VA")&gt;0.0005,GETPIVOTDATA("Total-Old",'Distrib pivot table'!$C$2,"state","VA","group","2c2")/GETPIVOTDATA("Total-Old",'Distrib pivot table'!$C$2,"state","VA"),"*"))</f>
        <v>0</v>
      </c>
      <c r="T34" s="575">
        <f>IF((GETPIVOTDATA("Total-Old",'Distrib pivot table'!$C$2,"state","WV","group","2c2")/GETPIVOTDATA("Total-Old",'Distrib pivot table'!$C$2,"state","WV"))=0,,IF(GETPIVOTDATA("Total-Old",'Distrib pivot table'!$C$2,"state","WV","group","2c2")/GETPIVOTDATA("Total-Old",'Distrib pivot table'!$C$2,"state","WV")&gt;0.0005,GETPIVOTDATA("Total-Old",'Distrib pivot table'!$C$2,"state","WV","group","2c2")/GETPIVOTDATA("Total-Old",'Distrib pivot table'!$C$2,"state","WV"),"*"))</f>
        <v>0</v>
      </c>
      <c r="U34" s="576"/>
      <c r="V34" s="576"/>
      <c r="W34" s="576"/>
      <c r="X34" s="576"/>
      <c r="Y34" s="576"/>
      <c r="Z34" s="576"/>
      <c r="AA34" s="576"/>
      <c r="AB34" s="576"/>
      <c r="AC34" s="576"/>
      <c r="AD34" s="576"/>
      <c r="AE34" s="576"/>
      <c r="AF34" s="576"/>
      <c r="AG34" s="576"/>
      <c r="AH34" s="576"/>
      <c r="AI34" s="576"/>
      <c r="AJ34" s="576"/>
      <c r="AK34" s="576"/>
      <c r="AL34" s="576"/>
      <c r="AM34" s="576"/>
      <c r="AN34" s="576"/>
      <c r="AO34" s="576"/>
      <c r="AP34" s="576"/>
      <c r="AQ34" s="576"/>
      <c r="AR34" s="576"/>
      <c r="AS34" s="576"/>
      <c r="AT34" s="576"/>
      <c r="AU34" s="576"/>
      <c r="AV34" s="576"/>
      <c r="AW34" s="576"/>
      <c r="AX34" s="576"/>
    </row>
    <row r="35" spans="1:50" ht="12.65" customHeight="1">
      <c r="A35" s="1225"/>
      <c r="B35" s="590" t="s">
        <v>158</v>
      </c>
      <c r="C35" s="589" t="s">
        <v>157</v>
      </c>
      <c r="D35" s="575" t="str">
        <f>IF(GETPIVOTDATA("Total-Old",'Distrib pivot table'!$C$2,"group","2c3")/GETPIVOTDATA("Total-Old",'Distrib pivot table'!$C$2)=0,,IF(GETPIVOTDATA("Total-Old",'Distrib pivot table'!$C$2,"group","2c3")/GETPIVOTDATA("Total-Old",'Distrib pivot table'!$C$2)&gt;0.0005,GETPIVOTDATA("Total-Old",'Distrib pivot table'!$C$2,"group","2c3")/GETPIVOTDATA("Total-Old",'Distrib pivot table'!$C$2),"*"))</f>
        <v>*</v>
      </c>
      <c r="E35" s="575">
        <f>IF((GETPIVOTDATA("Total-Old",'Distrib pivot table'!$C$2,"state","AL","group","2c3")/GETPIVOTDATA("Total-Old",'Distrib pivot table'!$C$2,"state","AL"))=0,,IF(GETPIVOTDATA("Total-Old",'Distrib pivot table'!$C$2,"state","AL","group","2c3")/GETPIVOTDATA("Total-Old",'Distrib pivot table'!$C$2,"state","AL")&gt;0.0005,GETPIVOTDATA("Total-Old",'Distrib pivot table'!$C$2,"state","AL","group","2c3")/GETPIVOTDATA("Total-Old",'Distrib pivot table'!$C$2,"state","AL"),"*"))</f>
        <v>0</v>
      </c>
      <c r="F35" s="575">
        <f>IF((GETPIVOTDATA("Total-Old",'Distrib pivot table'!$C$2,"state","AR","group","2c3")/GETPIVOTDATA("Total-Old",'Distrib pivot table'!$C$2,"state","AR"))=0,,IF(GETPIVOTDATA("Total-Old",'Distrib pivot table'!$C$2,"state","AR","group","2c3")/GETPIVOTDATA("Total-Old",'Distrib pivot table'!$C$2,"state","AR")&gt;0.0005,GETPIVOTDATA("Total-Old",'Distrib pivot table'!$C$2,"state","AR","group","2c3")/GETPIVOTDATA("Total-Old",'Distrib pivot table'!$C$2,"state","AR"),"*"))</f>
        <v>0</v>
      </c>
      <c r="G35" s="575">
        <f>IF((GETPIVOTDATA("Total-Old",'Distrib pivot table'!$C$2,"state","DE","group","2c3")/GETPIVOTDATA("Total-Old",'Distrib pivot table'!$C$2,"state","DE"))=0,,IF(GETPIVOTDATA("Total-Old",'Distrib pivot table'!$C$2,"state","DE","group","2c3")/GETPIVOTDATA("Total-Old",'Distrib pivot table'!$C$2,"state","DE")&gt;0.0005,GETPIVOTDATA("Total-Old",'Distrib pivot table'!$C$2,"state","DE","group","2c3")/GETPIVOTDATA("Total-Old",'Distrib pivot table'!$C$2,"state","DE"),"*"))</f>
        <v>0</v>
      </c>
      <c r="H35" s="575">
        <f>IF((GETPIVOTDATA("Total-Old",'Distrib pivot table'!$C$2,"state","FL","group","2c3")/GETPIVOTDATA("Total-Old",'Distrib pivot table'!$C$2,"state","FL"))=0,,IF(GETPIVOTDATA("Total-Old",'Distrib pivot table'!$C$2,"state","FL","group","2c3")/GETPIVOTDATA("Total-Old",'Distrib pivot table'!$C$2,"state","FL")&gt;0.0005,GETPIVOTDATA("Total-Old",'Distrib pivot table'!$C$2,"state","FL","group","2c3")/GETPIVOTDATA("Total-Old",'Distrib pivot table'!$C$2,"state","FL"),"*"))</f>
        <v>0</v>
      </c>
      <c r="I35" s="575">
        <f>IF((GETPIVOTDATA("Total-Old",'Distrib pivot table'!$C$2,"state","GA","group","2c3")/GETPIVOTDATA("Total-Old",'Distrib pivot table'!$C$2,"state","GA"))=0,,IF(GETPIVOTDATA("Total-Old",'Distrib pivot table'!$C$2,"state","GA","group","2c3")/GETPIVOTDATA("Total-Old",'Distrib pivot table'!$C$2,"state","GA")&gt;0.0005,GETPIVOTDATA("Total-Old",'Distrib pivot table'!$C$2,"state","GA","group","2c3")/GETPIVOTDATA("Total-Old",'Distrib pivot table'!$C$2,"state","GA"),"*"))</f>
        <v>6.0294097392096725E-4</v>
      </c>
      <c r="J35" s="575" t="str">
        <f>IF((GETPIVOTDATA("Total-Old",'Distrib pivot table'!$C$2,"state","KY","group","2c3")/GETPIVOTDATA("Total-Old",'Distrib pivot table'!$C$2,"state","KY"))=0,,IF(GETPIVOTDATA("Total-Old",'Distrib pivot table'!$C$2,"state","KY","group","2c3")/GETPIVOTDATA("Total-Old",'Distrib pivot table'!$C$2,"state","KY")&gt;0.0005,GETPIVOTDATA("Total-Old",'Distrib pivot table'!$C$2,"state","KY","group","2c3")/GETPIVOTDATA("Total-Old",'Distrib pivot table'!$C$2,"state","KY"),"*"))</f>
        <v>*</v>
      </c>
      <c r="K35" s="575">
        <f>IF((GETPIVOTDATA("Total-Old",'Distrib pivot table'!$C$2,"state","LA","group","2c3")/GETPIVOTDATA("Total-Old",'Distrib pivot table'!$C$2,"state","LA"))=0,,IF(GETPIVOTDATA("Total-Old",'Distrib pivot table'!$C$2,"state","LA","group","2c3")/GETPIVOTDATA("Total-Old",'Distrib pivot table'!$C$2,"state","LA")&gt;0.0005,GETPIVOTDATA("Total-Old",'Distrib pivot table'!$C$2,"state","LA","group","2c3")/GETPIVOTDATA("Total-Old",'Distrib pivot table'!$C$2,"state","LA"),"*"))</f>
        <v>0</v>
      </c>
      <c r="L35" s="575">
        <f>IF((GETPIVOTDATA("Total-Old",'Distrib pivot table'!$C$2,"state","MD","group","2c3")/GETPIVOTDATA("Total-Old",'Distrib pivot table'!$C$2,"state","MD"))=0,,IF(GETPIVOTDATA("Total-Old",'Distrib pivot table'!$C$2,"state","MD","group","2c3")/GETPIVOTDATA("Total-Old",'Distrib pivot table'!$C$2,"state","MD")&gt;0.0005,GETPIVOTDATA("Total-Old",'Distrib pivot table'!$C$2,"state","MD","group","2c3")/GETPIVOTDATA("Total-Old",'Distrib pivot table'!$C$2,"state","MD"),"*"))</f>
        <v>0</v>
      </c>
      <c r="M35" s="575">
        <f>IF((GETPIVOTDATA("Total-Old",'Distrib pivot table'!$C$2,"state","MS","group","2c3")/GETPIVOTDATA("Total-Old",'Distrib pivot table'!$C$2,"state","MS"))=0,,IF(GETPIVOTDATA("Total-Old",'Distrib pivot table'!$C$2,"state","MS","group","2c3")/GETPIVOTDATA("Total-Old",'Distrib pivot table'!$C$2,"state","MS")&gt;0.0005,GETPIVOTDATA("Total-Old",'Distrib pivot table'!$C$2,"state","MS","group","2c3")/GETPIVOTDATA("Total-Old",'Distrib pivot table'!$C$2,"state","MS"),"*"))</f>
        <v>0</v>
      </c>
      <c r="N35" s="575">
        <f>IF((GETPIVOTDATA("Total-Old",'Distrib pivot table'!$C$2,"state","NC","group","2c3")/GETPIVOTDATA("Total-Old",'Distrib pivot table'!$C$2,"state","NC"))=0,,IF(GETPIVOTDATA("Total-Old",'Distrib pivot table'!$C$2,"state","NC","group","2c3")/GETPIVOTDATA("Total-Old",'Distrib pivot table'!$C$2,"state","NC")&gt;0.0005,GETPIVOTDATA("Total-Old",'Distrib pivot table'!$C$2,"state","NC","group","2c3")/GETPIVOTDATA("Total-Old",'Distrib pivot table'!$C$2,"state","NC"),"*"))</f>
        <v>0</v>
      </c>
      <c r="O35" s="575">
        <f>IF((GETPIVOTDATA("Total-Old",'Distrib pivot table'!$C$2,"state","OK","group","2c3")/GETPIVOTDATA("Total-Old",'Distrib pivot table'!$C$2,"state","OK"))=0,,IF(GETPIVOTDATA("Total-Old",'Distrib pivot table'!$C$2,"state","OK","group","2c3")/GETPIVOTDATA("Total-Old",'Distrib pivot table'!$C$2,"state","OK")&gt;0.0005,GETPIVOTDATA("Total-Old",'Distrib pivot table'!$C$2,"state","OK","group","2c3")/GETPIVOTDATA("Total-Old",'Distrib pivot table'!$C$2,"state","OK"),"*"))</f>
        <v>0</v>
      </c>
      <c r="P35" s="575" t="str">
        <f>IF((GETPIVOTDATA("Total-Old",'Distrib pivot table'!$C$2,"state","SC","group","2c3")/GETPIVOTDATA("Total-Old",'Distrib pivot table'!$C$2,"state","SC"))=0,,IF(GETPIVOTDATA("Total-Old",'Distrib pivot table'!$C$2,"state","SC","group","2c3")/GETPIVOTDATA("Total-Old",'Distrib pivot table'!$C$2,"state","SC")&gt;0.0005,GETPIVOTDATA("Total-Old",'Distrib pivot table'!$C$2,"state","SC","group","2c3")/GETPIVOTDATA("Total-Old",'Distrib pivot table'!$C$2,"state","SC"),"*"))</f>
        <v>*</v>
      </c>
      <c r="Q35" s="575">
        <f>IF((GETPIVOTDATA("Total-Old",'Distrib pivot table'!$C$2,"state","TN","group","2c3")/GETPIVOTDATA("Total-Old",'Distrib pivot table'!$C$2,"state","TN"))=0,,IF(GETPIVOTDATA("Total-Old",'Distrib pivot table'!$C$2,"state","TN","group","2c3")/GETPIVOTDATA("Total-Old",'Distrib pivot table'!$C$2,"state","TN")&gt;0.0005,GETPIVOTDATA("Total-Old",'Distrib pivot table'!$C$2,"state","TN","group","2c3")/GETPIVOTDATA("Total-Old",'Distrib pivot table'!$C$2,"state","TN"),"*"))</f>
        <v>0</v>
      </c>
      <c r="R35" s="575">
        <f>IF((GETPIVOTDATA("Total-Old",'Distrib pivot table'!$C$2,"state","TX","group","2c3")/GETPIVOTDATA("Total-Old",'Distrib pivot table'!$C$2,"state","TX"))=0,,IF(GETPIVOTDATA("Total-Old",'Distrib pivot table'!$C$2,"state","TX","group","2c3")/GETPIVOTDATA("Total-Old",'Distrib pivot table'!$C$2,"state","TX")&gt;0.0005,GETPIVOTDATA("Total-Old",'Distrib pivot table'!$C$2,"state","TX","group","2c3")/GETPIVOTDATA("Total-Old",'Distrib pivot table'!$C$2,"state","TX"),"*"))</f>
        <v>0</v>
      </c>
      <c r="S35" s="575" t="str">
        <f>IF((GETPIVOTDATA("Total-Old",'Distrib pivot table'!$C$2,"state","VA","group","2c3")/GETPIVOTDATA("Total-Old",'Distrib pivot table'!$C$2,"state","VA"))=0,,IF(GETPIVOTDATA("Total-Old",'Distrib pivot table'!$C$2,"state","VA","group","2c3")/GETPIVOTDATA("Total-Old",'Distrib pivot table'!$C$2,"state","VA")&gt;0.0005,GETPIVOTDATA("Total-Old",'Distrib pivot table'!$C$2,"state","VA","group","2c3")/GETPIVOTDATA("Total-Old",'Distrib pivot table'!$C$2,"state","VA"),"*"))</f>
        <v>*</v>
      </c>
      <c r="T35" s="575">
        <f>IF((GETPIVOTDATA("Total-Old",'Distrib pivot table'!$C$2,"state","WV","group","2c3")/GETPIVOTDATA("Total-Old",'Distrib pivot table'!$C$2,"state","WV"))=0,,IF(GETPIVOTDATA("Total-Old",'Distrib pivot table'!$C$2,"state","WV","group","2c3")/GETPIVOTDATA("Total-Old",'Distrib pivot table'!$C$2,"state","WV")&gt;0.0005,GETPIVOTDATA("Total-Old",'Distrib pivot table'!$C$2,"state","WV","group","2c3")/GETPIVOTDATA("Total-Old",'Distrib pivot table'!$C$2,"state","WV"),"*"))</f>
        <v>8.8865296539545843E-4</v>
      </c>
      <c r="U35" s="576"/>
      <c r="V35" s="576"/>
      <c r="W35" s="576"/>
      <c r="X35" s="576"/>
      <c r="Y35" s="576"/>
      <c r="Z35" s="576"/>
      <c r="AA35" s="576"/>
      <c r="AB35" s="576"/>
      <c r="AC35" s="576"/>
      <c r="AD35" s="576"/>
      <c r="AE35" s="576"/>
      <c r="AF35" s="576"/>
      <c r="AG35" s="576"/>
      <c r="AH35" s="576"/>
      <c r="AI35" s="576"/>
      <c r="AJ35" s="576"/>
      <c r="AK35" s="576"/>
      <c r="AL35" s="576"/>
      <c r="AM35" s="576"/>
      <c r="AN35" s="576"/>
      <c r="AO35" s="576"/>
      <c r="AP35" s="576"/>
      <c r="AQ35" s="576"/>
      <c r="AR35" s="576"/>
      <c r="AS35" s="576"/>
      <c r="AT35" s="576"/>
      <c r="AU35" s="576"/>
      <c r="AV35" s="576"/>
      <c r="AW35" s="576"/>
      <c r="AX35" s="576"/>
    </row>
    <row r="36" spans="1:50" s="571" customFormat="1" ht="23">
      <c r="A36" s="1225"/>
      <c r="B36" s="577" t="s">
        <v>1028</v>
      </c>
      <c r="C36" s="593" t="s">
        <v>159</v>
      </c>
      <c r="D36" s="578">
        <f>SUM(D37:D51)</f>
        <v>6.1632364067181297E-2</v>
      </c>
      <c r="E36" s="578">
        <f>SUM(E37:E51)</f>
        <v>2.2652106184854096E-2</v>
      </c>
      <c r="F36" s="578">
        <f t="shared" ref="F36:T36" si="5">SUM(F37:F51)</f>
        <v>5.9730334154548842E-2</v>
      </c>
      <c r="G36" s="578">
        <f t="shared" si="5"/>
        <v>3.9515610948749561E-3</v>
      </c>
      <c r="H36" s="578">
        <f t="shared" si="5"/>
        <v>0</v>
      </c>
      <c r="I36" s="578">
        <f t="shared" si="5"/>
        <v>0.11926638000160616</v>
      </c>
      <c r="J36" s="578">
        <f t="shared" si="5"/>
        <v>8.4190142793118677E-2</v>
      </c>
      <c r="K36" s="578">
        <f t="shared" si="5"/>
        <v>0.12617760375724585</v>
      </c>
      <c r="L36" s="578">
        <f t="shared" si="5"/>
        <v>4.4112737229428253E-2</v>
      </c>
      <c r="M36" s="578">
        <f t="shared" si="5"/>
        <v>2.8050678372025847E-2</v>
      </c>
      <c r="N36" s="578">
        <f t="shared" si="5"/>
        <v>3.7425687622391707E-2</v>
      </c>
      <c r="O36" s="578">
        <f t="shared" si="5"/>
        <v>0</v>
      </c>
      <c r="P36" s="578">
        <f t="shared" si="5"/>
        <v>0.11113708397651617</v>
      </c>
      <c r="Q36" s="578">
        <f t="shared" si="5"/>
        <v>0.1361202571980844</v>
      </c>
      <c r="R36" s="578">
        <f t="shared" si="5"/>
        <v>3.845345720599621E-2</v>
      </c>
      <c r="S36" s="578">
        <f t="shared" si="5"/>
        <v>5.2972476705025515E-2</v>
      </c>
      <c r="T36" s="578">
        <f t="shared" si="5"/>
        <v>7.4838127233831472E-2</v>
      </c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79"/>
      <c r="AJ36" s="579"/>
      <c r="AK36" s="579"/>
      <c r="AL36" s="579"/>
      <c r="AM36" s="579"/>
      <c r="AN36" s="579"/>
      <c r="AO36" s="579"/>
      <c r="AP36" s="579"/>
      <c r="AQ36" s="579"/>
      <c r="AR36" s="579"/>
      <c r="AS36" s="579"/>
      <c r="AT36" s="579"/>
      <c r="AU36" s="579"/>
      <c r="AV36" s="579"/>
      <c r="AW36" s="579"/>
      <c r="AX36" s="579"/>
    </row>
    <row r="37" spans="1:50" ht="12.65" customHeight="1">
      <c r="A37" s="1225"/>
      <c r="B37" s="573" t="s">
        <v>1029</v>
      </c>
      <c r="C37" s="589" t="s">
        <v>161</v>
      </c>
      <c r="D37" s="575">
        <f>IF(GETPIVOTDATA("Total-Old",'Distrib pivot table'!$C$2,"group","2d1")/GETPIVOTDATA("Total-Old",'Distrib pivot table'!$C$2)=0,,IF(GETPIVOTDATA("Total-Old",'Distrib pivot table'!$C$2,"group","2d1")/GETPIVOTDATA("Total-Old",'Distrib pivot table'!$C$2)&gt;0.0005,GETPIVOTDATA("Total-Old",'Distrib pivot table'!$C$2,"group","2d1")/GETPIVOTDATA("Total-Old",'Distrib pivot table'!$C$2),"*"))</f>
        <v>8.8997321969434429E-3</v>
      </c>
      <c r="E37" s="575">
        <f>IF((GETPIVOTDATA("Total-Old",'Distrib pivot table'!$C$2,"state","AL","group","2d1")/GETPIVOTDATA("Total-Old",'Distrib pivot table'!$C$2,"state","AL"))=0,,IF(GETPIVOTDATA("Total-Old",'Distrib pivot table'!$C$2,"state","AL","group","2d1")/GETPIVOTDATA("Total-Old",'Distrib pivot table'!$C$2,"state","AL")&gt;0.0005,GETPIVOTDATA("Total-Old",'Distrib pivot table'!$C$2,"state","AL","group","2d1")/GETPIVOTDATA("Total-Old",'Distrib pivot table'!$C$2,"state","AL"),"*"))</f>
        <v>0</v>
      </c>
      <c r="F37" s="575">
        <f>IF((GETPIVOTDATA("Total-Old",'Distrib pivot table'!$C$2,"state","AR","group","2d1")/GETPIVOTDATA("Total-Old",'Distrib pivot table'!$C$2,"state","AR"))=0,,IF(GETPIVOTDATA("Total-Old",'Distrib pivot table'!$C$2,"state","AR","group","2d1")/GETPIVOTDATA("Total-Old",'Distrib pivot table'!$C$2,"state","AR")&gt;0.0005,GETPIVOTDATA("Total-Old",'Distrib pivot table'!$C$2,"state","AR","group","2d1")/GETPIVOTDATA("Total-Old",'Distrib pivot table'!$C$2,"state","AR"),"*"))</f>
        <v>0</v>
      </c>
      <c r="G37" s="575">
        <f>IF((GETPIVOTDATA("Total-Old",'Distrib pivot table'!$C$2,"state","DE","group","2d1")/GETPIVOTDATA("Total-Old",'Distrib pivot table'!$C$2,"state","DE"))=0,,IF(GETPIVOTDATA("Total-Old",'Distrib pivot table'!$C$2,"state","DE","group","2d1")/GETPIVOTDATA("Total-Old",'Distrib pivot table'!$C$2,"state","DE")&gt;0.0005,GETPIVOTDATA("Total-Old",'Distrib pivot table'!$C$2,"state","DE","group","2d1")/GETPIVOTDATA("Total-Old",'Distrib pivot table'!$C$2,"state","DE"),"*"))</f>
        <v>0</v>
      </c>
      <c r="H37" s="575">
        <f>IF((GETPIVOTDATA("Total-Old",'Distrib pivot table'!$C$2,"state","FL","group","2d1")/GETPIVOTDATA("Total-Old",'Distrib pivot table'!$C$2,"state","FL"))=0,,IF(GETPIVOTDATA("Total-Old",'Distrib pivot table'!$C$2,"state","FL","group","2d1")/GETPIVOTDATA("Total-Old",'Distrib pivot table'!$C$2,"state","FL")&gt;0.0005,GETPIVOTDATA("Total-Old",'Distrib pivot table'!$C$2,"state","FL","group","2d1")/GETPIVOTDATA("Total-Old",'Distrib pivot table'!$C$2,"state","FL"),"*"))</f>
        <v>0</v>
      </c>
      <c r="I37" s="575">
        <f>IF((GETPIVOTDATA("Total-Old",'Distrib pivot table'!$C$2,"state","GA","group","2d1")/GETPIVOTDATA("Total-Old",'Distrib pivot table'!$C$2,"state","GA"))=0,,IF(GETPIVOTDATA("Total-Old",'Distrib pivot table'!$C$2,"state","GA","group","2d1")/GETPIVOTDATA("Total-Old",'Distrib pivot table'!$C$2,"state","GA")&gt;0.0005,GETPIVOTDATA("Total-Old",'Distrib pivot table'!$C$2,"state","GA","group","2d1")/GETPIVOTDATA("Total-Old",'Distrib pivot table'!$C$2,"state","GA"),"*"))</f>
        <v>0</v>
      </c>
      <c r="J37" s="575">
        <f>IF((GETPIVOTDATA("Total-Old",'Distrib pivot table'!$C$2,"state","KY","group","2d1")/GETPIVOTDATA("Total-Old",'Distrib pivot table'!$C$2,"state","KY"))=0,,IF(GETPIVOTDATA("Total-Old",'Distrib pivot table'!$C$2,"state","KY","group","2d1")/GETPIVOTDATA("Total-Old",'Distrib pivot table'!$C$2,"state","KY")&gt;0.0005,GETPIVOTDATA("Total-Old",'Distrib pivot table'!$C$2,"state","KY","group","2d1")/GETPIVOTDATA("Total-Old",'Distrib pivot table'!$C$2,"state","KY"),"*"))</f>
        <v>0</v>
      </c>
      <c r="K37" s="575">
        <f>IF((GETPIVOTDATA("Total-Old",'Distrib pivot table'!$C$2,"state","LA","group","2d1")/GETPIVOTDATA("Total-Old",'Distrib pivot table'!$C$2,"state","LA"))=0,,IF(GETPIVOTDATA("Total-Old",'Distrib pivot table'!$C$2,"state","LA","group","2d1")/GETPIVOTDATA("Total-Old",'Distrib pivot table'!$C$2,"state","LA")&gt;0.0005,GETPIVOTDATA("Total-Old",'Distrib pivot table'!$C$2,"state","LA","group","2d1")/GETPIVOTDATA("Total-Old",'Distrib pivot table'!$C$2,"state","LA"),"*"))</f>
        <v>0</v>
      </c>
      <c r="L37" s="575">
        <f>IF((GETPIVOTDATA("Total-Old",'Distrib pivot table'!$C$2,"state","MD","group","2d1")/GETPIVOTDATA("Total-Old",'Distrib pivot table'!$C$2,"state","MD"))=0,,IF(GETPIVOTDATA("Total-Old",'Distrib pivot table'!$C$2,"state","MD","group","2d1")/GETPIVOTDATA("Total-Old",'Distrib pivot table'!$C$2,"state","MD")&gt;0.0005,GETPIVOTDATA("Total-Old",'Distrib pivot table'!$C$2,"state","MD","group","2d1")/GETPIVOTDATA("Total-Old",'Distrib pivot table'!$C$2,"state","MD"),"*"))</f>
        <v>0</v>
      </c>
      <c r="M37" s="575">
        <f>IF((GETPIVOTDATA("Total-Old",'Distrib pivot table'!$C$2,"state","MS","group","2d1")/GETPIVOTDATA("Total-Old",'Distrib pivot table'!$C$2,"state","MS"))=0,,IF(GETPIVOTDATA("Total-Old",'Distrib pivot table'!$C$2,"state","MS","group","2d1")/GETPIVOTDATA("Total-Old",'Distrib pivot table'!$C$2,"state","MS")&gt;0.0005,GETPIVOTDATA("Total-Old",'Distrib pivot table'!$C$2,"state","MS","group","2d1")/GETPIVOTDATA("Total-Old",'Distrib pivot table'!$C$2,"state","MS"),"*"))</f>
        <v>0</v>
      </c>
      <c r="N37" s="575">
        <f>IF((GETPIVOTDATA("Total-Old",'Distrib pivot table'!$C$2,"state","NC","group","2d1")/GETPIVOTDATA("Total-Old",'Distrib pivot table'!$C$2,"state","NC"))=0,,IF(GETPIVOTDATA("Total-Old",'Distrib pivot table'!$C$2,"state","NC","group","2d1")/GETPIVOTDATA("Total-Old",'Distrib pivot table'!$C$2,"state","NC")&gt;0.0005,GETPIVOTDATA("Total-Old",'Distrib pivot table'!$C$2,"state","NC","group","2d1")/GETPIVOTDATA("Total-Old",'Distrib pivot table'!$C$2,"state","NC"),"*"))</f>
        <v>0</v>
      </c>
      <c r="O37" s="575">
        <f>IF((GETPIVOTDATA("Total-Old",'Distrib pivot table'!$C$2,"state","OK","group","2d1")/GETPIVOTDATA("Total-Old",'Distrib pivot table'!$C$2,"state","OK"))=0,,IF(GETPIVOTDATA("Total-Old",'Distrib pivot table'!$C$2,"state","OK","group","2d1")/GETPIVOTDATA("Total-Old",'Distrib pivot table'!$C$2,"state","OK")&gt;0.0005,GETPIVOTDATA("Total-Old",'Distrib pivot table'!$C$2,"state","OK","group","2d1")/GETPIVOTDATA("Total-Old",'Distrib pivot table'!$C$2,"state","OK"),"*"))</f>
        <v>0</v>
      </c>
      <c r="P37" s="575">
        <f>IF((GETPIVOTDATA("Total-Old",'Distrib pivot table'!$C$2,"state","SC","group","2d1")/GETPIVOTDATA("Total-Old",'Distrib pivot table'!$C$2,"state","SC"))=0,,IF(GETPIVOTDATA("Total-Old",'Distrib pivot table'!$C$2,"state","SC","group","2d1")/GETPIVOTDATA("Total-Old",'Distrib pivot table'!$C$2,"state","SC")&gt;0.0005,GETPIVOTDATA("Total-Old",'Distrib pivot table'!$C$2,"state","SC","group","2d1")/GETPIVOTDATA("Total-Old",'Distrib pivot table'!$C$2,"state","SC"),"*"))</f>
        <v>0</v>
      </c>
      <c r="Q37" s="575">
        <f>IF((GETPIVOTDATA("Total-Old",'Distrib pivot table'!$C$2,"state","TN","group","2d1")/GETPIVOTDATA("Total-Old",'Distrib pivot table'!$C$2,"state","TN"))=0,,IF(GETPIVOTDATA("Total-Old",'Distrib pivot table'!$C$2,"state","TN","group","2d1")/GETPIVOTDATA("Total-Old",'Distrib pivot table'!$C$2,"state","TN")&gt;0.0005,GETPIVOTDATA("Total-Old",'Distrib pivot table'!$C$2,"state","TN","group","2d1")/GETPIVOTDATA("Total-Old",'Distrib pivot table'!$C$2,"state","TN"),"*"))</f>
        <v>0</v>
      </c>
      <c r="R37" s="575">
        <f>IF((GETPIVOTDATA("Total-Old",'Distrib pivot table'!$C$2,"state","TX","group","2d1")/GETPIVOTDATA("Total-Old",'Distrib pivot table'!$C$2,"state","TX"))=0,,IF(GETPIVOTDATA("Total-Old",'Distrib pivot table'!$C$2,"state","TX","group","2d1")/GETPIVOTDATA("Total-Old",'Distrib pivot table'!$C$2,"state","TX")&gt;0.0005,GETPIVOTDATA("Total-Old",'Distrib pivot table'!$C$2,"state","TX","group","2d1")/GETPIVOTDATA("Total-Old",'Distrib pivot table'!$C$2,"state","TX"),"*"))</f>
        <v>3.7261964006719217E-2</v>
      </c>
      <c r="S37" s="575">
        <f>IF((GETPIVOTDATA("Total-Old",'Distrib pivot table'!$C$2,"state","VA","group","2d1")/GETPIVOTDATA("Total-Old",'Distrib pivot table'!$C$2,"state","VA"))=0,,IF(GETPIVOTDATA("Total-Old",'Distrib pivot table'!$C$2,"state","VA","group","2d1")/GETPIVOTDATA("Total-Old",'Distrib pivot table'!$C$2,"state","VA")&gt;0.0005,GETPIVOTDATA("Total-Old",'Distrib pivot table'!$C$2,"state","VA","group","2d1")/GETPIVOTDATA("Total-Old",'Distrib pivot table'!$C$2,"state","VA"),"*"))</f>
        <v>0</v>
      </c>
      <c r="T37" s="575">
        <f>IF((GETPIVOTDATA("Total-Old",'Distrib pivot table'!$C$2,"state","WV","group","2d1")/GETPIVOTDATA("Total-Old",'Distrib pivot table'!$C$2,"state","WV"))=0,,IF(GETPIVOTDATA("Total-Old",'Distrib pivot table'!$C$2,"state","WV","group","2d1")/GETPIVOTDATA("Total-Old",'Distrib pivot table'!$C$2,"state","WV")&gt;0.0005,GETPIVOTDATA("Total-Old",'Distrib pivot table'!$C$2,"state","WV","group","2d1")/GETPIVOTDATA("Total-Old",'Distrib pivot table'!$C$2,"state","WV"),"*"))</f>
        <v>0</v>
      </c>
      <c r="U37" s="576"/>
      <c r="V37" s="576"/>
      <c r="W37" s="576"/>
      <c r="X37" s="576"/>
      <c r="Y37" s="576"/>
      <c r="Z37" s="576"/>
      <c r="AA37" s="576"/>
      <c r="AB37" s="576"/>
      <c r="AC37" s="576"/>
      <c r="AD37" s="576"/>
      <c r="AE37" s="576"/>
      <c r="AF37" s="576"/>
      <c r="AG37" s="576"/>
      <c r="AH37" s="576"/>
      <c r="AI37" s="576"/>
      <c r="AJ37" s="576"/>
      <c r="AK37" s="576"/>
      <c r="AL37" s="576"/>
      <c r="AM37" s="576"/>
      <c r="AN37" s="576"/>
      <c r="AO37" s="576"/>
      <c r="AP37" s="576"/>
      <c r="AQ37" s="576"/>
      <c r="AR37" s="576"/>
      <c r="AS37" s="576"/>
      <c r="AT37" s="576"/>
      <c r="AU37" s="576"/>
      <c r="AV37" s="576"/>
      <c r="AW37" s="576"/>
      <c r="AX37" s="576"/>
    </row>
    <row r="38" spans="1:50" ht="12.65" customHeight="1">
      <c r="A38" s="1225"/>
      <c r="B38" s="573" t="s">
        <v>165</v>
      </c>
      <c r="C38" s="589" t="s">
        <v>164</v>
      </c>
      <c r="D38" s="575" t="str">
        <f>IF(GETPIVOTDATA("Total-Old",'Distrib pivot table'!$C$2,"group","2d1a")/GETPIVOTDATA("Total-Old",'Distrib pivot table'!$C$2)=0,,IF(GETPIVOTDATA("Total-Old",'Distrib pivot table'!$C$2,"group","2d1a")/GETPIVOTDATA("Total-Old",'Distrib pivot table'!$C$2)&gt;0.0005,GETPIVOTDATA("Total-Old",'Distrib pivot table'!$C$2,"group","2d1a")/GETPIVOTDATA("Total-Old",'Distrib pivot table'!$C$2),"*"))</f>
        <v>*</v>
      </c>
      <c r="E38" s="575" t="str">
        <f>IF((GETPIVOTDATA("Total-Old",'Distrib pivot table'!$C$2,"state","AL","group","2d1a")/GETPIVOTDATA("Total-Old",'Distrib pivot table'!$C$2,"state","AL"))=0,,IF(GETPIVOTDATA("Total-Old",'Distrib pivot table'!$C$2,"state","AL","group","2d1a")/GETPIVOTDATA("Total-Old",'Distrib pivot table'!$C$2,"state","AL")&gt;0.0005,GETPIVOTDATA("Total-Old",'Distrib pivot table'!$C$2,"state","AL","group","2d1a")/GETPIVOTDATA("Total-Old",'Distrib pivot table'!$C$2,"state","AL"),"*"))</f>
        <v>*</v>
      </c>
      <c r="F38" s="575">
        <f>IF((GETPIVOTDATA("Total-Old",'Distrib pivot table'!$C$2,"state","AR","group","2d1a")/GETPIVOTDATA("Total-Old",'Distrib pivot table'!$C$2,"state","AR"))=0,,IF(GETPIVOTDATA("Total-Old",'Distrib pivot table'!$C$2,"state","AR","group","2d1a")/GETPIVOTDATA("Total-Old",'Distrib pivot table'!$C$2,"state","AR")&gt;0.0005,GETPIVOTDATA("Total-Old",'Distrib pivot table'!$C$2,"state","AR","group","2d1a")/GETPIVOTDATA("Total-Old",'Distrib pivot table'!$C$2,"state","AR"),"*"))</f>
        <v>0</v>
      </c>
      <c r="G38" s="575">
        <f>IF((GETPIVOTDATA("Total-Old",'Distrib pivot table'!$C$2,"state","DE","group","2d1a")/GETPIVOTDATA("Total-Old",'Distrib pivot table'!$C$2,"state","DE"))=0,,IF(GETPIVOTDATA("Total-Old",'Distrib pivot table'!$C$2,"state","DE","group","2d1a")/GETPIVOTDATA("Total-Old",'Distrib pivot table'!$C$2,"state","DE")&gt;0.0005,GETPIVOTDATA("Total-Old",'Distrib pivot table'!$C$2,"state","DE","group","2d1a")/GETPIVOTDATA("Total-Old",'Distrib pivot table'!$C$2,"state","DE"),"*"))</f>
        <v>0</v>
      </c>
      <c r="H38" s="575">
        <f>IF((GETPIVOTDATA("Total-Old",'Distrib pivot table'!$C$2,"state","FL","group","2d1a")/GETPIVOTDATA("Total-Old",'Distrib pivot table'!$C$2,"state","FL"))=0,,IF(GETPIVOTDATA("Total-Old",'Distrib pivot table'!$C$2,"state","FL","group","2d1a")/GETPIVOTDATA("Total-Old",'Distrib pivot table'!$C$2,"state","FL")&gt;0.0005,GETPIVOTDATA("Total-Old",'Distrib pivot table'!$C$2,"state","FL","group","2d1a")/GETPIVOTDATA("Total-Old",'Distrib pivot table'!$C$2,"state","FL"),"*"))</f>
        <v>0</v>
      </c>
      <c r="I38" s="575">
        <f>IF((GETPIVOTDATA("Total-Old",'Distrib pivot table'!$C$2,"state","GA","group","2d1a")/GETPIVOTDATA("Total-Old",'Distrib pivot table'!$C$2,"state","GA"))=0,,IF(GETPIVOTDATA("Total-Old",'Distrib pivot table'!$C$2,"state","GA","group","2d1a")/GETPIVOTDATA("Total-Old",'Distrib pivot table'!$C$2,"state","GA")&gt;0.0005,GETPIVOTDATA("Total-Old",'Distrib pivot table'!$C$2,"state","GA","group","2d1a")/GETPIVOTDATA("Total-Old",'Distrib pivot table'!$C$2,"state","GA"),"*"))</f>
        <v>0</v>
      </c>
      <c r="J38" s="575">
        <f>IF((GETPIVOTDATA("Total-Old",'Distrib pivot table'!$C$2,"state","KY","group","2d1a")/GETPIVOTDATA("Total-Old",'Distrib pivot table'!$C$2,"state","KY"))=0,,IF(GETPIVOTDATA("Total-Old",'Distrib pivot table'!$C$2,"state","KY","group","2d1a")/GETPIVOTDATA("Total-Old",'Distrib pivot table'!$C$2,"state","KY")&gt;0.0005,GETPIVOTDATA("Total-Old",'Distrib pivot table'!$C$2,"state","KY","group","2d1a")/GETPIVOTDATA("Total-Old",'Distrib pivot table'!$C$2,"state","KY"),"*"))</f>
        <v>0</v>
      </c>
      <c r="K38" s="575">
        <f>IF((GETPIVOTDATA("Total-Old",'Distrib pivot table'!$C$2,"state","LA","group","2d1a")/GETPIVOTDATA("Total-Old",'Distrib pivot table'!$C$2,"state","LA"))=0,,IF(GETPIVOTDATA("Total-Old",'Distrib pivot table'!$C$2,"state","LA","group","2d1a")/GETPIVOTDATA("Total-Old",'Distrib pivot table'!$C$2,"state","LA")&gt;0.0005,GETPIVOTDATA("Total-Old",'Distrib pivot table'!$C$2,"state","LA","group","2d1a")/GETPIVOTDATA("Total-Old",'Distrib pivot table'!$C$2,"state","LA"),"*"))</f>
        <v>0</v>
      </c>
      <c r="L38" s="575">
        <f>IF((GETPIVOTDATA("Total-Old",'Distrib pivot table'!$C$2,"state","MD","group","2d1a")/GETPIVOTDATA("Total-Old",'Distrib pivot table'!$C$2,"state","MD"))=0,,IF(GETPIVOTDATA("Total-Old",'Distrib pivot table'!$C$2,"state","MD","group","2d1a")/GETPIVOTDATA("Total-Old",'Distrib pivot table'!$C$2,"state","MD")&gt;0.0005,GETPIVOTDATA("Total-Old",'Distrib pivot table'!$C$2,"state","MD","group","2d1a")/GETPIVOTDATA("Total-Old",'Distrib pivot table'!$C$2,"state","MD"),"*"))</f>
        <v>0</v>
      </c>
      <c r="M38" s="575">
        <f>IF((GETPIVOTDATA("Total-Old",'Distrib pivot table'!$C$2,"state","MS","group","2d1a")/GETPIVOTDATA("Total-Old",'Distrib pivot table'!$C$2,"state","MS"))=0,,IF(GETPIVOTDATA("Total-Old",'Distrib pivot table'!$C$2,"state","MS","group","2d1a")/GETPIVOTDATA("Total-Old",'Distrib pivot table'!$C$2,"state","MS")&gt;0.0005,GETPIVOTDATA("Total-Old",'Distrib pivot table'!$C$2,"state","MS","group","2d1a")/GETPIVOTDATA("Total-Old",'Distrib pivot table'!$C$2,"state","MS"),"*"))</f>
        <v>0</v>
      </c>
      <c r="N38" s="575">
        <f>IF((GETPIVOTDATA("Total-Old",'Distrib pivot table'!$C$2,"state","NC","group","2d1a")/GETPIVOTDATA("Total-Old",'Distrib pivot table'!$C$2,"state","NC"))=0,,IF(GETPIVOTDATA("Total-Old",'Distrib pivot table'!$C$2,"state","NC","group","2d1a")/GETPIVOTDATA("Total-Old",'Distrib pivot table'!$C$2,"state","NC")&gt;0.0005,GETPIVOTDATA("Total-Old",'Distrib pivot table'!$C$2,"state","NC","group","2d1a")/GETPIVOTDATA("Total-Old",'Distrib pivot table'!$C$2,"state","NC"),"*"))</f>
        <v>0</v>
      </c>
      <c r="O38" s="575">
        <f>IF((GETPIVOTDATA("Total-Old",'Distrib pivot table'!$C$2,"state","OK","group","2d1a")/GETPIVOTDATA("Total-Old",'Distrib pivot table'!$C$2,"state","OK"))=0,,IF(GETPIVOTDATA("Total-Old",'Distrib pivot table'!$C$2,"state","OK","group","2d1a")/GETPIVOTDATA("Total-Old",'Distrib pivot table'!$C$2,"state","OK")&gt;0.0005,GETPIVOTDATA("Total-Old",'Distrib pivot table'!$C$2,"state","OK","group","2d1a")/GETPIVOTDATA("Total-Old",'Distrib pivot table'!$C$2,"state","OK"),"*"))</f>
        <v>0</v>
      </c>
      <c r="P38" s="575">
        <f>IF((GETPIVOTDATA("Total-Old",'Distrib pivot table'!$C$2,"state","SC","group","2d1a")/GETPIVOTDATA("Total-Old",'Distrib pivot table'!$C$2,"state","SC"))=0,,IF(GETPIVOTDATA("Total-Old",'Distrib pivot table'!$C$2,"state","SC","group","2d1a")/GETPIVOTDATA("Total-Old",'Distrib pivot table'!$C$2,"state","SC")&gt;0.0005,GETPIVOTDATA("Total-Old",'Distrib pivot table'!$C$2,"state","SC","group","2d1a")/GETPIVOTDATA("Total-Old",'Distrib pivot table'!$C$2,"state","SC"),"*"))</f>
        <v>0</v>
      </c>
      <c r="Q38" s="575">
        <f>IF((GETPIVOTDATA("Total-Old",'Distrib pivot table'!$C$2,"state","TN","group","2d1a")/GETPIVOTDATA("Total-Old",'Distrib pivot table'!$C$2,"state","TN"))=0,,IF(GETPIVOTDATA("Total-Old",'Distrib pivot table'!$C$2,"state","TN","group","2d1a")/GETPIVOTDATA("Total-Old",'Distrib pivot table'!$C$2,"state","TN")&gt;0.0005,GETPIVOTDATA("Total-Old",'Distrib pivot table'!$C$2,"state","TN","group","2d1a")/GETPIVOTDATA("Total-Old",'Distrib pivot table'!$C$2,"state","TN"),"*"))</f>
        <v>0</v>
      </c>
      <c r="R38" s="575">
        <f>IF((GETPIVOTDATA("Total-Old",'Distrib pivot table'!$C$2,"state","TX","group","2d1a")/GETPIVOTDATA("Total-Old",'Distrib pivot table'!$C$2,"state","TX"))=0,,IF(GETPIVOTDATA("Total-Old",'Distrib pivot table'!$C$2,"state","TX","group","2d1a")/GETPIVOTDATA("Total-Old",'Distrib pivot table'!$C$2,"state","TX")&gt;0.0005,GETPIVOTDATA("Total-Old",'Distrib pivot table'!$C$2,"state","TX","group","2d1a")/GETPIVOTDATA("Total-Old",'Distrib pivot table'!$C$2,"state","TX"),"*"))</f>
        <v>0</v>
      </c>
      <c r="S38" s="575">
        <f>IF((GETPIVOTDATA("Total-Old",'Distrib pivot table'!$C$2,"state","VA","group","2d1a")/GETPIVOTDATA("Total-Old",'Distrib pivot table'!$C$2,"state","VA"))=0,,IF(GETPIVOTDATA("Total-Old",'Distrib pivot table'!$C$2,"state","VA","group","2d1a")/GETPIVOTDATA("Total-Old",'Distrib pivot table'!$C$2,"state","VA")&gt;0.0005,GETPIVOTDATA("Total-Old",'Distrib pivot table'!$C$2,"state","VA","group","2d1a")/GETPIVOTDATA("Total-Old",'Distrib pivot table'!$C$2,"state","VA"),"*"))</f>
        <v>0</v>
      </c>
      <c r="T38" s="575">
        <f>IF((GETPIVOTDATA("Total-Old",'Distrib pivot table'!$C$2,"state","WV","group","2d1a")/GETPIVOTDATA("Total-Old",'Distrib pivot table'!$C$2,"state","WV"))=0,,IF(GETPIVOTDATA("Total-Old",'Distrib pivot table'!$C$2,"state","WV","group","2d1a")/GETPIVOTDATA("Total-Old",'Distrib pivot table'!$C$2,"state","WV")&gt;0.0005,GETPIVOTDATA("Total-Old",'Distrib pivot table'!$C$2,"state","WV","group","2d1a")/GETPIVOTDATA("Total-Old",'Distrib pivot table'!$C$2,"state","WV"),"*"))</f>
        <v>0</v>
      </c>
      <c r="U38" s="576"/>
      <c r="V38" s="576"/>
      <c r="W38" s="576"/>
      <c r="X38" s="576"/>
      <c r="Y38" s="576"/>
      <c r="Z38" s="576"/>
      <c r="AA38" s="576"/>
      <c r="AB38" s="576"/>
      <c r="AC38" s="576"/>
      <c r="AD38" s="576"/>
      <c r="AE38" s="576"/>
      <c r="AF38" s="576"/>
      <c r="AG38" s="576"/>
      <c r="AH38" s="576"/>
      <c r="AI38" s="576"/>
      <c r="AJ38" s="576"/>
      <c r="AK38" s="576"/>
      <c r="AL38" s="576"/>
      <c r="AM38" s="576"/>
      <c r="AN38" s="576"/>
      <c r="AO38" s="576"/>
      <c r="AP38" s="576"/>
      <c r="AQ38" s="576"/>
      <c r="AR38" s="576"/>
      <c r="AS38" s="576"/>
      <c r="AT38" s="576"/>
      <c r="AU38" s="576"/>
      <c r="AV38" s="576"/>
      <c r="AW38" s="576"/>
      <c r="AX38" s="576"/>
    </row>
    <row r="39" spans="1:50" ht="12.65" customHeight="1">
      <c r="A39" s="1225"/>
      <c r="B39" s="573" t="s">
        <v>167</v>
      </c>
      <c r="C39" s="589" t="s">
        <v>166</v>
      </c>
      <c r="D39" s="575">
        <f>IF(GETPIVOTDATA("Total-Old",'Distrib pivot table'!$C$2,"group","2d1b")/GETPIVOTDATA("Total-Old",'Distrib pivot table'!$C$2)=0,,IF(GETPIVOTDATA("Total-Old",'Distrib pivot table'!$C$2,"group","2d1b")/GETPIVOTDATA("Total-Old",'Distrib pivot table'!$C$2)&gt;0.0005,GETPIVOTDATA("Total-Old",'Distrib pivot table'!$C$2,"group","2d1b")/GETPIVOTDATA("Total-Old",'Distrib pivot table'!$C$2),"*"))</f>
        <v>7.6159885237715675E-4</v>
      </c>
      <c r="E39" s="575">
        <f>IF((GETPIVOTDATA("Total-Old",'Distrib pivot table'!$C$2,"state","AL","group","2d1b")/GETPIVOTDATA("Total-Old",'Distrib pivot table'!$C$2,"state","AL"))=0,,IF(GETPIVOTDATA("Total-Old",'Distrib pivot table'!$C$2,"state","AL","group","2d1b")/GETPIVOTDATA("Total-Old",'Distrib pivot table'!$C$2,"state","AL")&gt;0.0005,GETPIVOTDATA("Total-Old",'Distrib pivot table'!$C$2,"state","AL","group","2d1b")/GETPIVOTDATA("Total-Old",'Distrib pivot table'!$C$2,"state","AL"),"*"))</f>
        <v>5.0976413561330488E-4</v>
      </c>
      <c r="F39" s="575" t="str">
        <f>IF((GETPIVOTDATA("Total-Old",'Distrib pivot table'!$C$2,"state","AR","group","2d1b")/GETPIVOTDATA("Total-Old",'Distrib pivot table'!$C$2,"state","AR"))=0,,IF(GETPIVOTDATA("Total-Old",'Distrib pivot table'!$C$2,"state","AR","group","2d1b")/GETPIVOTDATA("Total-Old",'Distrib pivot table'!$C$2,"state","AR")&gt;0.0005,GETPIVOTDATA("Total-Old",'Distrib pivot table'!$C$2,"state","AR","group","2d1b")/GETPIVOTDATA("Total-Old",'Distrib pivot table'!$C$2,"state","AR"),"*"))</f>
        <v>*</v>
      </c>
      <c r="G39" s="575">
        <f>IF((GETPIVOTDATA("Total-Old",'Distrib pivot table'!$C$2,"state","DE","group","2d1b")/GETPIVOTDATA("Total-Old",'Distrib pivot table'!$C$2,"state","DE"))=0,,IF(GETPIVOTDATA("Total-Old",'Distrib pivot table'!$C$2,"state","DE","group","2d1b")/GETPIVOTDATA("Total-Old",'Distrib pivot table'!$C$2,"state","DE")&gt;0.0005,GETPIVOTDATA("Total-Old",'Distrib pivot table'!$C$2,"state","DE","group","2d1b")/GETPIVOTDATA("Total-Old",'Distrib pivot table'!$C$2,"state","DE"),"*"))</f>
        <v>2.2830729565768686E-3</v>
      </c>
      <c r="H39" s="575">
        <f>IF((GETPIVOTDATA("Total-Old",'Distrib pivot table'!$C$2,"state","FL","group","2d1b")/GETPIVOTDATA("Total-Old",'Distrib pivot table'!$C$2,"state","FL"))=0,,IF(GETPIVOTDATA("Total-Old",'Distrib pivot table'!$C$2,"state","FL","group","2d1b")/GETPIVOTDATA("Total-Old",'Distrib pivot table'!$C$2,"state","FL")&gt;0.0005,GETPIVOTDATA("Total-Old",'Distrib pivot table'!$C$2,"state","FL","group","2d1b")/GETPIVOTDATA("Total-Old",'Distrib pivot table'!$C$2,"state","FL"),"*"))</f>
        <v>0</v>
      </c>
      <c r="I39" s="575">
        <f>IF((GETPIVOTDATA("Total-Old",'Distrib pivot table'!$C$2,"state","GA","group","2d1b")/GETPIVOTDATA("Total-Old",'Distrib pivot table'!$C$2,"state","GA"))=0,,IF(GETPIVOTDATA("Total-Old",'Distrib pivot table'!$C$2,"state","GA","group","2d1b")/GETPIVOTDATA("Total-Old",'Distrib pivot table'!$C$2,"state","GA")&gt;0.0005,GETPIVOTDATA("Total-Old",'Distrib pivot table'!$C$2,"state","GA","group","2d1b")/GETPIVOTDATA("Total-Old",'Distrib pivot table'!$C$2,"state","GA"),"*"))</f>
        <v>0</v>
      </c>
      <c r="J39" s="575">
        <f>IF((GETPIVOTDATA("Total-Old",'Distrib pivot table'!$C$2,"state","KY","group","2d1b")/GETPIVOTDATA("Total-Old",'Distrib pivot table'!$C$2,"state","KY"))=0,,IF(GETPIVOTDATA("Total-Old",'Distrib pivot table'!$C$2,"state","KY","group","2d1b")/GETPIVOTDATA("Total-Old",'Distrib pivot table'!$C$2,"state","KY")&gt;0.0005,GETPIVOTDATA("Total-Old",'Distrib pivot table'!$C$2,"state","KY","group","2d1b")/GETPIVOTDATA("Total-Old",'Distrib pivot table'!$C$2,"state","KY"),"*"))</f>
        <v>0</v>
      </c>
      <c r="K39" s="575">
        <f>IF((GETPIVOTDATA("Total-Old",'Distrib pivot table'!$C$2,"state","LA","group","2d1b")/GETPIVOTDATA("Total-Old",'Distrib pivot table'!$C$2,"state","LA"))=0,,IF(GETPIVOTDATA("Total-Old",'Distrib pivot table'!$C$2,"state","LA","group","2d1b")/GETPIVOTDATA("Total-Old",'Distrib pivot table'!$C$2,"state","LA")&gt;0.0005,GETPIVOTDATA("Total-Old",'Distrib pivot table'!$C$2,"state","LA","group","2d1b")/GETPIVOTDATA("Total-Old",'Distrib pivot table'!$C$2,"state","LA"),"*"))</f>
        <v>0</v>
      </c>
      <c r="L39" s="575" t="str">
        <f>IF((GETPIVOTDATA("Total-Old",'Distrib pivot table'!$C$2,"state","MD","group","2d1b")/GETPIVOTDATA("Total-Old",'Distrib pivot table'!$C$2,"state","MD"))=0,,IF(GETPIVOTDATA("Total-Old",'Distrib pivot table'!$C$2,"state","MD","group","2d1b")/GETPIVOTDATA("Total-Old",'Distrib pivot table'!$C$2,"state","MD")&gt;0.0005,GETPIVOTDATA("Total-Old",'Distrib pivot table'!$C$2,"state","MD","group","2d1b")/GETPIVOTDATA("Total-Old",'Distrib pivot table'!$C$2,"state","MD"),"*"))</f>
        <v>*</v>
      </c>
      <c r="M39" s="575">
        <f>IF((GETPIVOTDATA("Total-Old",'Distrib pivot table'!$C$2,"state","MS","group","2d1b")/GETPIVOTDATA("Total-Old",'Distrib pivot table'!$C$2,"state","MS"))=0,,IF(GETPIVOTDATA("Total-Old",'Distrib pivot table'!$C$2,"state","MS","group","2d1b")/GETPIVOTDATA("Total-Old",'Distrib pivot table'!$C$2,"state","MS")&gt;0.0005,GETPIVOTDATA("Total-Old",'Distrib pivot table'!$C$2,"state","MS","group","2d1b")/GETPIVOTDATA("Total-Old",'Distrib pivot table'!$C$2,"state","MS"),"*"))</f>
        <v>0</v>
      </c>
      <c r="N39" s="575">
        <f>IF((GETPIVOTDATA("Total-Old",'Distrib pivot table'!$C$2,"state","NC","group","2d1b")/GETPIVOTDATA("Total-Old",'Distrib pivot table'!$C$2,"state","NC"))=0,,IF(GETPIVOTDATA("Total-Old",'Distrib pivot table'!$C$2,"state","NC","group","2d1b")/GETPIVOTDATA("Total-Old",'Distrib pivot table'!$C$2,"state","NC")&gt;0.0005,GETPIVOTDATA("Total-Old",'Distrib pivot table'!$C$2,"state","NC","group","2d1b")/GETPIVOTDATA("Total-Old",'Distrib pivot table'!$C$2,"state","NC"),"*"))</f>
        <v>3.9201955352111692E-3</v>
      </c>
      <c r="O39" s="575">
        <f>IF((GETPIVOTDATA("Total-Old",'Distrib pivot table'!$C$2,"state","OK","group","2d1b")/GETPIVOTDATA("Total-Old",'Distrib pivot table'!$C$2,"state","OK"))=0,,IF(GETPIVOTDATA("Total-Old",'Distrib pivot table'!$C$2,"state","OK","group","2d1b")/GETPIVOTDATA("Total-Old",'Distrib pivot table'!$C$2,"state","OK")&gt;0.0005,GETPIVOTDATA("Total-Old",'Distrib pivot table'!$C$2,"state","OK","group","2d1b")/GETPIVOTDATA("Total-Old",'Distrib pivot table'!$C$2,"state","OK"),"*"))</f>
        <v>0</v>
      </c>
      <c r="P39" s="575">
        <f>IF((GETPIVOTDATA("Total-Old",'Distrib pivot table'!$C$2,"state","SC","group","2d1b")/GETPIVOTDATA("Total-Old",'Distrib pivot table'!$C$2,"state","SC"))=0,,IF(GETPIVOTDATA("Total-Old",'Distrib pivot table'!$C$2,"state","SC","group","2d1b")/GETPIVOTDATA("Total-Old",'Distrib pivot table'!$C$2,"state","SC")&gt;0.0005,GETPIVOTDATA("Total-Old",'Distrib pivot table'!$C$2,"state","SC","group","2d1b")/GETPIVOTDATA("Total-Old",'Distrib pivot table'!$C$2,"state","SC"),"*"))</f>
        <v>0</v>
      </c>
      <c r="Q39" s="575">
        <f>IF((GETPIVOTDATA("Total-Old",'Distrib pivot table'!$C$2,"state","TN","group","2d1b")/GETPIVOTDATA("Total-Old",'Distrib pivot table'!$C$2,"state","TN"))=0,,IF(GETPIVOTDATA("Total-Old",'Distrib pivot table'!$C$2,"state","TN","group","2d1b")/GETPIVOTDATA("Total-Old",'Distrib pivot table'!$C$2,"state","TN")&gt;0.0005,GETPIVOTDATA("Total-Old",'Distrib pivot table'!$C$2,"state","TN","group","2d1b")/GETPIVOTDATA("Total-Old",'Distrib pivot table'!$C$2,"state","TN"),"*"))</f>
        <v>0</v>
      </c>
      <c r="R39" s="575">
        <f>IF((GETPIVOTDATA("Total-Old",'Distrib pivot table'!$C$2,"state","TX","group","2d1b")/GETPIVOTDATA("Total-Old",'Distrib pivot table'!$C$2,"state","TX"))=0,,IF(GETPIVOTDATA("Total-Old",'Distrib pivot table'!$C$2,"state","TX","group","2d1b")/GETPIVOTDATA("Total-Old",'Distrib pivot table'!$C$2,"state","TX")&gt;0.0005,GETPIVOTDATA("Total-Old",'Distrib pivot table'!$C$2,"state","TX","group","2d1b")/GETPIVOTDATA("Total-Old",'Distrib pivot table'!$C$2,"state","TX"),"*"))</f>
        <v>1.1914931992769951E-3</v>
      </c>
      <c r="S39" s="575">
        <f>IF((GETPIVOTDATA("Total-Old",'Distrib pivot table'!$C$2,"state","VA","group","2d1b")/GETPIVOTDATA("Total-Old",'Distrib pivot table'!$C$2,"state","VA"))=0,,IF(GETPIVOTDATA("Total-Old",'Distrib pivot table'!$C$2,"state","VA","group","2d1b")/GETPIVOTDATA("Total-Old",'Distrib pivot table'!$C$2,"state","VA")&gt;0.0005,GETPIVOTDATA("Total-Old",'Distrib pivot table'!$C$2,"state","VA","group","2d1b")/GETPIVOTDATA("Total-Old",'Distrib pivot table'!$C$2,"state","VA"),"*"))</f>
        <v>0</v>
      </c>
      <c r="T39" s="575">
        <f>IF((GETPIVOTDATA("Total-Old",'Distrib pivot table'!$C$2,"state","WV","group","2d1b")/GETPIVOTDATA("Total-Old",'Distrib pivot table'!$C$2,"state","WV"))=0,,IF(GETPIVOTDATA("Total-Old",'Distrib pivot table'!$C$2,"state","WV","group","2d1b")/GETPIVOTDATA("Total-Old",'Distrib pivot table'!$C$2,"state","WV")&gt;0.0005,GETPIVOTDATA("Total-Old",'Distrib pivot table'!$C$2,"state","WV","group","2d1b")/GETPIVOTDATA("Total-Old",'Distrib pivot table'!$C$2,"state","WV"),"*"))</f>
        <v>0</v>
      </c>
      <c r="U39" s="576"/>
      <c r="V39" s="576"/>
      <c r="W39" s="576"/>
      <c r="X39" s="576"/>
      <c r="Y39" s="576"/>
      <c r="Z39" s="576"/>
      <c r="AA39" s="576"/>
      <c r="AB39" s="576"/>
      <c r="AC39" s="576"/>
      <c r="AD39" s="576"/>
      <c r="AE39" s="576"/>
      <c r="AF39" s="576"/>
      <c r="AG39" s="576"/>
      <c r="AH39" s="576"/>
      <c r="AI39" s="576"/>
      <c r="AJ39" s="576"/>
      <c r="AK39" s="576"/>
      <c r="AL39" s="576"/>
      <c r="AM39" s="576"/>
      <c r="AN39" s="576"/>
      <c r="AO39" s="576"/>
      <c r="AP39" s="576"/>
      <c r="AQ39" s="576"/>
      <c r="AR39" s="576"/>
      <c r="AS39" s="576"/>
      <c r="AT39" s="576"/>
      <c r="AU39" s="576"/>
      <c r="AV39" s="576"/>
      <c r="AW39" s="576"/>
      <c r="AX39" s="576"/>
    </row>
    <row r="40" spans="1:50" ht="12.65" customHeight="1">
      <c r="A40" s="1225"/>
      <c r="B40" s="573" t="s">
        <v>313</v>
      </c>
      <c r="C40" s="589" t="s">
        <v>170</v>
      </c>
      <c r="D40" s="575" t="str">
        <f>IF(GETPIVOTDATA("Total-Old",'Distrib pivot table'!$C$2,"group","2d1c")/GETPIVOTDATA("Total-Old",'Distrib pivot table'!$C$2)=0,,IF(GETPIVOTDATA("Total-Old",'Distrib pivot table'!$C$2,"group","2d1c")/GETPIVOTDATA("Total-Old",'Distrib pivot table'!$C$2)&gt;0.0005,GETPIVOTDATA("Total-Old",'Distrib pivot table'!$C$2,"group","2d1c")/GETPIVOTDATA("Total-Old",'Distrib pivot table'!$C$2),"*"))</f>
        <v>*</v>
      </c>
      <c r="E40" s="575" t="str">
        <f>IF((GETPIVOTDATA("Total-Old",'Distrib pivot table'!$C$2,"state","AL","group","2d1c")/GETPIVOTDATA("Total-Old",'Distrib pivot table'!$C$2,"state","AL"))=0,,IF(GETPIVOTDATA("Total-Old",'Distrib pivot table'!$C$2,"state","AL","group","2d1c")/GETPIVOTDATA("Total-Old",'Distrib pivot table'!$C$2,"state","AL")&gt;0.0005,GETPIVOTDATA("Total-Old",'Distrib pivot table'!$C$2,"state","AL","group","2d1c")/GETPIVOTDATA("Total-Old",'Distrib pivot table'!$C$2,"state","AL"),"*"))</f>
        <v>*</v>
      </c>
      <c r="F40" s="575">
        <f>IF((GETPIVOTDATA("Total-Old",'Distrib pivot table'!$C$2,"state","AR","group","2d1c")/GETPIVOTDATA("Total-Old",'Distrib pivot table'!$C$2,"state","AR"))=0,,IF(GETPIVOTDATA("Total-Old",'Distrib pivot table'!$C$2,"state","AR","group","2d1c")/GETPIVOTDATA("Total-Old",'Distrib pivot table'!$C$2,"state","AR")&gt;0.0005,GETPIVOTDATA("Total-Old",'Distrib pivot table'!$C$2,"state","AR","group","2d1c")/GETPIVOTDATA("Total-Old",'Distrib pivot table'!$C$2,"state","AR"),"*"))</f>
        <v>7.5713043575020085E-4</v>
      </c>
      <c r="G40" s="575">
        <f>IF((GETPIVOTDATA("Total-Old",'Distrib pivot table'!$C$2,"state","DE","group","2d1c")/GETPIVOTDATA("Total-Old",'Distrib pivot table'!$C$2,"state","DE"))=0,,IF(GETPIVOTDATA("Total-Old",'Distrib pivot table'!$C$2,"state","DE","group","2d1c")/GETPIVOTDATA("Total-Old",'Distrib pivot table'!$C$2,"state","DE")&gt;0.0005,GETPIVOTDATA("Total-Old",'Distrib pivot table'!$C$2,"state","DE","group","2d1c")/GETPIVOTDATA("Total-Old",'Distrib pivot table'!$C$2,"state","DE"),"*"))</f>
        <v>0</v>
      </c>
      <c r="H40" s="575">
        <f>IF((GETPIVOTDATA("Total-Old",'Distrib pivot table'!$C$2,"state","FL","group","2d1c")/GETPIVOTDATA("Total-Old",'Distrib pivot table'!$C$2,"state","FL"))=0,,IF(GETPIVOTDATA("Total-Old",'Distrib pivot table'!$C$2,"state","FL","group","2d1c")/GETPIVOTDATA("Total-Old",'Distrib pivot table'!$C$2,"state","FL")&gt;0.0005,GETPIVOTDATA("Total-Old",'Distrib pivot table'!$C$2,"state","FL","group","2d1c")/GETPIVOTDATA("Total-Old",'Distrib pivot table'!$C$2,"state","FL"),"*"))</f>
        <v>0</v>
      </c>
      <c r="I40" s="575">
        <f>IF((GETPIVOTDATA("Total-Old",'Distrib pivot table'!$C$2,"state","GA","group","2d1c")/GETPIVOTDATA("Total-Old",'Distrib pivot table'!$C$2,"state","GA"))=0,,IF(GETPIVOTDATA("Total-Old",'Distrib pivot table'!$C$2,"state","GA","group","2d1c")/GETPIVOTDATA("Total-Old",'Distrib pivot table'!$C$2,"state","GA")&gt;0.0005,GETPIVOTDATA("Total-Old",'Distrib pivot table'!$C$2,"state","GA","group","2d1c")/GETPIVOTDATA("Total-Old",'Distrib pivot table'!$C$2,"state","GA"),"*"))</f>
        <v>0</v>
      </c>
      <c r="J40" s="575">
        <f>IF((GETPIVOTDATA("Total-Old",'Distrib pivot table'!$C$2,"state","KY","group","2d1c")/GETPIVOTDATA("Total-Old",'Distrib pivot table'!$C$2,"state","KY"))=0,,IF(GETPIVOTDATA("Total-Old",'Distrib pivot table'!$C$2,"state","KY","group","2d1c")/GETPIVOTDATA("Total-Old",'Distrib pivot table'!$C$2,"state","KY")&gt;0.0005,GETPIVOTDATA("Total-Old",'Distrib pivot table'!$C$2,"state","KY","group","2d1c")/GETPIVOTDATA("Total-Old",'Distrib pivot table'!$C$2,"state","KY"),"*"))</f>
        <v>0</v>
      </c>
      <c r="K40" s="575">
        <f>IF((GETPIVOTDATA("Total-Old",'Distrib pivot table'!$C$2,"state","LA","group","2d1c")/GETPIVOTDATA("Total-Old",'Distrib pivot table'!$C$2,"state","LA"))=0,,IF(GETPIVOTDATA("Total-Old",'Distrib pivot table'!$C$2,"state","LA","group","2d1c")/GETPIVOTDATA("Total-Old",'Distrib pivot table'!$C$2,"state","LA")&gt;0.0005,GETPIVOTDATA("Total-Old",'Distrib pivot table'!$C$2,"state","LA","group","2d1c")/GETPIVOTDATA("Total-Old",'Distrib pivot table'!$C$2,"state","LA"),"*"))</f>
        <v>0</v>
      </c>
      <c r="L40" s="575">
        <f>IF((GETPIVOTDATA("Total-Old",'Distrib pivot table'!$C$2,"state","MD","group","2d1c")/GETPIVOTDATA("Total-Old",'Distrib pivot table'!$C$2,"state","MD"))=0,,IF(GETPIVOTDATA("Total-Old",'Distrib pivot table'!$C$2,"state","MD","group","2d1c")/GETPIVOTDATA("Total-Old",'Distrib pivot table'!$C$2,"state","MD")&gt;0.0005,GETPIVOTDATA("Total-Old",'Distrib pivot table'!$C$2,"state","MD","group","2d1c")/GETPIVOTDATA("Total-Old",'Distrib pivot table'!$C$2,"state","MD"),"*"))</f>
        <v>0</v>
      </c>
      <c r="M40" s="575">
        <f>IF((GETPIVOTDATA("Total-Old",'Distrib pivot table'!$C$2,"state","MS","group","2d1c")/GETPIVOTDATA("Total-Old",'Distrib pivot table'!$C$2,"state","MS"))=0,,IF(GETPIVOTDATA("Total-Old",'Distrib pivot table'!$C$2,"state","MS","group","2d1c")/GETPIVOTDATA("Total-Old",'Distrib pivot table'!$C$2,"state","MS")&gt;0.0005,GETPIVOTDATA("Total-Old",'Distrib pivot table'!$C$2,"state","MS","group","2d1c")/GETPIVOTDATA("Total-Old",'Distrib pivot table'!$C$2,"state","MS"),"*"))</f>
        <v>0</v>
      </c>
      <c r="N40" s="575">
        <f>IF((GETPIVOTDATA("Total-Old",'Distrib pivot table'!$C$2,"state","NC","group","2d1c")/GETPIVOTDATA("Total-Old",'Distrib pivot table'!$C$2,"state","NC"))=0,,IF(GETPIVOTDATA("Total-Old",'Distrib pivot table'!$C$2,"state","NC","group","2d1c")/GETPIVOTDATA("Total-Old",'Distrib pivot table'!$C$2,"state","NC")&gt;0.0005,GETPIVOTDATA("Total-Old",'Distrib pivot table'!$C$2,"state","NC","group","2d1c")/GETPIVOTDATA("Total-Old",'Distrib pivot table'!$C$2,"state","NC"),"*"))</f>
        <v>0</v>
      </c>
      <c r="O40" s="575">
        <f>IF((GETPIVOTDATA("Total-Old",'Distrib pivot table'!$C$2,"state","OK","group","2d1c")/GETPIVOTDATA("Total-Old",'Distrib pivot table'!$C$2,"state","OK"))=0,,IF(GETPIVOTDATA("Total-Old",'Distrib pivot table'!$C$2,"state","OK","group","2d1c")/GETPIVOTDATA("Total-Old",'Distrib pivot table'!$C$2,"state","OK")&gt;0.0005,GETPIVOTDATA("Total-Old",'Distrib pivot table'!$C$2,"state","OK","group","2d1c")/GETPIVOTDATA("Total-Old",'Distrib pivot table'!$C$2,"state","OK"),"*"))</f>
        <v>0</v>
      </c>
      <c r="P40" s="575">
        <f>IF((GETPIVOTDATA("Total-Old",'Distrib pivot table'!$C$2,"state","SC","group","2d1c")/GETPIVOTDATA("Total-Old",'Distrib pivot table'!$C$2,"state","SC"))=0,,IF(GETPIVOTDATA("Total-Old",'Distrib pivot table'!$C$2,"state","SC","group","2d1c")/GETPIVOTDATA("Total-Old",'Distrib pivot table'!$C$2,"state","SC")&gt;0.0005,GETPIVOTDATA("Total-Old",'Distrib pivot table'!$C$2,"state","SC","group","2d1c")/GETPIVOTDATA("Total-Old",'Distrib pivot table'!$C$2,"state","SC"),"*"))</f>
        <v>0</v>
      </c>
      <c r="Q40" s="575">
        <f>IF((GETPIVOTDATA("Total-Old",'Distrib pivot table'!$C$2,"state","TN","group","2d1c")/GETPIVOTDATA("Total-Old",'Distrib pivot table'!$C$2,"state","TN"))=0,,IF(GETPIVOTDATA("Total-Old",'Distrib pivot table'!$C$2,"state","TN","group","2d1c")/GETPIVOTDATA("Total-Old",'Distrib pivot table'!$C$2,"state","TN")&gt;0.0005,GETPIVOTDATA("Total-Old",'Distrib pivot table'!$C$2,"state","TN","group","2d1c")/GETPIVOTDATA("Total-Old",'Distrib pivot table'!$C$2,"state","TN"),"*"))</f>
        <v>0</v>
      </c>
      <c r="R40" s="575">
        <f>IF((GETPIVOTDATA("Total-Old",'Distrib pivot table'!$C$2,"state","TX","group","2d1c")/GETPIVOTDATA("Total-Old",'Distrib pivot table'!$C$2,"state","TX"))=0,,IF(GETPIVOTDATA("Total-Old",'Distrib pivot table'!$C$2,"state","TX","group","2d1c")/GETPIVOTDATA("Total-Old",'Distrib pivot table'!$C$2,"state","TX")&gt;0.0005,GETPIVOTDATA("Total-Old",'Distrib pivot table'!$C$2,"state","TX","group","2d1c")/GETPIVOTDATA("Total-Old",'Distrib pivot table'!$C$2,"state","TX"),"*"))</f>
        <v>0</v>
      </c>
      <c r="S40" s="575">
        <f>IF((GETPIVOTDATA("Total-Old",'Distrib pivot table'!$C$2,"state","VA","group","2d1c")/GETPIVOTDATA("Total-Old",'Distrib pivot table'!$C$2,"state","VA"))=0,,IF(GETPIVOTDATA("Total-Old",'Distrib pivot table'!$C$2,"state","VA","group","2d1c")/GETPIVOTDATA("Total-Old",'Distrib pivot table'!$C$2,"state","VA")&gt;0.0005,GETPIVOTDATA("Total-Old",'Distrib pivot table'!$C$2,"state","VA","group","2d1c")/GETPIVOTDATA("Total-Old",'Distrib pivot table'!$C$2,"state","VA"),"*"))</f>
        <v>0</v>
      </c>
      <c r="T40" s="575">
        <f>IF((GETPIVOTDATA("Total-Old",'Distrib pivot table'!$C$2,"state","WV","group","2d1c")/GETPIVOTDATA("Total-Old",'Distrib pivot table'!$C$2,"state","WV"))=0,,IF(GETPIVOTDATA("Total-Old",'Distrib pivot table'!$C$2,"state","WV","group","2d1c")/GETPIVOTDATA("Total-Old",'Distrib pivot table'!$C$2,"state","WV")&gt;0.0005,GETPIVOTDATA("Total-Old",'Distrib pivot table'!$C$2,"state","WV","group","2d1c")/GETPIVOTDATA("Total-Old",'Distrib pivot table'!$C$2,"state","WV"),"*"))</f>
        <v>0</v>
      </c>
      <c r="U40" s="576"/>
      <c r="V40" s="576"/>
      <c r="W40" s="576"/>
      <c r="X40" s="576"/>
      <c r="Y40" s="576"/>
      <c r="Z40" s="576"/>
      <c r="AA40" s="576"/>
      <c r="AB40" s="576"/>
      <c r="AC40" s="576"/>
      <c r="AD40" s="576"/>
      <c r="AE40" s="576"/>
      <c r="AF40" s="576"/>
      <c r="AG40" s="576"/>
      <c r="AH40" s="576"/>
      <c r="AI40" s="576"/>
      <c r="AJ40" s="576"/>
      <c r="AK40" s="576"/>
      <c r="AL40" s="576"/>
      <c r="AM40" s="576"/>
      <c r="AN40" s="576"/>
      <c r="AO40" s="576"/>
      <c r="AP40" s="576"/>
      <c r="AQ40" s="576"/>
      <c r="AR40" s="576"/>
      <c r="AS40" s="576"/>
      <c r="AT40" s="576"/>
      <c r="AU40" s="576"/>
      <c r="AV40" s="576"/>
      <c r="AW40" s="576"/>
      <c r="AX40" s="576"/>
    </row>
    <row r="41" spans="1:50" ht="12.65" customHeight="1">
      <c r="A41" s="1225"/>
      <c r="B41" s="573" t="s">
        <v>165</v>
      </c>
      <c r="C41" s="589" t="s">
        <v>172</v>
      </c>
      <c r="D41" s="575">
        <f>IF(GETPIVOTDATA("Total-Old",'Distrib pivot table'!$C$2,"group","2d1c1")/GETPIVOTDATA("Total-Old",'Distrib pivot table'!$C$2)=0,,IF(GETPIVOTDATA("Total-Old",'Distrib pivot table'!$C$2,"group","2d1c1")/GETPIVOTDATA("Total-Old",'Distrib pivot table'!$C$2)&gt;0.0005,GETPIVOTDATA("Total-Old",'Distrib pivot table'!$C$2,"group","2d1c1")/GETPIVOTDATA("Total-Old",'Distrib pivot table'!$C$2),"*"))</f>
        <v>6.3874991004254002E-3</v>
      </c>
      <c r="E41" s="575">
        <f>IF((GETPIVOTDATA("Total-Old",'Distrib pivot table'!$C$2,"state","AL","group","2d1c1")/GETPIVOTDATA("Total-Old",'Distrib pivot table'!$C$2,"state","AL"))=0,,IF(GETPIVOTDATA("Total-Old",'Distrib pivot table'!$C$2,"state","AL","group","2d1c1")/GETPIVOTDATA("Total-Old",'Distrib pivot table'!$C$2,"state","AL")&gt;0.0005,GETPIVOTDATA("Total-Old",'Distrib pivot table'!$C$2,"state","AL","group","2d1c1")/GETPIVOTDATA("Total-Old",'Distrib pivot table'!$C$2,"state","AL"),"*"))</f>
        <v>1.0045322651368218E-3</v>
      </c>
      <c r="F41" s="575" t="str">
        <f>IF((GETPIVOTDATA("Total-Old",'Distrib pivot table'!$C$2,"state","AR","group","2d1c1")/GETPIVOTDATA("Total-Old",'Distrib pivot table'!$C$2,"state","AR"))=0,,IF(GETPIVOTDATA("Total-Old",'Distrib pivot table'!$C$2,"state","AR","group","2d1c1")/GETPIVOTDATA("Total-Old",'Distrib pivot table'!$C$2,"state","AR")&gt;0.0005,GETPIVOTDATA("Total-Old",'Distrib pivot table'!$C$2,"state","AR","group","2d1c1")/GETPIVOTDATA("Total-Old",'Distrib pivot table'!$C$2,"state","AR"),"*"))</f>
        <v>*</v>
      </c>
      <c r="G41" s="575">
        <f>IF((GETPIVOTDATA("Total-Old",'Distrib pivot table'!$C$2,"state","DE","group","2d1c1")/GETPIVOTDATA("Total-Old",'Distrib pivot table'!$C$2,"state","DE"))=0,,IF(GETPIVOTDATA("Total-Old",'Distrib pivot table'!$C$2,"state","DE","group","2d1c1")/GETPIVOTDATA("Total-Old",'Distrib pivot table'!$C$2,"state","DE")&gt;0.0005,GETPIVOTDATA("Total-Old",'Distrib pivot table'!$C$2,"state","DE","group","2d1c1")/GETPIVOTDATA("Total-Old",'Distrib pivot table'!$C$2,"state","DE"),"*"))</f>
        <v>5.6543549812549255E-4</v>
      </c>
      <c r="H41" s="575">
        <f>IF((GETPIVOTDATA("Total-Old",'Distrib pivot table'!$C$2,"state","FL","group","2d1c1")/GETPIVOTDATA("Total-Old",'Distrib pivot table'!$C$2,"state","FL"))=0,,IF(GETPIVOTDATA("Total-Old",'Distrib pivot table'!$C$2,"state","FL","group","2d1c1")/GETPIVOTDATA("Total-Old",'Distrib pivot table'!$C$2,"state","FL")&gt;0.0005,GETPIVOTDATA("Total-Old",'Distrib pivot table'!$C$2,"state","FL","group","2d1c1")/GETPIVOTDATA("Total-Old",'Distrib pivot table'!$C$2,"state","FL"),"*"))</f>
        <v>0</v>
      </c>
      <c r="I41" s="575">
        <f>IF((GETPIVOTDATA("Total-Old",'Distrib pivot table'!$C$2,"state","GA","group","2d1c1")/GETPIVOTDATA("Total-Old",'Distrib pivot table'!$C$2,"state","GA"))=0,,IF(GETPIVOTDATA("Total-Old",'Distrib pivot table'!$C$2,"state","GA","group","2d1c1")/GETPIVOTDATA("Total-Old",'Distrib pivot table'!$C$2,"state","GA")&gt;0.0005,GETPIVOTDATA("Total-Old",'Distrib pivot table'!$C$2,"state","GA","group","2d1c1")/GETPIVOTDATA("Total-Old",'Distrib pivot table'!$C$2,"state","GA"),"*"))</f>
        <v>0</v>
      </c>
      <c r="J41" s="575">
        <f>IF((GETPIVOTDATA("Total-Old",'Distrib pivot table'!$C$2,"state","KY","group","2d1c1")/GETPIVOTDATA("Total-Old",'Distrib pivot table'!$C$2,"state","KY"))=0,,IF(GETPIVOTDATA("Total-Old",'Distrib pivot table'!$C$2,"state","KY","group","2d1c1")/GETPIVOTDATA("Total-Old",'Distrib pivot table'!$C$2,"state","KY")&gt;0.0005,GETPIVOTDATA("Total-Old",'Distrib pivot table'!$C$2,"state","KY","group","2d1c1")/GETPIVOTDATA("Total-Old",'Distrib pivot table'!$C$2,"state","KY"),"*"))</f>
        <v>2.4998998269057559E-2</v>
      </c>
      <c r="K41" s="575">
        <f>IF((GETPIVOTDATA("Total-Old",'Distrib pivot table'!$C$2,"state","LA","group","2d1c1")/GETPIVOTDATA("Total-Old",'Distrib pivot table'!$C$2,"state","LA"))=0,,IF(GETPIVOTDATA("Total-Old",'Distrib pivot table'!$C$2,"state","LA","group","2d1c1")/GETPIVOTDATA("Total-Old",'Distrib pivot table'!$C$2,"state","LA")&gt;0.0005,GETPIVOTDATA("Total-Old",'Distrib pivot table'!$C$2,"state","LA","group","2d1c1")/GETPIVOTDATA("Total-Old",'Distrib pivot table'!$C$2,"state","LA"),"*"))</f>
        <v>9.8381116514744543E-3</v>
      </c>
      <c r="L41" s="575">
        <f>IF((GETPIVOTDATA("Total-Old",'Distrib pivot table'!$C$2,"state","MD","group","2d1c1")/GETPIVOTDATA("Total-Old",'Distrib pivot table'!$C$2,"state","MD"))=0,,IF(GETPIVOTDATA("Total-Old",'Distrib pivot table'!$C$2,"state","MD","group","2d1c1")/GETPIVOTDATA("Total-Old",'Distrib pivot table'!$C$2,"state","MD")&gt;0.0005,GETPIVOTDATA("Total-Old",'Distrib pivot table'!$C$2,"state","MD","group","2d1c1")/GETPIVOTDATA("Total-Old",'Distrib pivot table'!$C$2,"state","MD"),"*"))</f>
        <v>1.5511723920513592E-2</v>
      </c>
      <c r="M41" s="575">
        <f>IF((GETPIVOTDATA("Total-Old",'Distrib pivot table'!$C$2,"state","MS","group","2d1c1")/GETPIVOTDATA("Total-Old",'Distrib pivot table'!$C$2,"state","MS"))=0,,IF(GETPIVOTDATA("Total-Old",'Distrib pivot table'!$C$2,"state","MS","group","2d1c1")/GETPIVOTDATA("Total-Old",'Distrib pivot table'!$C$2,"state","MS")&gt;0.0005,GETPIVOTDATA("Total-Old",'Distrib pivot table'!$C$2,"state","MS","group","2d1c1")/GETPIVOTDATA("Total-Old",'Distrib pivot table'!$C$2,"state","MS"),"*"))</f>
        <v>1.5374443088408978E-2</v>
      </c>
      <c r="N41" s="575">
        <f>IF((GETPIVOTDATA("Total-Old",'Distrib pivot table'!$C$2,"state","NC","group","2d1c1")/GETPIVOTDATA("Total-Old",'Distrib pivot table'!$C$2,"state","NC"))=0,,IF(GETPIVOTDATA("Total-Old",'Distrib pivot table'!$C$2,"state","NC","group","2d1c1")/GETPIVOTDATA("Total-Old",'Distrib pivot table'!$C$2,"state","NC")&gt;0.0005,GETPIVOTDATA("Total-Old",'Distrib pivot table'!$C$2,"state","NC","group","2d1c1")/GETPIVOTDATA("Total-Old",'Distrib pivot table'!$C$2,"state","NC"),"*"))</f>
        <v>0</v>
      </c>
      <c r="O41" s="575">
        <f>IF((GETPIVOTDATA("Total-Old",'Distrib pivot table'!$C$2,"state","OK","group","2d1c1")/GETPIVOTDATA("Total-Old",'Distrib pivot table'!$C$2,"state","OK"))=0,,IF(GETPIVOTDATA("Total-Old",'Distrib pivot table'!$C$2,"state","OK","group","2d1c1")/GETPIVOTDATA("Total-Old",'Distrib pivot table'!$C$2,"state","OK")&gt;0.0005,GETPIVOTDATA("Total-Old",'Distrib pivot table'!$C$2,"state","OK","group","2d1c1")/GETPIVOTDATA("Total-Old",'Distrib pivot table'!$C$2,"state","OK"),"*"))</f>
        <v>0</v>
      </c>
      <c r="P41" s="575">
        <f>IF((GETPIVOTDATA("Total-Old",'Distrib pivot table'!$C$2,"state","SC","group","2d1c1")/GETPIVOTDATA("Total-Old",'Distrib pivot table'!$C$2,"state","SC"))=0,,IF(GETPIVOTDATA("Total-Old",'Distrib pivot table'!$C$2,"state","SC","group","2d1c1")/GETPIVOTDATA("Total-Old",'Distrib pivot table'!$C$2,"state","SC")&gt;0.0005,GETPIVOTDATA("Total-Old",'Distrib pivot table'!$C$2,"state","SC","group","2d1c1")/GETPIVOTDATA("Total-Old",'Distrib pivot table'!$C$2,"state","SC"),"*"))</f>
        <v>6.6014737982868126E-3</v>
      </c>
      <c r="Q41" s="575">
        <f>IF((GETPIVOTDATA("Total-Old",'Distrib pivot table'!$C$2,"state","TN","group","2d1c1")/GETPIVOTDATA("Total-Old",'Distrib pivot table'!$C$2,"state","TN"))=0,,IF(GETPIVOTDATA("Total-Old",'Distrib pivot table'!$C$2,"state","TN","group","2d1c1")/GETPIVOTDATA("Total-Old",'Distrib pivot table'!$C$2,"state","TN")&gt;0.0005,GETPIVOTDATA("Total-Old",'Distrib pivot table'!$C$2,"state","TN","group","2d1c1")/GETPIVOTDATA("Total-Old",'Distrib pivot table'!$C$2,"state","TN"),"*"))</f>
        <v>3.690128366203102E-2</v>
      </c>
      <c r="R41" s="575">
        <f>IF((GETPIVOTDATA("Total-Old",'Distrib pivot table'!$C$2,"state","TX","group","2d1c1")/GETPIVOTDATA("Total-Old",'Distrib pivot table'!$C$2,"state","TX"))=0,,IF(GETPIVOTDATA("Total-Old",'Distrib pivot table'!$C$2,"state","TX","group","2d1c1")/GETPIVOTDATA("Total-Old",'Distrib pivot table'!$C$2,"state","TX")&gt;0.0005,GETPIVOTDATA("Total-Old",'Distrib pivot table'!$C$2,"state","TX","group","2d1c1")/GETPIVOTDATA("Total-Old",'Distrib pivot table'!$C$2,"state","TX"),"*"))</f>
        <v>0</v>
      </c>
      <c r="S41" s="575">
        <f>IF((GETPIVOTDATA("Total-Old",'Distrib pivot table'!$C$2,"state","VA","group","2d1c1")/GETPIVOTDATA("Total-Old",'Distrib pivot table'!$C$2,"state","VA"))=0,,IF(GETPIVOTDATA("Total-Old",'Distrib pivot table'!$C$2,"state","VA","group","2d1c1")/GETPIVOTDATA("Total-Old",'Distrib pivot table'!$C$2,"state","VA")&gt;0.0005,GETPIVOTDATA("Total-Old",'Distrib pivot table'!$C$2,"state","VA","group","2d1c1")/GETPIVOTDATA("Total-Old",'Distrib pivot table'!$C$2,"state","VA"),"*"))</f>
        <v>0</v>
      </c>
      <c r="T41" s="575">
        <f>IF((GETPIVOTDATA("Total-Old",'Distrib pivot table'!$C$2,"state","WV","group","2d1c1")/GETPIVOTDATA("Total-Old",'Distrib pivot table'!$C$2,"state","WV"))=0,,IF(GETPIVOTDATA("Total-Old",'Distrib pivot table'!$C$2,"state","WV","group","2d1c1")/GETPIVOTDATA("Total-Old",'Distrib pivot table'!$C$2,"state","WV")&gt;0.0005,GETPIVOTDATA("Total-Old",'Distrib pivot table'!$C$2,"state","WV","group","2d1c1")/GETPIVOTDATA("Total-Old",'Distrib pivot table'!$C$2,"state","WV"),"*"))</f>
        <v>3.4944075671409211E-2</v>
      </c>
      <c r="U41" s="576"/>
      <c r="V41" s="576"/>
      <c r="W41" s="576"/>
      <c r="X41" s="576"/>
      <c r="Y41" s="576"/>
      <c r="Z41" s="576"/>
      <c r="AA41" s="576"/>
      <c r="AB41" s="576"/>
      <c r="AC41" s="576"/>
      <c r="AD41" s="576"/>
      <c r="AE41" s="576"/>
      <c r="AF41" s="576"/>
      <c r="AG41" s="576"/>
      <c r="AH41" s="576"/>
      <c r="AI41" s="576"/>
      <c r="AJ41" s="576"/>
      <c r="AK41" s="576"/>
      <c r="AL41" s="576"/>
      <c r="AM41" s="576"/>
      <c r="AN41" s="576"/>
      <c r="AO41" s="576"/>
      <c r="AP41" s="576"/>
      <c r="AQ41" s="576"/>
      <c r="AR41" s="576"/>
      <c r="AS41" s="576"/>
      <c r="AT41" s="576"/>
      <c r="AU41" s="576"/>
      <c r="AV41" s="576"/>
      <c r="AW41" s="576"/>
      <c r="AX41" s="576"/>
    </row>
    <row r="42" spans="1:50" ht="12.65" customHeight="1">
      <c r="A42" s="1225"/>
      <c r="B42" s="573" t="s">
        <v>167</v>
      </c>
      <c r="C42" s="589" t="s">
        <v>173</v>
      </c>
      <c r="D42" s="575">
        <f>IF(GETPIVOTDATA("Total-Old",'Distrib pivot table'!$C$2,"group","2d1c2")/GETPIVOTDATA("Total-Old",'Distrib pivot table'!$C$2)=0,,IF(GETPIVOTDATA("Total-Old",'Distrib pivot table'!$C$2,"group","2d1c2")/GETPIVOTDATA("Total-Old",'Distrib pivot table'!$C$2)&gt;0.0005,GETPIVOTDATA("Total-Old",'Distrib pivot table'!$C$2,"group","2d1c2")/GETPIVOTDATA("Total-Old",'Distrib pivot table'!$C$2),"*"))</f>
        <v>1.8571980044109971E-2</v>
      </c>
      <c r="E42" s="575">
        <f>IF((GETPIVOTDATA("Total-Old",'Distrib pivot table'!$C$2,"state","AL","group","2d1c2")/GETPIVOTDATA("Total-Old",'Distrib pivot table'!$C$2,"state","AL"))=0,,IF(GETPIVOTDATA("Total-Old",'Distrib pivot table'!$C$2,"state","AL","group","2d1c2")/GETPIVOTDATA("Total-Old",'Distrib pivot table'!$C$2,"state","AL")&gt;0.0005,GETPIVOTDATA("Total-Old",'Distrib pivot table'!$C$2,"state","AL","group","2d1c2")/GETPIVOTDATA("Total-Old",'Distrib pivot table'!$C$2,"state","AL"),"*"))</f>
        <v>1.9718872104380329E-2</v>
      </c>
      <c r="F42" s="575">
        <f>IF((GETPIVOTDATA("Total-Old",'Distrib pivot table'!$C$2,"state","AR","group","2d1c2")/GETPIVOTDATA("Total-Old",'Distrib pivot table'!$C$2,"state","AR"))=0,,IF(GETPIVOTDATA("Total-Old",'Distrib pivot table'!$C$2,"state","AR","group","2d1c2")/GETPIVOTDATA("Total-Old",'Distrib pivot table'!$C$2,"state","AR")&gt;0.0005,GETPIVOTDATA("Total-Old",'Distrib pivot table'!$C$2,"state","AR","group","2d1c2")/GETPIVOTDATA("Total-Old",'Distrib pivot table'!$C$2,"state","AR"),"*"))</f>
        <v>5.1594872953668623E-2</v>
      </c>
      <c r="G42" s="575">
        <f>IF((GETPIVOTDATA("Total-Old",'Distrib pivot table'!$C$2,"state","DE","group","2d1c2")/GETPIVOTDATA("Total-Old",'Distrib pivot table'!$C$2,"state","DE"))=0,,IF(GETPIVOTDATA("Total-Old",'Distrib pivot table'!$C$2,"state","DE","group","2d1c2")/GETPIVOTDATA("Total-Old",'Distrib pivot table'!$C$2,"state","DE")&gt;0.0005,GETPIVOTDATA("Total-Old",'Distrib pivot table'!$C$2,"state","DE","group","2d1c2")/GETPIVOTDATA("Total-Old",'Distrib pivot table'!$C$2,"state","DE"),"*"))</f>
        <v>1.1030526401725944E-3</v>
      </c>
      <c r="H42" s="575">
        <f>IF((GETPIVOTDATA("Total-Old",'Distrib pivot table'!$C$2,"state","FL","group","2d1c2")/GETPIVOTDATA("Total-Old",'Distrib pivot table'!$C$2,"state","FL"))=0,,IF(GETPIVOTDATA("Total-Old",'Distrib pivot table'!$C$2,"state","FL","group","2d1c2")/GETPIVOTDATA("Total-Old",'Distrib pivot table'!$C$2,"state","FL")&gt;0.0005,GETPIVOTDATA("Total-Old",'Distrib pivot table'!$C$2,"state","FL","group","2d1c2")/GETPIVOTDATA("Total-Old",'Distrib pivot table'!$C$2,"state","FL"),"*"))</f>
        <v>0</v>
      </c>
      <c r="I42" s="575" t="str">
        <f>IF((GETPIVOTDATA("Total-Old",'Distrib pivot table'!$C$2,"state","GA","group","2d1c2")/GETPIVOTDATA("Total-Old",'Distrib pivot table'!$C$2,"state","GA"))=0,,IF(GETPIVOTDATA("Total-Old",'Distrib pivot table'!$C$2,"state","GA","group","2d1c2")/GETPIVOTDATA("Total-Old",'Distrib pivot table'!$C$2,"state","GA")&gt;0.0005,GETPIVOTDATA("Total-Old",'Distrib pivot table'!$C$2,"state","GA","group","2d1c2")/GETPIVOTDATA("Total-Old",'Distrib pivot table'!$C$2,"state","GA"),"*"))</f>
        <v>*</v>
      </c>
      <c r="J42" s="575">
        <f>IF((GETPIVOTDATA("Total-Old",'Distrib pivot table'!$C$2,"state","KY","group","2d1c2")/GETPIVOTDATA("Total-Old",'Distrib pivot table'!$C$2,"state","KY"))=0,,IF(GETPIVOTDATA("Total-Old",'Distrib pivot table'!$C$2,"state","KY","group","2d1c2")/GETPIVOTDATA("Total-Old",'Distrib pivot table'!$C$2,"state","KY")&gt;0.0005,GETPIVOTDATA("Total-Old",'Distrib pivot table'!$C$2,"state","KY","group","2d1c2")/GETPIVOTDATA("Total-Old",'Distrib pivot table'!$C$2,"state","KY"),"*"))</f>
        <v>3.3359165803299819E-2</v>
      </c>
      <c r="K42" s="575">
        <f>IF((GETPIVOTDATA("Total-Old",'Distrib pivot table'!$C$2,"state","LA","group","2d1c2")/GETPIVOTDATA("Total-Old",'Distrib pivot table'!$C$2,"state","LA"))=0,,IF(GETPIVOTDATA("Total-Old",'Distrib pivot table'!$C$2,"state","LA","group","2d1c2")/GETPIVOTDATA("Total-Old",'Distrib pivot table'!$C$2,"state","LA")&gt;0.0005,GETPIVOTDATA("Total-Old",'Distrib pivot table'!$C$2,"state","LA","group","2d1c2")/GETPIVOTDATA("Total-Old",'Distrib pivot table'!$C$2,"state","LA"),"*"))</f>
        <v>0.10703116442173544</v>
      </c>
      <c r="L42" s="575">
        <f>IF((GETPIVOTDATA("Total-Old",'Distrib pivot table'!$C$2,"state","MD","group","2d1c2")/GETPIVOTDATA("Total-Old",'Distrib pivot table'!$C$2,"state","MD"))=0,,IF(GETPIVOTDATA("Total-Old",'Distrib pivot table'!$C$2,"state","MD","group","2d1c2")/GETPIVOTDATA("Total-Old",'Distrib pivot table'!$C$2,"state","MD")&gt;0.0005,GETPIVOTDATA("Total-Old",'Distrib pivot table'!$C$2,"state","MD","group","2d1c2")/GETPIVOTDATA("Total-Old",'Distrib pivot table'!$C$2,"state","MD"),"*"))</f>
        <v>1.9569678254819315E-3</v>
      </c>
      <c r="M42" s="575">
        <f>IF((GETPIVOTDATA("Total-Old",'Distrib pivot table'!$C$2,"state","MS","group","2d1c2")/GETPIVOTDATA("Total-Old",'Distrib pivot table'!$C$2,"state","MS"))=0,,IF(GETPIVOTDATA("Total-Old",'Distrib pivot table'!$C$2,"state","MS","group","2d1c2")/GETPIVOTDATA("Total-Old",'Distrib pivot table'!$C$2,"state","MS")&gt;0.0005,GETPIVOTDATA("Total-Old",'Distrib pivot table'!$C$2,"state","MS","group","2d1c2")/GETPIVOTDATA("Total-Old",'Distrib pivot table'!$C$2,"state","MS"),"*"))</f>
        <v>5.9389726243591267E-3</v>
      </c>
      <c r="N42" s="575">
        <f>IF((GETPIVOTDATA("Total-Old",'Distrib pivot table'!$C$2,"state","NC","group","2d1c2")/GETPIVOTDATA("Total-Old",'Distrib pivot table'!$C$2,"state","NC"))=0,,IF(GETPIVOTDATA("Total-Old",'Distrib pivot table'!$C$2,"state","NC","group","2d1c2")/GETPIVOTDATA("Total-Old",'Distrib pivot table'!$C$2,"state","NC")&gt;0.0005,GETPIVOTDATA("Total-Old",'Distrib pivot table'!$C$2,"state","NC","group","2d1c2")/GETPIVOTDATA("Total-Old",'Distrib pivot table'!$C$2,"state","NC"),"*"))</f>
        <v>0</v>
      </c>
      <c r="O42" s="575">
        <f>IF((GETPIVOTDATA("Total-Old",'Distrib pivot table'!$C$2,"state","OK","group","2d1c2")/GETPIVOTDATA("Total-Old",'Distrib pivot table'!$C$2,"state","OK"))=0,,IF(GETPIVOTDATA("Total-Old",'Distrib pivot table'!$C$2,"state","OK","group","2d1c2")/GETPIVOTDATA("Total-Old",'Distrib pivot table'!$C$2,"state","OK")&gt;0.0005,GETPIVOTDATA("Total-Old",'Distrib pivot table'!$C$2,"state","OK","group","2d1c2")/GETPIVOTDATA("Total-Old",'Distrib pivot table'!$C$2,"state","OK"),"*"))</f>
        <v>0</v>
      </c>
      <c r="P42" s="575">
        <f>IF((GETPIVOTDATA("Total-Old",'Distrib pivot table'!$C$2,"state","SC","group","2d1c2")/GETPIVOTDATA("Total-Old",'Distrib pivot table'!$C$2,"state","SC"))=0,,IF(GETPIVOTDATA("Total-Old",'Distrib pivot table'!$C$2,"state","SC","group","2d1c2")/GETPIVOTDATA("Total-Old",'Distrib pivot table'!$C$2,"state","SC")&gt;0.0005,GETPIVOTDATA("Total-Old",'Distrib pivot table'!$C$2,"state","SC","group","2d1c2")/GETPIVOTDATA("Total-Old",'Distrib pivot table'!$C$2,"state","SC"),"*"))</f>
        <v>7.9840898147101436E-2</v>
      </c>
      <c r="Q42" s="575">
        <f>IF((GETPIVOTDATA("Total-Old",'Distrib pivot table'!$C$2,"state","TN","group","2d1c2")/GETPIVOTDATA("Total-Old",'Distrib pivot table'!$C$2,"state","TN"))=0,,IF(GETPIVOTDATA("Total-Old",'Distrib pivot table'!$C$2,"state","TN","group","2d1c2")/GETPIVOTDATA("Total-Old",'Distrib pivot table'!$C$2,"state","TN")&gt;0.0005,GETPIVOTDATA("Total-Old",'Distrib pivot table'!$C$2,"state","TN","group","2d1c2")/GETPIVOTDATA("Total-Old",'Distrib pivot table'!$C$2,"state","TN"),"*"))</f>
        <v>7.1951922484730174E-2</v>
      </c>
      <c r="R42" s="575">
        <f>IF((GETPIVOTDATA("Total-Old",'Distrib pivot table'!$C$2,"state","TX","group","2d1c2")/GETPIVOTDATA("Total-Old",'Distrib pivot table'!$C$2,"state","TX"))=0,,IF(GETPIVOTDATA("Total-Old",'Distrib pivot table'!$C$2,"state","TX","group","2d1c2")/GETPIVOTDATA("Total-Old",'Distrib pivot table'!$C$2,"state","TX")&gt;0.0005,GETPIVOTDATA("Total-Old",'Distrib pivot table'!$C$2,"state","TX","group","2d1c2")/GETPIVOTDATA("Total-Old",'Distrib pivot table'!$C$2,"state","TX"),"*"))</f>
        <v>0</v>
      </c>
      <c r="S42" s="575" t="str">
        <f>IF((GETPIVOTDATA("Total-Old",'Distrib pivot table'!$C$2,"state","VA","group","2d1c2")/GETPIVOTDATA("Total-Old",'Distrib pivot table'!$C$2,"state","VA"))=0,,IF(GETPIVOTDATA("Total-Old",'Distrib pivot table'!$C$2,"state","VA","group","2d1c2")/GETPIVOTDATA("Total-Old",'Distrib pivot table'!$C$2,"state","VA")&gt;0.0005,GETPIVOTDATA("Total-Old",'Distrib pivot table'!$C$2,"state","VA","group","2d1c2")/GETPIVOTDATA("Total-Old",'Distrib pivot table'!$C$2,"state","VA"),"*"))</f>
        <v>*</v>
      </c>
      <c r="T42" s="575">
        <f>IF((GETPIVOTDATA("Total-Old",'Distrib pivot table'!$C$2,"state","WV","group","2d1c2")/GETPIVOTDATA("Total-Old",'Distrib pivot table'!$C$2,"state","WV"))=0,,IF(GETPIVOTDATA("Total-Old",'Distrib pivot table'!$C$2,"state","WV","group","2d1c2")/GETPIVOTDATA("Total-Old",'Distrib pivot table'!$C$2,"state","WV")&gt;0.0005,GETPIVOTDATA("Total-Old",'Distrib pivot table'!$C$2,"state","WV","group","2d1c2")/GETPIVOTDATA("Total-Old",'Distrib pivot table'!$C$2,"state","WV"),"*"))</f>
        <v>3.6200103134559805E-2</v>
      </c>
      <c r="U42" s="576"/>
      <c r="V42" s="576"/>
      <c r="W42" s="576"/>
      <c r="X42" s="576"/>
      <c r="Y42" s="576"/>
      <c r="Z42" s="576"/>
      <c r="AA42" s="576"/>
      <c r="AB42" s="576"/>
      <c r="AC42" s="576"/>
      <c r="AD42" s="576"/>
      <c r="AE42" s="576"/>
      <c r="AF42" s="576"/>
      <c r="AG42" s="576"/>
      <c r="AH42" s="576"/>
      <c r="AI42" s="576"/>
      <c r="AJ42" s="576"/>
      <c r="AK42" s="576"/>
      <c r="AL42" s="576"/>
      <c r="AM42" s="576"/>
      <c r="AN42" s="576"/>
      <c r="AO42" s="576"/>
      <c r="AP42" s="576"/>
      <c r="AQ42" s="576"/>
      <c r="AR42" s="576"/>
      <c r="AS42" s="576"/>
      <c r="AT42" s="576"/>
      <c r="AU42" s="576"/>
      <c r="AV42" s="576"/>
      <c r="AW42" s="576"/>
      <c r="AX42" s="576"/>
    </row>
    <row r="43" spans="1:50" ht="12.65" customHeight="1">
      <c r="A43" s="1225"/>
      <c r="B43" s="573" t="s">
        <v>314</v>
      </c>
      <c r="C43" s="589" t="s">
        <v>176</v>
      </c>
      <c r="D43" s="575" t="str">
        <f>IF(GETPIVOTDATA("Total-Old",'Distrib pivot table'!$C$2,"group","2d1d")/GETPIVOTDATA("Total-Old",'Distrib pivot table'!$C$2)=0,,IF(GETPIVOTDATA("Total-Old",'Distrib pivot table'!$C$2,"group","2d1d")/GETPIVOTDATA("Total-Old",'Distrib pivot table'!$C$2)&gt;0.0005,GETPIVOTDATA("Total-Old",'Distrib pivot table'!$C$2,"group","2d1d")/GETPIVOTDATA("Total-Old",'Distrib pivot table'!$C$2),"*"))</f>
        <v>*</v>
      </c>
      <c r="E43" s="575">
        <f>IF((GETPIVOTDATA("Total-Old",'Distrib pivot table'!$C$2,"state","AL","group","2d1d")/GETPIVOTDATA("Total-Old",'Distrib pivot table'!$C$2,"state","AL"))=0,,IF(GETPIVOTDATA("Total-Old",'Distrib pivot table'!$C$2,"state","AL","group","2d1d")/GETPIVOTDATA("Total-Old",'Distrib pivot table'!$C$2,"state","AL")&gt;0.0005,GETPIVOTDATA("Total-Old",'Distrib pivot table'!$C$2,"state","AL","group","2d1d")/GETPIVOTDATA("Total-Old",'Distrib pivot table'!$C$2,"state","AL"),"*"))</f>
        <v>0</v>
      </c>
      <c r="F43" s="575">
        <f>IF((GETPIVOTDATA("Total-Old",'Distrib pivot table'!$C$2,"state","AR","group","2d1d")/GETPIVOTDATA("Total-Old",'Distrib pivot table'!$C$2,"state","AR"))=0,,IF(GETPIVOTDATA("Total-Old",'Distrib pivot table'!$C$2,"state","AR","group","2d1d")/GETPIVOTDATA("Total-Old",'Distrib pivot table'!$C$2,"state","AR")&gt;0.0005,GETPIVOTDATA("Total-Old",'Distrib pivot table'!$C$2,"state","AR","group","2d1d")/GETPIVOTDATA("Total-Old",'Distrib pivot table'!$C$2,"state","AR"),"*"))</f>
        <v>0</v>
      </c>
      <c r="G43" s="575">
        <f>IF((GETPIVOTDATA("Total-Old",'Distrib pivot table'!$C$2,"state","DE","group","2d1d")/GETPIVOTDATA("Total-Old",'Distrib pivot table'!$C$2,"state","DE"))=0,,IF(GETPIVOTDATA("Total-Old",'Distrib pivot table'!$C$2,"state","DE","group","2d1d")/GETPIVOTDATA("Total-Old",'Distrib pivot table'!$C$2,"state","DE")&gt;0.0005,GETPIVOTDATA("Total-Old",'Distrib pivot table'!$C$2,"state","DE","group","2d1d")/GETPIVOTDATA("Total-Old",'Distrib pivot table'!$C$2,"state","DE"),"*"))</f>
        <v>0</v>
      </c>
      <c r="H43" s="575">
        <f>IF((GETPIVOTDATA("Total-Old",'Distrib pivot table'!$C$2,"state","FL","group","2d1d")/GETPIVOTDATA("Total-Old",'Distrib pivot table'!$C$2,"state","FL"))=0,,IF(GETPIVOTDATA("Total-Old",'Distrib pivot table'!$C$2,"state","FL","group","2d1d")/GETPIVOTDATA("Total-Old",'Distrib pivot table'!$C$2,"state","FL")&gt;0.0005,GETPIVOTDATA("Total-Old",'Distrib pivot table'!$C$2,"state","FL","group","2d1d")/GETPIVOTDATA("Total-Old",'Distrib pivot table'!$C$2,"state","FL"),"*"))</f>
        <v>0</v>
      </c>
      <c r="I43" s="575">
        <f>IF((GETPIVOTDATA("Total-Old",'Distrib pivot table'!$C$2,"state","GA","group","2d1d")/GETPIVOTDATA("Total-Old",'Distrib pivot table'!$C$2,"state","GA"))=0,,IF(GETPIVOTDATA("Total-Old",'Distrib pivot table'!$C$2,"state","GA","group","2d1d")/GETPIVOTDATA("Total-Old",'Distrib pivot table'!$C$2,"state","GA")&gt;0.0005,GETPIVOTDATA("Total-Old",'Distrib pivot table'!$C$2,"state","GA","group","2d1d")/GETPIVOTDATA("Total-Old",'Distrib pivot table'!$C$2,"state","GA"),"*"))</f>
        <v>0</v>
      </c>
      <c r="J43" s="575">
        <f>IF((GETPIVOTDATA("Total-Old",'Distrib pivot table'!$C$2,"state","KY","group","2d1d")/GETPIVOTDATA("Total-Old",'Distrib pivot table'!$C$2,"state","KY"))=0,,IF(GETPIVOTDATA("Total-Old",'Distrib pivot table'!$C$2,"state","KY","group","2d1d")/GETPIVOTDATA("Total-Old",'Distrib pivot table'!$C$2,"state","KY")&gt;0.0005,GETPIVOTDATA("Total-Old",'Distrib pivot table'!$C$2,"state","KY","group","2d1d")/GETPIVOTDATA("Total-Old",'Distrib pivot table'!$C$2,"state","KY"),"*"))</f>
        <v>0</v>
      </c>
      <c r="K43" s="575">
        <f>IF((GETPIVOTDATA("Total-Old",'Distrib pivot table'!$C$2,"state","LA","group","2d1d")/GETPIVOTDATA("Total-Old",'Distrib pivot table'!$C$2,"state","LA"))=0,,IF(GETPIVOTDATA("Total-Old",'Distrib pivot table'!$C$2,"state","LA","group","2d1d")/GETPIVOTDATA("Total-Old",'Distrib pivot table'!$C$2,"state","LA")&gt;0.0005,GETPIVOTDATA("Total-Old",'Distrib pivot table'!$C$2,"state","LA","group","2d1d")/GETPIVOTDATA("Total-Old",'Distrib pivot table'!$C$2,"state","LA"),"*"))</f>
        <v>0</v>
      </c>
      <c r="L43" s="575">
        <f>IF((GETPIVOTDATA("Total-Old",'Distrib pivot table'!$C$2,"state","MD","group","2d1d")/GETPIVOTDATA("Total-Old",'Distrib pivot table'!$C$2,"state","MD"))=0,,IF(GETPIVOTDATA("Total-Old",'Distrib pivot table'!$C$2,"state","MD","group","2d1d")/GETPIVOTDATA("Total-Old",'Distrib pivot table'!$C$2,"state","MD")&gt;0.0005,GETPIVOTDATA("Total-Old",'Distrib pivot table'!$C$2,"state","MD","group","2d1d")/GETPIVOTDATA("Total-Old",'Distrib pivot table'!$C$2,"state","MD"),"*"))</f>
        <v>0</v>
      </c>
      <c r="M43" s="575">
        <f>IF((GETPIVOTDATA("Total-Old",'Distrib pivot table'!$C$2,"state","MS","group","2d1d")/GETPIVOTDATA("Total-Old",'Distrib pivot table'!$C$2,"state","MS"))=0,,IF(GETPIVOTDATA("Total-Old",'Distrib pivot table'!$C$2,"state","MS","group","2d1d")/GETPIVOTDATA("Total-Old",'Distrib pivot table'!$C$2,"state","MS")&gt;0.0005,GETPIVOTDATA("Total-Old",'Distrib pivot table'!$C$2,"state","MS","group","2d1d")/GETPIVOTDATA("Total-Old",'Distrib pivot table'!$C$2,"state","MS"),"*"))</f>
        <v>0</v>
      </c>
      <c r="N43" s="575">
        <f>IF((GETPIVOTDATA("Total-Old",'Distrib pivot table'!$C$2,"state","NC","group","2d1d")/GETPIVOTDATA("Total-Old",'Distrib pivot table'!$C$2,"state","NC"))=0,,IF(GETPIVOTDATA("Total-Old",'Distrib pivot table'!$C$2,"state","NC","group","2d1d")/GETPIVOTDATA("Total-Old",'Distrib pivot table'!$C$2,"state","NC")&gt;0.0005,GETPIVOTDATA("Total-Old",'Distrib pivot table'!$C$2,"state","NC","group","2d1d")/GETPIVOTDATA("Total-Old",'Distrib pivot table'!$C$2,"state","NC"),"*"))</f>
        <v>0</v>
      </c>
      <c r="O43" s="575">
        <f>IF((GETPIVOTDATA("Total-Old",'Distrib pivot table'!$C$2,"state","OK","group","2d1d")/GETPIVOTDATA("Total-Old",'Distrib pivot table'!$C$2,"state","OK"))=0,,IF(GETPIVOTDATA("Total-Old",'Distrib pivot table'!$C$2,"state","OK","group","2d1d")/GETPIVOTDATA("Total-Old",'Distrib pivot table'!$C$2,"state","OK")&gt;0.0005,GETPIVOTDATA("Total-Old",'Distrib pivot table'!$C$2,"state","OK","group","2d1d")/GETPIVOTDATA("Total-Old",'Distrib pivot table'!$C$2,"state","OK"),"*"))</f>
        <v>0</v>
      </c>
      <c r="P43" s="575">
        <f>IF((GETPIVOTDATA("Total-Old",'Distrib pivot table'!$C$2,"state","SC","group","2d1d")/GETPIVOTDATA("Total-Old",'Distrib pivot table'!$C$2,"state","SC"))=0,,IF(GETPIVOTDATA("Total-Old",'Distrib pivot table'!$C$2,"state","SC","group","2d1d")/GETPIVOTDATA("Total-Old",'Distrib pivot table'!$C$2,"state","SC")&gt;0.0005,GETPIVOTDATA("Total-Old",'Distrib pivot table'!$C$2,"state","SC","group","2d1d")/GETPIVOTDATA("Total-Old",'Distrib pivot table'!$C$2,"state","SC"),"*"))</f>
        <v>0</v>
      </c>
      <c r="Q43" s="575">
        <f>IF((GETPIVOTDATA("Total-Old",'Distrib pivot table'!$C$2,"state","TN","group","2d1d")/GETPIVOTDATA("Total-Old",'Distrib pivot table'!$C$2,"state","TN"))=0,,IF(GETPIVOTDATA("Total-Old",'Distrib pivot table'!$C$2,"state","TN","group","2d1d")/GETPIVOTDATA("Total-Old",'Distrib pivot table'!$C$2,"state","TN")&gt;0.0005,GETPIVOTDATA("Total-Old",'Distrib pivot table'!$C$2,"state","TN","group","2d1d")/GETPIVOTDATA("Total-Old",'Distrib pivot table'!$C$2,"state","TN"),"*"))</f>
        <v>0</v>
      </c>
      <c r="R43" s="575">
        <f>IF((GETPIVOTDATA("Total-Old",'Distrib pivot table'!$C$2,"state","TX","group","2d1d")/GETPIVOTDATA("Total-Old",'Distrib pivot table'!$C$2,"state","TX"))=0,,IF(GETPIVOTDATA("Total-Old",'Distrib pivot table'!$C$2,"state","TX","group","2d1d")/GETPIVOTDATA("Total-Old",'Distrib pivot table'!$C$2,"state","TX")&gt;0.0005,GETPIVOTDATA("Total-Old",'Distrib pivot table'!$C$2,"state","TX","group","2d1d")/GETPIVOTDATA("Total-Old",'Distrib pivot table'!$C$2,"state","TX"),"*"))</f>
        <v>0</v>
      </c>
      <c r="S43" s="575" t="str">
        <f>IF((GETPIVOTDATA("Total-Old",'Distrib pivot table'!$C$2,"state","VA","group","2d1d")/GETPIVOTDATA("Total-Old",'Distrib pivot table'!$C$2,"state","VA"))=0,,IF(GETPIVOTDATA("Total-Old",'Distrib pivot table'!$C$2,"state","VA","group","2d1d")/GETPIVOTDATA("Total-Old",'Distrib pivot table'!$C$2,"state","VA")&gt;0.0005,GETPIVOTDATA("Total-Old",'Distrib pivot table'!$C$2,"state","VA","group","2d1d")/GETPIVOTDATA("Total-Old",'Distrib pivot table'!$C$2,"state","VA"),"*"))</f>
        <v>*</v>
      </c>
      <c r="T43" s="575">
        <f>IF((GETPIVOTDATA("Total-Old",'Distrib pivot table'!$C$2,"state","WV","group","2d1d")/GETPIVOTDATA("Total-Old",'Distrib pivot table'!$C$2,"state","WV"))=0,,IF(GETPIVOTDATA("Total-Old",'Distrib pivot table'!$C$2,"state","WV","group","2d1d")/GETPIVOTDATA("Total-Old",'Distrib pivot table'!$C$2,"state","WV")&gt;0.0005,GETPIVOTDATA("Total-Old",'Distrib pivot table'!$C$2,"state","WV","group","2d1d")/GETPIVOTDATA("Total-Old",'Distrib pivot table'!$C$2,"state","WV"),"*"))</f>
        <v>0</v>
      </c>
      <c r="U43" s="576"/>
      <c r="V43" s="576"/>
      <c r="W43" s="576"/>
      <c r="X43" s="576"/>
      <c r="Y43" s="576"/>
      <c r="Z43" s="576"/>
      <c r="AA43" s="576"/>
      <c r="AB43" s="576"/>
      <c r="AC43" s="576"/>
      <c r="AD43" s="576"/>
      <c r="AE43" s="576"/>
      <c r="AF43" s="576"/>
      <c r="AG43" s="576"/>
      <c r="AH43" s="576"/>
      <c r="AI43" s="576"/>
      <c r="AJ43" s="576"/>
      <c r="AK43" s="576"/>
      <c r="AL43" s="576"/>
      <c r="AM43" s="576"/>
      <c r="AN43" s="576"/>
      <c r="AO43" s="576"/>
      <c r="AP43" s="576"/>
      <c r="AQ43" s="576"/>
      <c r="AR43" s="576"/>
      <c r="AS43" s="576"/>
      <c r="AT43" s="576"/>
      <c r="AU43" s="576"/>
      <c r="AV43" s="576"/>
      <c r="AW43" s="576"/>
      <c r="AX43" s="576"/>
    </row>
    <row r="44" spans="1:50" ht="12.65" customHeight="1">
      <c r="A44" s="1225"/>
      <c r="B44" s="573" t="s">
        <v>165</v>
      </c>
      <c r="C44" s="589" t="s">
        <v>180</v>
      </c>
      <c r="D44" s="575">
        <f>IF(GETPIVOTDATA("Total-Old",'Distrib pivot table'!$C$2,"group","2d1d1")/GETPIVOTDATA("Total-Old",'Distrib pivot table'!$C$2)=0,,IF(GETPIVOTDATA("Total-Old",'Distrib pivot table'!$C$2,"group","2d1d1")/GETPIVOTDATA("Total-Old",'Distrib pivot table'!$C$2)&gt;0.0005,GETPIVOTDATA("Total-Old",'Distrib pivot table'!$C$2,"group","2d1d1")/GETPIVOTDATA("Total-Old",'Distrib pivot table'!$C$2),"*"))</f>
        <v>1.5955582746237762E-3</v>
      </c>
      <c r="E44" s="575" t="str">
        <f>IF((GETPIVOTDATA("Total-Old",'Distrib pivot table'!$C$2,"state","AL","group","2d1d1")/GETPIVOTDATA("Total-Old",'Distrib pivot table'!$C$2,"state","AL"))=0,,IF(GETPIVOTDATA("Total-Old",'Distrib pivot table'!$C$2,"state","AL","group","2d1d1")/GETPIVOTDATA("Total-Old",'Distrib pivot table'!$C$2,"state","AL")&gt;0.0005,GETPIVOTDATA("Total-Old",'Distrib pivot table'!$C$2,"state","AL","group","2d1d1")/GETPIVOTDATA("Total-Old",'Distrib pivot table'!$C$2,"state","AL"),"*"))</f>
        <v>*</v>
      </c>
      <c r="F44" s="575" t="str">
        <f>IF((GETPIVOTDATA("Total-Old",'Distrib pivot table'!$C$2,"state","AR","group","2d1d1")/GETPIVOTDATA("Total-Old",'Distrib pivot table'!$C$2,"state","AR"))=0,,IF(GETPIVOTDATA("Total-Old",'Distrib pivot table'!$C$2,"state","AR","group","2d1d1")/GETPIVOTDATA("Total-Old",'Distrib pivot table'!$C$2,"state","AR")&gt;0.0005,GETPIVOTDATA("Total-Old",'Distrib pivot table'!$C$2,"state","AR","group","2d1d1")/GETPIVOTDATA("Total-Old",'Distrib pivot table'!$C$2,"state","AR"),"*"))</f>
        <v>*</v>
      </c>
      <c r="G44" s="575" t="str">
        <f>IF((GETPIVOTDATA("Total-Old",'Distrib pivot table'!$C$2,"state","DE","group","2d1d1")/GETPIVOTDATA("Total-Old",'Distrib pivot table'!$C$2,"state","DE"))=0,,IF(GETPIVOTDATA("Total-Old",'Distrib pivot table'!$C$2,"state","DE","group","2d1d1")/GETPIVOTDATA("Total-Old",'Distrib pivot table'!$C$2,"state","DE")&gt;0.0005,GETPIVOTDATA("Total-Old",'Distrib pivot table'!$C$2,"state","DE","group","2d1d1")/GETPIVOTDATA("Total-Old",'Distrib pivot table'!$C$2,"state","DE"),"*"))</f>
        <v>*</v>
      </c>
      <c r="H44" s="575">
        <f>IF((GETPIVOTDATA("Total-Old",'Distrib pivot table'!$C$2,"state","FL","group","2d1d1")/GETPIVOTDATA("Total-Old",'Distrib pivot table'!$C$2,"state","FL"))=0,,IF(GETPIVOTDATA("Total-Old",'Distrib pivot table'!$C$2,"state","FL","group","2d1d1")/GETPIVOTDATA("Total-Old",'Distrib pivot table'!$C$2,"state","FL")&gt;0.0005,GETPIVOTDATA("Total-Old",'Distrib pivot table'!$C$2,"state","FL","group","2d1d1")/GETPIVOTDATA("Total-Old",'Distrib pivot table'!$C$2,"state","FL"),"*"))</f>
        <v>0</v>
      </c>
      <c r="I44" s="575">
        <f>IF((GETPIVOTDATA("Total-Old",'Distrib pivot table'!$C$2,"state","GA","group","2d1d1")/GETPIVOTDATA("Total-Old",'Distrib pivot table'!$C$2,"state","GA"))=0,,IF(GETPIVOTDATA("Total-Old",'Distrib pivot table'!$C$2,"state","GA","group","2d1d1")/GETPIVOTDATA("Total-Old",'Distrib pivot table'!$C$2,"state","GA")&gt;0.0005,GETPIVOTDATA("Total-Old",'Distrib pivot table'!$C$2,"state","GA","group","2d1d1")/GETPIVOTDATA("Total-Old",'Distrib pivot table'!$C$2,"state","GA"),"*"))</f>
        <v>0</v>
      </c>
      <c r="J44" s="575">
        <f>IF((GETPIVOTDATA("Total-Old",'Distrib pivot table'!$C$2,"state","KY","group","2d1d1")/GETPIVOTDATA("Total-Old",'Distrib pivot table'!$C$2,"state","KY"))=0,,IF(GETPIVOTDATA("Total-Old",'Distrib pivot table'!$C$2,"state","KY","group","2d1d1")/GETPIVOTDATA("Total-Old",'Distrib pivot table'!$C$2,"state","KY")&gt;0.0005,GETPIVOTDATA("Total-Old",'Distrib pivot table'!$C$2,"state","KY","group","2d1d1")/GETPIVOTDATA("Total-Old",'Distrib pivot table'!$C$2,"state","KY"),"*"))</f>
        <v>6.3383739771214207E-3</v>
      </c>
      <c r="K44" s="575">
        <f>IF((GETPIVOTDATA("Total-Old",'Distrib pivot table'!$C$2,"state","LA","group","2d1d1")/GETPIVOTDATA("Total-Old",'Distrib pivot table'!$C$2,"state","LA"))=0,,IF(GETPIVOTDATA("Total-Old",'Distrib pivot table'!$C$2,"state","LA","group","2d1d1")/GETPIVOTDATA("Total-Old",'Distrib pivot table'!$C$2,"state","LA")&gt;0.0005,GETPIVOTDATA("Total-Old",'Distrib pivot table'!$C$2,"state","LA","group","2d1d1")/GETPIVOTDATA("Total-Old",'Distrib pivot table'!$C$2,"state","LA"),"*"))</f>
        <v>9.1011488337320722E-4</v>
      </c>
      <c r="L44" s="575">
        <f>IF((GETPIVOTDATA("Total-Old",'Distrib pivot table'!$C$2,"state","MD","group","2d1d1")/GETPIVOTDATA("Total-Old",'Distrib pivot table'!$C$2,"state","MD"))=0,,IF(GETPIVOTDATA("Total-Old",'Distrib pivot table'!$C$2,"state","MD","group","2d1d1")/GETPIVOTDATA("Total-Old",'Distrib pivot table'!$C$2,"state","MD")&gt;0.0005,GETPIVOTDATA("Total-Old",'Distrib pivot table'!$C$2,"state","MD","group","2d1d1")/GETPIVOTDATA("Total-Old",'Distrib pivot table'!$C$2,"state","MD"),"*"))</f>
        <v>3.5806329364493927E-3</v>
      </c>
      <c r="M44" s="575">
        <f>IF((GETPIVOTDATA("Total-Old",'Distrib pivot table'!$C$2,"state","MS","group","2d1d1")/GETPIVOTDATA("Total-Old",'Distrib pivot table'!$C$2,"state","MS"))=0,,IF(GETPIVOTDATA("Total-Old",'Distrib pivot table'!$C$2,"state","MS","group","2d1d1")/GETPIVOTDATA("Total-Old",'Distrib pivot table'!$C$2,"state","MS")&gt;0.0005,GETPIVOTDATA("Total-Old",'Distrib pivot table'!$C$2,"state","MS","group","2d1d1")/GETPIVOTDATA("Total-Old",'Distrib pivot table'!$C$2,"state","MS"),"*"))</f>
        <v>1.4325844028926767E-3</v>
      </c>
      <c r="N44" s="575">
        <f>IF((GETPIVOTDATA("Total-Old",'Distrib pivot table'!$C$2,"state","NC","group","2d1d1")/GETPIVOTDATA("Total-Old",'Distrib pivot table'!$C$2,"state","NC"))=0,,IF(GETPIVOTDATA("Total-Old",'Distrib pivot table'!$C$2,"state","NC","group","2d1d1")/GETPIVOTDATA("Total-Old",'Distrib pivot table'!$C$2,"state","NC")&gt;0.0005,GETPIVOTDATA("Total-Old",'Distrib pivot table'!$C$2,"state","NC","group","2d1d1")/GETPIVOTDATA("Total-Old",'Distrib pivot table'!$C$2,"state","NC"),"*"))</f>
        <v>0</v>
      </c>
      <c r="O44" s="575">
        <f>IF((GETPIVOTDATA("Total-Old",'Distrib pivot table'!$C$2,"state","OK","group","2d1d1")/GETPIVOTDATA("Total-Old",'Distrib pivot table'!$C$2,"state","OK"))=0,,IF(GETPIVOTDATA("Total-Old",'Distrib pivot table'!$C$2,"state","OK","group","2d1d1")/GETPIVOTDATA("Total-Old",'Distrib pivot table'!$C$2,"state","OK")&gt;0.0005,GETPIVOTDATA("Total-Old",'Distrib pivot table'!$C$2,"state","OK","group","2d1d1")/GETPIVOTDATA("Total-Old",'Distrib pivot table'!$C$2,"state","OK"),"*"))</f>
        <v>0</v>
      </c>
      <c r="P44" s="575">
        <f>IF((GETPIVOTDATA("Total-Old",'Distrib pivot table'!$C$2,"state","SC","group","2d1d1")/GETPIVOTDATA("Total-Old",'Distrib pivot table'!$C$2,"state","SC"))=0,,IF(GETPIVOTDATA("Total-Old",'Distrib pivot table'!$C$2,"state","SC","group","2d1d1")/GETPIVOTDATA("Total-Old",'Distrib pivot table'!$C$2,"state","SC")&gt;0.0005,GETPIVOTDATA("Total-Old",'Distrib pivot table'!$C$2,"state","SC","group","2d1d1")/GETPIVOTDATA("Total-Old",'Distrib pivot table'!$C$2,"state","SC"),"*"))</f>
        <v>1.4058744038074999E-3</v>
      </c>
      <c r="Q44" s="575">
        <f>IF((GETPIVOTDATA("Total-Old",'Distrib pivot table'!$C$2,"state","TN","group","2d1d1")/GETPIVOTDATA("Total-Old",'Distrib pivot table'!$C$2,"state","TN"))=0,,IF(GETPIVOTDATA("Total-Old",'Distrib pivot table'!$C$2,"state","TN","group","2d1d1")/GETPIVOTDATA("Total-Old",'Distrib pivot table'!$C$2,"state","TN")&gt;0.0005,GETPIVOTDATA("Total-Old",'Distrib pivot table'!$C$2,"state","TN","group","2d1d1")/GETPIVOTDATA("Total-Old",'Distrib pivot table'!$C$2,"state","TN"),"*"))</f>
        <v>1.4198615932810014E-2</v>
      </c>
      <c r="R44" s="575">
        <f>IF((GETPIVOTDATA("Total-Old",'Distrib pivot table'!$C$2,"state","TX","group","2d1d1")/GETPIVOTDATA("Total-Old",'Distrib pivot table'!$C$2,"state","TX"))=0,,IF(GETPIVOTDATA("Total-Old",'Distrib pivot table'!$C$2,"state","TX","group","2d1d1")/GETPIVOTDATA("Total-Old",'Distrib pivot table'!$C$2,"state","TX")&gt;0.0005,GETPIVOTDATA("Total-Old",'Distrib pivot table'!$C$2,"state","TX","group","2d1d1")/GETPIVOTDATA("Total-Old",'Distrib pivot table'!$C$2,"state","TX"),"*"))</f>
        <v>0</v>
      </c>
      <c r="S44" s="575">
        <f>IF((GETPIVOTDATA("Total-Old",'Distrib pivot table'!$C$2,"state","VA","group","2d1d1")/GETPIVOTDATA("Total-Old",'Distrib pivot table'!$C$2,"state","VA"))=0,,IF(GETPIVOTDATA("Total-Old",'Distrib pivot table'!$C$2,"state","VA","group","2d1d1")/GETPIVOTDATA("Total-Old",'Distrib pivot table'!$C$2,"state","VA")&gt;0.0005,GETPIVOTDATA("Total-Old",'Distrib pivot table'!$C$2,"state","VA","group","2d1d1")/GETPIVOTDATA("Total-Old",'Distrib pivot table'!$C$2,"state","VA"),"*"))</f>
        <v>0</v>
      </c>
      <c r="T44" s="575">
        <f>IF((GETPIVOTDATA("Total-Old",'Distrib pivot table'!$C$2,"state","WV","group","2d1d1")/GETPIVOTDATA("Total-Old",'Distrib pivot table'!$C$2,"state","WV"))=0,,IF(GETPIVOTDATA("Total-Old",'Distrib pivot table'!$C$2,"state","WV","group","2d1d1")/GETPIVOTDATA("Total-Old",'Distrib pivot table'!$C$2,"state","WV")&gt;0.0005,GETPIVOTDATA("Total-Old",'Distrib pivot table'!$C$2,"state","WV","group","2d1d1")/GETPIVOTDATA("Total-Old",'Distrib pivot table'!$C$2,"state","WV"),"*"))</f>
        <v>2.7185910131782573E-3</v>
      </c>
      <c r="U44" s="576"/>
      <c r="V44" s="576"/>
      <c r="W44" s="576"/>
      <c r="X44" s="576"/>
      <c r="Y44" s="576"/>
      <c r="Z44" s="576"/>
      <c r="AA44" s="576"/>
      <c r="AB44" s="576"/>
      <c r="AC44" s="576"/>
      <c r="AD44" s="576"/>
      <c r="AE44" s="576"/>
      <c r="AF44" s="576"/>
      <c r="AG44" s="576"/>
      <c r="AH44" s="576"/>
      <c r="AI44" s="576"/>
      <c r="AJ44" s="576"/>
      <c r="AK44" s="576"/>
      <c r="AL44" s="576"/>
      <c r="AM44" s="576"/>
      <c r="AN44" s="576"/>
      <c r="AO44" s="576"/>
      <c r="AP44" s="576"/>
      <c r="AQ44" s="576"/>
      <c r="AR44" s="576"/>
      <c r="AS44" s="576"/>
      <c r="AT44" s="576"/>
      <c r="AU44" s="576"/>
      <c r="AV44" s="576"/>
      <c r="AW44" s="576"/>
      <c r="AX44" s="576"/>
    </row>
    <row r="45" spans="1:50" ht="12.65" customHeight="1">
      <c r="A45" s="1225"/>
      <c r="B45" s="573" t="s">
        <v>167</v>
      </c>
      <c r="C45" s="589" t="s">
        <v>178</v>
      </c>
      <c r="D45" s="575">
        <f>IF(GETPIVOTDATA("Total-Old",'Distrib pivot table'!$C$2,"group","2d1d2")/GETPIVOTDATA("Total-Old",'Distrib pivot table'!$C$2)=0,,IF(GETPIVOTDATA("Total-Old",'Distrib pivot table'!$C$2,"group","2d1d2")/GETPIVOTDATA("Total-Old",'Distrib pivot table'!$C$2)&gt;0.0005,GETPIVOTDATA("Total-Old",'Distrib pivot table'!$C$2,"group","2d1d2")/GETPIVOTDATA("Total-Old",'Distrib pivot table'!$C$2),"*"))</f>
        <v>2.5397474864448833E-3</v>
      </c>
      <c r="E45" s="575" t="str">
        <f>IF((GETPIVOTDATA("Total-Old",'Distrib pivot table'!$C$2,"state","AL","group","2d1d2")/GETPIVOTDATA("Total-Old",'Distrib pivot table'!$C$2,"state","AL"))=0,,IF(GETPIVOTDATA("Total-Old",'Distrib pivot table'!$C$2,"state","AL","group","2d1d2")/GETPIVOTDATA("Total-Old",'Distrib pivot table'!$C$2,"state","AL")&gt;0.0005,GETPIVOTDATA("Total-Old",'Distrib pivot table'!$C$2,"state","AL","group","2d1d2")/GETPIVOTDATA("Total-Old",'Distrib pivot table'!$C$2,"state","AL"),"*"))</f>
        <v>*</v>
      </c>
      <c r="F45" s="575">
        <f>IF((GETPIVOTDATA("Total-Old",'Distrib pivot table'!$C$2,"state","AR","group","2d1d2")/GETPIVOTDATA("Total-Old",'Distrib pivot table'!$C$2,"state","AR"))=0,,IF(GETPIVOTDATA("Total-Old",'Distrib pivot table'!$C$2,"state","AR","group","2d1d2")/GETPIVOTDATA("Total-Old",'Distrib pivot table'!$C$2,"state","AR")&gt;0.0005,GETPIVOTDATA("Total-Old",'Distrib pivot table'!$C$2,"state","AR","group","2d1d2")/GETPIVOTDATA("Total-Old",'Distrib pivot table'!$C$2,"state","AR"),"*"))</f>
        <v>7.3783307651300147E-3</v>
      </c>
      <c r="G45" s="575" t="str">
        <f>IF((GETPIVOTDATA("Total-Old",'Distrib pivot table'!$C$2,"state","DE","group","2d1d2")/GETPIVOTDATA("Total-Old",'Distrib pivot table'!$C$2,"state","DE"))=0,,IF(GETPIVOTDATA("Total-Old",'Distrib pivot table'!$C$2,"state","DE","group","2d1d2")/GETPIVOTDATA("Total-Old",'Distrib pivot table'!$C$2,"state","DE")&gt;0.0005,GETPIVOTDATA("Total-Old",'Distrib pivot table'!$C$2,"state","DE","group","2d1d2")/GETPIVOTDATA("Total-Old",'Distrib pivot table'!$C$2,"state","DE"),"*"))</f>
        <v>*</v>
      </c>
      <c r="H45" s="575">
        <f>IF((GETPIVOTDATA("Total-Old",'Distrib pivot table'!$C$2,"state","FL","group","2d1d2")/GETPIVOTDATA("Total-Old",'Distrib pivot table'!$C$2,"state","FL"))=0,,IF(GETPIVOTDATA("Total-Old",'Distrib pivot table'!$C$2,"state","FL","group","2d1d2")/GETPIVOTDATA("Total-Old",'Distrib pivot table'!$C$2,"state","FL")&gt;0.0005,GETPIVOTDATA("Total-Old",'Distrib pivot table'!$C$2,"state","FL","group","2d1d2")/GETPIVOTDATA("Total-Old",'Distrib pivot table'!$C$2,"state","FL"),"*"))</f>
        <v>0</v>
      </c>
      <c r="I45" s="575" t="str">
        <f>IF((GETPIVOTDATA("Total-Old",'Distrib pivot table'!$C$2,"state","GA","group","2d1d2")/GETPIVOTDATA("Total-Old",'Distrib pivot table'!$C$2,"state","GA"))=0,,IF(GETPIVOTDATA("Total-Old",'Distrib pivot table'!$C$2,"state","GA","group","2d1d2")/GETPIVOTDATA("Total-Old",'Distrib pivot table'!$C$2,"state","GA")&gt;0.0005,GETPIVOTDATA("Total-Old",'Distrib pivot table'!$C$2,"state","GA","group","2d1d2")/GETPIVOTDATA("Total-Old",'Distrib pivot table'!$C$2,"state","GA"),"*"))</f>
        <v>*</v>
      </c>
      <c r="J45" s="575">
        <f>IF((GETPIVOTDATA("Total-Old",'Distrib pivot table'!$C$2,"state","KY","group","2d1d2")/GETPIVOTDATA("Total-Old",'Distrib pivot table'!$C$2,"state","KY"))=0,,IF(GETPIVOTDATA("Total-Old",'Distrib pivot table'!$C$2,"state","KY","group","2d1d2")/GETPIVOTDATA("Total-Old",'Distrib pivot table'!$C$2,"state","KY")&gt;0.0005,GETPIVOTDATA("Total-Old",'Distrib pivot table'!$C$2,"state","KY","group","2d1d2")/GETPIVOTDATA("Total-Old",'Distrib pivot table'!$C$2,"state","KY"),"*"))</f>
        <v>7.2781898027779665E-3</v>
      </c>
      <c r="K45" s="575">
        <f>IF((GETPIVOTDATA("Total-Old",'Distrib pivot table'!$C$2,"state","LA","group","2d1d2")/GETPIVOTDATA("Total-Old",'Distrib pivot table'!$C$2,"state","LA"))=0,,IF(GETPIVOTDATA("Total-Old",'Distrib pivot table'!$C$2,"state","LA","group","2d1d2")/GETPIVOTDATA("Total-Old",'Distrib pivot table'!$C$2,"state","LA")&gt;0.0005,GETPIVOTDATA("Total-Old",'Distrib pivot table'!$C$2,"state","LA","group","2d1d2")/GETPIVOTDATA("Total-Old",'Distrib pivot table'!$C$2,"state","LA"),"*"))</f>
        <v>8.3982128006627379E-3</v>
      </c>
      <c r="L45" s="575">
        <f>IF((GETPIVOTDATA("Total-Old",'Distrib pivot table'!$C$2,"state","MD","group","2d1d2")/GETPIVOTDATA("Total-Old",'Distrib pivot table'!$C$2,"state","MD"))=0,,IF(GETPIVOTDATA("Total-Old",'Distrib pivot table'!$C$2,"state","MD","group","2d1d2")/GETPIVOTDATA("Total-Old",'Distrib pivot table'!$C$2,"state","MD")&gt;0.0005,GETPIVOTDATA("Total-Old",'Distrib pivot table'!$C$2,"state","MD","group","2d1d2")/GETPIVOTDATA("Total-Old",'Distrib pivot table'!$C$2,"state","MD"),"*"))</f>
        <v>6.3381224331577235E-4</v>
      </c>
      <c r="M45" s="575">
        <f>IF((GETPIVOTDATA("Total-Old",'Distrib pivot table'!$C$2,"state","MS","group","2d1d2")/GETPIVOTDATA("Total-Old",'Distrib pivot table'!$C$2,"state","MS"))=0,,IF(GETPIVOTDATA("Total-Old",'Distrib pivot table'!$C$2,"state","MS","group","2d1d2")/GETPIVOTDATA("Total-Old",'Distrib pivot table'!$C$2,"state","MS")&gt;0.0005,GETPIVOTDATA("Total-Old",'Distrib pivot table'!$C$2,"state","MS","group","2d1d2")/GETPIVOTDATA("Total-Old",'Distrib pivot table'!$C$2,"state","MS"),"*"))</f>
        <v>1.2275087778730739E-3</v>
      </c>
      <c r="N45" s="575">
        <f>IF((GETPIVOTDATA("Total-Old",'Distrib pivot table'!$C$2,"state","NC","group","2d1d2")/GETPIVOTDATA("Total-Old",'Distrib pivot table'!$C$2,"state","NC"))=0,,IF(GETPIVOTDATA("Total-Old",'Distrib pivot table'!$C$2,"state","NC","group","2d1d2")/GETPIVOTDATA("Total-Old",'Distrib pivot table'!$C$2,"state","NC")&gt;0.0005,GETPIVOTDATA("Total-Old",'Distrib pivot table'!$C$2,"state","NC","group","2d1d2")/GETPIVOTDATA("Total-Old",'Distrib pivot table'!$C$2,"state","NC"),"*"))</f>
        <v>0</v>
      </c>
      <c r="O45" s="575">
        <f>IF((GETPIVOTDATA("Total-Old",'Distrib pivot table'!$C$2,"state","OK","group","2d1d2")/GETPIVOTDATA("Total-Old",'Distrib pivot table'!$C$2,"state","OK"))=0,,IF(GETPIVOTDATA("Total-Old",'Distrib pivot table'!$C$2,"state","OK","group","2d1d2")/GETPIVOTDATA("Total-Old",'Distrib pivot table'!$C$2,"state","OK")&gt;0.0005,GETPIVOTDATA("Total-Old",'Distrib pivot table'!$C$2,"state","OK","group","2d1d2")/GETPIVOTDATA("Total-Old",'Distrib pivot table'!$C$2,"state","OK"),"*"))</f>
        <v>0</v>
      </c>
      <c r="P45" s="575">
        <f>IF((GETPIVOTDATA("Total-Old",'Distrib pivot table'!$C$2,"state","SC","group","2d1d2")/GETPIVOTDATA("Total-Old",'Distrib pivot table'!$C$2,"state","SC"))=0,,IF(GETPIVOTDATA("Total-Old",'Distrib pivot table'!$C$2,"state","SC","group","2d1d2")/GETPIVOTDATA("Total-Old",'Distrib pivot table'!$C$2,"state","SC")&gt;0.0005,GETPIVOTDATA("Total-Old",'Distrib pivot table'!$C$2,"state","SC","group","2d1d2")/GETPIVOTDATA("Total-Old",'Distrib pivot table'!$C$2,"state","SC"),"*"))</f>
        <v>1.3455370346669368E-2</v>
      </c>
      <c r="Q45" s="575">
        <f>IF((GETPIVOTDATA("Total-Old",'Distrib pivot table'!$C$2,"state","TN","group","2d1d2")/GETPIVOTDATA("Total-Old",'Distrib pivot table'!$C$2,"state","TN"))=0,,IF(GETPIVOTDATA("Total-Old",'Distrib pivot table'!$C$2,"state","TN","group","2d1d2")/GETPIVOTDATA("Total-Old",'Distrib pivot table'!$C$2,"state","TN")&gt;0.0005,GETPIVOTDATA("Total-Old",'Distrib pivot table'!$C$2,"state","TN","group","2d1d2")/GETPIVOTDATA("Total-Old",'Distrib pivot table'!$C$2,"state","TN"),"*"))</f>
        <v>1.3068435118513194E-2</v>
      </c>
      <c r="R45" s="575">
        <f>IF((GETPIVOTDATA("Total-Old",'Distrib pivot table'!$C$2,"state","TX","group","2d1d2")/GETPIVOTDATA("Total-Old",'Distrib pivot table'!$C$2,"state","TX"))=0,,IF(GETPIVOTDATA("Total-Old",'Distrib pivot table'!$C$2,"state","TX","group","2d1d2")/GETPIVOTDATA("Total-Old",'Distrib pivot table'!$C$2,"state","TX")&gt;0.0005,GETPIVOTDATA("Total-Old",'Distrib pivot table'!$C$2,"state","TX","group","2d1d2")/GETPIVOTDATA("Total-Old",'Distrib pivot table'!$C$2,"state","TX"),"*"))</f>
        <v>0</v>
      </c>
      <c r="S45" s="575">
        <f>IF((GETPIVOTDATA("Total-Old",'Distrib pivot table'!$C$2,"state","VA","group","2d1d2")/GETPIVOTDATA("Total-Old",'Distrib pivot table'!$C$2,"state","VA"))=0,,IF(GETPIVOTDATA("Total-Old",'Distrib pivot table'!$C$2,"state","VA","group","2d1d2")/GETPIVOTDATA("Total-Old",'Distrib pivot table'!$C$2,"state","VA")&gt;0.0005,GETPIVOTDATA("Total-Old",'Distrib pivot table'!$C$2,"state","VA","group","2d1d2")/GETPIVOTDATA("Total-Old",'Distrib pivot table'!$C$2,"state","VA"),"*"))</f>
        <v>0</v>
      </c>
      <c r="T45" s="575">
        <f>IF((GETPIVOTDATA("Total-Old",'Distrib pivot table'!$C$2,"state","WV","group","2d1d2")/GETPIVOTDATA("Total-Old",'Distrib pivot table'!$C$2,"state","WV"))=0,,IF(GETPIVOTDATA("Total-Old",'Distrib pivot table'!$C$2,"state","WV","group","2d1d2")/GETPIVOTDATA("Total-Old",'Distrib pivot table'!$C$2,"state","WV")&gt;0.0005,GETPIVOTDATA("Total-Old",'Distrib pivot table'!$C$2,"state","WV","group","2d1d2")/GETPIVOTDATA("Total-Old",'Distrib pivot table'!$C$2,"state","WV"),"*"))</f>
        <v>9.7535741468419361E-4</v>
      </c>
      <c r="U45" s="576"/>
      <c r="V45" s="576"/>
      <c r="W45" s="576"/>
      <c r="X45" s="576"/>
      <c r="Y45" s="576"/>
      <c r="Z45" s="576"/>
      <c r="AA45" s="576"/>
      <c r="AB45" s="576"/>
      <c r="AC45" s="576"/>
      <c r="AD45" s="576"/>
      <c r="AE45" s="576"/>
      <c r="AF45" s="576"/>
      <c r="AG45" s="576"/>
      <c r="AH45" s="576"/>
      <c r="AI45" s="576"/>
      <c r="AJ45" s="576"/>
      <c r="AK45" s="576"/>
      <c r="AL45" s="576"/>
      <c r="AM45" s="576"/>
      <c r="AN45" s="576"/>
      <c r="AO45" s="576"/>
      <c r="AP45" s="576"/>
      <c r="AQ45" s="576"/>
      <c r="AR45" s="576"/>
      <c r="AS45" s="576"/>
      <c r="AT45" s="576"/>
      <c r="AU45" s="576"/>
      <c r="AV45" s="576"/>
      <c r="AW45" s="576"/>
      <c r="AX45" s="576"/>
    </row>
    <row r="46" spans="1:50" ht="12.65" customHeight="1">
      <c r="A46" s="1225"/>
      <c r="B46" s="573" t="s">
        <v>331</v>
      </c>
      <c r="C46" s="589" t="s">
        <v>187</v>
      </c>
      <c r="D46" s="575" t="str">
        <f>IF(GETPIVOTDATA("Total-Old",'Distrib pivot table'!$C$2,"group","2d2")/GETPIVOTDATA("Total-Old",'Distrib pivot table'!$C$2)=0,,IF(GETPIVOTDATA("Total-Old",'Distrib pivot table'!$C$2,"group","2d2")/GETPIVOTDATA("Total-Old",'Distrib pivot table'!$C$2)&gt;0.0005,GETPIVOTDATA("Total-Old",'Distrib pivot table'!$C$2,"group","2d2")/GETPIVOTDATA("Total-Old",'Distrib pivot table'!$C$2),"*"))</f>
        <v>*</v>
      </c>
      <c r="E46" s="575">
        <f>IF((GETPIVOTDATA("Total-Old",'Distrib pivot table'!$C$2,"state","AL","group","2d2")/GETPIVOTDATA("Total-Old",'Distrib pivot table'!$C$2,"state","AL"))=0,,IF(GETPIVOTDATA("Total-Old",'Distrib pivot table'!$C$2,"state","AL","group","2d2")/GETPIVOTDATA("Total-Old",'Distrib pivot table'!$C$2,"state","AL")&gt;0.0005,GETPIVOTDATA("Total-Old",'Distrib pivot table'!$C$2,"state","AL","group","2d2")/GETPIVOTDATA("Total-Old",'Distrib pivot table'!$C$2,"state","AL"),"*"))</f>
        <v>0</v>
      </c>
      <c r="F46" s="575">
        <f>IF((GETPIVOTDATA("Total-Old",'Distrib pivot table'!$C$2,"state","AR","group","2d2")/GETPIVOTDATA("Total-Old",'Distrib pivot table'!$C$2,"state","AR"))=0,,IF(GETPIVOTDATA("Total-Old",'Distrib pivot table'!$C$2,"state","AR","group","2d2")/GETPIVOTDATA("Total-Old",'Distrib pivot table'!$C$2,"state","AR")&gt;0.0005,GETPIVOTDATA("Total-Old",'Distrib pivot table'!$C$2,"state","AR","group","2d2")/GETPIVOTDATA("Total-Old",'Distrib pivot table'!$C$2,"state","AR"),"*"))</f>
        <v>0</v>
      </c>
      <c r="G46" s="575">
        <f>IF((GETPIVOTDATA("Total-Old",'Distrib pivot table'!$C$2,"state","DE","group","2d2")/GETPIVOTDATA("Total-Old",'Distrib pivot table'!$C$2,"state","DE"))=0,,IF(GETPIVOTDATA("Total-Old",'Distrib pivot table'!$C$2,"state","DE","group","2d2")/GETPIVOTDATA("Total-Old",'Distrib pivot table'!$C$2,"state","DE")&gt;0.0005,GETPIVOTDATA("Total-Old",'Distrib pivot table'!$C$2,"state","DE","group","2d2")/GETPIVOTDATA("Total-Old",'Distrib pivot table'!$C$2,"state","DE"),"*"))</f>
        <v>0</v>
      </c>
      <c r="H46" s="575">
        <f>IF((GETPIVOTDATA("Total-Old",'Distrib pivot table'!$C$2,"state","FL","group","2d2")/GETPIVOTDATA("Total-Old",'Distrib pivot table'!$C$2,"state","FL"))=0,,IF(GETPIVOTDATA("Total-Old",'Distrib pivot table'!$C$2,"state","FL","group","2d2")/GETPIVOTDATA("Total-Old",'Distrib pivot table'!$C$2,"state","FL")&gt;0.0005,GETPIVOTDATA("Total-Old",'Distrib pivot table'!$C$2,"state","FL","group","2d2")/GETPIVOTDATA("Total-Old",'Distrib pivot table'!$C$2,"state","FL"),"*"))</f>
        <v>0</v>
      </c>
      <c r="I46" s="575">
        <f>IF((GETPIVOTDATA("Total-Old",'Distrib pivot table'!$C$2,"state","GA","group","2d2")/GETPIVOTDATA("Total-Old",'Distrib pivot table'!$C$2,"state","GA"))=0,,IF(GETPIVOTDATA("Total-Old",'Distrib pivot table'!$C$2,"state","GA","group","2d2")/GETPIVOTDATA("Total-Old",'Distrib pivot table'!$C$2,"state","GA")&gt;0.0005,GETPIVOTDATA("Total-Old",'Distrib pivot table'!$C$2,"state","GA","group","2d2")/GETPIVOTDATA("Total-Old",'Distrib pivot table'!$C$2,"state","GA"),"*"))</f>
        <v>0</v>
      </c>
      <c r="J46" s="575">
        <f>IF((GETPIVOTDATA("Total-Old",'Distrib pivot table'!$C$2,"state","KY","group","2d2")/GETPIVOTDATA("Total-Old",'Distrib pivot table'!$C$2,"state","KY"))=0,,IF(GETPIVOTDATA("Total-Old",'Distrib pivot table'!$C$2,"state","KY","group","2d2")/GETPIVOTDATA("Total-Old",'Distrib pivot table'!$C$2,"state","KY")&gt;0.0005,GETPIVOTDATA("Total-Old",'Distrib pivot table'!$C$2,"state","KY","group","2d2")/GETPIVOTDATA("Total-Old",'Distrib pivot table'!$C$2,"state","KY"),"*"))</f>
        <v>0</v>
      </c>
      <c r="K46" s="575">
        <f>IF((GETPIVOTDATA("Total-Old",'Distrib pivot table'!$C$2,"state","LA","group","2d2")/GETPIVOTDATA("Total-Old",'Distrib pivot table'!$C$2,"state","LA"))=0,,IF(GETPIVOTDATA("Total-Old",'Distrib pivot table'!$C$2,"state","LA","group","2d2")/GETPIVOTDATA("Total-Old",'Distrib pivot table'!$C$2,"state","LA")&gt;0.0005,GETPIVOTDATA("Total-Old",'Distrib pivot table'!$C$2,"state","LA","group","2d2")/GETPIVOTDATA("Total-Old",'Distrib pivot table'!$C$2,"state","LA"),"*"))</f>
        <v>0</v>
      </c>
      <c r="L46" s="575">
        <f>IF((GETPIVOTDATA("Total-Old",'Distrib pivot table'!$C$2,"state","MD","group","2d2")/GETPIVOTDATA("Total-Old",'Distrib pivot table'!$C$2,"state","MD"))=0,,IF(GETPIVOTDATA("Total-Old",'Distrib pivot table'!$C$2,"state","MD","group","2d2")/GETPIVOTDATA("Total-Old",'Distrib pivot table'!$C$2,"state","MD")&gt;0.0005,GETPIVOTDATA("Total-Old",'Distrib pivot table'!$C$2,"state","MD","group","2d2")/GETPIVOTDATA("Total-Old",'Distrib pivot table'!$C$2,"state","MD"),"*"))</f>
        <v>0</v>
      </c>
      <c r="M46" s="575">
        <f>IF((GETPIVOTDATA("Total-Old",'Distrib pivot table'!$C$2,"state","MS","group","2d2")/GETPIVOTDATA("Total-Old",'Distrib pivot table'!$C$2,"state","MS"))=0,,IF(GETPIVOTDATA("Total-Old",'Distrib pivot table'!$C$2,"state","MS","group","2d2")/GETPIVOTDATA("Total-Old",'Distrib pivot table'!$C$2,"state","MS")&gt;0.0005,GETPIVOTDATA("Total-Old",'Distrib pivot table'!$C$2,"state","MS","group","2d2")/GETPIVOTDATA("Total-Old",'Distrib pivot table'!$C$2,"state","MS"),"*"))</f>
        <v>0</v>
      </c>
      <c r="N46" s="575">
        <f>IF((GETPIVOTDATA("Total-Old",'Distrib pivot table'!$C$2,"state","NC","group","2d2")/GETPIVOTDATA("Total-Old",'Distrib pivot table'!$C$2,"state","NC"))=0,,IF(GETPIVOTDATA("Total-Old",'Distrib pivot table'!$C$2,"state","NC","group","2d2")/GETPIVOTDATA("Total-Old",'Distrib pivot table'!$C$2,"state","NC")&gt;0.0005,GETPIVOTDATA("Total-Old",'Distrib pivot table'!$C$2,"state","NC","group","2d2")/GETPIVOTDATA("Total-Old",'Distrib pivot table'!$C$2,"state","NC"),"*"))</f>
        <v>0</v>
      </c>
      <c r="O46" s="575">
        <f>IF((GETPIVOTDATA("Total-Old",'Distrib pivot table'!$C$2,"state","OK","group","2d2")/GETPIVOTDATA("Total-Old",'Distrib pivot table'!$C$2,"state","OK"))=0,,IF(GETPIVOTDATA("Total-Old",'Distrib pivot table'!$C$2,"state","OK","group","2d2")/GETPIVOTDATA("Total-Old",'Distrib pivot table'!$C$2,"state","OK")&gt;0.0005,GETPIVOTDATA("Total-Old",'Distrib pivot table'!$C$2,"state","OK","group","2d2")/GETPIVOTDATA("Total-Old",'Distrib pivot table'!$C$2,"state","OK"),"*"))</f>
        <v>0</v>
      </c>
      <c r="P46" s="575">
        <f>IF((GETPIVOTDATA("Total-Old",'Distrib pivot table'!$C$2,"state","SC","group","2d2")/GETPIVOTDATA("Total-Old",'Distrib pivot table'!$C$2,"state","SC"))=0,,IF(GETPIVOTDATA("Total-Old",'Distrib pivot table'!$C$2,"state","SC","group","2d2")/GETPIVOTDATA("Total-Old",'Distrib pivot table'!$C$2,"state","SC")&gt;0.0005,GETPIVOTDATA("Total-Old",'Distrib pivot table'!$C$2,"state","SC","group","2d2")/GETPIVOTDATA("Total-Old",'Distrib pivot table'!$C$2,"state","SC"),"*"))</f>
        <v>0</v>
      </c>
      <c r="Q46" s="575">
        <f>IF((GETPIVOTDATA("Total-Old",'Distrib pivot table'!$C$2,"state","TN","group","2d2")/GETPIVOTDATA("Total-Old",'Distrib pivot table'!$C$2,"state","TN"))=0,,IF(GETPIVOTDATA("Total-Old",'Distrib pivot table'!$C$2,"state","TN","group","2d2")/GETPIVOTDATA("Total-Old",'Distrib pivot table'!$C$2,"state","TN")&gt;0.0005,GETPIVOTDATA("Total-Old",'Distrib pivot table'!$C$2,"state","TN","group","2d2")/GETPIVOTDATA("Total-Old",'Distrib pivot table'!$C$2,"state","TN"),"*"))</f>
        <v>0</v>
      </c>
      <c r="R46" s="575">
        <f>IF((GETPIVOTDATA("Total-Old",'Distrib pivot table'!$C$2,"state","TX","group","2d2")/GETPIVOTDATA("Total-Old",'Distrib pivot table'!$C$2,"state","TX"))=0,,IF(GETPIVOTDATA("Total-Old",'Distrib pivot table'!$C$2,"state","TX","group","2d2")/GETPIVOTDATA("Total-Old",'Distrib pivot table'!$C$2,"state","TX")&gt;0.0005,GETPIVOTDATA("Total-Old",'Distrib pivot table'!$C$2,"state","TX","group","2d2")/GETPIVOTDATA("Total-Old",'Distrib pivot table'!$C$2,"state","TX"),"*"))</f>
        <v>0</v>
      </c>
      <c r="S46" s="575">
        <f>IF((GETPIVOTDATA("Total-Old",'Distrib pivot table'!$C$2,"state","VA","group","2d2")/GETPIVOTDATA("Total-Old",'Distrib pivot table'!$C$2,"state","VA"))=0,,IF(GETPIVOTDATA("Total-Old",'Distrib pivot table'!$C$2,"state","VA","group","2d2")/GETPIVOTDATA("Total-Old",'Distrib pivot table'!$C$2,"state","VA")&gt;0.0005,GETPIVOTDATA("Total-Old",'Distrib pivot table'!$C$2,"state","VA","group","2d2")/GETPIVOTDATA("Total-Old",'Distrib pivot table'!$C$2,"state","VA"),"*"))</f>
        <v>6.2837611272749221E-4</v>
      </c>
      <c r="T46" s="575">
        <f>IF((GETPIVOTDATA("Total-Old",'Distrib pivot table'!$C$2,"state","WV","group","2d2")/GETPIVOTDATA("Total-Old",'Distrib pivot table'!$C$2,"state","WV"))=0,,IF(GETPIVOTDATA("Total-Old",'Distrib pivot table'!$C$2,"state","WV","group","2d2")/GETPIVOTDATA("Total-Old",'Distrib pivot table'!$C$2,"state","WV")&gt;0.0005,GETPIVOTDATA("Total-Old",'Distrib pivot table'!$C$2,"state","WV","group","2d2")/GETPIVOTDATA("Total-Old",'Distrib pivot table'!$C$2,"state","WV"),"*"))</f>
        <v>0</v>
      </c>
      <c r="U46" s="576"/>
      <c r="V46" s="576"/>
      <c r="W46" s="576"/>
      <c r="X46" s="576"/>
      <c r="Y46" s="576"/>
      <c r="Z46" s="576"/>
      <c r="AA46" s="576"/>
      <c r="AB46" s="576"/>
      <c r="AC46" s="576"/>
      <c r="AD46" s="576"/>
      <c r="AE46" s="576"/>
      <c r="AF46" s="576"/>
      <c r="AG46" s="576"/>
      <c r="AH46" s="576"/>
      <c r="AI46" s="576"/>
      <c r="AJ46" s="576"/>
      <c r="AK46" s="576"/>
      <c r="AL46" s="576"/>
      <c r="AM46" s="576"/>
      <c r="AN46" s="576"/>
      <c r="AO46" s="576"/>
      <c r="AP46" s="576"/>
      <c r="AQ46" s="576"/>
      <c r="AR46" s="576"/>
      <c r="AS46" s="576"/>
      <c r="AT46" s="576"/>
      <c r="AU46" s="576"/>
      <c r="AV46" s="576"/>
      <c r="AW46" s="576"/>
      <c r="AX46" s="576"/>
    </row>
    <row r="47" spans="1:50" ht="12.65" customHeight="1">
      <c r="A47" s="1225"/>
      <c r="B47" s="573" t="s">
        <v>165</v>
      </c>
      <c r="C47" s="589" t="s">
        <v>190</v>
      </c>
      <c r="D47" s="575">
        <f>IF(GETPIVOTDATA("Total-Old",'Distrib pivot table'!$C$2,"group","2d2a")/GETPIVOTDATA("Total-Old",'Distrib pivot table'!$C$2)=0,,IF(GETPIVOTDATA("Total-Old",'Distrib pivot table'!$C$2,"group","2d2a")/GETPIVOTDATA("Total-Old",'Distrib pivot table'!$C$2)&gt;0.0005,GETPIVOTDATA("Total-Old",'Distrib pivot table'!$C$2,"group","2d2a")/GETPIVOTDATA("Total-Old",'Distrib pivot table'!$C$2),"*"))</f>
        <v>6.7837004144089353E-3</v>
      </c>
      <c r="E47" s="575">
        <f>IF((GETPIVOTDATA("Total-Old",'Distrib pivot table'!$C$2,"state","AL","group","2d2a")/GETPIVOTDATA("Total-Old",'Distrib pivot table'!$C$2,"state","AL"))=0,,IF(GETPIVOTDATA("Total-Old",'Distrib pivot table'!$C$2,"state","AL","group","2d2a")/GETPIVOTDATA("Total-Old",'Distrib pivot table'!$C$2,"state","AL")&gt;0.0005,GETPIVOTDATA("Total-Old",'Distrib pivot table'!$C$2,"state","AL","group","2d2a")/GETPIVOTDATA("Total-Old",'Distrib pivot table'!$C$2,"state","AL"),"*"))</f>
        <v>0</v>
      </c>
      <c r="F47" s="575">
        <f>IF((GETPIVOTDATA("Total-Old",'Distrib pivot table'!$C$2,"state","AR","group","2d2a")/GETPIVOTDATA("Total-Old",'Distrib pivot table'!$C$2,"state","AR"))=0,,IF(GETPIVOTDATA("Total-Old",'Distrib pivot table'!$C$2,"state","AR","group","2d2a")/GETPIVOTDATA("Total-Old",'Distrib pivot table'!$C$2,"state","AR")&gt;0.0005,GETPIVOTDATA("Total-Old",'Distrib pivot table'!$C$2,"state","AR","group","2d2a")/GETPIVOTDATA("Total-Old",'Distrib pivot table'!$C$2,"state","AR"),"*"))</f>
        <v>0</v>
      </c>
      <c r="G47" s="575">
        <f>IF((GETPIVOTDATA("Total-Old",'Distrib pivot table'!$C$2,"state","DE","group","2d2a")/GETPIVOTDATA("Total-Old",'Distrib pivot table'!$C$2,"state","DE"))=0,,IF(GETPIVOTDATA("Total-Old",'Distrib pivot table'!$C$2,"state","DE","group","2d2a")/GETPIVOTDATA("Total-Old",'Distrib pivot table'!$C$2,"state","DE")&gt;0.0005,GETPIVOTDATA("Total-Old",'Distrib pivot table'!$C$2,"state","DE","group","2d2a")/GETPIVOTDATA("Total-Old",'Distrib pivot table'!$C$2,"state","DE"),"*"))</f>
        <v>0</v>
      </c>
      <c r="H47" s="575">
        <f>IF((GETPIVOTDATA("Total-Old",'Distrib pivot table'!$C$2,"state","FL","group","2d2a")/GETPIVOTDATA("Total-Old",'Distrib pivot table'!$C$2,"state","FL"))=0,,IF(GETPIVOTDATA("Total-Old",'Distrib pivot table'!$C$2,"state","FL","group","2d2a")/GETPIVOTDATA("Total-Old",'Distrib pivot table'!$C$2,"state","FL")&gt;0.0005,GETPIVOTDATA("Total-Old",'Distrib pivot table'!$C$2,"state","FL","group","2d2a")/GETPIVOTDATA("Total-Old",'Distrib pivot table'!$C$2,"state","FL"),"*"))</f>
        <v>0</v>
      </c>
      <c r="I47" s="575">
        <f>IF((GETPIVOTDATA("Total-Old",'Distrib pivot table'!$C$2,"state","GA","group","2d2a")/GETPIVOTDATA("Total-Old",'Distrib pivot table'!$C$2,"state","GA"))=0,,IF(GETPIVOTDATA("Total-Old",'Distrib pivot table'!$C$2,"state","GA","group","2d2a")/GETPIVOTDATA("Total-Old",'Distrib pivot table'!$C$2,"state","GA")&gt;0.0005,GETPIVOTDATA("Total-Old",'Distrib pivot table'!$C$2,"state","GA","group","2d2a")/GETPIVOTDATA("Total-Old",'Distrib pivot table'!$C$2,"state","GA"),"*"))</f>
        <v>0</v>
      </c>
      <c r="J47" s="575">
        <f>IF((GETPIVOTDATA("Total-Old",'Distrib pivot table'!$C$2,"state","KY","group","2d2a")/GETPIVOTDATA("Total-Old",'Distrib pivot table'!$C$2,"state","KY"))=0,,IF(GETPIVOTDATA("Total-Old",'Distrib pivot table'!$C$2,"state","KY","group","2d2a")/GETPIVOTDATA("Total-Old",'Distrib pivot table'!$C$2,"state","KY")&gt;0.0005,GETPIVOTDATA("Total-Old",'Distrib pivot table'!$C$2,"state","KY","group","2d2a")/GETPIVOTDATA("Total-Old",'Distrib pivot table'!$C$2,"state","KY"),"*"))</f>
        <v>0</v>
      </c>
      <c r="K47" s="575">
        <f>IF((GETPIVOTDATA("Total-Old",'Distrib pivot table'!$C$2,"state","LA","group","2d2a")/GETPIVOTDATA("Total-Old",'Distrib pivot table'!$C$2,"state","LA"))=0,,IF(GETPIVOTDATA("Total-Old",'Distrib pivot table'!$C$2,"state","LA","group","2d2a")/GETPIVOTDATA("Total-Old",'Distrib pivot table'!$C$2,"state","LA")&gt;0.0005,GETPIVOTDATA("Total-Old",'Distrib pivot table'!$C$2,"state","LA","group","2d2a")/GETPIVOTDATA("Total-Old",'Distrib pivot table'!$C$2,"state","LA"),"*"))</f>
        <v>0</v>
      </c>
      <c r="L47" s="575">
        <f>IF((GETPIVOTDATA("Total-Old",'Distrib pivot table'!$C$2,"state","MD","group","2d2a")/GETPIVOTDATA("Total-Old",'Distrib pivot table'!$C$2,"state","MD"))=0,,IF(GETPIVOTDATA("Total-Old",'Distrib pivot table'!$C$2,"state","MD","group","2d2a")/GETPIVOTDATA("Total-Old",'Distrib pivot table'!$C$2,"state","MD")&gt;0.0005,GETPIVOTDATA("Total-Old",'Distrib pivot table'!$C$2,"state","MD","group","2d2a")/GETPIVOTDATA("Total-Old",'Distrib pivot table'!$C$2,"state","MD"),"*"))</f>
        <v>1.5511723920513592E-2</v>
      </c>
      <c r="M47" s="575">
        <f>IF((GETPIVOTDATA("Total-Old",'Distrib pivot table'!$C$2,"state","MS","group","2d2a")/GETPIVOTDATA("Total-Old",'Distrib pivot table'!$C$2,"state","MS"))=0,,IF(GETPIVOTDATA("Total-Old",'Distrib pivot table'!$C$2,"state","MS","group","2d2a")/GETPIVOTDATA("Total-Old",'Distrib pivot table'!$C$2,"state","MS")&gt;0.0005,GETPIVOTDATA("Total-Old",'Distrib pivot table'!$C$2,"state","MS","group","2d2a")/GETPIVOTDATA("Total-Old",'Distrib pivot table'!$C$2,"state","MS"),"*"))</f>
        <v>0</v>
      </c>
      <c r="N47" s="575">
        <f>IF((GETPIVOTDATA("Total-Old",'Distrib pivot table'!$C$2,"state","NC","group","2d2a")/GETPIVOTDATA("Total-Old",'Distrib pivot table'!$C$2,"state","NC"))=0,,IF(GETPIVOTDATA("Total-Old",'Distrib pivot table'!$C$2,"state","NC","group","2d2a")/GETPIVOTDATA("Total-Old",'Distrib pivot table'!$C$2,"state","NC")&gt;0.0005,GETPIVOTDATA("Total-Old",'Distrib pivot table'!$C$2,"state","NC","group","2d2a")/GETPIVOTDATA("Total-Old",'Distrib pivot table'!$C$2,"state","NC"),"*"))</f>
        <v>1.9348213236872362E-2</v>
      </c>
      <c r="O47" s="575">
        <f>IF((GETPIVOTDATA("Total-Old",'Distrib pivot table'!$C$2,"state","OK","group","2d2a")/GETPIVOTDATA("Total-Old",'Distrib pivot table'!$C$2,"state","OK"))=0,,IF(GETPIVOTDATA("Total-Old",'Distrib pivot table'!$C$2,"state","OK","group","2d2a")/GETPIVOTDATA("Total-Old",'Distrib pivot table'!$C$2,"state","OK")&gt;0.0005,GETPIVOTDATA("Total-Old",'Distrib pivot table'!$C$2,"state","OK","group","2d2a")/GETPIVOTDATA("Total-Old",'Distrib pivot table'!$C$2,"state","OK"),"*"))</f>
        <v>0</v>
      </c>
      <c r="P47" s="575">
        <f>IF((GETPIVOTDATA("Total-Old",'Distrib pivot table'!$C$2,"state","SC","group","2d2a")/GETPIVOTDATA("Total-Old",'Distrib pivot table'!$C$2,"state","SC"))=0,,IF(GETPIVOTDATA("Total-Old",'Distrib pivot table'!$C$2,"state","SC","group","2d2a")/GETPIVOTDATA("Total-Old",'Distrib pivot table'!$C$2,"state","SC")&gt;0.0005,GETPIVOTDATA("Total-Old",'Distrib pivot table'!$C$2,"state","SC","group","2d2a")/GETPIVOTDATA("Total-Old",'Distrib pivot table'!$C$2,"state","SC"),"*"))</f>
        <v>0</v>
      </c>
      <c r="Q47" s="575">
        <f>IF((GETPIVOTDATA("Total-Old",'Distrib pivot table'!$C$2,"state","TN","group","2d2a")/GETPIVOTDATA("Total-Old",'Distrib pivot table'!$C$2,"state","TN"))=0,,IF(GETPIVOTDATA("Total-Old",'Distrib pivot table'!$C$2,"state","TN","group","2d2a")/GETPIVOTDATA("Total-Old",'Distrib pivot table'!$C$2,"state","TN")&gt;0.0005,GETPIVOTDATA("Total-Old",'Distrib pivot table'!$C$2,"state","TN","group","2d2a")/GETPIVOTDATA("Total-Old",'Distrib pivot table'!$C$2,"state","TN"),"*"))</f>
        <v>0</v>
      </c>
      <c r="R47" s="575">
        <f>IF((GETPIVOTDATA("Total-Old",'Distrib pivot table'!$C$2,"state","TX","group","2d2a")/GETPIVOTDATA("Total-Old",'Distrib pivot table'!$C$2,"state","TX"))=0,,IF(GETPIVOTDATA("Total-Old",'Distrib pivot table'!$C$2,"state","TX","group","2d2a")/GETPIVOTDATA("Total-Old",'Distrib pivot table'!$C$2,"state","TX")&gt;0.0005,GETPIVOTDATA("Total-Old",'Distrib pivot table'!$C$2,"state","TX","group","2d2a")/GETPIVOTDATA("Total-Old",'Distrib pivot table'!$C$2,"state","TX"),"*"))</f>
        <v>0</v>
      </c>
      <c r="S47" s="575">
        <f>IF((GETPIVOTDATA("Total-Old",'Distrib pivot table'!$C$2,"state","VA","group","2d2a")/GETPIVOTDATA("Total-Old",'Distrib pivot table'!$C$2,"state","VA"))=0,,IF(GETPIVOTDATA("Total-Old",'Distrib pivot table'!$C$2,"state","VA","group","2d2a")/GETPIVOTDATA("Total-Old",'Distrib pivot table'!$C$2,"state","VA")&gt;0.0005,GETPIVOTDATA("Total-Old",'Distrib pivot table'!$C$2,"state","VA","group","2d2a")/GETPIVOTDATA("Total-Old",'Distrib pivot table'!$C$2,"state","VA"),"*"))</f>
        <v>3.8987659391347539E-2</v>
      </c>
      <c r="T47" s="575">
        <f>IF((GETPIVOTDATA("Total-Old",'Distrib pivot table'!$C$2,"state","WV","group","2d2a")/GETPIVOTDATA("Total-Old",'Distrib pivot table'!$C$2,"state","WV"))=0,,IF(GETPIVOTDATA("Total-Old",'Distrib pivot table'!$C$2,"state","WV","group","2d2a")/GETPIVOTDATA("Total-Old",'Distrib pivot table'!$C$2,"state","WV")&gt;0.0005,GETPIVOTDATA("Total-Old",'Distrib pivot table'!$C$2,"state","WV","group","2d2a")/GETPIVOTDATA("Total-Old",'Distrib pivot table'!$C$2,"state","WV"),"*"))</f>
        <v>0</v>
      </c>
      <c r="U47" s="576"/>
      <c r="V47" s="576"/>
      <c r="W47" s="576"/>
      <c r="X47" s="576"/>
      <c r="Y47" s="576"/>
      <c r="Z47" s="576"/>
      <c r="AA47" s="576"/>
      <c r="AB47" s="576"/>
      <c r="AC47" s="576"/>
      <c r="AD47" s="576"/>
      <c r="AE47" s="576"/>
      <c r="AF47" s="576"/>
      <c r="AG47" s="576"/>
      <c r="AH47" s="576"/>
      <c r="AI47" s="576"/>
      <c r="AJ47" s="576"/>
      <c r="AK47" s="576"/>
      <c r="AL47" s="576"/>
      <c r="AM47" s="576"/>
      <c r="AN47" s="576"/>
      <c r="AO47" s="576"/>
      <c r="AP47" s="576"/>
      <c r="AQ47" s="576"/>
      <c r="AR47" s="576"/>
      <c r="AS47" s="576"/>
      <c r="AT47" s="576"/>
      <c r="AU47" s="576"/>
      <c r="AV47" s="576"/>
      <c r="AW47" s="576"/>
      <c r="AX47" s="576"/>
    </row>
    <row r="48" spans="1:50" ht="12.65" customHeight="1">
      <c r="A48" s="1225"/>
      <c r="B48" s="573" t="s">
        <v>167</v>
      </c>
      <c r="C48" s="589" t="s">
        <v>191</v>
      </c>
      <c r="D48" s="575">
        <f>IF(GETPIVOTDATA("Total-Old",'Distrib pivot table'!$C$2,"group","2d2b")/GETPIVOTDATA("Total-Old",'Distrib pivot table'!$C$2)=0,,IF(GETPIVOTDATA("Total-Old",'Distrib pivot table'!$C$2,"group","2d2b")/GETPIVOTDATA("Total-Old",'Distrib pivot table'!$C$2)&gt;0.0005,GETPIVOTDATA("Total-Old",'Distrib pivot table'!$C$2,"group","2d2b")/GETPIVOTDATA("Total-Old",'Distrib pivot table'!$C$2),"*"))</f>
        <v>1.1080756913877242E-2</v>
      </c>
      <c r="E48" s="575" t="str">
        <f>IF((GETPIVOTDATA("Total-Old",'Distrib pivot table'!$C$2,"state","AL","group","2d2b")/GETPIVOTDATA("Total-Old",'Distrib pivot table'!$C$2,"state","AL"))=0,,IF(GETPIVOTDATA("Total-Old",'Distrib pivot table'!$C$2,"state","AL","group","2d2b")/GETPIVOTDATA("Total-Old",'Distrib pivot table'!$C$2,"state","AL")&gt;0.0005,GETPIVOTDATA("Total-Old",'Distrib pivot table'!$C$2,"state","AL","group","2d2b")/GETPIVOTDATA("Total-Old",'Distrib pivot table'!$C$2,"state","AL"),"*"))</f>
        <v>*</v>
      </c>
      <c r="F48" s="575" t="str">
        <f>IF((GETPIVOTDATA("Total-Old",'Distrib pivot table'!$C$2,"state","AR","group","2d2b")/GETPIVOTDATA("Total-Old",'Distrib pivot table'!$C$2,"state","AR"))=0,,IF(GETPIVOTDATA("Total-Old",'Distrib pivot table'!$C$2,"state","AR","group","2d2b")/GETPIVOTDATA("Total-Old",'Distrib pivot table'!$C$2,"state","AR")&gt;0.0005,GETPIVOTDATA("Total-Old",'Distrib pivot table'!$C$2,"state","AR","group","2d2b")/GETPIVOTDATA("Total-Old",'Distrib pivot table'!$C$2,"state","AR"),"*"))</f>
        <v>*</v>
      </c>
      <c r="G48" s="575">
        <f>IF((GETPIVOTDATA("Total-Old",'Distrib pivot table'!$C$2,"state","DE","group","2d2b")/GETPIVOTDATA("Total-Old",'Distrib pivot table'!$C$2,"state","DE"))=0,,IF(GETPIVOTDATA("Total-Old",'Distrib pivot table'!$C$2,"state","DE","group","2d2b")/GETPIVOTDATA("Total-Old",'Distrib pivot table'!$C$2,"state","DE")&gt;0.0005,GETPIVOTDATA("Total-Old",'Distrib pivot table'!$C$2,"state","DE","group","2d2b")/GETPIVOTDATA("Total-Old",'Distrib pivot table'!$C$2,"state","DE"),"*"))</f>
        <v>0</v>
      </c>
      <c r="H48" s="575">
        <f>IF((GETPIVOTDATA("Total-Old",'Distrib pivot table'!$C$2,"state","FL","group","2d2b")/GETPIVOTDATA("Total-Old",'Distrib pivot table'!$C$2,"state","FL"))=0,,IF(GETPIVOTDATA("Total-Old",'Distrib pivot table'!$C$2,"state","FL","group","2d2b")/GETPIVOTDATA("Total-Old",'Distrib pivot table'!$C$2,"state","FL")&gt;0.0005,GETPIVOTDATA("Total-Old",'Distrib pivot table'!$C$2,"state","FL","group","2d2b")/GETPIVOTDATA("Total-Old",'Distrib pivot table'!$C$2,"state","FL"),"*"))</f>
        <v>0</v>
      </c>
      <c r="I48" s="575">
        <f>IF((GETPIVOTDATA("Total-Old",'Distrib pivot table'!$C$2,"state","GA","group","2d2b")/GETPIVOTDATA("Total-Old",'Distrib pivot table'!$C$2,"state","GA"))=0,,IF(GETPIVOTDATA("Total-Old",'Distrib pivot table'!$C$2,"state","GA","group","2d2b")/GETPIVOTDATA("Total-Old",'Distrib pivot table'!$C$2,"state","GA")&gt;0.0005,GETPIVOTDATA("Total-Old",'Distrib pivot table'!$C$2,"state","GA","group","2d2b")/GETPIVOTDATA("Total-Old",'Distrib pivot table'!$C$2,"state","GA"),"*"))</f>
        <v>0.10935740719674594</v>
      </c>
      <c r="J48" s="575">
        <f>IF((GETPIVOTDATA("Total-Old",'Distrib pivot table'!$C$2,"state","KY","group","2d2b")/GETPIVOTDATA("Total-Old",'Distrib pivot table'!$C$2,"state","KY"))=0,,IF(GETPIVOTDATA("Total-Old",'Distrib pivot table'!$C$2,"state","KY","group","2d2b")/GETPIVOTDATA("Total-Old",'Distrib pivot table'!$C$2,"state","KY")&gt;0.0005,GETPIVOTDATA("Total-Old",'Distrib pivot table'!$C$2,"state","KY","group","2d2b")/GETPIVOTDATA("Total-Old",'Distrib pivot table'!$C$2,"state","KY"),"*"))</f>
        <v>0</v>
      </c>
      <c r="K48" s="575" t="str">
        <f>IF((GETPIVOTDATA("Total-Old",'Distrib pivot table'!$C$2,"state","LA","group","2d2b")/GETPIVOTDATA("Total-Old",'Distrib pivot table'!$C$2,"state","LA"))=0,,IF(GETPIVOTDATA("Total-Old",'Distrib pivot table'!$C$2,"state","LA","group","2d2b")/GETPIVOTDATA("Total-Old",'Distrib pivot table'!$C$2,"state","LA")&gt;0.0005,GETPIVOTDATA("Total-Old",'Distrib pivot table'!$C$2,"state","LA","group","2d2b")/GETPIVOTDATA("Total-Old",'Distrib pivot table'!$C$2,"state","LA"),"*"))</f>
        <v>*</v>
      </c>
      <c r="L48" s="575">
        <f>IF((GETPIVOTDATA("Total-Old",'Distrib pivot table'!$C$2,"state","MD","group","2d2b")/GETPIVOTDATA("Total-Old",'Distrib pivot table'!$C$2,"state","MD"))=0,,IF(GETPIVOTDATA("Total-Old",'Distrib pivot table'!$C$2,"state","MD","group","2d2b")/GETPIVOTDATA("Total-Old",'Distrib pivot table'!$C$2,"state","MD")&gt;0.0005,GETPIVOTDATA("Total-Old",'Distrib pivot table'!$C$2,"state","MD","group","2d2b")/GETPIVOTDATA("Total-Old",'Distrib pivot table'!$C$2,"state","MD"),"*"))</f>
        <v>2.7078337241505774E-3</v>
      </c>
      <c r="M48" s="575">
        <f>IF((GETPIVOTDATA("Total-Old",'Distrib pivot table'!$C$2,"state","MS","group","2d2b")/GETPIVOTDATA("Total-Old",'Distrib pivot table'!$C$2,"state","MS"))=0,,IF(GETPIVOTDATA("Total-Old",'Distrib pivot table'!$C$2,"state","MS","group","2d2b")/GETPIVOTDATA("Total-Old",'Distrib pivot table'!$C$2,"state","MS")&gt;0.0005,GETPIVOTDATA("Total-Old",'Distrib pivot table'!$C$2,"state","MS","group","2d2b")/GETPIVOTDATA("Total-Old",'Distrib pivot table'!$C$2,"state","MS"),"*"))</f>
        <v>4.0771694784919902E-3</v>
      </c>
      <c r="N48" s="575">
        <f>IF((GETPIVOTDATA("Total-Old",'Distrib pivot table'!$C$2,"state","NC","group","2d2b")/GETPIVOTDATA("Total-Old",'Distrib pivot table'!$C$2,"state","NC"))=0,,IF(GETPIVOTDATA("Total-Old",'Distrib pivot table'!$C$2,"state","NC","group","2d2b")/GETPIVOTDATA("Total-Old",'Distrib pivot table'!$C$2,"state","NC")&gt;0.0005,GETPIVOTDATA("Total-Old",'Distrib pivot table'!$C$2,"state","NC","group","2d2b")/GETPIVOTDATA("Total-Old",'Distrib pivot table'!$C$2,"state","NC"),"*"))</f>
        <v>5.0056562728537893E-4</v>
      </c>
      <c r="O48" s="575">
        <f>IF((GETPIVOTDATA("Total-Old",'Distrib pivot table'!$C$2,"state","OK","group","2d2b")/GETPIVOTDATA("Total-Old",'Distrib pivot table'!$C$2,"state","OK"))=0,,IF(GETPIVOTDATA("Total-Old",'Distrib pivot table'!$C$2,"state","OK","group","2d2b")/GETPIVOTDATA("Total-Old",'Distrib pivot table'!$C$2,"state","OK")&gt;0.0005,GETPIVOTDATA("Total-Old",'Distrib pivot table'!$C$2,"state","OK","group","2d2b")/GETPIVOTDATA("Total-Old",'Distrib pivot table'!$C$2,"state","OK"),"*"))</f>
        <v>0</v>
      </c>
      <c r="P48" s="575">
        <f>IF((GETPIVOTDATA("Total-Old",'Distrib pivot table'!$C$2,"state","SC","group","2d2b")/GETPIVOTDATA("Total-Old",'Distrib pivot table'!$C$2,"state","SC"))=0,,IF(GETPIVOTDATA("Total-Old",'Distrib pivot table'!$C$2,"state","SC","group","2d2b")/GETPIVOTDATA("Total-Old",'Distrib pivot table'!$C$2,"state","SC")&gt;0.0005,GETPIVOTDATA("Total-Old",'Distrib pivot table'!$C$2,"state","SC","group","2d2b")/GETPIVOTDATA("Total-Old",'Distrib pivot table'!$C$2,"state","SC"),"*"))</f>
        <v>0</v>
      </c>
      <c r="Q48" s="575">
        <f>IF((GETPIVOTDATA("Total-Old",'Distrib pivot table'!$C$2,"state","TN","group","2d2b")/GETPIVOTDATA("Total-Old",'Distrib pivot table'!$C$2,"state","TN"))=0,,IF(GETPIVOTDATA("Total-Old",'Distrib pivot table'!$C$2,"state","TN","group","2d2b")/GETPIVOTDATA("Total-Old",'Distrib pivot table'!$C$2,"state","TN")&gt;0.0005,GETPIVOTDATA("Total-Old",'Distrib pivot table'!$C$2,"state","TN","group","2d2b")/GETPIVOTDATA("Total-Old",'Distrib pivot table'!$C$2,"state","TN"),"*"))</f>
        <v>0</v>
      </c>
      <c r="R48" s="575">
        <f>IF((GETPIVOTDATA("Total-Old",'Distrib pivot table'!$C$2,"state","TX","group","2d2b")/GETPIVOTDATA("Total-Old",'Distrib pivot table'!$C$2,"state","TX"))=0,,IF(GETPIVOTDATA("Total-Old",'Distrib pivot table'!$C$2,"state","TX","group","2d2b")/GETPIVOTDATA("Total-Old",'Distrib pivot table'!$C$2,"state","TX")&gt;0.0005,GETPIVOTDATA("Total-Old",'Distrib pivot table'!$C$2,"state","TX","group","2d2b")/GETPIVOTDATA("Total-Old",'Distrib pivot table'!$C$2,"state","TX"),"*"))</f>
        <v>0</v>
      </c>
      <c r="S48" s="575">
        <f>IF((GETPIVOTDATA("Total-Old",'Distrib pivot table'!$C$2,"state","VA","group","2d2b")/GETPIVOTDATA("Total-Old",'Distrib pivot table'!$C$2,"state","VA"))=0,,IF(GETPIVOTDATA("Total-Old",'Distrib pivot table'!$C$2,"state","VA","group","2d2b")/GETPIVOTDATA("Total-Old",'Distrib pivot table'!$C$2,"state","VA")&gt;0.0005,GETPIVOTDATA("Total-Old",'Distrib pivot table'!$C$2,"state","VA","group","2d2b")/GETPIVOTDATA("Total-Old",'Distrib pivot table'!$C$2,"state","VA"),"*"))</f>
        <v>1.3191517653267928E-3</v>
      </c>
      <c r="T48" s="575">
        <f>IF((GETPIVOTDATA("Total-Old",'Distrib pivot table'!$C$2,"state","WV","group","2d2b")/GETPIVOTDATA("Total-Old",'Distrib pivot table'!$C$2,"state","WV"))=0,,IF(GETPIVOTDATA("Total-Old",'Distrib pivot table'!$C$2,"state","WV","group","2d2b")/GETPIVOTDATA("Total-Old",'Distrib pivot table'!$C$2,"state","WV")&gt;0.0005,GETPIVOTDATA("Total-Old",'Distrib pivot table'!$C$2,"state","WV","group","2d2b")/GETPIVOTDATA("Total-Old",'Distrib pivot table'!$C$2,"state","WV"),"*"))</f>
        <v>0</v>
      </c>
      <c r="U48" s="576"/>
      <c r="V48" s="576"/>
      <c r="W48" s="576"/>
      <c r="X48" s="576"/>
      <c r="Y48" s="576"/>
      <c r="Z48" s="576"/>
      <c r="AA48" s="576"/>
      <c r="AB48" s="576"/>
      <c r="AC48" s="576"/>
      <c r="AD48" s="576"/>
      <c r="AE48" s="576"/>
      <c r="AF48" s="576"/>
      <c r="AG48" s="576"/>
      <c r="AH48" s="576"/>
      <c r="AI48" s="576"/>
      <c r="AJ48" s="576"/>
      <c r="AK48" s="576"/>
      <c r="AL48" s="576"/>
      <c r="AM48" s="576"/>
      <c r="AN48" s="576"/>
      <c r="AO48" s="576"/>
      <c r="AP48" s="576"/>
      <c r="AQ48" s="576"/>
      <c r="AR48" s="576"/>
      <c r="AS48" s="576"/>
      <c r="AT48" s="576"/>
      <c r="AU48" s="576"/>
      <c r="AV48" s="576"/>
      <c r="AW48" s="576"/>
      <c r="AX48" s="576"/>
    </row>
    <row r="49" spans="1:50" ht="12.65" customHeight="1">
      <c r="A49" s="1225"/>
      <c r="B49" s="573" t="s">
        <v>332</v>
      </c>
      <c r="C49" s="589" t="s">
        <v>192</v>
      </c>
      <c r="D49" s="575">
        <f>IF(GETPIVOTDATA("Total-Old",'Distrib pivot table'!$C$2,"group","2d3")/GETPIVOTDATA("Total-Old",'Distrib pivot table'!$C$2)=0,,IF(GETPIVOTDATA("Total-Old",'Distrib pivot table'!$C$2,"group","2d3")/GETPIVOTDATA("Total-Old",'Distrib pivot table'!$C$2)&gt;0.0005,GETPIVOTDATA("Total-Old",'Distrib pivot table'!$C$2,"group","2d3")/GETPIVOTDATA("Total-Old",'Distrib pivot table'!$C$2),"*"))</f>
        <v>0</v>
      </c>
      <c r="E49" s="575">
        <f>IF((GETPIVOTDATA("Total-Old",'Distrib pivot table'!$C$2,"state","AL","group","2d3")/GETPIVOTDATA("Total-Old",'Distrib pivot table'!$C$2,"state","AL"))=0,,IF(GETPIVOTDATA("Total-Old",'Distrib pivot table'!$C$2,"state","AL","group","2d3")/GETPIVOTDATA("Total-Old",'Distrib pivot table'!$C$2,"state","AL")&gt;0.0005,GETPIVOTDATA("Total-Old",'Distrib pivot table'!$C$2,"state","AL","group","2d3")/GETPIVOTDATA("Total-Old",'Distrib pivot table'!$C$2,"state","AL"),"*"))</f>
        <v>0</v>
      </c>
      <c r="F49" s="575">
        <f>IF((GETPIVOTDATA("Total-Old",'Distrib pivot table'!$C$2,"state","AR","group","2d3")/GETPIVOTDATA("Total-Old",'Distrib pivot table'!$C$2,"state","AR"))=0,,IF(GETPIVOTDATA("Total-Old",'Distrib pivot table'!$C$2,"state","AR","group","2d3")/GETPIVOTDATA("Total-Old",'Distrib pivot table'!$C$2,"state","AR")&gt;0.0005,GETPIVOTDATA("Total-Old",'Distrib pivot table'!$C$2,"state","AR","group","2d3")/GETPIVOTDATA("Total-Old",'Distrib pivot table'!$C$2,"state","AR"),"*"))</f>
        <v>0</v>
      </c>
      <c r="G49" s="575">
        <f>IF((GETPIVOTDATA("Total-Old",'Distrib pivot table'!$C$2,"state","DE","group","2d3")/GETPIVOTDATA("Total-Old",'Distrib pivot table'!$C$2,"state","DE"))=0,,IF(GETPIVOTDATA("Total-Old",'Distrib pivot table'!$C$2,"state","DE","group","2d3")/GETPIVOTDATA("Total-Old",'Distrib pivot table'!$C$2,"state","DE")&gt;0.0005,GETPIVOTDATA("Total-Old",'Distrib pivot table'!$C$2,"state","DE","group","2d3")/GETPIVOTDATA("Total-Old",'Distrib pivot table'!$C$2,"state","DE"),"*"))</f>
        <v>0</v>
      </c>
      <c r="H49" s="575">
        <f>IF((GETPIVOTDATA("Total-Old",'Distrib pivot table'!$C$2,"state","FL","group","2d3")/GETPIVOTDATA("Total-Old",'Distrib pivot table'!$C$2,"state","FL"))=0,,IF(GETPIVOTDATA("Total-Old",'Distrib pivot table'!$C$2,"state","FL","group","2d3")/GETPIVOTDATA("Total-Old",'Distrib pivot table'!$C$2,"state","FL")&gt;0.0005,GETPIVOTDATA("Total-Old",'Distrib pivot table'!$C$2,"state","FL","group","2d3")/GETPIVOTDATA("Total-Old",'Distrib pivot table'!$C$2,"state","FL"),"*"))</f>
        <v>0</v>
      </c>
      <c r="I49" s="575">
        <f>IF((GETPIVOTDATA("Total-Old",'Distrib pivot table'!$C$2,"state","GA","group","2d3")/GETPIVOTDATA("Total-Old",'Distrib pivot table'!$C$2,"state","GA"))=0,,IF(GETPIVOTDATA("Total-Old",'Distrib pivot table'!$C$2,"state","GA","group","2d3")/GETPIVOTDATA("Total-Old",'Distrib pivot table'!$C$2,"state","GA")&gt;0.0005,GETPIVOTDATA("Total-Old",'Distrib pivot table'!$C$2,"state","GA","group","2d3")/GETPIVOTDATA("Total-Old",'Distrib pivot table'!$C$2,"state","GA"),"*"))</f>
        <v>0</v>
      </c>
      <c r="J49" s="575">
        <f>IF((GETPIVOTDATA("Total-Old",'Distrib pivot table'!$C$2,"state","KY","group","2d3")/GETPIVOTDATA("Total-Old",'Distrib pivot table'!$C$2,"state","KY"))=0,,IF(GETPIVOTDATA("Total-Old",'Distrib pivot table'!$C$2,"state","KY","group","2d3")/GETPIVOTDATA("Total-Old",'Distrib pivot table'!$C$2,"state","KY")&gt;0.0005,GETPIVOTDATA("Total-Old",'Distrib pivot table'!$C$2,"state","KY","group","2d3")/GETPIVOTDATA("Total-Old",'Distrib pivot table'!$C$2,"state","KY"),"*"))</f>
        <v>0</v>
      </c>
      <c r="K49" s="575">
        <f>IF((GETPIVOTDATA("Total-Old",'Distrib pivot table'!$C$2,"state","LA","group","2d3")/GETPIVOTDATA("Total-Old",'Distrib pivot table'!$C$2,"state","LA"))=0,,IF(GETPIVOTDATA("Total-Old",'Distrib pivot table'!$C$2,"state","LA","group","2d3")/GETPIVOTDATA("Total-Old",'Distrib pivot table'!$C$2,"state","LA")&gt;0.0005,GETPIVOTDATA("Total-Old",'Distrib pivot table'!$C$2,"state","LA","group","2d3")/GETPIVOTDATA("Total-Old",'Distrib pivot table'!$C$2,"state","LA"),"*"))</f>
        <v>0</v>
      </c>
      <c r="L49" s="575">
        <f>IF((GETPIVOTDATA("Total-Old",'Distrib pivot table'!$C$2,"state","MD","group","2d3")/GETPIVOTDATA("Total-Old",'Distrib pivot table'!$C$2,"state","MD"))=0,,IF(GETPIVOTDATA("Total-Old",'Distrib pivot table'!$C$2,"state","MD","group","2d3")/GETPIVOTDATA("Total-Old",'Distrib pivot table'!$C$2,"state","MD")&gt;0.0005,GETPIVOTDATA("Total-Old",'Distrib pivot table'!$C$2,"state","MD","group","2d3")/GETPIVOTDATA("Total-Old",'Distrib pivot table'!$C$2,"state","MD"),"*"))</f>
        <v>0</v>
      </c>
      <c r="M49" s="575">
        <f>IF((GETPIVOTDATA("Total-Old",'Distrib pivot table'!$C$2,"state","MS","group","2d3")/GETPIVOTDATA("Total-Old",'Distrib pivot table'!$C$2,"state","MS"))=0,,IF(GETPIVOTDATA("Total-Old",'Distrib pivot table'!$C$2,"state","MS","group","2d3")/GETPIVOTDATA("Total-Old",'Distrib pivot table'!$C$2,"state","MS")&gt;0.0005,GETPIVOTDATA("Total-Old",'Distrib pivot table'!$C$2,"state","MS","group","2d3")/GETPIVOTDATA("Total-Old",'Distrib pivot table'!$C$2,"state","MS"),"*"))</f>
        <v>0</v>
      </c>
      <c r="N49" s="575">
        <f>IF((GETPIVOTDATA("Total-Old",'Distrib pivot table'!$C$2,"state","NC","group","2d3")/GETPIVOTDATA("Total-Old",'Distrib pivot table'!$C$2,"state","NC"))=0,,IF(GETPIVOTDATA("Total-Old",'Distrib pivot table'!$C$2,"state","NC","group","2d3")/GETPIVOTDATA("Total-Old",'Distrib pivot table'!$C$2,"state","NC")&gt;0.0005,GETPIVOTDATA("Total-Old",'Distrib pivot table'!$C$2,"state","NC","group","2d3")/GETPIVOTDATA("Total-Old",'Distrib pivot table'!$C$2,"state","NC"),"*"))</f>
        <v>0</v>
      </c>
      <c r="O49" s="575">
        <f>IF((GETPIVOTDATA("Total-Old",'Distrib pivot table'!$C$2,"state","OK","group","2d3")/GETPIVOTDATA("Total-Old",'Distrib pivot table'!$C$2,"state","OK"))=0,,IF(GETPIVOTDATA("Total-Old",'Distrib pivot table'!$C$2,"state","OK","group","2d3")/GETPIVOTDATA("Total-Old",'Distrib pivot table'!$C$2,"state","OK")&gt;0.0005,GETPIVOTDATA("Total-Old",'Distrib pivot table'!$C$2,"state","OK","group","2d3")/GETPIVOTDATA("Total-Old",'Distrib pivot table'!$C$2,"state","OK"),"*"))</f>
        <v>0</v>
      </c>
      <c r="P49" s="575">
        <f>IF((GETPIVOTDATA("Total-Old",'Distrib pivot table'!$C$2,"state","SC","group","2d3")/GETPIVOTDATA("Total-Old",'Distrib pivot table'!$C$2,"state","SC"))=0,,IF(GETPIVOTDATA("Total-Old",'Distrib pivot table'!$C$2,"state","SC","group","2d3")/GETPIVOTDATA("Total-Old",'Distrib pivot table'!$C$2,"state","SC")&gt;0.0005,GETPIVOTDATA("Total-Old",'Distrib pivot table'!$C$2,"state","SC","group","2d3")/GETPIVOTDATA("Total-Old",'Distrib pivot table'!$C$2,"state","SC"),"*"))</f>
        <v>0</v>
      </c>
      <c r="Q49" s="575">
        <f>IF((GETPIVOTDATA("Total-Old",'Distrib pivot table'!$C$2,"state","TN","group","2d3")/GETPIVOTDATA("Total-Old",'Distrib pivot table'!$C$2,"state","TN"))=0,,IF(GETPIVOTDATA("Total-Old",'Distrib pivot table'!$C$2,"state","TN","group","2d3")/GETPIVOTDATA("Total-Old",'Distrib pivot table'!$C$2,"state","TN")&gt;0.0005,GETPIVOTDATA("Total-Old",'Distrib pivot table'!$C$2,"state","TN","group","2d3")/GETPIVOTDATA("Total-Old",'Distrib pivot table'!$C$2,"state","TN"),"*"))</f>
        <v>0</v>
      </c>
      <c r="R49" s="575">
        <f>IF((GETPIVOTDATA("Total-Old",'Distrib pivot table'!$C$2,"state","TX","group","2d3")/GETPIVOTDATA("Total-Old",'Distrib pivot table'!$C$2,"state","TX"))=0,,IF(GETPIVOTDATA("Total-Old",'Distrib pivot table'!$C$2,"state","TX","group","2d3")/GETPIVOTDATA("Total-Old",'Distrib pivot table'!$C$2,"state","TX")&gt;0.0005,GETPIVOTDATA("Total-Old",'Distrib pivot table'!$C$2,"state","TX","group","2d3")/GETPIVOTDATA("Total-Old",'Distrib pivot table'!$C$2,"state","TX"),"*"))</f>
        <v>0</v>
      </c>
      <c r="S49" s="575">
        <f>IF((GETPIVOTDATA("Total-Old",'Distrib pivot table'!$C$2,"state","VA","group","2d3")/GETPIVOTDATA("Total-Old",'Distrib pivot table'!$C$2,"state","VA"))=0,,IF(GETPIVOTDATA("Total-Old",'Distrib pivot table'!$C$2,"state","VA","group","2d3")/GETPIVOTDATA("Total-Old",'Distrib pivot table'!$C$2,"state","VA")&gt;0.0005,GETPIVOTDATA("Total-Old",'Distrib pivot table'!$C$2,"state","VA","group","2d3")/GETPIVOTDATA("Total-Old",'Distrib pivot table'!$C$2,"state","VA"),"*"))</f>
        <v>0</v>
      </c>
      <c r="T49" s="575">
        <f>IF((GETPIVOTDATA("Total-Old",'Distrib pivot table'!$C$2,"state","WV","group","2d3")/GETPIVOTDATA("Total-Old",'Distrib pivot table'!$C$2,"state","WV"))=0,,IF(GETPIVOTDATA("Total-Old",'Distrib pivot table'!$C$2,"state","WV","group","2d3")/GETPIVOTDATA("Total-Old",'Distrib pivot table'!$C$2,"state","WV")&gt;0.0005,GETPIVOTDATA("Total-Old",'Distrib pivot table'!$C$2,"state","WV","group","2d3")/GETPIVOTDATA("Total-Old",'Distrib pivot table'!$C$2,"state","WV"),"*"))</f>
        <v>0</v>
      </c>
      <c r="U49" s="576"/>
      <c r="V49" s="576"/>
      <c r="W49" s="576"/>
      <c r="X49" s="576"/>
      <c r="Y49" s="576"/>
      <c r="Z49" s="576"/>
      <c r="AA49" s="576"/>
      <c r="AB49" s="576"/>
      <c r="AC49" s="576"/>
      <c r="AD49" s="576"/>
      <c r="AE49" s="576"/>
      <c r="AF49" s="576"/>
      <c r="AG49" s="576"/>
      <c r="AH49" s="576"/>
      <c r="AI49" s="576"/>
      <c r="AJ49" s="576"/>
      <c r="AK49" s="576"/>
      <c r="AL49" s="576"/>
      <c r="AM49" s="576"/>
      <c r="AN49" s="576"/>
      <c r="AO49" s="576"/>
      <c r="AP49" s="576"/>
      <c r="AQ49" s="576"/>
      <c r="AR49" s="576"/>
      <c r="AS49" s="576"/>
      <c r="AT49" s="576"/>
      <c r="AU49" s="576"/>
      <c r="AV49" s="576"/>
      <c r="AW49" s="576"/>
      <c r="AX49" s="576"/>
    </row>
    <row r="50" spans="1:50" ht="12.65" customHeight="1">
      <c r="A50" s="1225"/>
      <c r="B50" s="573" t="s">
        <v>165</v>
      </c>
      <c r="C50" s="589" t="s">
        <v>195</v>
      </c>
      <c r="D50" s="575">
        <f>IF(GETPIVOTDATA("Total-Old",'Distrib pivot table'!$C$2,"group","2d3a")/GETPIVOTDATA("Total-Old",'Distrib pivot table'!$C$2)=0,,IF(GETPIVOTDATA("Total-Old",'Distrib pivot table'!$C$2,"group","2d3a")/GETPIVOTDATA("Total-Old",'Distrib pivot table'!$C$2)&gt;0.0005,GETPIVOTDATA("Total-Old",'Distrib pivot table'!$C$2,"group","2d3a")/GETPIVOTDATA("Total-Old",'Distrib pivot table'!$C$2),"*"))</f>
        <v>3.7077159779188794E-3</v>
      </c>
      <c r="E50" s="575">
        <f>IF((GETPIVOTDATA("Total-Old",'Distrib pivot table'!$C$2,"state","AL","group","2d3a")/GETPIVOTDATA("Total-Old",'Distrib pivot table'!$C$2,"state","AL"))=0,,IF(GETPIVOTDATA("Total-Old",'Distrib pivot table'!$C$2,"state","AL","group","2d3a")/GETPIVOTDATA("Total-Old",'Distrib pivot table'!$C$2,"state","AL")&gt;0.0005,GETPIVOTDATA("Total-Old",'Distrib pivot table'!$C$2,"state","AL","group","2d3a")/GETPIVOTDATA("Total-Old",'Distrib pivot table'!$C$2,"state","AL"),"*"))</f>
        <v>0</v>
      </c>
      <c r="F50" s="575">
        <f>IF((GETPIVOTDATA("Total-Old",'Distrib pivot table'!$C$2,"state","AR","group","2d3a")/GETPIVOTDATA("Total-Old",'Distrib pivot table'!$C$2,"state","AR"))=0,,IF(GETPIVOTDATA("Total-Old",'Distrib pivot table'!$C$2,"state","AR","group","2d3a")/GETPIVOTDATA("Total-Old",'Distrib pivot table'!$C$2,"state","AR")&gt;0.0005,GETPIVOTDATA("Total-Old",'Distrib pivot table'!$C$2,"state","AR","group","2d3a")/GETPIVOTDATA("Total-Old",'Distrib pivot table'!$C$2,"state","AR"),"*"))</f>
        <v>0</v>
      </c>
      <c r="G50" s="575">
        <f>IF((GETPIVOTDATA("Total-Old",'Distrib pivot table'!$C$2,"state","DE","group","2d3a")/GETPIVOTDATA("Total-Old",'Distrib pivot table'!$C$2,"state","DE"))=0,,IF(GETPIVOTDATA("Total-Old",'Distrib pivot table'!$C$2,"state","DE","group","2d3a")/GETPIVOTDATA("Total-Old",'Distrib pivot table'!$C$2,"state","DE")&gt;0.0005,GETPIVOTDATA("Total-Old",'Distrib pivot table'!$C$2,"state","DE","group","2d3a")/GETPIVOTDATA("Total-Old",'Distrib pivot table'!$C$2,"state","DE"),"*"))</f>
        <v>0</v>
      </c>
      <c r="H50" s="575">
        <f>IF((GETPIVOTDATA("Total-Old",'Distrib pivot table'!$C$2,"state","FL","group","2d3a")/GETPIVOTDATA("Total-Old",'Distrib pivot table'!$C$2,"state","FL"))=0,,IF(GETPIVOTDATA("Total-Old",'Distrib pivot table'!$C$2,"state","FL","group","2d3a")/GETPIVOTDATA("Total-Old",'Distrib pivot table'!$C$2,"state","FL")&gt;0.0005,GETPIVOTDATA("Total-Old",'Distrib pivot table'!$C$2,"state","FL","group","2d3a")/GETPIVOTDATA("Total-Old",'Distrib pivot table'!$C$2,"state","FL"),"*"))</f>
        <v>0</v>
      </c>
      <c r="I50" s="575">
        <f>IF((GETPIVOTDATA("Total-Old",'Distrib pivot table'!$C$2,"state","GA","group","2d3a")/GETPIVOTDATA("Total-Old",'Distrib pivot table'!$C$2,"state","GA"))=0,,IF(GETPIVOTDATA("Total-Old",'Distrib pivot table'!$C$2,"state","GA","group","2d3a")/GETPIVOTDATA("Total-Old",'Distrib pivot table'!$C$2,"state","GA")&gt;0.0005,GETPIVOTDATA("Total-Old",'Distrib pivot table'!$C$2,"state","GA","group","2d3a")/GETPIVOTDATA("Total-Old",'Distrib pivot table'!$C$2,"state","GA"),"*"))</f>
        <v>9.9089728048602169E-3</v>
      </c>
      <c r="J50" s="575">
        <f>IF((GETPIVOTDATA("Total-Old",'Distrib pivot table'!$C$2,"state","KY","group","2d3a")/GETPIVOTDATA("Total-Old",'Distrib pivot table'!$C$2,"state","KY"))=0,,IF(GETPIVOTDATA("Total-Old",'Distrib pivot table'!$C$2,"state","KY","group","2d3a")/GETPIVOTDATA("Total-Old",'Distrib pivot table'!$C$2,"state","KY")&gt;0.0005,GETPIVOTDATA("Total-Old",'Distrib pivot table'!$C$2,"state","KY","group","2d3a")/GETPIVOTDATA("Total-Old",'Distrib pivot table'!$C$2,"state","KY"),"*"))</f>
        <v>1.2215414940861919E-2</v>
      </c>
      <c r="K50" s="575">
        <f>IF((GETPIVOTDATA("Total-Old",'Distrib pivot table'!$C$2,"state","LA","group","2d3a")/GETPIVOTDATA("Total-Old",'Distrib pivot table'!$C$2,"state","LA"))=0,,IF(GETPIVOTDATA("Total-Old",'Distrib pivot table'!$C$2,"state","LA","group","2d3a")/GETPIVOTDATA("Total-Old",'Distrib pivot table'!$C$2,"state","LA")&gt;0.0005,GETPIVOTDATA("Total-Old",'Distrib pivot table'!$C$2,"state","LA","group","2d3a")/GETPIVOTDATA("Total-Old",'Distrib pivot table'!$C$2,"state","LA"),"*"))</f>
        <v>0</v>
      </c>
      <c r="L50" s="575">
        <f>IF((GETPIVOTDATA("Total-Old",'Distrib pivot table'!$C$2,"state","MD","group","2d3a")/GETPIVOTDATA("Total-Old",'Distrib pivot table'!$C$2,"state","MD"))=0,,IF(GETPIVOTDATA("Total-Old",'Distrib pivot table'!$C$2,"state","MD","group","2d3a")/GETPIVOTDATA("Total-Old",'Distrib pivot table'!$C$2,"state","MD")&gt;0.0005,GETPIVOTDATA("Total-Old",'Distrib pivot table'!$C$2,"state","MD","group","2d3a")/GETPIVOTDATA("Total-Old",'Distrib pivot table'!$C$2,"state","MD"),"*"))</f>
        <v>3.5806329364493927E-3</v>
      </c>
      <c r="M50" s="575">
        <f>IF((GETPIVOTDATA("Total-Old",'Distrib pivot table'!$C$2,"state","MS","group","2d3a")/GETPIVOTDATA("Total-Old",'Distrib pivot table'!$C$2,"state","MS"))=0,,IF(GETPIVOTDATA("Total-Old",'Distrib pivot table'!$C$2,"state","MS","group","2d3a")/GETPIVOTDATA("Total-Old",'Distrib pivot table'!$C$2,"state","MS")&gt;0.0005,GETPIVOTDATA("Total-Old",'Distrib pivot table'!$C$2,"state","MS","group","2d3a")/GETPIVOTDATA("Total-Old",'Distrib pivot table'!$C$2,"state","MS"),"*"))</f>
        <v>0</v>
      </c>
      <c r="N50" s="575">
        <f>IF((GETPIVOTDATA("Total-Old",'Distrib pivot table'!$C$2,"state","NC","group","2d3a")/GETPIVOTDATA("Total-Old",'Distrib pivot table'!$C$2,"state","NC"))=0,,IF(GETPIVOTDATA("Total-Old",'Distrib pivot table'!$C$2,"state","NC","group","2d3a")/GETPIVOTDATA("Total-Old",'Distrib pivot table'!$C$2,"state","NC")&gt;0.0005,GETPIVOTDATA("Total-Old",'Distrib pivot table'!$C$2,"state","NC","group","2d3a")/GETPIVOTDATA("Total-Old",'Distrib pivot table'!$C$2,"state","NC"),"*"))</f>
        <v>1.3656713223022801E-2</v>
      </c>
      <c r="O50" s="575">
        <f>IF((GETPIVOTDATA("Total-Old",'Distrib pivot table'!$C$2,"state","OK","group","2d3a")/GETPIVOTDATA("Total-Old",'Distrib pivot table'!$C$2,"state","OK"))=0,,IF(GETPIVOTDATA("Total-Old",'Distrib pivot table'!$C$2,"state","OK","group","2d3a")/GETPIVOTDATA("Total-Old",'Distrib pivot table'!$C$2,"state","OK")&gt;0.0005,GETPIVOTDATA("Total-Old",'Distrib pivot table'!$C$2,"state","OK","group","2d3a")/GETPIVOTDATA("Total-Old",'Distrib pivot table'!$C$2,"state","OK"),"*"))</f>
        <v>0</v>
      </c>
      <c r="P50" s="575">
        <f>IF((GETPIVOTDATA("Total-Old",'Distrib pivot table'!$C$2,"state","SC","group","2d3a")/GETPIVOTDATA("Total-Old",'Distrib pivot table'!$C$2,"state","SC"))=0,,IF(GETPIVOTDATA("Total-Old",'Distrib pivot table'!$C$2,"state","SC","group","2d3a")/GETPIVOTDATA("Total-Old",'Distrib pivot table'!$C$2,"state","SC")&gt;0.0005,GETPIVOTDATA("Total-Old",'Distrib pivot table'!$C$2,"state","SC","group","2d3a")/GETPIVOTDATA("Total-Old",'Distrib pivot table'!$C$2,"state","SC"),"*"))</f>
        <v>9.8334672806510565E-3</v>
      </c>
      <c r="Q50" s="575">
        <f>IF((GETPIVOTDATA("Total-Old",'Distrib pivot table'!$C$2,"state","TN","group","2d3a")/GETPIVOTDATA("Total-Old",'Distrib pivot table'!$C$2,"state","TN"))=0,,IF(GETPIVOTDATA("Total-Old",'Distrib pivot table'!$C$2,"state","TN","group","2d3a")/GETPIVOTDATA("Total-Old",'Distrib pivot table'!$C$2,"state","TN")&gt;0.0005,GETPIVOTDATA("Total-Old",'Distrib pivot table'!$C$2,"state","TN","group","2d3a")/GETPIVOTDATA("Total-Old",'Distrib pivot table'!$C$2,"state","TN"),"*"))</f>
        <v>0</v>
      </c>
      <c r="R50" s="575">
        <f>IF((GETPIVOTDATA("Total-Old",'Distrib pivot table'!$C$2,"state","TX","group","2d3a")/GETPIVOTDATA("Total-Old",'Distrib pivot table'!$C$2,"state","TX"))=0,,IF(GETPIVOTDATA("Total-Old",'Distrib pivot table'!$C$2,"state","TX","group","2d3a")/GETPIVOTDATA("Total-Old",'Distrib pivot table'!$C$2,"state","TX")&gt;0.0005,GETPIVOTDATA("Total-Old",'Distrib pivot table'!$C$2,"state","TX","group","2d3a")/GETPIVOTDATA("Total-Old",'Distrib pivot table'!$C$2,"state","TX"),"*"))</f>
        <v>0</v>
      </c>
      <c r="S50" s="575">
        <f>IF((GETPIVOTDATA("Total-Old",'Distrib pivot table'!$C$2,"state","VA","group","2d3a")/GETPIVOTDATA("Total-Old",'Distrib pivot table'!$C$2,"state","VA"))=0,,IF(GETPIVOTDATA("Total-Old",'Distrib pivot table'!$C$2,"state","VA","group","2d3a")/GETPIVOTDATA("Total-Old",'Distrib pivot table'!$C$2,"state","VA")&gt;0.0005,GETPIVOTDATA("Total-Old",'Distrib pivot table'!$C$2,"state","VA","group","2d3a")/GETPIVOTDATA("Total-Old",'Distrib pivot table'!$C$2,"state","VA"),"*"))</f>
        <v>0</v>
      </c>
      <c r="T50" s="575">
        <f>IF((GETPIVOTDATA("Total-Old",'Distrib pivot table'!$C$2,"state","WV","group","2d3a")/GETPIVOTDATA("Total-Old",'Distrib pivot table'!$C$2,"state","WV"))=0,,IF(GETPIVOTDATA("Total-Old",'Distrib pivot table'!$C$2,"state","WV","group","2d3a")/GETPIVOTDATA("Total-Old",'Distrib pivot table'!$C$2,"state","WV")&gt;0.0005,GETPIVOTDATA("Total-Old",'Distrib pivot table'!$C$2,"state","WV","group","2d3a")/GETPIVOTDATA("Total-Old",'Distrib pivot table'!$C$2,"state","WV"),"*"))</f>
        <v>0</v>
      </c>
      <c r="U50" s="576"/>
      <c r="V50" s="576"/>
      <c r="W50" s="576"/>
      <c r="X50" s="576"/>
      <c r="Y50" s="576"/>
      <c r="Z50" s="576"/>
      <c r="AA50" s="576"/>
      <c r="AB50" s="576"/>
      <c r="AC50" s="576"/>
      <c r="AD50" s="576"/>
      <c r="AE50" s="576"/>
      <c r="AF50" s="576"/>
      <c r="AG50" s="576"/>
      <c r="AH50" s="576"/>
      <c r="AI50" s="576"/>
      <c r="AJ50" s="576"/>
      <c r="AK50" s="576"/>
      <c r="AL50" s="576"/>
      <c r="AM50" s="576"/>
      <c r="AN50" s="576"/>
      <c r="AO50" s="576"/>
      <c r="AP50" s="576"/>
      <c r="AQ50" s="576"/>
      <c r="AR50" s="576"/>
      <c r="AS50" s="576"/>
      <c r="AT50" s="576"/>
      <c r="AU50" s="576"/>
      <c r="AV50" s="576"/>
      <c r="AW50" s="576"/>
      <c r="AX50" s="576"/>
    </row>
    <row r="51" spans="1:50" ht="12.65" customHeight="1">
      <c r="A51" s="1225"/>
      <c r="B51" s="594" t="s">
        <v>167</v>
      </c>
      <c r="C51" s="589" t="s">
        <v>196</v>
      </c>
      <c r="D51" s="595">
        <f>IF(GETPIVOTDATA("Total-Old",'Distrib pivot table'!$C$2,"group","2d3b")/GETPIVOTDATA("Total-Old",'Distrib pivot table'!$C$2)=0,,IF(GETPIVOTDATA("Total-Old",'Distrib pivot table'!$C$2,"group","2d3b")/GETPIVOTDATA("Total-Old",'Distrib pivot table'!$C$2)&gt;0.0005,GETPIVOTDATA("Total-Old",'Distrib pivot table'!$C$2,"group","2d3b")/GETPIVOTDATA("Total-Old",'Distrib pivot table'!$C$2),"*"))</f>
        <v>1.3040748060516008E-3</v>
      </c>
      <c r="E51" s="595">
        <f>IF((GETPIVOTDATA("Total-Old",'Distrib pivot table'!$C$2,"state","AL","group","2d3b")/GETPIVOTDATA("Total-Old",'Distrib pivot table'!$C$2,"state","AL"))=0,,IF(GETPIVOTDATA("Total-Old",'Distrib pivot table'!$C$2,"state","AL","group","2d3b")/GETPIVOTDATA("Total-Old",'Distrib pivot table'!$C$2,"state","AL")&gt;0.0005,GETPIVOTDATA("Total-Old",'Distrib pivot table'!$C$2,"state","AL","group","2d3b")/GETPIVOTDATA("Total-Old",'Distrib pivot table'!$C$2,"state","AL"),"*"))</f>
        <v>1.4189376797236388E-3</v>
      </c>
      <c r="F51" s="595">
        <f>IF((GETPIVOTDATA("Total-Old",'Distrib pivot table'!$C$2,"state","AR","group","2d3b")/GETPIVOTDATA("Total-Old",'Distrib pivot table'!$C$2,"state","AR"))=0,,IF(GETPIVOTDATA("Total-Old",'Distrib pivot table'!$C$2,"state","AR","group","2d3b")/GETPIVOTDATA("Total-Old",'Distrib pivot table'!$C$2,"state","AR")&gt;0.0005,GETPIVOTDATA("Total-Old",'Distrib pivot table'!$C$2,"state","AR","group","2d3b")/GETPIVOTDATA("Total-Old",'Distrib pivot table'!$C$2,"state","AR"),"*"))</f>
        <v>0</v>
      </c>
      <c r="G51" s="595">
        <f>IF((GETPIVOTDATA("Total-Old",'Distrib pivot table'!$C$2,"state","DE","group","2d3b")/GETPIVOTDATA("Total-Old",'Distrib pivot table'!$C$2,"state","DE"))=0,,IF(GETPIVOTDATA("Total-Old",'Distrib pivot table'!$C$2,"state","DE","group","2d3b")/GETPIVOTDATA("Total-Old",'Distrib pivot table'!$C$2,"state","DE")&gt;0.0005,GETPIVOTDATA("Total-Old",'Distrib pivot table'!$C$2,"state","DE","group","2d3b")/GETPIVOTDATA("Total-Old",'Distrib pivot table'!$C$2,"state","DE"),"*"))</f>
        <v>0</v>
      </c>
      <c r="H51" s="595">
        <f>IF((GETPIVOTDATA("Total-Old",'Distrib pivot table'!$C$2,"state","FL","group","2d3b")/GETPIVOTDATA("Total-Old",'Distrib pivot table'!$C$2,"state","FL"))=0,,IF(GETPIVOTDATA("Total-Old",'Distrib pivot table'!$C$2,"state","FL","group","2d3b")/GETPIVOTDATA("Total-Old",'Distrib pivot table'!$C$2,"state","FL")&gt;0.0005,GETPIVOTDATA("Total-Old",'Distrib pivot table'!$C$2,"state","FL","group","2d3b")/GETPIVOTDATA("Total-Old",'Distrib pivot table'!$C$2,"state","FL"),"*"))</f>
        <v>0</v>
      </c>
      <c r="I51" s="595" t="str">
        <f>IF((GETPIVOTDATA("Total-Old",'Distrib pivot table'!$C$2,"state","GA","group","2d3b")/GETPIVOTDATA("Total-Old",'Distrib pivot table'!$C$2,"state","GA"))=0,,IF(GETPIVOTDATA("Total-Old",'Distrib pivot table'!$C$2,"state","GA","group","2d3b")/GETPIVOTDATA("Total-Old",'Distrib pivot table'!$C$2,"state","GA")&gt;0.0005,GETPIVOTDATA("Total-Old",'Distrib pivot table'!$C$2,"state","GA","group","2d3b")/GETPIVOTDATA("Total-Old",'Distrib pivot table'!$C$2,"state","GA"),"*"))</f>
        <v>*</v>
      </c>
      <c r="J51" s="595" t="str">
        <f>IF((GETPIVOTDATA("Total-Old",'Distrib pivot table'!$C$2,"state","KY","group","2d3b")/GETPIVOTDATA("Total-Old",'Distrib pivot table'!$C$2,"state","KY"))=0,,IF(GETPIVOTDATA("Total-Old",'Distrib pivot table'!$C$2,"state","KY","group","2d3b")/GETPIVOTDATA("Total-Old",'Distrib pivot table'!$C$2,"state","KY")&gt;0.0005,GETPIVOTDATA("Total-Old",'Distrib pivot table'!$C$2,"state","KY","group","2d3b")/GETPIVOTDATA("Total-Old",'Distrib pivot table'!$C$2,"state","KY"),"*"))</f>
        <v>*</v>
      </c>
      <c r="K51" s="595">
        <f>IF((GETPIVOTDATA("Total-Old",'Distrib pivot table'!$C$2,"state","LA","group","2d3b")/GETPIVOTDATA("Total-Old",'Distrib pivot table'!$C$2,"state","LA"))=0,,IF(GETPIVOTDATA("Total-Old",'Distrib pivot table'!$C$2,"state","LA","group","2d3b")/GETPIVOTDATA("Total-Old",'Distrib pivot table'!$C$2,"state","LA")&gt;0.0005,GETPIVOTDATA("Total-Old",'Distrib pivot table'!$C$2,"state","LA","group","2d3b")/GETPIVOTDATA("Total-Old",'Distrib pivot table'!$C$2,"state","LA"),"*"))</f>
        <v>0</v>
      </c>
      <c r="L51" s="595">
        <f>IF((GETPIVOTDATA("Total-Old",'Distrib pivot table'!$C$2,"state","MD","group","2d3b")/GETPIVOTDATA("Total-Old",'Distrib pivot table'!$C$2,"state","MD"))=0,,IF(GETPIVOTDATA("Total-Old",'Distrib pivot table'!$C$2,"state","MD","group","2d3b")/GETPIVOTDATA("Total-Old",'Distrib pivot table'!$C$2,"state","MD")&gt;0.0005,GETPIVOTDATA("Total-Old",'Distrib pivot table'!$C$2,"state","MD","group","2d3b")/GETPIVOTDATA("Total-Old",'Distrib pivot table'!$C$2,"state","MD"),"*"))</f>
        <v>6.2940972255400159E-4</v>
      </c>
      <c r="M51" s="595">
        <f>IF((GETPIVOTDATA("Total-Old",'Distrib pivot table'!$C$2,"state","MS","group","2d3b")/GETPIVOTDATA("Total-Old",'Distrib pivot table'!$C$2,"state","MS"))=0,,IF(GETPIVOTDATA("Total-Old",'Distrib pivot table'!$C$2,"state","MS","group","2d3b")/GETPIVOTDATA("Total-Old",'Distrib pivot table'!$C$2,"state","MS")&gt;0.0005,GETPIVOTDATA("Total-Old",'Distrib pivot table'!$C$2,"state","MS","group","2d3b")/GETPIVOTDATA("Total-Old",'Distrib pivot table'!$C$2,"state","MS"),"*"))</f>
        <v>0</v>
      </c>
      <c r="N51" s="595">
        <f>IF((GETPIVOTDATA("Total-Old",'Distrib pivot table'!$C$2,"state","NC","group","2d3b")/GETPIVOTDATA("Total-Old",'Distrib pivot table'!$C$2,"state","NC"))=0,,IF(GETPIVOTDATA("Total-Old",'Distrib pivot table'!$C$2,"state","NC","group","2d3b")/GETPIVOTDATA("Total-Old",'Distrib pivot table'!$C$2,"state","NC")&gt;0.0005,GETPIVOTDATA("Total-Old",'Distrib pivot table'!$C$2,"state","NC","group","2d3b")/GETPIVOTDATA("Total-Old",'Distrib pivot table'!$C$2,"state","NC"),"*"))</f>
        <v>0</v>
      </c>
      <c r="O51" s="595">
        <f>IF((GETPIVOTDATA("Total-Old",'Distrib pivot table'!$C$2,"state","OK","group","2d3b")/GETPIVOTDATA("Total-Old",'Distrib pivot table'!$C$2,"state","OK"))=0,,IF(GETPIVOTDATA("Total-Old",'Distrib pivot table'!$C$2,"state","OK","group","2d3b")/GETPIVOTDATA("Total-Old",'Distrib pivot table'!$C$2,"state","OK")&gt;0.0005,GETPIVOTDATA("Total-Old",'Distrib pivot table'!$C$2,"state","OK","group","2d3b")/GETPIVOTDATA("Total-Old",'Distrib pivot table'!$C$2,"state","OK"),"*"))</f>
        <v>0</v>
      </c>
      <c r="P51" s="595">
        <f>IF((GETPIVOTDATA("Total-Old",'Distrib pivot table'!$C$2,"state","SC","group","2d3b")/GETPIVOTDATA("Total-Old",'Distrib pivot table'!$C$2,"state","SC"))=0,,IF(GETPIVOTDATA("Total-Old",'Distrib pivot table'!$C$2,"state","SC","group","2d3b")/GETPIVOTDATA("Total-Old",'Distrib pivot table'!$C$2,"state","SC")&gt;0.0005,GETPIVOTDATA("Total-Old",'Distrib pivot table'!$C$2,"state","SC","group","2d3b")/GETPIVOTDATA("Total-Old",'Distrib pivot table'!$C$2,"state","SC"),"*"))</f>
        <v>0</v>
      </c>
      <c r="Q51" s="595">
        <f>IF((GETPIVOTDATA("Total-Old",'Distrib pivot table'!$C$2,"state","TN","group","2d3b")/GETPIVOTDATA("Total-Old",'Distrib pivot table'!$C$2,"state","TN"))=0,,IF(GETPIVOTDATA("Total-Old",'Distrib pivot table'!$C$2,"state","TN","group","2d3b")/GETPIVOTDATA("Total-Old",'Distrib pivot table'!$C$2,"state","TN")&gt;0.0005,GETPIVOTDATA("Total-Old",'Distrib pivot table'!$C$2,"state","TN","group","2d3b")/GETPIVOTDATA("Total-Old",'Distrib pivot table'!$C$2,"state","TN"),"*"))</f>
        <v>0</v>
      </c>
      <c r="R51" s="595">
        <f>IF((GETPIVOTDATA("Total-Old",'Distrib pivot table'!$C$2,"state","TX","group","2d3b")/GETPIVOTDATA("Total-Old",'Distrib pivot table'!$C$2,"state","TX"))=0,,IF(GETPIVOTDATA("Total-Old",'Distrib pivot table'!$C$2,"state","TX","group","2d3b")/GETPIVOTDATA("Total-Old",'Distrib pivot table'!$C$2,"state","TX")&gt;0.0005,GETPIVOTDATA("Total-Old",'Distrib pivot table'!$C$2,"state","TX","group","2d3b")/GETPIVOTDATA("Total-Old",'Distrib pivot table'!$C$2,"state","TX"),"*"))</f>
        <v>0</v>
      </c>
      <c r="S51" s="595">
        <f>IF((GETPIVOTDATA("Total-Old",'Distrib pivot table'!$C$2,"state","VA","group","2d3b")/GETPIVOTDATA("Total-Old",'Distrib pivot table'!$C$2,"state","VA"))=0,,IF(GETPIVOTDATA("Total-Old",'Distrib pivot table'!$C$2,"state","VA","group","2d3b")/GETPIVOTDATA("Total-Old",'Distrib pivot table'!$C$2,"state","VA")&gt;0.0005,GETPIVOTDATA("Total-Old",'Distrib pivot table'!$C$2,"state","VA","group","2d3b")/GETPIVOTDATA("Total-Old",'Distrib pivot table'!$C$2,"state","VA"),"*"))</f>
        <v>1.203728943562369E-2</v>
      </c>
      <c r="T51" s="595">
        <f>IF((GETPIVOTDATA("Total-Old",'Distrib pivot table'!$C$2,"state","WV","group","2d3b")/GETPIVOTDATA("Total-Old",'Distrib pivot table'!$C$2,"state","WV"))=0,,IF(GETPIVOTDATA("Total-Old",'Distrib pivot table'!$C$2,"state","WV","group","2d3b")/GETPIVOTDATA("Total-Old",'Distrib pivot table'!$C$2,"state","WV")&gt;0.0005,GETPIVOTDATA("Total-Old",'Distrib pivot table'!$C$2,"state","WV","group","2d3b")/GETPIVOTDATA("Total-Old",'Distrib pivot table'!$C$2,"state","WV"),"*"))</f>
        <v>0</v>
      </c>
      <c r="U51" s="576"/>
      <c r="V51" s="576"/>
      <c r="W51" s="576"/>
      <c r="X51" s="576"/>
      <c r="Y51" s="576"/>
      <c r="Z51" s="576"/>
      <c r="AA51" s="576"/>
      <c r="AB51" s="576"/>
      <c r="AC51" s="576"/>
      <c r="AD51" s="576"/>
      <c r="AE51" s="576"/>
      <c r="AF51" s="576"/>
      <c r="AG51" s="576"/>
      <c r="AH51" s="576"/>
      <c r="AI51" s="576"/>
      <c r="AJ51" s="576"/>
      <c r="AK51" s="576"/>
      <c r="AL51" s="576"/>
      <c r="AM51" s="576"/>
      <c r="AN51" s="576"/>
      <c r="AO51" s="576"/>
      <c r="AP51" s="576"/>
      <c r="AQ51" s="576"/>
      <c r="AR51" s="576"/>
      <c r="AS51" s="576"/>
      <c r="AT51" s="576"/>
      <c r="AU51" s="576"/>
      <c r="AV51" s="576"/>
      <c r="AW51" s="576"/>
      <c r="AX51" s="576"/>
    </row>
    <row r="52" spans="1:50" ht="36" customHeight="1">
      <c r="A52" s="1219"/>
      <c r="B52" s="596" t="s">
        <v>1030</v>
      </c>
      <c r="C52" s="589" t="s">
        <v>64</v>
      </c>
      <c r="D52" s="597">
        <f>IF(GETPIVOTDATA("Total-Old",'Distrib pivot table'!$C$2,"group","1d")/GETPIVOTDATA("Total-Old",'Distrib pivot table'!$C$2)=0,,IF(GETPIVOTDATA("Total-Old",'Distrib pivot table'!$C$2,"group","1d")/GETPIVOTDATA("Total-Old",'Distrib pivot table'!$C$2)&gt;0.0005,GETPIVOTDATA("Total-Old",'Distrib pivot table'!$C$2,"group","1d")/GETPIVOTDATA("Total-Old",'Distrib pivot table'!$C$2),"*"))</f>
        <v>6.0602153440024162E-2</v>
      </c>
      <c r="E52" s="597">
        <f>IF((GETPIVOTDATA("Total-Old",'Distrib pivot table'!$C$2,"state","AL","group","1d")/GETPIVOTDATA("Total-Old",'Distrib pivot table'!$C$2,"state","AL"))=0,,IF(GETPIVOTDATA("Total-Old",'Distrib pivot table'!$C$2,"state","AL","group","1d")/GETPIVOTDATA("Total-Old",'Distrib pivot table'!$C$2,"state","AL")&gt;0.0005,GETPIVOTDATA("Total-Old",'Distrib pivot table'!$C$2,"state","AL","group","1d")/GETPIVOTDATA("Total-Old",'Distrib pivot table'!$C$2,"state","AL"),"*"))</f>
        <v>0.13148504045746884</v>
      </c>
      <c r="F52" s="597">
        <f>IF((GETPIVOTDATA("Total-Old",'Distrib pivot table'!$C$2,"state","AR","group","1d")/GETPIVOTDATA("Total-Old",'Distrib pivot table'!$C$2,"state","AR"))=0,,IF(GETPIVOTDATA("Total-Old",'Distrib pivot table'!$C$2,"state","AR","group","1d")/GETPIVOTDATA("Total-Old",'Distrib pivot table'!$C$2,"state","AR")&gt;0.0005,GETPIVOTDATA("Total-Old",'Distrib pivot table'!$C$2,"state","AR","group","1d")/GETPIVOTDATA("Total-Old",'Distrib pivot table'!$C$2,"state","AR"),"*"))</f>
        <v>0</v>
      </c>
      <c r="G52" s="597">
        <f>IF((GETPIVOTDATA("Total-Old",'Distrib pivot table'!$C$2,"state","DE","group","1d")/GETPIVOTDATA("Total-Old",'Distrib pivot table'!$C$2,"state","DE"))=0,,IF(GETPIVOTDATA("Total-Old",'Distrib pivot table'!$C$2,"state","DE","group","1d")/GETPIVOTDATA("Total-Old",'Distrib pivot table'!$C$2,"state","DE")&gt;0.0005,GETPIVOTDATA("Total-Old",'Distrib pivot table'!$C$2,"state","DE","group","1d")/GETPIVOTDATA("Total-Old",'Distrib pivot table'!$C$2,"state","DE"),"*"))</f>
        <v>0</v>
      </c>
      <c r="H52" s="597">
        <f>IF((GETPIVOTDATA("Total-Old",'Distrib pivot table'!$C$2,"state","FL","group","1d")/GETPIVOTDATA("Total-Old",'Distrib pivot table'!$C$2,"state","FL"))=0,,IF(GETPIVOTDATA("Total-Old",'Distrib pivot table'!$C$2,"state","FL","group","1d")/GETPIVOTDATA("Total-Old",'Distrib pivot table'!$C$2,"state","FL")&gt;0.0005,GETPIVOTDATA("Total-Old",'Distrib pivot table'!$C$2,"state","FL","group","1d")/GETPIVOTDATA("Total-Old",'Distrib pivot table'!$C$2,"state","FL"),"*"))</f>
        <v>0</v>
      </c>
      <c r="I52" s="597">
        <f>IF((GETPIVOTDATA("Total-Old",'Distrib pivot table'!$C$2,"state","GA","group","1d")/GETPIVOTDATA("Total-Old",'Distrib pivot table'!$C$2,"state","GA"))=0,,IF(GETPIVOTDATA("Total-Old",'Distrib pivot table'!$C$2,"state","GA","group","1d")/GETPIVOTDATA("Total-Old",'Distrib pivot table'!$C$2,"state","GA")&gt;0.0005,GETPIVOTDATA("Total-Old",'Distrib pivot table'!$C$2,"state","GA","group","1d")/GETPIVOTDATA("Total-Old",'Distrib pivot table'!$C$2,"state","GA"),"*"))</f>
        <v>5.1791844782072161E-2</v>
      </c>
      <c r="J52" s="597">
        <f>IF((GETPIVOTDATA("Total-Old",'Distrib pivot table'!$C$2,"state","KY","group","1d")/GETPIVOTDATA("Total-Old",'Distrib pivot table'!$C$2,"state","KY"))=0,,IF(GETPIVOTDATA("Total-Old",'Distrib pivot table'!$C$2,"state","KY","group","1d")/GETPIVOTDATA("Total-Old",'Distrib pivot table'!$C$2,"state","KY")&gt;0.0005,GETPIVOTDATA("Total-Old",'Distrib pivot table'!$C$2,"state","KY","group","1d")/GETPIVOTDATA("Total-Old",'Distrib pivot table'!$C$2,"state","KY"),"*"))</f>
        <v>5.7427408525666503E-2</v>
      </c>
      <c r="K52" s="597">
        <f>IF((GETPIVOTDATA("Total-Old",'Distrib pivot table'!$C$2,"state","LA","group","1d")/GETPIVOTDATA("Total-Old",'Distrib pivot table'!$C$2,"state","LA"))=0,,IF(GETPIVOTDATA("Total-Old",'Distrib pivot table'!$C$2,"state","LA","group","1d")/GETPIVOTDATA("Total-Old",'Distrib pivot table'!$C$2,"state","LA")&gt;0.0005,GETPIVOTDATA("Total-Old",'Distrib pivot table'!$C$2,"state","LA","group","1d")/GETPIVOTDATA("Total-Old",'Distrib pivot table'!$C$2,"state","LA"),"*"))</f>
        <v>0</v>
      </c>
      <c r="L52" s="597">
        <f>IF((GETPIVOTDATA("Total-Old",'Distrib pivot table'!$C$2,"state","MD","group","1d")/GETPIVOTDATA("Total-Old",'Distrib pivot table'!$C$2,"state","MD"))=0,,IF(GETPIVOTDATA("Total-Old",'Distrib pivot table'!$C$2,"state","MD","group","1d")/GETPIVOTDATA("Total-Old",'Distrib pivot table'!$C$2,"state","MD")&gt;0.0005,GETPIVOTDATA("Total-Old",'Distrib pivot table'!$C$2,"state","MD","group","1d")/GETPIVOTDATA("Total-Old",'Distrib pivot table'!$C$2,"state","MD"),"*"))</f>
        <v>0</v>
      </c>
      <c r="M52" s="597">
        <f>IF((GETPIVOTDATA("Total-Old",'Distrib pivot table'!$C$2,"state","MS","group","1d")/GETPIVOTDATA("Total-Old",'Distrib pivot table'!$C$2,"state","MS"))=0,,IF(GETPIVOTDATA("Total-Old",'Distrib pivot table'!$C$2,"state","MS","group","1d")/GETPIVOTDATA("Total-Old",'Distrib pivot table'!$C$2,"state","MS")&gt;0.0005,GETPIVOTDATA("Total-Old",'Distrib pivot table'!$C$2,"state","MS","group","1d")/GETPIVOTDATA("Total-Old",'Distrib pivot table'!$C$2,"state","MS"),"*"))</f>
        <v>2.0382867442814416E-2</v>
      </c>
      <c r="N52" s="597">
        <f>IF((GETPIVOTDATA("Total-Old",'Distrib pivot table'!$C$2,"state","NC","group","1d")/GETPIVOTDATA("Total-Old",'Distrib pivot table'!$C$2,"state","NC"))=0,,IF(GETPIVOTDATA("Total-Old",'Distrib pivot table'!$C$2,"state","NC","group","1d")/GETPIVOTDATA("Total-Old",'Distrib pivot table'!$C$2,"state","NC")&gt;0.0005,GETPIVOTDATA("Total-Old",'Distrib pivot table'!$C$2,"state","NC","group","1d")/GETPIVOTDATA("Total-Old",'Distrib pivot table'!$C$2,"state","NC"),"*"))</f>
        <v>7.1537522956981972E-2</v>
      </c>
      <c r="O52" s="597">
        <f>IF((GETPIVOTDATA("Total-Old",'Distrib pivot table'!$C$2,"state","OK","group","1d")/GETPIVOTDATA("Total-Old",'Distrib pivot table'!$C$2,"state","OK"))=0,,IF(GETPIVOTDATA("Total-Old",'Distrib pivot table'!$C$2,"state","OK","group","1d")/GETPIVOTDATA("Total-Old",'Distrib pivot table'!$C$2,"state","OK")&gt;0.0005,GETPIVOTDATA("Total-Old",'Distrib pivot table'!$C$2,"state","OK","group","1d")/GETPIVOTDATA("Total-Old",'Distrib pivot table'!$C$2,"state","OK"),"*"))</f>
        <v>0</v>
      </c>
      <c r="P52" s="597">
        <f>IF((GETPIVOTDATA("Total-Old",'Distrib pivot table'!$C$2,"state","SC","group","1d")/GETPIVOTDATA("Total-Old",'Distrib pivot table'!$C$2,"state","SC"))=0,,IF(GETPIVOTDATA("Total-Old",'Distrib pivot table'!$C$2,"state","SC","group","1d")/GETPIVOTDATA("Total-Old",'Distrib pivot table'!$C$2,"state","SC")&gt;0.0005,GETPIVOTDATA("Total-Old",'Distrib pivot table'!$C$2,"state","SC","group","1d")/GETPIVOTDATA("Total-Old",'Distrib pivot table'!$C$2,"state","SC"),"*"))</f>
        <v>5.0078902638078715E-3</v>
      </c>
      <c r="Q52" s="597">
        <f>IF((GETPIVOTDATA("Total-Old",'Distrib pivot table'!$C$2,"state","TN","group","1d")/GETPIVOTDATA("Total-Old",'Distrib pivot table'!$C$2,"state","TN"))=0,,IF(GETPIVOTDATA("Total-Old",'Distrib pivot table'!$C$2,"state","TN","group","1d")/GETPIVOTDATA("Total-Old",'Distrib pivot table'!$C$2,"state","TN")&gt;0.0005,GETPIVOTDATA("Total-Old",'Distrib pivot table'!$C$2,"state","TN","group","1d")/GETPIVOTDATA("Total-Old",'Distrib pivot table'!$C$2,"state","TN"),"*"))</f>
        <v>1.7254420097102464E-2</v>
      </c>
      <c r="R52" s="597">
        <f>IF((GETPIVOTDATA("Total-Old",'Distrib pivot table'!$C$2,"state","TX","group","1d")/GETPIVOTDATA("Total-Old",'Distrib pivot table'!$C$2,"state","TX"))=0,,IF(GETPIVOTDATA("Total-Old",'Distrib pivot table'!$C$2,"state","TX","group","1d")/GETPIVOTDATA("Total-Old",'Distrib pivot table'!$C$2,"state","TX")&gt;0.0005,GETPIVOTDATA("Total-Old",'Distrib pivot table'!$C$2,"state","TX","group","1d")/GETPIVOTDATA("Total-Old",'Distrib pivot table'!$C$2,"state","TX"),"*"))</f>
        <v>0.12189780230427899</v>
      </c>
      <c r="S52" s="597">
        <f>IF((GETPIVOTDATA("Total-Old",'Distrib pivot table'!$C$2,"state","VA","group","1d")/GETPIVOTDATA("Total-Old",'Distrib pivot table'!$C$2,"state","VA"))=0,,IF(GETPIVOTDATA("Total-Old",'Distrib pivot table'!$C$2,"state","VA","group","1d")/GETPIVOTDATA("Total-Old",'Distrib pivot table'!$C$2,"state","VA")&gt;0.0005,GETPIVOTDATA("Total-Old",'Distrib pivot table'!$C$2,"state","VA","group","1d")/GETPIVOTDATA("Total-Old",'Distrib pivot table'!$C$2,"state","VA"),"*"))</f>
        <v>3.2795271878102418E-2</v>
      </c>
      <c r="T52" s="597">
        <f>IF((GETPIVOTDATA("Total-Old",'Distrib pivot table'!$C$2,"state","WV","group","1d")/GETPIVOTDATA("Total-Old",'Distrib pivot table'!$C$2,"state","WV"))=0,,IF(GETPIVOTDATA("Total-Old",'Distrib pivot table'!$C$2,"state","WV","group","1d")/GETPIVOTDATA("Total-Old",'Distrib pivot table'!$C$2,"state","WV")&gt;0.0005,GETPIVOTDATA("Total-Old",'Distrib pivot table'!$C$2,"state","WV","group","1d")/GETPIVOTDATA("Total-Old",'Distrib pivot table'!$C$2,"state","WV"),"*"))</f>
        <v>0.13748483479354254</v>
      </c>
      <c r="U52" s="576"/>
      <c r="V52" s="576"/>
      <c r="W52" s="576"/>
      <c r="X52" s="576"/>
      <c r="Y52" s="576"/>
      <c r="Z52" s="576"/>
      <c r="AA52" s="576"/>
      <c r="AB52" s="576"/>
      <c r="AC52" s="576"/>
      <c r="AD52" s="576"/>
      <c r="AE52" s="576"/>
      <c r="AF52" s="576"/>
      <c r="AG52" s="576"/>
      <c r="AH52" s="576"/>
      <c r="AI52" s="576"/>
      <c r="AJ52" s="576"/>
      <c r="AK52" s="576"/>
      <c r="AL52" s="576"/>
      <c r="AM52" s="576"/>
      <c r="AN52" s="576"/>
      <c r="AO52" s="576"/>
      <c r="AP52" s="576"/>
      <c r="AQ52" s="576"/>
      <c r="AR52" s="576"/>
      <c r="AS52" s="576"/>
      <c r="AT52" s="576"/>
      <c r="AU52" s="576"/>
      <c r="AV52" s="576"/>
      <c r="AW52" s="576"/>
      <c r="AX52" s="576"/>
    </row>
    <row r="53" spans="1:50" ht="36" customHeight="1">
      <c r="A53" s="1219"/>
      <c r="B53" s="596" t="s">
        <v>1031</v>
      </c>
      <c r="C53" s="589" t="s">
        <v>238</v>
      </c>
      <c r="D53" s="592">
        <f>IF(GETPIVOTDATA("Total-Old",'Distrib pivot table'!$C$2,"group","1e")/GETPIVOTDATA("Total-Old",'Distrib pivot table'!$C$2)=0,,IF(GETPIVOTDATA("Total-Old",'Distrib pivot table'!$C$2,"group","1e")/GETPIVOTDATA("Total-Old",'Distrib pivot table'!$C$2)&gt;0.0005,GETPIVOTDATA("Total-Old",'Distrib pivot table'!$C$2,"group","1e")/GETPIVOTDATA("Total-Old",'Distrib pivot table'!$C$2),"*"))</f>
        <v>2.008051782088726E-2</v>
      </c>
      <c r="E53" s="592">
        <f>IF((GETPIVOTDATA("Total-Old",'Distrib pivot table'!$C$2,"state","AL","group","1e")/GETPIVOTDATA("Total-Old",'Distrib pivot table'!$C$2,"state","AL"))=0,,IF(GETPIVOTDATA("Total-Old",'Distrib pivot table'!$C$2,"state","AL","group","1e")/GETPIVOTDATA("Total-Old",'Distrib pivot table'!$C$2,"state","AL")&gt;0.0005,GETPIVOTDATA("Total-Old",'Distrib pivot table'!$C$2,"state","AL","group","1e")/GETPIVOTDATA("Total-Old",'Distrib pivot table'!$C$2,"state","AL"),"*"))</f>
        <v>0</v>
      </c>
      <c r="F53" s="592">
        <f>IF((GETPIVOTDATA("Total-Old",'Distrib pivot table'!$C$2,"state","AR","group","1e")/GETPIVOTDATA("Total-Old",'Distrib pivot table'!$C$2,"state","AR"))=0,,IF(GETPIVOTDATA("Total-Old",'Distrib pivot table'!$C$2,"state","AR","group","1e")/GETPIVOTDATA("Total-Old",'Distrib pivot table'!$C$2,"state","AR")&gt;0.0005,GETPIVOTDATA("Total-Old",'Distrib pivot table'!$C$2,"state","AR","group","1e")/GETPIVOTDATA("Total-Old",'Distrib pivot table'!$C$2,"state","AR"),"*"))</f>
        <v>8.0950345935660264E-2</v>
      </c>
      <c r="G53" s="592">
        <f>IF((GETPIVOTDATA("Total-Old",'Distrib pivot table'!$C$2,"state","DE","group","1e")/GETPIVOTDATA("Total-Old",'Distrib pivot table'!$C$2,"state","DE"))=0,,IF(GETPIVOTDATA("Total-Old",'Distrib pivot table'!$C$2,"state","DE","group","1e")/GETPIVOTDATA("Total-Old",'Distrib pivot table'!$C$2,"state","DE")&gt;0.0005,GETPIVOTDATA("Total-Old",'Distrib pivot table'!$C$2,"state","DE","group","1e")/GETPIVOTDATA("Total-Old",'Distrib pivot table'!$C$2,"state","DE"),"*"))</f>
        <v>0</v>
      </c>
      <c r="H53" s="592">
        <f>IF((GETPIVOTDATA("Total-Old",'Distrib pivot table'!$C$2,"state","FL","group","1e")/GETPIVOTDATA("Total-Old",'Distrib pivot table'!$C$2,"state","FL"))=0,,IF(GETPIVOTDATA("Total-Old",'Distrib pivot table'!$C$2,"state","FL","group","1e")/GETPIVOTDATA("Total-Old",'Distrib pivot table'!$C$2,"state","FL")&gt;0.0005,GETPIVOTDATA("Total-Old",'Distrib pivot table'!$C$2,"state","FL","group","1e")/GETPIVOTDATA("Total-Old",'Distrib pivot table'!$C$2,"state","FL"),"*"))</f>
        <v>0</v>
      </c>
      <c r="I53" s="592">
        <f>IF((GETPIVOTDATA("Total-Old",'Distrib pivot table'!$C$2,"state","GA","group","1e")/GETPIVOTDATA("Total-Old",'Distrib pivot table'!$C$2,"state","GA"))=0,,IF(GETPIVOTDATA("Total-Old",'Distrib pivot table'!$C$2,"state","GA","group","1e")/GETPIVOTDATA("Total-Old",'Distrib pivot table'!$C$2,"state","GA")&gt;0.0005,GETPIVOTDATA("Total-Old",'Distrib pivot table'!$C$2,"state","GA","group","1e")/GETPIVOTDATA("Total-Old",'Distrib pivot table'!$C$2,"state","GA"),"*"))</f>
        <v>0</v>
      </c>
      <c r="J53" s="592">
        <f>IF((GETPIVOTDATA("Total-Old",'Distrib pivot table'!$C$2,"state","KY","group","1e")/GETPIVOTDATA("Total-Old",'Distrib pivot table'!$C$2,"state","KY"))=0,,IF(GETPIVOTDATA("Total-Old",'Distrib pivot table'!$C$2,"state","KY","group","1e")/GETPIVOTDATA("Total-Old",'Distrib pivot table'!$C$2,"state","KY")&gt;0.0005,GETPIVOTDATA("Total-Old",'Distrib pivot table'!$C$2,"state","KY","group","1e")/GETPIVOTDATA("Total-Old",'Distrib pivot table'!$C$2,"state","KY"),"*"))</f>
        <v>0</v>
      </c>
      <c r="K53" s="592">
        <f>IF((GETPIVOTDATA("Total-Old",'Distrib pivot table'!$C$2,"state","LA","group","1e")/GETPIVOTDATA("Total-Old",'Distrib pivot table'!$C$2,"state","LA"))=0,,IF(GETPIVOTDATA("Total-Old",'Distrib pivot table'!$C$2,"state","LA","group","1e")/GETPIVOTDATA("Total-Old",'Distrib pivot table'!$C$2,"state","LA")&gt;0.0005,GETPIVOTDATA("Total-Old",'Distrib pivot table'!$C$2,"state","LA","group","1e")/GETPIVOTDATA("Total-Old",'Distrib pivot table'!$C$2,"state","LA"),"*"))</f>
        <v>8.8680916535725726E-2</v>
      </c>
      <c r="L53" s="592">
        <f>IF((GETPIVOTDATA("Total-Old",'Distrib pivot table'!$C$2,"state","MD","group","1e")/GETPIVOTDATA("Total-Old",'Distrib pivot table'!$C$2,"state","MD"))=0,,IF(GETPIVOTDATA("Total-Old",'Distrib pivot table'!$C$2,"state","MD","group","1e")/GETPIVOTDATA("Total-Old",'Distrib pivot table'!$C$2,"state","MD")&gt;0.0005,GETPIVOTDATA("Total-Old",'Distrib pivot table'!$C$2,"state","MD","group","1e")/GETPIVOTDATA("Total-Old",'Distrib pivot table'!$C$2,"state","MD"),"*"))</f>
        <v>8.3653517091606955E-2</v>
      </c>
      <c r="M53" s="592">
        <f>IF((GETPIVOTDATA("Total-Old",'Distrib pivot table'!$C$2,"state","MS","group","1e")/GETPIVOTDATA("Total-Old",'Distrib pivot table'!$C$2,"state","MS"))=0,,IF(GETPIVOTDATA("Total-Old",'Distrib pivot table'!$C$2,"state","MS","group","1e")/GETPIVOTDATA("Total-Old",'Distrib pivot table'!$C$2,"state","MS")&gt;0.0005,GETPIVOTDATA("Total-Old",'Distrib pivot table'!$C$2,"state","MS","group","1e")/GETPIVOTDATA("Total-Old",'Distrib pivot table'!$C$2,"state","MS"),"*"))</f>
        <v>0</v>
      </c>
      <c r="N53" s="592">
        <f>IF((GETPIVOTDATA("Total-Old",'Distrib pivot table'!$C$2,"state","NC","group","1e")/GETPIVOTDATA("Total-Old",'Distrib pivot table'!$C$2,"state","NC"))=0,,IF(GETPIVOTDATA("Total-Old",'Distrib pivot table'!$C$2,"state","NC","group","1e")/GETPIVOTDATA("Total-Old",'Distrib pivot table'!$C$2,"state","NC")&gt;0.0005,GETPIVOTDATA("Total-Old",'Distrib pivot table'!$C$2,"state","NC","group","1e")/GETPIVOTDATA("Total-Old",'Distrib pivot table'!$C$2,"state","NC"),"*"))</f>
        <v>0</v>
      </c>
      <c r="O53" s="592">
        <f>IF((GETPIVOTDATA("Total-Old",'Distrib pivot table'!$C$2,"state","OK","group","1e")/GETPIVOTDATA("Total-Old",'Distrib pivot table'!$C$2,"state","OK"))=0,,IF(GETPIVOTDATA("Total-Old",'Distrib pivot table'!$C$2,"state","OK","group","1e")/GETPIVOTDATA("Total-Old",'Distrib pivot table'!$C$2,"state","OK")&gt;0.0005,GETPIVOTDATA("Total-Old",'Distrib pivot table'!$C$2,"state","OK","group","1e")/GETPIVOTDATA("Total-Old",'Distrib pivot table'!$C$2,"state","OK"),"*"))</f>
        <v>0</v>
      </c>
      <c r="P53" s="592">
        <f>IF((GETPIVOTDATA("Total-Old",'Distrib pivot table'!$C$2,"state","SC","group","1e")/GETPIVOTDATA("Total-Old",'Distrib pivot table'!$C$2,"state","SC"))=0,,IF(GETPIVOTDATA("Total-Old",'Distrib pivot table'!$C$2,"state","SC","group","1e")/GETPIVOTDATA("Total-Old",'Distrib pivot table'!$C$2,"state","SC")&gt;0.0005,GETPIVOTDATA("Total-Old",'Distrib pivot table'!$C$2,"state","SC","group","1e")/GETPIVOTDATA("Total-Old",'Distrib pivot table'!$C$2,"state","SC"),"*"))</f>
        <v>4.7073899302026267E-2</v>
      </c>
      <c r="Q53" s="592">
        <f>IF((GETPIVOTDATA("Total-Old",'Distrib pivot table'!$C$2,"state","TN","group","1e")/GETPIVOTDATA("Total-Old",'Distrib pivot table'!$C$2,"state","TN"))=0,,IF(GETPIVOTDATA("Total-Old",'Distrib pivot table'!$C$2,"state","TN","group","1e")/GETPIVOTDATA("Total-Old",'Distrib pivot table'!$C$2,"state","TN")&gt;0.0005,GETPIVOTDATA("Total-Old",'Distrib pivot table'!$C$2,"state","TN","group","1e")/GETPIVOTDATA("Total-Old",'Distrib pivot table'!$C$2,"state","TN"),"*"))</f>
        <v>7.5797690037161775E-2</v>
      </c>
      <c r="R53" s="592">
        <f>IF((GETPIVOTDATA("Total-Old",'Distrib pivot table'!$C$2,"state","TX","group","1e")/GETPIVOTDATA("Total-Old",'Distrib pivot table'!$C$2,"state","TX"))=0,,IF(GETPIVOTDATA("Total-Old",'Distrib pivot table'!$C$2,"state","TX","group","1e")/GETPIVOTDATA("Total-Old",'Distrib pivot table'!$C$2,"state","TX")&gt;0.0005,GETPIVOTDATA("Total-Old",'Distrib pivot table'!$C$2,"state","TX","group","1e")/GETPIVOTDATA("Total-Old",'Distrib pivot table'!$C$2,"state","TX"),"*"))</f>
        <v>0</v>
      </c>
      <c r="S53" s="592">
        <f>IF((GETPIVOTDATA("Total-Old",'Distrib pivot table'!$C$2,"state","VA","group","1e")/GETPIVOTDATA("Total-Old",'Distrib pivot table'!$C$2,"state","VA"))=0,,IF(GETPIVOTDATA("Total-Old",'Distrib pivot table'!$C$2,"state","VA","group","1e")/GETPIVOTDATA("Total-Old",'Distrib pivot table'!$C$2,"state","VA")&gt;0.0005,GETPIVOTDATA("Total-Old",'Distrib pivot table'!$C$2,"state","VA","group","1e")/GETPIVOTDATA("Total-Old",'Distrib pivot table'!$C$2,"state","VA"),"*"))</f>
        <v>0</v>
      </c>
      <c r="T53" s="592">
        <f>IF((GETPIVOTDATA("Total-Old",'Distrib pivot table'!$C$2,"state","WV","group","1e")/GETPIVOTDATA("Total-Old",'Distrib pivot table'!$C$2,"state","WV"))=0,,IF(GETPIVOTDATA("Total-Old",'Distrib pivot table'!$C$2,"state","WV","group","1e")/GETPIVOTDATA("Total-Old",'Distrib pivot table'!$C$2,"state","WV")&gt;0.0005,GETPIVOTDATA("Total-Old",'Distrib pivot table'!$C$2,"state","WV","group","1e")/GETPIVOTDATA("Total-Old",'Distrib pivot table'!$C$2,"state","WV"),"*"))</f>
        <v>3.3028383395854483E-2</v>
      </c>
      <c r="U53" s="576"/>
      <c r="V53" s="576"/>
      <c r="W53" s="576"/>
      <c r="X53" s="576"/>
      <c r="Y53" s="576"/>
      <c r="Z53" s="576"/>
      <c r="AA53" s="576"/>
      <c r="AB53" s="576"/>
      <c r="AC53" s="576"/>
      <c r="AD53" s="576"/>
      <c r="AE53" s="576"/>
      <c r="AF53" s="576"/>
      <c r="AG53" s="576"/>
      <c r="AH53" s="576"/>
      <c r="AI53" s="576"/>
      <c r="AJ53" s="576"/>
      <c r="AK53" s="576"/>
      <c r="AL53" s="576"/>
      <c r="AM53" s="576"/>
      <c r="AN53" s="576"/>
      <c r="AO53" s="576"/>
      <c r="AP53" s="576"/>
      <c r="AQ53" s="576"/>
      <c r="AR53" s="576"/>
      <c r="AS53" s="576"/>
      <c r="AT53" s="576"/>
      <c r="AU53" s="576"/>
      <c r="AV53" s="576"/>
      <c r="AW53" s="576"/>
      <c r="AX53" s="576"/>
    </row>
    <row r="54" spans="1:50" ht="36" customHeight="1">
      <c r="A54" s="1218"/>
      <c r="B54" s="582" t="s">
        <v>826</v>
      </c>
      <c r="C54" s="598" t="s">
        <v>116</v>
      </c>
      <c r="D54" s="584">
        <f>IF(GETPIVOTDATA("Total-Old",'Distrib pivot table'!$C$2,"group","1f")/GETPIVOTDATA("Total-Old",'Distrib pivot table'!$C$2)=0,,IF(GETPIVOTDATA("Total-Old",'Distrib pivot table'!$C$2,"group","1f")/GETPIVOTDATA("Total-Old",'Distrib pivot table'!$C$2)&gt;0.0005,GETPIVOTDATA("Total-Old",'Distrib pivot table'!$C$2,"group","1f")/GETPIVOTDATA("Total-Old",'Distrib pivot table'!$C$2),"*"))</f>
        <v>9.7144633290631912E-3</v>
      </c>
      <c r="E54" s="584">
        <f>IF((GETPIVOTDATA("Total-Old",'Distrib pivot table'!$C$2,"state","AL","group","1f")/GETPIVOTDATA("Total-Old",'Distrib pivot table'!$C$2,"state","AL"))=0,,IF(GETPIVOTDATA("Total-Old",'Distrib pivot table'!$C$2,"state","AL","group","1f")/GETPIVOTDATA("Total-Old",'Distrib pivot table'!$C$2,"state","AL")&gt;0.0005,GETPIVOTDATA("Total-Old",'Distrib pivot table'!$C$2,"state","AL","group","1f")/GETPIVOTDATA("Total-Old",'Distrib pivot table'!$C$2,"state","AL"),"*"))</f>
        <v>2.7956933532561259E-3</v>
      </c>
      <c r="F54" s="584">
        <f>IF((GETPIVOTDATA("Total-Old",'Distrib pivot table'!$C$2,"state","AR","group","1f")/GETPIVOTDATA("Total-Old",'Distrib pivot table'!$C$2,"state","AR"))=0,,IF(GETPIVOTDATA("Total-Old",'Distrib pivot table'!$C$2,"state","AR","group","1f")/GETPIVOTDATA("Total-Old",'Distrib pivot table'!$C$2,"state","AR")&gt;0.0005,GETPIVOTDATA("Total-Old",'Distrib pivot table'!$C$2,"state","AR","group","1f")/GETPIVOTDATA("Total-Old",'Distrib pivot table'!$C$2,"state","AR"),"*"))</f>
        <v>0</v>
      </c>
      <c r="G54" s="584">
        <f>IF((GETPIVOTDATA("Total-Old",'Distrib pivot table'!$C$2,"state","DE","group","1f")/GETPIVOTDATA("Total-Old",'Distrib pivot table'!$C$2,"state","DE"))=0,,IF(GETPIVOTDATA("Total-Old",'Distrib pivot table'!$C$2,"state","DE","group","1f")/GETPIVOTDATA("Total-Old",'Distrib pivot table'!$C$2,"state","DE")&gt;0.0005,GETPIVOTDATA("Total-Old",'Distrib pivot table'!$C$2,"state","DE","group","1f")/GETPIVOTDATA("Total-Old",'Distrib pivot table'!$C$2,"state","DE"),"*"))</f>
        <v>0</v>
      </c>
      <c r="H54" s="584">
        <f>IF((GETPIVOTDATA("Total-Old",'Distrib pivot table'!$C$2,"state","FL","group","1f")/GETPIVOTDATA("Total-Old",'Distrib pivot table'!$C$2,"state","FL"))=0,,IF(GETPIVOTDATA("Total-Old",'Distrib pivot table'!$C$2,"state","FL","group","1f")/GETPIVOTDATA("Total-Old",'Distrib pivot table'!$C$2,"state","FL")&gt;0.0005,GETPIVOTDATA("Total-Old",'Distrib pivot table'!$C$2,"state","FL","group","1f")/GETPIVOTDATA("Total-Old",'Distrib pivot table'!$C$2,"state","FL"),"*"))</f>
        <v>0</v>
      </c>
      <c r="I54" s="584">
        <f>IF((GETPIVOTDATA("Total-Old",'Distrib pivot table'!$C$2,"state","GA","group","1f")/GETPIVOTDATA("Total-Old",'Distrib pivot table'!$C$2,"state","GA"))=0,,IF(GETPIVOTDATA("Total-Old",'Distrib pivot table'!$C$2,"state","GA","group","1f")/GETPIVOTDATA("Total-Old",'Distrib pivot table'!$C$2,"state","GA")&gt;0.0005,GETPIVOTDATA("Total-Old",'Distrib pivot table'!$C$2,"state","GA","group","1f")/GETPIVOTDATA("Total-Old",'Distrib pivot table'!$C$2,"state","GA"),"*"))</f>
        <v>1.7474714321321319E-2</v>
      </c>
      <c r="J54" s="584">
        <f>IF((GETPIVOTDATA("Total-Old",'Distrib pivot table'!$C$2,"state","KY","group","1f")/GETPIVOTDATA("Total-Old",'Distrib pivot table'!$C$2,"state","KY"))=0,,IF(GETPIVOTDATA("Total-Old",'Distrib pivot table'!$C$2,"state","KY","group","1f")/GETPIVOTDATA("Total-Old",'Distrib pivot table'!$C$2,"state","KY")&gt;0.0005,GETPIVOTDATA("Total-Old",'Distrib pivot table'!$C$2,"state","KY","group","1f")/GETPIVOTDATA("Total-Old",'Distrib pivot table'!$C$2,"state","KY"),"*"))</f>
        <v>0</v>
      </c>
      <c r="K54" s="584">
        <f>IF((GETPIVOTDATA("Total-Old",'Distrib pivot table'!$C$2,"state","LA","group","1f")/GETPIVOTDATA("Total-Old",'Distrib pivot table'!$C$2,"state","LA"))=0,,IF(GETPIVOTDATA("Total-Old",'Distrib pivot table'!$C$2,"state","LA","group","1f")/GETPIVOTDATA("Total-Old",'Distrib pivot table'!$C$2,"state","LA")&gt;0.0005,GETPIVOTDATA("Total-Old",'Distrib pivot table'!$C$2,"state","LA","group","1f")/GETPIVOTDATA("Total-Old",'Distrib pivot table'!$C$2,"state","LA"),"*"))</f>
        <v>0</v>
      </c>
      <c r="L54" s="584">
        <f>IF((GETPIVOTDATA("Total-Old",'Distrib pivot table'!$C$2,"state","MD","group","1f")/GETPIVOTDATA("Total-Old",'Distrib pivot table'!$C$2,"state","MD"))=0,,IF(GETPIVOTDATA("Total-Old",'Distrib pivot table'!$C$2,"state","MD","group","1f")/GETPIVOTDATA("Total-Old",'Distrib pivot table'!$C$2,"state","MD")&gt;0.0005,GETPIVOTDATA("Total-Old",'Distrib pivot table'!$C$2,"state","MD","group","1f")/GETPIVOTDATA("Total-Old",'Distrib pivot table'!$C$2,"state","MD"),"*"))</f>
        <v>8.0827593783792714E-2</v>
      </c>
      <c r="M54" s="584">
        <f>IF((GETPIVOTDATA("Total-Old",'Distrib pivot table'!$C$2,"state","MS","group","1f")/GETPIVOTDATA("Total-Old",'Distrib pivot table'!$C$2,"state","MS"))=0,,IF(GETPIVOTDATA("Total-Old",'Distrib pivot table'!$C$2,"state","MS","group","1f")/GETPIVOTDATA("Total-Old",'Distrib pivot table'!$C$2,"state","MS")&gt;0.0005,GETPIVOTDATA("Total-Old",'Distrib pivot table'!$C$2,"state","MS","group","1f")/GETPIVOTDATA("Total-Old",'Distrib pivot table'!$C$2,"state","MS"),"*"))</f>
        <v>0</v>
      </c>
      <c r="N54" s="584">
        <f>IF((GETPIVOTDATA("Total-Old",'Distrib pivot table'!$C$2,"state","NC","group","1f")/GETPIVOTDATA("Total-Old",'Distrib pivot table'!$C$2,"state","NC"))=0,,IF(GETPIVOTDATA("Total-Old",'Distrib pivot table'!$C$2,"state","NC","group","1f")/GETPIVOTDATA("Total-Old",'Distrib pivot table'!$C$2,"state","NC")&gt;0.0005,GETPIVOTDATA("Total-Old",'Distrib pivot table'!$C$2,"state","NC","group","1f")/GETPIVOTDATA("Total-Old",'Distrib pivot table'!$C$2,"state","NC"),"*"))</f>
        <v>7.6622218182861848E-3</v>
      </c>
      <c r="O54" s="584">
        <f>IF((GETPIVOTDATA("Total-Old",'Distrib pivot table'!$C$2,"state","OK","group","1f")/GETPIVOTDATA("Total-Old",'Distrib pivot table'!$C$2,"state","OK"))=0,,IF(GETPIVOTDATA("Total-Old",'Distrib pivot table'!$C$2,"state","OK","group","1f")/GETPIVOTDATA("Total-Old",'Distrib pivot table'!$C$2,"state","OK")&gt;0.0005,GETPIVOTDATA("Total-Old",'Distrib pivot table'!$C$2,"state","OK","group","1f")/GETPIVOTDATA("Total-Old",'Distrib pivot table'!$C$2,"state","OK"),"*"))</f>
        <v>0</v>
      </c>
      <c r="P54" s="584">
        <f>IF((GETPIVOTDATA("Total-Old",'Distrib pivot table'!$C$2,"state","SC","group","1f")/GETPIVOTDATA("Total-Old",'Distrib pivot table'!$C$2,"state","SC"))=0,,IF(GETPIVOTDATA("Total-Old",'Distrib pivot table'!$C$2,"state","SC","group","1f")/GETPIVOTDATA("Total-Old",'Distrib pivot table'!$C$2,"state","SC")&gt;0.0005,GETPIVOTDATA("Total-Old",'Distrib pivot table'!$C$2,"state","SC","group","1f")/GETPIVOTDATA("Total-Old",'Distrib pivot table'!$C$2,"state","SC"),"*"))</f>
        <v>0</v>
      </c>
      <c r="Q54" s="584">
        <f>IF((GETPIVOTDATA("Total-Old",'Distrib pivot table'!$C$2,"state","TN","group","1f")/GETPIVOTDATA("Total-Old",'Distrib pivot table'!$C$2,"state","TN"))=0,,IF(GETPIVOTDATA("Total-Old",'Distrib pivot table'!$C$2,"state","TN","group","1f")/GETPIVOTDATA("Total-Old",'Distrib pivot table'!$C$2,"state","TN")&gt;0.0005,GETPIVOTDATA("Total-Old",'Distrib pivot table'!$C$2,"state","TN","group","1f")/GETPIVOTDATA("Total-Old",'Distrib pivot table'!$C$2,"state","TN"),"*"))</f>
        <v>3.0504082402388836E-3</v>
      </c>
      <c r="R54" s="584">
        <f>IF((GETPIVOTDATA("Total-Old",'Distrib pivot table'!$C$2,"state","TX","group","1f")/GETPIVOTDATA("Total-Old",'Distrib pivot table'!$C$2,"state","TX"))=0,,IF(GETPIVOTDATA("Total-Old",'Distrib pivot table'!$C$2,"state","TX","group","1f")/GETPIVOTDATA("Total-Old",'Distrib pivot table'!$C$2,"state","TX")&gt;0.0005,GETPIVOTDATA("Total-Old",'Distrib pivot table'!$C$2,"state","TX","group","1f")/GETPIVOTDATA("Total-Old",'Distrib pivot table'!$C$2,"state","TX"),"*"))</f>
        <v>0</v>
      </c>
      <c r="S54" s="584">
        <f>IF((GETPIVOTDATA("Total-Old",'Distrib pivot table'!$C$2,"state","VA","group","1f")/GETPIVOTDATA("Total-Old",'Distrib pivot table'!$C$2,"state","VA"))=0,,IF(GETPIVOTDATA("Total-Old",'Distrib pivot table'!$C$2,"state","VA","group","1f")/GETPIVOTDATA("Total-Old",'Distrib pivot table'!$C$2,"state","VA")&gt;0.0005,GETPIVOTDATA("Total-Old",'Distrib pivot table'!$C$2,"state","VA","group","1f")/GETPIVOTDATA("Total-Old",'Distrib pivot table'!$C$2,"state","VA"),"*"))</f>
        <v>8.1680369680955291E-3</v>
      </c>
      <c r="T54" s="584">
        <f>IF((GETPIVOTDATA("Total-Old",'Distrib pivot table'!$C$2,"state","WV","group","1f")/GETPIVOTDATA("Total-Old",'Distrib pivot table'!$C$2,"state","WV"))=0,,IF(GETPIVOTDATA("Total-Old",'Distrib pivot table'!$C$2,"state","WV","group","1f")/GETPIVOTDATA("Total-Old",'Distrib pivot table'!$C$2,"state","WV")&gt;0.0005,GETPIVOTDATA("Total-Old",'Distrib pivot table'!$C$2,"state","WV","group","1f")/GETPIVOTDATA("Total-Old",'Distrib pivot table'!$C$2,"state","WV"),"*"))</f>
        <v>0</v>
      </c>
      <c r="U54" s="576"/>
      <c r="V54" s="576"/>
      <c r="W54" s="576"/>
      <c r="X54" s="576"/>
      <c r="Y54" s="576"/>
      <c r="Z54" s="576"/>
      <c r="AA54" s="576"/>
      <c r="AB54" s="576"/>
      <c r="AC54" s="576"/>
      <c r="AD54" s="576"/>
      <c r="AE54" s="576"/>
      <c r="AF54" s="576"/>
      <c r="AG54" s="576"/>
      <c r="AH54" s="576"/>
      <c r="AI54" s="576"/>
      <c r="AJ54" s="576"/>
      <c r="AK54" s="576"/>
      <c r="AL54" s="576"/>
      <c r="AM54" s="576"/>
      <c r="AN54" s="576"/>
      <c r="AO54" s="576"/>
      <c r="AP54" s="576"/>
      <c r="AQ54" s="576"/>
      <c r="AR54" s="576"/>
      <c r="AS54" s="576"/>
      <c r="AT54" s="576"/>
      <c r="AU54" s="576"/>
      <c r="AV54" s="576"/>
      <c r="AW54" s="576"/>
      <c r="AX54" s="576"/>
    </row>
    <row r="55" spans="1:50" s="77" customFormat="1" ht="12" customHeight="1">
      <c r="A55" s="599"/>
      <c r="B55" s="600" t="s">
        <v>768</v>
      </c>
      <c r="C55" s="601"/>
      <c r="D55" s="602">
        <f t="shared" ref="D55:T55" si="6">SUM(D7,D15,D22,D26,D31,D32,D36,D52,D53,D54)</f>
        <v>0.99592574098267339</v>
      </c>
      <c r="E55" s="602">
        <f t="shared" si="6"/>
        <v>0.99894504443330934</v>
      </c>
      <c r="F55" s="602">
        <f t="shared" si="6"/>
        <v>0.99893705971344893</v>
      </c>
      <c r="G55" s="602">
        <f t="shared" si="6"/>
        <v>0.99868567242757855</v>
      </c>
      <c r="H55" s="602">
        <f t="shared" si="6"/>
        <v>1</v>
      </c>
      <c r="I55" s="602">
        <f t="shared" si="6"/>
        <v>0.99933326374306464</v>
      </c>
      <c r="J55" s="602">
        <f t="shared" si="6"/>
        <v>0.99949924469939933</v>
      </c>
      <c r="K55" s="602">
        <f t="shared" si="6"/>
        <v>0.9993689126148263</v>
      </c>
      <c r="L55" s="602">
        <f t="shared" si="6"/>
        <v>0.99982219050876231</v>
      </c>
      <c r="M55" s="602">
        <f t="shared" si="6"/>
        <v>0.99903996590592614</v>
      </c>
      <c r="N55" s="602">
        <f t="shared" si="6"/>
        <v>0.99996850385147418</v>
      </c>
      <c r="O55" s="602">
        <f t="shared" si="6"/>
        <v>1</v>
      </c>
      <c r="P55" s="602">
        <f t="shared" si="6"/>
        <v>0.99939342303545131</v>
      </c>
      <c r="Q55" s="602">
        <f t="shared" si="6"/>
        <v>0.99980797242937536</v>
      </c>
      <c r="R55" s="602">
        <f t="shared" si="6"/>
        <v>0.99646017282540789</v>
      </c>
      <c r="S55" s="602">
        <f t="shared" si="6"/>
        <v>0.99738476904924567</v>
      </c>
      <c r="T55" s="602">
        <f t="shared" si="6"/>
        <v>0.99983020339390627</v>
      </c>
      <c r="U55" s="287"/>
      <c r="V55" s="287"/>
      <c r="W55" s="287"/>
      <c r="X55" s="287"/>
      <c r="Y55" s="287"/>
      <c r="Z55" s="287"/>
      <c r="AA55" s="287"/>
      <c r="AB55" s="287"/>
      <c r="AC55" s="287"/>
      <c r="AD55" s="287"/>
      <c r="AE55" s="287"/>
      <c r="AF55" s="287"/>
      <c r="AG55" s="287"/>
      <c r="AH55" s="287"/>
      <c r="AI55" s="287"/>
      <c r="AJ55" s="287"/>
      <c r="AK55" s="287"/>
      <c r="AL55" s="287"/>
      <c r="AM55" s="287"/>
      <c r="AN55" s="287"/>
      <c r="AO55" s="287"/>
      <c r="AP55" s="287"/>
      <c r="AQ55" s="287"/>
      <c r="AR55" s="287"/>
      <c r="AS55" s="287"/>
      <c r="AT55" s="287"/>
      <c r="AU55" s="287"/>
      <c r="AV55" s="287"/>
      <c r="AW55" s="287"/>
      <c r="AX55" s="287"/>
    </row>
    <row r="56" spans="1:50" ht="36.75" customHeight="1">
      <c r="A56" s="1220" t="s">
        <v>1023</v>
      </c>
      <c r="B56" s="1221"/>
      <c r="C56" s="1221"/>
      <c r="D56" s="1221"/>
      <c r="E56" s="1221"/>
      <c r="F56" s="1221"/>
      <c r="G56" s="1221"/>
      <c r="H56" s="1221"/>
      <c r="I56" s="1221"/>
      <c r="J56" s="1221"/>
      <c r="K56" s="1221"/>
      <c r="L56" s="1221"/>
      <c r="M56" s="1221"/>
      <c r="N56" s="1221"/>
      <c r="O56" s="1221"/>
      <c r="P56" s="1221"/>
      <c r="Q56" s="1221"/>
      <c r="R56" s="1221"/>
      <c r="S56" s="1221"/>
      <c r="T56" s="1221"/>
    </row>
    <row r="57" spans="1:50" ht="15" customHeight="1">
      <c r="A57" s="585" t="s">
        <v>1024</v>
      </c>
      <c r="B57" s="287"/>
      <c r="C57" s="566"/>
      <c r="D57" s="566"/>
      <c r="E57" s="566"/>
      <c r="F57" s="566"/>
      <c r="G57" s="566"/>
      <c r="H57" s="566"/>
      <c r="I57" s="566"/>
      <c r="J57" s="566"/>
      <c r="K57" s="566"/>
      <c r="L57" s="566"/>
      <c r="M57" s="566"/>
      <c r="N57" s="566"/>
      <c r="O57" s="566"/>
      <c r="P57" s="566"/>
      <c r="Q57" s="566"/>
      <c r="R57" s="566"/>
      <c r="S57" s="566"/>
      <c r="T57" s="566"/>
    </row>
    <row r="58" spans="1:50" ht="15" customHeight="1">
      <c r="A58" s="566" t="s">
        <v>1011</v>
      </c>
      <c r="B58" s="287"/>
      <c r="C58" s="566"/>
      <c r="D58" s="566"/>
      <c r="E58" s="566"/>
      <c r="F58" s="566"/>
      <c r="G58" s="566"/>
      <c r="H58" s="566"/>
      <c r="I58" s="566"/>
      <c r="J58" s="566"/>
      <c r="K58" s="566"/>
      <c r="L58" s="566"/>
      <c r="M58" s="566"/>
      <c r="N58" s="566"/>
      <c r="O58" s="566"/>
      <c r="P58" s="566"/>
      <c r="Q58" s="566"/>
      <c r="R58" s="566"/>
      <c r="S58" s="566"/>
      <c r="T58" s="370" t="s">
        <v>1814</v>
      </c>
    </row>
    <row r="62" spans="1:50" ht="13.5">
      <c r="F62" s="605"/>
    </row>
  </sheetData>
  <mergeCells count="4">
    <mergeCell ref="A5:A22"/>
    <mergeCell ref="A23:T23"/>
    <mergeCell ref="A26:A54"/>
    <mergeCell ref="A56:T56"/>
  </mergeCells>
  <printOptions horizontalCentered="1"/>
  <pageMargins left="0.25" right="0.27" top="0.7" bottom="0.5" header="0.7" footer="0.25"/>
  <pageSetup scale="74" firstPageNumber="114" orientation="landscape" useFirstPageNumber="1" r:id="rId1"/>
  <headerFooter alignWithMargins="0">
    <oddHeader>&amp;R&amp;"Arial,Regular"&amp;8SREB-State Data Exchange</oddHeader>
    <oddFooter>&amp;C&amp;"Arial,Regular"C-&amp;P</oddFooter>
  </headerFooter>
  <rowBreaks count="1" manualBreakCount="1">
    <brk id="25" max="19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29D5B-2494-4997-86BB-E5670063A395}">
  <sheetPr codeName="Sheet6">
    <tabColor indexed="16"/>
  </sheetPr>
  <dimension ref="A1:AJ36"/>
  <sheetViews>
    <sheetView view="pageBreakPreview" topLeftCell="A4" zoomScaleNormal="100" zoomScaleSheetLayoutView="100" workbookViewId="0">
      <selection activeCell="AG36" sqref="AG36"/>
    </sheetView>
  </sheetViews>
  <sheetFormatPr defaultColWidth="7.84375" defaultRowHeight="12.5"/>
  <cols>
    <col min="1" max="1" width="12.4609375" style="53" customWidth="1"/>
    <col min="2" max="2" width="13.07421875" style="506" customWidth="1"/>
    <col min="3" max="3" width="13.84375" style="506" customWidth="1"/>
    <col min="4" max="4" width="10.07421875" style="506" customWidth="1"/>
    <col min="5" max="5" width="11.4609375" style="506" customWidth="1"/>
    <col min="6" max="6" width="11.69140625" style="506" bestFit="1" customWidth="1"/>
    <col min="7" max="7" width="11.4609375" style="506" customWidth="1"/>
    <col min="8" max="8" width="16.53515625" style="506" customWidth="1"/>
    <col min="9" max="9" width="12" style="506" bestFit="1" customWidth="1"/>
    <col min="10" max="10" width="12.84375" style="506" bestFit="1" customWidth="1"/>
    <col min="11" max="11" width="10.4609375" style="506" customWidth="1"/>
    <col min="12" max="12" width="12.07421875" style="506" customWidth="1"/>
    <col min="13" max="13" width="9.84375" style="506" customWidth="1"/>
    <col min="14" max="14" width="11.69140625" style="506" bestFit="1" customWidth="1"/>
    <col min="15" max="15" width="12.4609375" style="506" bestFit="1" customWidth="1"/>
    <col min="16" max="16" width="12.3046875" style="536" customWidth="1"/>
    <col min="17" max="17" width="2.07421875" style="537" customWidth="1"/>
    <col min="18" max="18" width="11" style="53" customWidth="1"/>
    <col min="19" max="19" width="12.53515625" style="506" customWidth="1"/>
    <col min="20" max="20" width="11.23046875" style="506" customWidth="1"/>
    <col min="21" max="21" width="10.69140625" style="506" customWidth="1"/>
    <col min="22" max="22" width="9.69140625" style="506" customWidth="1"/>
    <col min="23" max="23" width="10.07421875" style="506" customWidth="1"/>
    <col min="24" max="24" width="8.69140625" style="506" customWidth="1"/>
    <col min="25" max="25" width="7.4609375" style="506" customWidth="1"/>
    <col min="26" max="26" width="5.765625" style="506" customWidth="1"/>
    <col min="27" max="27" width="7.84375" style="506" customWidth="1"/>
    <col min="28" max="28" width="6.69140625" style="506" customWidth="1"/>
    <col min="29" max="29" width="7.69140625" style="506" customWidth="1"/>
    <col min="30" max="30" width="6.84375" style="506" customWidth="1"/>
    <col min="31" max="31" width="10.4609375" style="506" customWidth="1"/>
    <col min="32" max="32" width="10.53515625" style="506" customWidth="1"/>
    <col min="33" max="33" width="9.84375" style="506" customWidth="1"/>
    <col min="34" max="35" width="6.07421875" style="506" customWidth="1"/>
    <col min="36" max="36" width="5.07421875" style="506" customWidth="1"/>
    <col min="37" max="16384" width="7.84375" style="53"/>
  </cols>
  <sheetData>
    <row r="1" spans="1:36" s="477" customFormat="1" ht="18">
      <c r="A1" s="223"/>
      <c r="P1" s="478"/>
      <c r="Q1" s="479"/>
      <c r="R1" s="1227" t="s">
        <v>972</v>
      </c>
      <c r="S1" s="1227"/>
      <c r="T1" s="1227"/>
      <c r="U1" s="1227"/>
      <c r="V1" s="1227"/>
      <c r="W1" s="1227"/>
      <c r="X1" s="1227"/>
      <c r="Y1" s="1227"/>
      <c r="Z1" s="1227"/>
      <c r="AA1" s="1227"/>
      <c r="AB1" s="1227"/>
      <c r="AC1" s="1227"/>
      <c r="AD1" s="1227"/>
      <c r="AE1" s="1227"/>
      <c r="AF1" s="1227"/>
      <c r="AG1" s="1227"/>
    </row>
    <row r="2" spans="1:36" s="477" customFormat="1" ht="15.5">
      <c r="A2" s="223"/>
      <c r="P2" s="478"/>
      <c r="Q2" s="479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</row>
    <row r="3" spans="1:36" s="477" customFormat="1" ht="17.5">
      <c r="A3" s="223" t="s">
        <v>973</v>
      </c>
      <c r="P3" s="478"/>
      <c r="Q3" s="479"/>
      <c r="R3" s="1228" t="s">
        <v>974</v>
      </c>
      <c r="S3" s="1228"/>
      <c r="T3" s="1228"/>
      <c r="U3" s="1228"/>
      <c r="V3" s="1228"/>
      <c r="W3" s="1228"/>
      <c r="X3" s="1228"/>
      <c r="Y3" s="1228"/>
      <c r="Z3" s="1228"/>
      <c r="AA3" s="1228"/>
      <c r="AB3" s="1228"/>
      <c r="AC3" s="1228"/>
      <c r="AD3" s="1228"/>
      <c r="AE3" s="1228"/>
      <c r="AF3" s="1228"/>
      <c r="AG3" s="1228"/>
    </row>
    <row r="4" spans="1:36" s="477" customFormat="1" ht="15.5">
      <c r="A4" s="223" t="s">
        <v>1012</v>
      </c>
      <c r="B4" s="340"/>
      <c r="C4" s="340"/>
      <c r="D4" s="340"/>
      <c r="E4" s="340"/>
      <c r="F4" s="480"/>
      <c r="G4" s="340"/>
      <c r="H4" s="340"/>
      <c r="I4" s="340"/>
      <c r="J4" s="340"/>
      <c r="K4" s="340"/>
      <c r="L4" s="340"/>
      <c r="M4" s="340"/>
      <c r="N4" s="340"/>
      <c r="O4" s="340"/>
      <c r="P4" s="481"/>
      <c r="Q4" s="482"/>
      <c r="R4" s="1228" t="s">
        <v>1748</v>
      </c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340"/>
      <c r="AI4" s="340"/>
      <c r="AJ4" s="340"/>
    </row>
    <row r="5" spans="1:36" s="477" customFormat="1" ht="15.5">
      <c r="A5" s="223"/>
      <c r="B5" s="340"/>
      <c r="C5" s="340"/>
      <c r="D5" s="340"/>
      <c r="E5" s="340"/>
      <c r="F5" s="480"/>
      <c r="G5" s="340"/>
      <c r="H5" s="340"/>
      <c r="I5" s="340"/>
      <c r="J5" s="340"/>
      <c r="K5" s="340"/>
      <c r="L5" s="340"/>
      <c r="M5" s="340"/>
      <c r="N5" s="340"/>
      <c r="O5" s="340"/>
      <c r="P5" s="481"/>
      <c r="Q5" s="482"/>
      <c r="R5" s="340"/>
      <c r="S5" s="340"/>
      <c r="T5" s="340"/>
      <c r="U5" s="340"/>
      <c r="V5" s="340"/>
      <c r="W5" s="340"/>
      <c r="X5" s="340"/>
      <c r="Y5" s="340"/>
      <c r="Z5" s="340"/>
      <c r="AA5" s="340"/>
      <c r="AB5" s="340"/>
      <c r="AC5" s="340"/>
      <c r="AD5" s="340"/>
      <c r="AE5" s="340"/>
      <c r="AF5" s="340"/>
      <c r="AG5" s="340"/>
      <c r="AH5" s="340"/>
      <c r="AI5" s="340"/>
      <c r="AJ5" s="340"/>
    </row>
    <row r="6" spans="1:36" s="77" customFormat="1" ht="15.5">
      <c r="A6" s="483"/>
      <c r="B6" s="229" t="s">
        <v>20</v>
      </c>
      <c r="C6" s="484"/>
      <c r="D6" s="484"/>
      <c r="E6" s="484"/>
      <c r="F6" s="485"/>
      <c r="G6" s="484"/>
      <c r="H6" s="485"/>
      <c r="I6" s="486" t="s">
        <v>421</v>
      </c>
      <c r="J6" s="229" t="s">
        <v>976</v>
      </c>
      <c r="K6" s="229"/>
      <c r="L6" s="229"/>
      <c r="M6" s="229"/>
      <c r="N6" s="229"/>
      <c r="O6" s="230"/>
      <c r="P6" s="487" t="s">
        <v>421</v>
      </c>
      <c r="Q6" s="488"/>
      <c r="R6" s="483" t="s">
        <v>421</v>
      </c>
      <c r="S6" s="538" t="s">
        <v>977</v>
      </c>
      <c r="T6" s="538"/>
      <c r="U6" s="538"/>
      <c r="V6" s="538"/>
      <c r="W6" s="539"/>
      <c r="X6" s="539"/>
      <c r="Y6" s="539"/>
      <c r="Z6" s="540" t="s">
        <v>421</v>
      </c>
      <c r="AA6" s="538" t="s">
        <v>978</v>
      </c>
      <c r="AB6" s="538"/>
      <c r="AC6" s="538"/>
      <c r="AD6" s="538"/>
      <c r="AE6" s="538"/>
      <c r="AF6" s="541"/>
      <c r="AG6" s="542" t="s">
        <v>421</v>
      </c>
    </row>
    <row r="7" spans="1:36" ht="70.5" customHeight="1">
      <c r="A7" s="491"/>
      <c r="B7" s="1229" t="s">
        <v>979</v>
      </c>
      <c r="C7" s="1231" t="s">
        <v>980</v>
      </c>
      <c r="D7" s="492"/>
      <c r="E7" s="492"/>
      <c r="F7" s="492"/>
      <c r="G7" s="493"/>
      <c r="H7" s="494"/>
      <c r="I7" s="495"/>
      <c r="J7" s="496" t="s">
        <v>981</v>
      </c>
      <c r="K7" s="497"/>
      <c r="L7" s="496" t="s">
        <v>982</v>
      </c>
      <c r="M7" s="497"/>
      <c r="N7" s="498"/>
      <c r="O7" s="499" t="s">
        <v>421</v>
      </c>
      <c r="P7" s="500" t="s">
        <v>421</v>
      </c>
      <c r="Q7" s="501"/>
      <c r="R7" s="491"/>
      <c r="S7" s="1233" t="s">
        <v>983</v>
      </c>
      <c r="T7" s="1235" t="s">
        <v>984</v>
      </c>
      <c r="U7" s="1235" t="s">
        <v>985</v>
      </c>
      <c r="V7" s="1235" t="s">
        <v>986</v>
      </c>
      <c r="W7" s="1235" t="s">
        <v>987</v>
      </c>
      <c r="X7" s="1235" t="s">
        <v>1013</v>
      </c>
      <c r="Y7" s="1246" t="s">
        <v>989</v>
      </c>
      <c r="Z7" s="1248" t="s">
        <v>990</v>
      </c>
      <c r="AA7" s="1250" t="s">
        <v>991</v>
      </c>
      <c r="AB7" s="1251"/>
      <c r="AC7" s="1250" t="s">
        <v>992</v>
      </c>
      <c r="AD7" s="1251"/>
      <c r="AE7" s="1235" t="s">
        <v>65</v>
      </c>
      <c r="AF7" s="1238" t="s">
        <v>1014</v>
      </c>
      <c r="AG7" s="1240" t="s">
        <v>1015</v>
      </c>
      <c r="AH7" s="53"/>
      <c r="AI7" s="53"/>
      <c r="AJ7" s="53"/>
    </row>
    <row r="8" spans="1:36" s="506" customFormat="1" ht="70.5" customHeight="1">
      <c r="A8" s="386"/>
      <c r="B8" s="1230"/>
      <c r="C8" s="1232"/>
      <c r="D8" s="502" t="s">
        <v>985</v>
      </c>
      <c r="E8" s="502" t="s">
        <v>982</v>
      </c>
      <c r="F8" s="502" t="s">
        <v>65</v>
      </c>
      <c r="G8" s="502" t="s">
        <v>995</v>
      </c>
      <c r="H8" s="502" t="s">
        <v>996</v>
      </c>
      <c r="I8" s="503" t="s">
        <v>8</v>
      </c>
      <c r="J8" s="502" t="s">
        <v>997</v>
      </c>
      <c r="K8" s="504" t="s">
        <v>998</v>
      </c>
      <c r="L8" s="502" t="s">
        <v>997</v>
      </c>
      <c r="M8" s="504" t="s">
        <v>998</v>
      </c>
      <c r="N8" s="504" t="s">
        <v>999</v>
      </c>
      <c r="O8" s="504" t="s">
        <v>1000</v>
      </c>
      <c r="P8" s="502" t="s">
        <v>1001</v>
      </c>
      <c r="Q8" s="505"/>
      <c r="R8" s="386"/>
      <c r="S8" s="1234"/>
      <c r="T8" s="1236"/>
      <c r="U8" s="1236"/>
      <c r="V8" s="1237"/>
      <c r="W8" s="1236"/>
      <c r="X8" s="1236"/>
      <c r="Y8" s="1247"/>
      <c r="Z8" s="1249"/>
      <c r="AA8" s="543" t="s">
        <v>997</v>
      </c>
      <c r="AB8" s="544" t="s">
        <v>998</v>
      </c>
      <c r="AC8" s="543" t="s">
        <v>997</v>
      </c>
      <c r="AD8" s="544" t="s">
        <v>998</v>
      </c>
      <c r="AE8" s="1236"/>
      <c r="AF8" s="1239"/>
      <c r="AG8" s="1241"/>
    </row>
    <row r="9" spans="1:36" s="77" customFormat="1" ht="15" customHeight="1">
      <c r="A9" s="77" t="s">
        <v>1002</v>
      </c>
      <c r="B9" s="480">
        <f>+GETPIVOTDATA("Sum of State Gen Purp-New",'Amounts Pivot Table'!$A$3,"category2","Four-Year")+GETPIVOTDATA("Sum of State Gen Purp-New",'Amounts Pivot Table'!$A$3,"category2","Two-Year")+GETPIVOTDATA("Sum of State Gen Purp-New",'Amounts Pivot Table'!$A$3,"category2","Technical")</f>
        <v>20463248484.200001</v>
      </c>
      <c r="C9" s="480">
        <f>+GETPIVOTDATA("Sum of State Ed Spec Purp-New",'Amounts Pivot Table'!$A$3,"category2","Four-Year")+GETPIVOTDATA("Sum of State Ed Spec Purp-New",'Amounts Pivot Table'!$A$3,"category2","Two-Year")+GETPIVOTDATA("Sum of State Ed Spec Purp-New",'Amounts Pivot Table'!$A$3,"category2","Technical")</f>
        <v>1552475594</v>
      </c>
      <c r="D9" s="480">
        <f>+GETPIVOTDATA("Sum of State Ed Spec Purp-New",'Amounts Pivot Table'!$A$3,"category2","Other")</f>
        <v>250000</v>
      </c>
      <c r="E9" s="480">
        <f>+GETPIVOTDATA("Sum of Other Spec Purp State-New",'Amounts Pivot Table'!$A$3,"category2","Specialized")</f>
        <v>117262465</v>
      </c>
      <c r="F9" s="480">
        <f>+GETPIVOTDATA("Sum of Health State-New",'Amounts Pivot Table'!$A$3)</f>
        <v>3905728320</v>
      </c>
      <c r="G9" s="480">
        <f>+GETPIVOTDATA("Sum of Other Spec Purp State-New",'Amounts Pivot Table'!$A$3)</f>
        <v>129861381</v>
      </c>
      <c r="H9" s="507">
        <f>SUM(B9:G9)</f>
        <v>26168826244.200001</v>
      </c>
      <c r="I9" s="480">
        <f>+GETPIVOTDATA("Sum of Local-New",'Amounts Pivot Table'!$A$3)</f>
        <v>3008919473</v>
      </c>
      <c r="J9" s="480">
        <f>+GETPIVOTDATA("Sum of Tuition Tot-New",'Amounts Pivot Table'!$A$3,"category2","Four-Year")+GETPIVOTDATA("Sum of Tuition Tot-New",'Amounts Pivot Table'!$A$3,"category2","Two-Year")+GETPIVOTDATA("Sum of Tuition Tot-New",'Amounts Pivot Table'!$A$3,"category2","Technical")</f>
        <v>29421738892.028755</v>
      </c>
      <c r="K9" s="480">
        <f>+GETPIVOTDATA("Sum of Tuition Debt-New",'Amounts Pivot Table'!$A$3,"category2","Four-Year")+GETPIVOTDATA("Sum of Tuition Debt-New",'Amounts Pivot Table'!$A$3,"category2","Two-Year")+GETPIVOTDATA("Sum of Tuition Debt-New",'Amounts Pivot Table'!$A$3,"category2","Technical")</f>
        <v>391366554.19</v>
      </c>
      <c r="L9" s="480">
        <f>+GETPIVOTDATA("Sum of Tuition SP Tot-New",'Amounts Pivot Table'!$A$3,"category2","Specialized")</f>
        <v>457884859</v>
      </c>
      <c r="M9" s="480">
        <f>+GETPIVOTDATA("Sum of Tuition SP Debt-New",'Amounts Pivot Table'!$A$3,"category2","Specialized")</f>
        <v>33838032</v>
      </c>
      <c r="N9" s="480">
        <f>+GETPIVOTDATA("Sum of Health Tuition-New",'Amounts Pivot Table'!$A$3)</f>
        <v>1802043493.8695993</v>
      </c>
      <c r="O9" s="507">
        <f>+J9+L9+N9-K9-M9</f>
        <v>31256462658.708355</v>
      </c>
      <c r="P9" s="507">
        <f>O9+H9+I9</f>
        <v>60434208375.908356</v>
      </c>
      <c r="Q9" s="508"/>
      <c r="R9" s="77" t="s">
        <v>1002</v>
      </c>
      <c r="S9" s="545">
        <f t="shared" ref="S9:X29" si="0">IF(B9/$P9=0,,IF(B9/$P9&gt;0.0005,B9/$P9,"*"))</f>
        <v>0.33860373179567488</v>
      </c>
      <c r="T9" s="545">
        <f t="shared" si="0"/>
        <v>2.5688689166629058E-2</v>
      </c>
      <c r="U9" s="545" t="str">
        <f t="shared" si="0"/>
        <v>*</v>
      </c>
      <c r="V9" s="545">
        <f t="shared" si="0"/>
        <v>1.9403326055106532E-3</v>
      </c>
      <c r="W9" s="545">
        <f t="shared" si="0"/>
        <v>6.4627773325098919E-2</v>
      </c>
      <c r="X9" s="545">
        <f t="shared" si="0"/>
        <v>2.1488058583020715E-3</v>
      </c>
      <c r="Y9" s="546">
        <f>SUM(S9:X9)</f>
        <v>0.43300933275121561</v>
      </c>
      <c r="Z9" s="545">
        <f t="shared" ref="Z9:AE23" si="1">IF(I9/$P9=0,,IF(I9/$P9&gt;0.0005,I9/$P9,"*"))</f>
        <v>4.9788349245581967E-2</v>
      </c>
      <c r="AA9" s="545">
        <f t="shared" si="1"/>
        <v>0.48683915422573004</v>
      </c>
      <c r="AB9" s="545">
        <f t="shared" si="1"/>
        <v>6.4759109899421687E-3</v>
      </c>
      <c r="AC9" s="545">
        <f t="shared" si="1"/>
        <v>7.5765840457758422E-3</v>
      </c>
      <c r="AD9" s="545">
        <f>IF(M9/$P9=0,,IF(M9/$P9&gt;0.0005,M9/$P9,"*"))</f>
        <v>5.5991520215708287E-4</v>
      </c>
      <c r="AE9" s="545">
        <f>IF(N9/$P9=0,,IF(N9/$P9&gt;0.0005,N9/$P9,"*"))</f>
        <v>2.9818269193842381E-2</v>
      </c>
      <c r="AF9" s="512">
        <f>J9/$P9-K9/$P9+L9/$P9-M9/$P9+N9/$P9</f>
        <v>0.51719818127324901</v>
      </c>
      <c r="AG9" s="547">
        <f>Y9+I9/$P9+AF9</f>
        <v>0.99999586327004653</v>
      </c>
    </row>
    <row r="10" spans="1:36" s="514" customFormat="1" ht="9.75" customHeight="1">
      <c r="B10" s="515"/>
      <c r="C10" s="515"/>
      <c r="D10" s="515"/>
      <c r="E10" s="515"/>
      <c r="F10" s="515"/>
      <c r="G10" s="515"/>
      <c r="H10" s="516"/>
      <c r="I10" s="515"/>
      <c r="J10" s="515"/>
      <c r="K10" s="515"/>
      <c r="L10" s="515"/>
      <c r="M10" s="515"/>
      <c r="N10" s="515"/>
      <c r="O10" s="516"/>
      <c r="P10" s="516"/>
      <c r="Q10" s="517"/>
      <c r="R10" s="53"/>
      <c r="S10" s="545"/>
      <c r="T10" s="545"/>
      <c r="U10" s="545"/>
      <c r="V10" s="545"/>
      <c r="W10" s="545"/>
      <c r="X10" s="545"/>
      <c r="Y10" s="546"/>
      <c r="Z10" s="545"/>
      <c r="AA10" s="545"/>
      <c r="AB10" s="545"/>
      <c r="AC10" s="545"/>
      <c r="AD10" s="545"/>
      <c r="AE10" s="545"/>
      <c r="AF10" s="519"/>
      <c r="AG10" s="547"/>
    </row>
    <row r="11" spans="1:36" ht="12" customHeight="1">
      <c r="A11" s="53" t="s">
        <v>777</v>
      </c>
      <c r="B11" s="520">
        <f>+GETPIVOTDATA("Sum of State Gen Purp-New",'Amounts Pivot Table'!$A$3,"state","AL","category2","Four-Year")+GETPIVOTDATA("Sum of State Gen Purp-New",'Amounts Pivot Table'!$A$3,"state","AL","category2","Two-Year")+GETPIVOTDATA("Sum of State Gen Purp-New",'Amounts Pivot Table'!$A$3,"state","AL","category2","Technical")</f>
        <v>1136022740</v>
      </c>
      <c r="C11" s="520">
        <f>+GETPIVOTDATA("Sum of State Ed Spec Purp-New",'Amounts Pivot Table'!$A$3,"state","AL","category2","Four-Year")+GETPIVOTDATA("Sum of State Ed Spec Purp-New",'Amounts Pivot Table'!$A$3,"state","AL","category2","Two-Year")+GETPIVOTDATA("Sum of State Ed Spec Purp-New",'Amounts Pivot Table'!$A$3,"state","AL","category2","Technical")</f>
        <v>97307192</v>
      </c>
      <c r="D11" s="520">
        <f>+GETPIVOTDATA("Sum of State Ed Spec Purp-New",'Amounts Pivot Table'!$A$3,"state","AL","category2","Other")</f>
        <v>0</v>
      </c>
      <c r="E11" s="520">
        <f>+GETPIVOTDATA("Sum of Other Spec Purp State-New",'Amounts Pivot Table'!$A$3,"state","AL","category2","Specialized")</f>
        <v>8994438</v>
      </c>
      <c r="F11" s="520">
        <f>+GETPIVOTDATA("Sum of Health State-New",'Amounts Pivot Table'!$A$3,"state","AL")</f>
        <v>350313719</v>
      </c>
      <c r="G11" s="520">
        <f>+GETPIVOTDATA("Sum of Other Spec Purp State-New",'Amounts Pivot Table'!$A$3,"state","AL")</f>
        <v>8994438</v>
      </c>
      <c r="H11" s="521">
        <f>SUM(B11:G11)</f>
        <v>1601632527</v>
      </c>
      <c r="I11" s="520">
        <f>+GETPIVOTDATA("Sum of Local-New",'Amounts Pivot Table'!$A$3,"state","AL")</f>
        <v>1170000</v>
      </c>
      <c r="J11" s="520">
        <f>+GETPIVOTDATA("Sum of Tuition Tot-New",'Amounts Pivot Table'!$A$3,"state","AL","category2","Four-Year")+GETPIVOTDATA("Sum of Tuition Tot-New",'Amounts Pivot Table'!$A$3,"state","AL","category2","Two-Year")+GETPIVOTDATA("Sum of Tuition Tot-New",'Amounts Pivot Table'!$A$3,"state","AL","category2","Technical")</f>
        <v>2565655802</v>
      </c>
      <c r="K11" s="520">
        <f>+GETPIVOTDATA("Sum of Tuition Debt-New",'Amounts Pivot Table'!$A$3,"state","AL","category2","Four-Year")+GETPIVOTDATA("Sum of Tuition Debt-New",'Amounts Pivot Table'!$A$3,"state","AL","category2","Two-Year")+GETPIVOTDATA("Sum of Tuition Debt-New",'Amounts Pivot Table'!$A$3,"state","AL","category2","Technical")</f>
        <v>175300444</v>
      </c>
      <c r="L11" s="520">
        <f>+GETPIVOTDATA("Sum of Tuition SP Tot-New",'Amounts Pivot Table'!$A$3,"state","AL","category2","Specialized")</f>
        <v>3669807</v>
      </c>
      <c r="M11" s="520">
        <f>+GETPIVOTDATA("Sum of Tuition SP Debt-New",'Amounts Pivot Table'!$A$3,"state","AL","category2","Specialized")</f>
        <v>177000</v>
      </c>
      <c r="N11" s="520">
        <f>+GETPIVOTDATA("Sum of Health Tuition-New",'Amounts Pivot Table'!$A$3,"state","AL")</f>
        <v>258719274</v>
      </c>
      <c r="O11" s="521">
        <f>+J11+L11+N11-K11-M11</f>
        <v>2652567439</v>
      </c>
      <c r="P11" s="521">
        <f>O11+H11+I11</f>
        <v>4255369966</v>
      </c>
      <c r="Q11" s="522"/>
      <c r="R11" s="53" t="s">
        <v>777</v>
      </c>
      <c r="S11" s="545">
        <f t="shared" si="0"/>
        <v>0.26696215583526539</v>
      </c>
      <c r="T11" s="545">
        <f t="shared" si="0"/>
        <v>2.2866917043048003E-2</v>
      </c>
      <c r="U11" s="545">
        <f t="shared" si="0"/>
        <v>0</v>
      </c>
      <c r="V11" s="545">
        <f t="shared" si="0"/>
        <v>2.1136676885593264E-3</v>
      </c>
      <c r="W11" s="545">
        <f t="shared" si="0"/>
        <v>8.2322740866005356E-2</v>
      </c>
      <c r="X11" s="545">
        <f t="shared" si="0"/>
        <v>2.1136676885593264E-3</v>
      </c>
      <c r="Y11" s="546">
        <f t="shared" ref="Y11:Y29" si="2">SUM(S11:X11)</f>
        <v>0.37637914912143738</v>
      </c>
      <c r="Z11" s="545" t="str">
        <f t="shared" si="1"/>
        <v>*</v>
      </c>
      <c r="AA11" s="545">
        <f t="shared" si="1"/>
        <v>0.60292191337048129</v>
      </c>
      <c r="AB11" s="545">
        <f t="shared" si="1"/>
        <v>4.1195112387555917E-2</v>
      </c>
      <c r="AC11" s="545">
        <f t="shared" si="1"/>
        <v>8.6239434627809284E-4</v>
      </c>
      <c r="AD11" s="545" t="str">
        <f t="shared" si="1"/>
        <v>*</v>
      </c>
      <c r="AE11" s="545">
        <f t="shared" si="1"/>
        <v>6.0798303336053579E-2</v>
      </c>
      <c r="AF11" s="519">
        <f t="shared" ref="AF11:AF29" si="3">J11/$P11-K11/$P11+L11/$P11-M11/$P11+N11/$P11</f>
        <v>0.6233459041619791</v>
      </c>
      <c r="AG11" s="547">
        <f t="shared" ref="AG11:AG29" si="4">Y11+I11/$P11+AF11</f>
        <v>1</v>
      </c>
      <c r="AH11" s="53"/>
      <c r="AI11" s="53"/>
      <c r="AJ11" s="53"/>
    </row>
    <row r="12" spans="1:36" ht="12" customHeight="1">
      <c r="A12" s="53" t="s">
        <v>778</v>
      </c>
      <c r="B12" s="520">
        <f>+GETPIVOTDATA("Sum of State Gen Purp-New",'Amounts Pivot Table'!$A$3,"state","AR","category2","Four-Year")+GETPIVOTDATA("Sum of State Gen Purp-New",'Amounts Pivot Table'!$A$3,"state","AR","category2","Two-Year")+GETPIVOTDATA("Sum of State Gen Purp-New",'Amounts Pivot Table'!$A$3,"state","AR","category2","Technical")</f>
        <v>643729860</v>
      </c>
      <c r="C12" s="520">
        <f>+GETPIVOTDATA("Sum of State Ed Spec Purp-New",'Amounts Pivot Table'!$A$3,"state","AR","category2","Four-Year")+GETPIVOTDATA("Sum of State Ed Spec Purp-New",'Amounts Pivot Table'!$A$3,"state","AR","category2","Two-Year")+GETPIVOTDATA("Sum of State Ed Spec Purp-New",'Amounts Pivot Table'!$A$3,"state","AR","category2","Technical")</f>
        <v>102976641</v>
      </c>
      <c r="D12" s="520">
        <f>+GETPIVOTDATA("Sum of State Ed Spec Purp-New",'Amounts Pivot Table'!$A$3,"state","AR","category2","Other")</f>
        <v>0</v>
      </c>
      <c r="E12" s="520">
        <f>+GETPIVOTDATA("Sum of Other Spec Purp State-New",'Amounts Pivot Table'!$A$3,"state","AR","category2","Specialized")</f>
        <v>0</v>
      </c>
      <c r="F12" s="520">
        <f>+GETPIVOTDATA("Sum of Health State-New",'Amounts Pivot Table'!$A$3,"state","AR")</f>
        <v>108124376</v>
      </c>
      <c r="G12" s="520">
        <f>+GETPIVOTDATA("Sum of Other Spec Purp State-New",'Amounts Pivot Table'!$A$3,"state","AR")</f>
        <v>0</v>
      </c>
      <c r="H12" s="521">
        <f t="shared" ref="H12:H29" si="5">SUM(B12:G12)</f>
        <v>854830877</v>
      </c>
      <c r="I12" s="520">
        <f>+GETPIVOTDATA("Sum of Local-New",'Amounts Pivot Table'!$A$3,"state","AR")</f>
        <v>40459247</v>
      </c>
      <c r="J12" s="520">
        <f>+GETPIVOTDATA("Sum of Tuition Tot-New",'Amounts Pivot Table'!$A$3,"state","AR","category2","Four-Year")+GETPIVOTDATA("Sum of Tuition Tot-New",'Amounts Pivot Table'!$A$3,"state","AR","category2","Two-Year")+GETPIVOTDATA("Sum of Tuition Tot-New",'Amounts Pivot Table'!$A$3,"state","AR","category2","Technical")</f>
        <v>950819216</v>
      </c>
      <c r="K12" s="520">
        <f>+GETPIVOTDATA("Sum of Tuition Debt-New",'Amounts Pivot Table'!$A$3,"state","AR","category2","Four-Year")+GETPIVOTDATA("Sum of Tuition Debt-New",'Amounts Pivot Table'!$A$3,"state","AR","category2","Two-Year")+GETPIVOTDATA("Sum of Tuition Debt-New",'Amounts Pivot Table'!$A$3,"state","AR","category2","Technical")</f>
        <v>0</v>
      </c>
      <c r="L12" s="520">
        <f>+GETPIVOTDATA("Sum of Tuition SP Tot-New",'Amounts Pivot Table'!$A$3,"state","AR","category2","Specialized")</f>
        <v>0</v>
      </c>
      <c r="M12" s="520">
        <f>+GETPIVOTDATA("Sum of Tuition SP Debt-New",'Amounts Pivot Table'!$A$3,"state","AR","category2","Specialized")</f>
        <v>0</v>
      </c>
      <c r="N12" s="520">
        <f>+GETPIVOTDATA("Sum of Health Tuition-New",'Amounts Pivot Table'!$A$3,"state","AR")</f>
        <v>49671650</v>
      </c>
      <c r="O12" s="521">
        <f t="shared" ref="O12:O29" si="6">+J12+L12+N12-K12-M12</f>
        <v>1000490866</v>
      </c>
      <c r="P12" s="521">
        <f t="shared" ref="P12:P29" si="7">O12+H12+I12</f>
        <v>1895780990</v>
      </c>
      <c r="Q12" s="523"/>
      <c r="R12" s="53" t="s">
        <v>778</v>
      </c>
      <c r="S12" s="545">
        <f t="shared" si="0"/>
        <v>0.33955919138106772</v>
      </c>
      <c r="T12" s="545">
        <f t="shared" si="0"/>
        <v>5.4318848824409828E-2</v>
      </c>
      <c r="U12" s="545">
        <f t="shared" si="0"/>
        <v>0</v>
      </c>
      <c r="V12" s="545">
        <f t="shared" si="0"/>
        <v>0</v>
      </c>
      <c r="W12" s="545">
        <f t="shared" si="0"/>
        <v>5.7034212585916899E-2</v>
      </c>
      <c r="X12" s="545">
        <f t="shared" si="0"/>
        <v>0</v>
      </c>
      <c r="Y12" s="546">
        <f t="shared" si="2"/>
        <v>0.45091225279139446</v>
      </c>
      <c r="Z12" s="545">
        <f t="shared" si="1"/>
        <v>2.1341730512869E-2</v>
      </c>
      <c r="AA12" s="545">
        <f t="shared" si="1"/>
        <v>0.50154486252127684</v>
      </c>
      <c r="AB12" s="545">
        <f t="shared" si="1"/>
        <v>0</v>
      </c>
      <c r="AC12" s="545">
        <f t="shared" si="1"/>
        <v>0</v>
      </c>
      <c r="AD12" s="545">
        <f t="shared" si="1"/>
        <v>0</v>
      </c>
      <c r="AE12" s="545">
        <f t="shared" si="1"/>
        <v>2.6201154174459784E-2</v>
      </c>
      <c r="AF12" s="519">
        <f t="shared" si="3"/>
        <v>0.52774601669573662</v>
      </c>
      <c r="AG12" s="547">
        <f t="shared" si="4"/>
        <v>1</v>
      </c>
      <c r="AH12" s="53"/>
      <c r="AI12" s="53"/>
      <c r="AJ12" s="53"/>
    </row>
    <row r="13" spans="1:36" ht="12" customHeight="1">
      <c r="A13" s="53" t="s">
        <v>779</v>
      </c>
      <c r="B13" s="520">
        <f>+GETPIVOTDATA("Sum of State Gen Purp-New",'Amounts Pivot Table'!$A$3,"state","DE","category2","Four-Year")+GETPIVOTDATA("Sum of State Gen Purp-New",'Amounts Pivot Table'!$A$3,"state","DE","category2","Two-Year")+GETPIVOTDATA("Sum of State Gen Purp-New",'Amounts Pivot Table'!$A$3,"state","DE","category2","Technical")</f>
        <v>237642200</v>
      </c>
      <c r="C13" s="520">
        <f>+GETPIVOTDATA("Sum of State Ed Spec Purp-New",'Amounts Pivot Table'!$A$3,"state","DE","category2","Four-Year")+GETPIVOTDATA("Sum of State Ed Spec Purp-New",'Amounts Pivot Table'!$A$3,"state","DE","category2","Two-Year")+GETPIVOTDATA("Sum of State Ed Spec Purp-New",'Amounts Pivot Table'!$A$3,"state","DE","category2","Technical")</f>
        <v>7413167</v>
      </c>
      <c r="D13" s="520">
        <f>+GETPIVOTDATA("Sum of State Ed Spec Purp-New",'Amounts Pivot Table'!$A$3,"state","DE","category2","Other")</f>
        <v>0</v>
      </c>
      <c r="E13" s="520">
        <f>+GETPIVOTDATA("Sum of Other Spec Purp State-New",'Amounts Pivot Table'!$A$3,"state","DE","category2","Specialized")</f>
        <v>0</v>
      </c>
      <c r="F13" s="520">
        <f>+GETPIVOTDATA("Sum of Health State-New",'Amounts Pivot Table'!$A$3,"state","DE")</f>
        <v>0</v>
      </c>
      <c r="G13" s="520">
        <f>+GETPIVOTDATA("Sum of Other Spec Purp State-New",'Amounts Pivot Table'!$A$3,"state","DE")</f>
        <v>0</v>
      </c>
      <c r="H13" s="521">
        <f t="shared" si="5"/>
        <v>245055367</v>
      </c>
      <c r="I13" s="520">
        <f>+GETPIVOTDATA("Sum of Local-New",'Amounts Pivot Table'!$A$3,"state","DE")</f>
        <v>0</v>
      </c>
      <c r="J13" s="520">
        <f>+GETPIVOTDATA("Sum of Tuition Tot-New",'Amounts Pivot Table'!$A$3,"state","DE","category2","Four-Year")+GETPIVOTDATA("Sum of Tuition Tot-New",'Amounts Pivot Table'!$A$3,"state","DE","category2","Two-Year")+GETPIVOTDATA("Sum of Tuition Tot-New",'Amounts Pivot Table'!$A$3,"state","DE","category2","Technical")</f>
        <v>724351879</v>
      </c>
      <c r="K13" s="520">
        <f>+GETPIVOTDATA("Sum of Tuition Debt-New",'Amounts Pivot Table'!$A$3,"state","DE","category2","Four-Year")+GETPIVOTDATA("Sum of Tuition Debt-New",'Amounts Pivot Table'!$A$3,"state","DE","category2","Two-Year")+GETPIVOTDATA("Sum of Tuition Debt-New",'Amounts Pivot Table'!$A$3,"state","DE","category2","Technical")</f>
        <v>7977161</v>
      </c>
      <c r="L13" s="520">
        <f>+GETPIVOTDATA("Sum of Tuition SP Tot-New",'Amounts Pivot Table'!$A$3,"state","DE","category2","Specialized")</f>
        <v>0</v>
      </c>
      <c r="M13" s="520">
        <f>+GETPIVOTDATA("Sum of Tuition SP Debt-New",'Amounts Pivot Table'!$A$3,"state","DE","category2","Specialized")</f>
        <v>0</v>
      </c>
      <c r="N13" s="520">
        <f>+GETPIVOTDATA("Sum of Health Tuition-New",'Amounts Pivot Table'!$A$3,"state","DE")</f>
        <v>0</v>
      </c>
      <c r="O13" s="521">
        <f t="shared" si="6"/>
        <v>716374718</v>
      </c>
      <c r="P13" s="521">
        <f t="shared" si="7"/>
        <v>961430085</v>
      </c>
      <c r="Q13" s="523"/>
      <c r="R13" s="53" t="s">
        <v>779</v>
      </c>
      <c r="S13" s="545">
        <f t="shared" si="0"/>
        <v>0.24717574757399027</v>
      </c>
      <c r="T13" s="545">
        <f t="shared" si="0"/>
        <v>7.7105627498644377E-3</v>
      </c>
      <c r="U13" s="545">
        <f t="shared" si="0"/>
        <v>0</v>
      </c>
      <c r="V13" s="545">
        <f t="shared" si="0"/>
        <v>0</v>
      </c>
      <c r="W13" s="545">
        <f t="shared" si="0"/>
        <v>0</v>
      </c>
      <c r="X13" s="545">
        <f t="shared" si="0"/>
        <v>0</v>
      </c>
      <c r="Y13" s="546">
        <f t="shared" si="2"/>
        <v>0.25488631032385473</v>
      </c>
      <c r="Z13" s="545">
        <f t="shared" si="1"/>
        <v>0</v>
      </c>
      <c r="AA13" s="545">
        <f t="shared" si="1"/>
        <v>0.75341087230487491</v>
      </c>
      <c r="AB13" s="545">
        <f t="shared" si="1"/>
        <v>8.2971826287295755E-3</v>
      </c>
      <c r="AC13" s="545">
        <f t="shared" si="1"/>
        <v>0</v>
      </c>
      <c r="AD13" s="545">
        <f t="shared" si="1"/>
        <v>0</v>
      </c>
      <c r="AE13" s="545">
        <f t="shared" si="1"/>
        <v>0</v>
      </c>
      <c r="AF13" s="519">
        <f t="shared" si="3"/>
        <v>0.74511368967614533</v>
      </c>
      <c r="AG13" s="547">
        <f t="shared" si="4"/>
        <v>1</v>
      </c>
      <c r="AH13" s="53"/>
      <c r="AI13" s="53"/>
      <c r="AJ13" s="53"/>
    </row>
    <row r="14" spans="1:36" ht="12" customHeight="1">
      <c r="A14" s="53" t="s">
        <v>780</v>
      </c>
      <c r="B14" s="520">
        <f>+GETPIVOTDATA("Sum of State Gen Purp-New",'Amounts Pivot Table'!$A$3,"state","FL","category2","Four-Year")+GETPIVOTDATA("Sum of State Gen Purp-New",'Amounts Pivot Table'!$A$3,"state","FL","category2","Two-Year")+GETPIVOTDATA("Sum of State Gen Purp-New",'Amounts Pivot Table'!$A$3,"state","FL","category2","Technical")</f>
        <v>1262409533</v>
      </c>
      <c r="C14" s="520">
        <f>+GETPIVOTDATA("Sum of State Ed Spec Purp-New",'Amounts Pivot Table'!$A$3,"state","FL","category2","Four-Year")+GETPIVOTDATA("Sum of State Ed Spec Purp-New",'Amounts Pivot Table'!$A$3,"state","FL","category2","Two-Year")+GETPIVOTDATA("Sum of State Ed Spec Purp-New",'Amounts Pivot Table'!$A$3,"state","FL","category2","Technical")</f>
        <v>0</v>
      </c>
      <c r="D14" s="520">
        <f>+GETPIVOTDATA("Sum of State Ed Spec Purp-New",'Amounts Pivot Table'!$A$3,"state","FL","category2","Other")</f>
        <v>0</v>
      </c>
      <c r="E14" s="520">
        <f>+GETPIVOTDATA("Sum of Other Spec Purp State-New",'Amounts Pivot Table'!$A$3,"state","FL","category2","Specialized")</f>
        <v>0</v>
      </c>
      <c r="F14" s="520">
        <f>+GETPIVOTDATA("Sum of Health State-New",'Amounts Pivot Table'!$A$3,"state","FL")</f>
        <v>0</v>
      </c>
      <c r="G14" s="520">
        <f>+GETPIVOTDATA("Sum of Other Spec Purp State-New",'Amounts Pivot Table'!$A$3,"state","FL")</f>
        <v>0</v>
      </c>
      <c r="H14" s="521">
        <f t="shared" si="5"/>
        <v>1262409533</v>
      </c>
      <c r="I14" s="520">
        <f>+GETPIVOTDATA("Sum of Local-New",'Amounts Pivot Table'!$A$3,"state","FL")</f>
        <v>0</v>
      </c>
      <c r="J14" s="520">
        <f>+GETPIVOTDATA("Sum of Tuition Tot-New",'Amounts Pivot Table'!$A$3,"state","FL","category2","Four-Year")+GETPIVOTDATA("Sum of Tuition Tot-New",'Amounts Pivot Table'!$A$3,"state","FL","category2","Two-Year")+GETPIVOTDATA("Sum of Tuition Tot-New",'Amounts Pivot Table'!$A$3,"state","FL","category2","Technical")</f>
        <v>719066460</v>
      </c>
      <c r="K14" s="520">
        <f>+GETPIVOTDATA("Sum of Tuition Debt-New",'Amounts Pivot Table'!$A$3,"state","FL","category2","Four-Year")+GETPIVOTDATA("Sum of Tuition Debt-New",'Amounts Pivot Table'!$A$3,"state","FL","category2","Two-Year")+GETPIVOTDATA("Sum of Tuition Debt-New",'Amounts Pivot Table'!$A$3,"state","FL","category2","Technical")</f>
        <v>0</v>
      </c>
      <c r="L14" s="520">
        <f>+GETPIVOTDATA("Sum of Tuition SP Tot-New",'Amounts Pivot Table'!$A$3,"state","FL","category2","Specialized")</f>
        <v>0</v>
      </c>
      <c r="M14" s="520">
        <f>+GETPIVOTDATA("Sum of Tuition SP Debt-New",'Amounts Pivot Table'!$A$3,"state","FL","category2","Specialized")</f>
        <v>0</v>
      </c>
      <c r="N14" s="520">
        <f>+GETPIVOTDATA("Sum of Health Tuition-New",'Amounts Pivot Table'!$A$3,"state","FL")</f>
        <v>0</v>
      </c>
      <c r="O14" s="521">
        <f t="shared" si="6"/>
        <v>719066460</v>
      </c>
      <c r="P14" s="521">
        <f t="shared" si="7"/>
        <v>1981475993</v>
      </c>
      <c r="Q14" s="523"/>
      <c r="R14" s="53" t="s">
        <v>780</v>
      </c>
      <c r="S14" s="545">
        <f t="shared" si="0"/>
        <v>0.63710564117846469</v>
      </c>
      <c r="T14" s="545">
        <f t="shared" si="0"/>
        <v>0</v>
      </c>
      <c r="U14" s="545">
        <f t="shared" si="0"/>
        <v>0</v>
      </c>
      <c r="V14" s="545">
        <f t="shared" si="0"/>
        <v>0</v>
      </c>
      <c r="W14" s="545">
        <f t="shared" si="0"/>
        <v>0</v>
      </c>
      <c r="X14" s="545">
        <f t="shared" si="0"/>
        <v>0</v>
      </c>
      <c r="Y14" s="546">
        <f t="shared" si="2"/>
        <v>0.63710564117846469</v>
      </c>
      <c r="Z14" s="545">
        <f t="shared" si="1"/>
        <v>0</v>
      </c>
      <c r="AA14" s="545">
        <f t="shared" si="1"/>
        <v>0.36289435882153531</v>
      </c>
      <c r="AB14" s="545">
        <f t="shared" si="1"/>
        <v>0</v>
      </c>
      <c r="AC14" s="545">
        <f t="shared" si="1"/>
        <v>0</v>
      </c>
      <c r="AD14" s="545">
        <f t="shared" si="1"/>
        <v>0</v>
      </c>
      <c r="AE14" s="545">
        <f t="shared" si="1"/>
        <v>0</v>
      </c>
      <c r="AF14" s="519">
        <f t="shared" si="3"/>
        <v>0.36289435882153531</v>
      </c>
      <c r="AG14" s="547">
        <f t="shared" si="4"/>
        <v>1</v>
      </c>
      <c r="AH14" s="53"/>
      <c r="AI14" s="53"/>
      <c r="AJ14" s="53"/>
    </row>
    <row r="15" spans="1:36" s="524" customFormat="1" ht="9" customHeight="1">
      <c r="B15" s="525"/>
      <c r="C15" s="525"/>
      <c r="D15" s="525"/>
      <c r="E15" s="525"/>
      <c r="F15" s="525"/>
      <c r="G15" s="525"/>
      <c r="H15" s="526"/>
      <c r="I15" s="525"/>
      <c r="J15" s="525"/>
      <c r="K15" s="525"/>
      <c r="L15" s="525"/>
      <c r="M15" s="525"/>
      <c r="N15" s="525"/>
      <c r="O15" s="521"/>
      <c r="P15" s="526"/>
      <c r="Q15" s="527"/>
      <c r="R15" s="53"/>
      <c r="S15" s="545"/>
      <c r="T15" s="545"/>
      <c r="U15" s="545"/>
      <c r="V15" s="545"/>
      <c r="W15" s="545"/>
      <c r="X15" s="545"/>
      <c r="Y15" s="546"/>
      <c r="Z15" s="545"/>
      <c r="AA15" s="545"/>
      <c r="AB15" s="545"/>
      <c r="AC15" s="545"/>
      <c r="AD15" s="545"/>
      <c r="AE15" s="545"/>
      <c r="AF15" s="519"/>
      <c r="AG15" s="547"/>
    </row>
    <row r="16" spans="1:36" ht="12" customHeight="1">
      <c r="A16" s="53" t="s">
        <v>781</v>
      </c>
      <c r="B16" s="520">
        <f>+GETPIVOTDATA("Sum of State Gen Purp-New",'Amounts Pivot Table'!$A$3,"state","GA","category2","Four-Year")+GETPIVOTDATA("Sum of State Gen Purp-New",'Amounts Pivot Table'!$A$3,"state","GA","category2","Two-Year")+GETPIVOTDATA("Sum of State Gen Purp-New",'Amounts Pivot Table'!$A$3,"state","GA","category2","Technical")</f>
        <v>2140069003.2</v>
      </c>
      <c r="C16" s="520">
        <f>+GETPIVOTDATA("Sum of State Ed Spec Purp-New",'Amounts Pivot Table'!$A$3,"state","GA","category2","Four-Year")+GETPIVOTDATA("Sum of State Ed Spec Purp-New",'Amounts Pivot Table'!$A$3,"state","GA","category2","Two-Year")+GETPIVOTDATA("Sum of State Ed Spec Purp-New",'Amounts Pivot Table'!$A$3,"state","GA","category2","Technical")</f>
        <v>115865687</v>
      </c>
      <c r="D16" s="520">
        <f>+GETPIVOTDATA("Sum of State Ed Spec Purp-New",'Amounts Pivot Table'!$A$3,"state","GA","category2","Other")</f>
        <v>0</v>
      </c>
      <c r="E16" s="520">
        <f>+GETPIVOTDATA("Sum of Other Spec Purp State-New",'Amounts Pivot Table'!$A$3,"state","GA","category2","Specialized")</f>
        <v>0</v>
      </c>
      <c r="F16" s="520">
        <f>+GETPIVOTDATA("Sum of Health State-New",'Amounts Pivot Table'!$A$3,"state","GA")</f>
        <v>233728762</v>
      </c>
      <c r="G16" s="520">
        <f>+GETPIVOTDATA("Sum of Other Spec Purp State-New",'Amounts Pivot Table'!$A$3,"state","GA")</f>
        <v>0</v>
      </c>
      <c r="H16" s="521">
        <f t="shared" si="5"/>
        <v>2489663452.1999998</v>
      </c>
      <c r="I16" s="520">
        <f>+GETPIVOTDATA("Sum of Local-New",'Amounts Pivot Table'!$A$3,"state","GA")</f>
        <v>0</v>
      </c>
      <c r="J16" s="520">
        <f>+GETPIVOTDATA("Sum of Tuition Tot-New",'Amounts Pivot Table'!$A$3,"state","GA","category2","Four-Year")+GETPIVOTDATA("Sum of Tuition Tot-New",'Amounts Pivot Table'!$A$3,"state","GA","category2","Two-Year")+GETPIVOTDATA("Sum of Tuition Tot-New",'Amounts Pivot Table'!$A$3,"state","GA","category2","Technical")</f>
        <v>2610469166.3499994</v>
      </c>
      <c r="K16" s="520">
        <f>+GETPIVOTDATA("Sum of Tuition Debt-New",'Amounts Pivot Table'!$A$3,"state","GA","category2","Four-Year")+GETPIVOTDATA("Sum of Tuition Debt-New",'Amounts Pivot Table'!$A$3,"state","GA","category2","Two-Year")+GETPIVOTDATA("Sum of Tuition Debt-New",'Amounts Pivot Table'!$A$3,"state","GA","category2","Technical")</f>
        <v>0</v>
      </c>
      <c r="L16" s="520">
        <f>+GETPIVOTDATA("Sum of Tuition SP Tot-New",'Amounts Pivot Table'!$A$3,"state","GA","category2","Specialized")</f>
        <v>0</v>
      </c>
      <c r="M16" s="520">
        <f>+GETPIVOTDATA("Sum of Tuition SP Debt-New",'Amounts Pivot Table'!$A$3,"state","GA","category2","Specialized")</f>
        <v>0</v>
      </c>
      <c r="N16" s="520">
        <f>+GETPIVOTDATA("Sum of Health Tuition-New",'Amounts Pivot Table'!$A$3,"state","GA")</f>
        <v>83172522</v>
      </c>
      <c r="O16" s="521">
        <f t="shared" si="6"/>
        <v>2693641688.3499994</v>
      </c>
      <c r="P16" s="521">
        <f t="shared" si="7"/>
        <v>5183305140.5499992</v>
      </c>
      <c r="Q16" s="523"/>
      <c r="R16" s="53" t="s">
        <v>781</v>
      </c>
      <c r="S16" s="545">
        <f t="shared" si="0"/>
        <v>0.41287729453892769</v>
      </c>
      <c r="T16" s="545">
        <f t="shared" si="0"/>
        <v>2.2353630330107389E-2</v>
      </c>
      <c r="U16" s="545">
        <f t="shared" si="0"/>
        <v>0</v>
      </c>
      <c r="V16" s="545">
        <f t="shared" si="0"/>
        <v>0</v>
      </c>
      <c r="W16" s="545">
        <f t="shared" si="0"/>
        <v>4.5092610923384513E-2</v>
      </c>
      <c r="X16" s="545">
        <f t="shared" si="0"/>
        <v>0</v>
      </c>
      <c r="Y16" s="546">
        <f t="shared" si="2"/>
        <v>0.4803235357924196</v>
      </c>
      <c r="Z16" s="545">
        <f t="shared" si="1"/>
        <v>0</v>
      </c>
      <c r="AA16" s="545">
        <f t="shared" si="1"/>
        <v>0.50363023120668582</v>
      </c>
      <c r="AB16" s="545">
        <f t="shared" si="1"/>
        <v>0</v>
      </c>
      <c r="AC16" s="545">
        <f t="shared" si="1"/>
        <v>0</v>
      </c>
      <c r="AD16" s="545">
        <f t="shared" si="1"/>
        <v>0</v>
      </c>
      <c r="AE16" s="545">
        <f t="shared" si="1"/>
        <v>1.6046233000894597E-2</v>
      </c>
      <c r="AF16" s="519">
        <f t="shared" si="3"/>
        <v>0.5196764642075804</v>
      </c>
      <c r="AG16" s="547">
        <f t="shared" si="4"/>
        <v>1</v>
      </c>
      <c r="AH16" s="53"/>
      <c r="AI16" s="53"/>
      <c r="AJ16" s="53"/>
    </row>
    <row r="17" spans="1:36" ht="12" customHeight="1">
      <c r="A17" s="53" t="s">
        <v>782</v>
      </c>
      <c r="B17" s="520">
        <f>+GETPIVOTDATA("Sum of State Gen Purp-New",'Amounts Pivot Table'!$A$3,"state","KY","category2","Four-Year")+GETPIVOTDATA("Sum of State Gen Purp-New",'Amounts Pivot Table'!$A$3,"state","KY","category2","Two-Year")+GETPIVOTDATA("Sum of State Gen Purp-New",'Amounts Pivot Table'!$A$3,"state","KY","category2","Technical")</f>
        <v>653397335</v>
      </c>
      <c r="C17" s="520">
        <f>+GETPIVOTDATA("Sum of State Ed Spec Purp-New",'Amounts Pivot Table'!$A$3,"state","KY","category2","Four-Year")+GETPIVOTDATA("Sum of State Ed Spec Purp-New",'Amounts Pivot Table'!$A$3,"state","KY","category2","Two-Year")+GETPIVOTDATA("Sum of State Ed Spec Purp-New",'Amounts Pivot Table'!$A$3,"state","KY","category2","Technical")</f>
        <v>107606700</v>
      </c>
      <c r="D17" s="520">
        <f>+GETPIVOTDATA("Sum of State Ed Spec Purp-New",'Amounts Pivot Table'!$A$3,"state","KY","category2","Other")</f>
        <v>250000</v>
      </c>
      <c r="E17" s="520">
        <f>+GETPIVOTDATA("Sum of Other Spec Purp State-New",'Amounts Pivot Table'!$A$3,"state","KY","category2","Specialized")</f>
        <v>0</v>
      </c>
      <c r="F17" s="520">
        <f>+GETPIVOTDATA("Sum of Health State-New",'Amounts Pivot Table'!$A$3,"state","KY")</f>
        <v>65320465</v>
      </c>
      <c r="G17" s="520">
        <f>+GETPIVOTDATA("Sum of Other Spec Purp State-New",'Amounts Pivot Table'!$A$3,"state","KY")</f>
        <v>0</v>
      </c>
      <c r="H17" s="521">
        <f t="shared" si="5"/>
        <v>826574500</v>
      </c>
      <c r="I17" s="520">
        <f>+GETPIVOTDATA("Sum of Local-New",'Amounts Pivot Table'!$A$3,"state","KY")</f>
        <v>27285000</v>
      </c>
      <c r="J17" s="520">
        <f>+GETPIVOTDATA("Sum of Tuition Tot-New",'Amounts Pivot Table'!$A$3,"state","KY","category2","Four-Year")+GETPIVOTDATA("Sum of Tuition Tot-New",'Amounts Pivot Table'!$A$3,"state","KY","category2","Two-Year")+GETPIVOTDATA("Sum of Tuition Tot-New",'Amounts Pivot Table'!$A$3,"state","KY","category2","Technical")</f>
        <v>1665234551.3297391</v>
      </c>
      <c r="K17" s="520">
        <f>+GETPIVOTDATA("Sum of Tuition Debt-New",'Amounts Pivot Table'!$A$3,"state","KY","category2","Four-Year")+GETPIVOTDATA("Sum of Tuition Debt-New",'Amounts Pivot Table'!$A$3,"state","KY","category2","Two-Year")+GETPIVOTDATA("Sum of Tuition Debt-New",'Amounts Pivot Table'!$A$3,"state","KY","category2","Technical")</f>
        <v>28788487.190000001</v>
      </c>
      <c r="L17" s="520">
        <f>+GETPIVOTDATA("Sum of Tuition SP Tot-New",'Amounts Pivot Table'!$A$3,"state","KY","category2","Specialized")</f>
        <v>0</v>
      </c>
      <c r="M17" s="520">
        <f>+GETPIVOTDATA("Sum of Tuition SP Debt-New",'Amounts Pivot Table'!$A$3,"state","KY","category2","Specialized")</f>
        <v>0</v>
      </c>
      <c r="N17" s="520">
        <f>+GETPIVOTDATA("Sum of Health Tuition-New",'Amounts Pivot Table'!$A$3,"state","KY")</f>
        <v>108389311.8102614</v>
      </c>
      <c r="O17" s="521">
        <f t="shared" si="6"/>
        <v>1744835375.9500005</v>
      </c>
      <c r="P17" s="521">
        <f t="shared" si="7"/>
        <v>2598694875.9500008</v>
      </c>
      <c r="Q17" s="523"/>
      <c r="R17" s="53" t="s">
        <v>782</v>
      </c>
      <c r="S17" s="545">
        <f t="shared" si="0"/>
        <v>0.25143287926834373</v>
      </c>
      <c r="T17" s="545">
        <f t="shared" si="0"/>
        <v>4.1407977903008868E-2</v>
      </c>
      <c r="U17" s="545" t="str">
        <f t="shared" si="0"/>
        <v>*</v>
      </c>
      <c r="V17" s="545">
        <f t="shared" si="0"/>
        <v>0</v>
      </c>
      <c r="W17" s="545">
        <f t="shared" si="0"/>
        <v>2.5135873243341392E-2</v>
      </c>
      <c r="X17" s="545">
        <f t="shared" si="0"/>
        <v>0</v>
      </c>
      <c r="Y17" s="546">
        <f t="shared" si="2"/>
        <v>0.31797673041469399</v>
      </c>
      <c r="Z17" s="545">
        <f t="shared" si="1"/>
        <v>1.0499501212132674E-2</v>
      </c>
      <c r="AA17" s="545">
        <f t="shared" si="1"/>
        <v>0.64079648855311722</v>
      </c>
      <c r="AB17" s="545">
        <f t="shared" si="1"/>
        <v>1.1078055933548504E-2</v>
      </c>
      <c r="AC17" s="545">
        <f t="shared" si="1"/>
        <v>0</v>
      </c>
      <c r="AD17" s="545">
        <f t="shared" si="1"/>
        <v>0</v>
      </c>
      <c r="AE17" s="545">
        <f t="shared" si="1"/>
        <v>4.1709133616788192E-2</v>
      </c>
      <c r="AF17" s="519">
        <f t="shared" si="3"/>
        <v>0.67142756623635691</v>
      </c>
      <c r="AG17" s="547">
        <f t="shared" si="4"/>
        <v>0.99990379786318351</v>
      </c>
      <c r="AH17" s="53"/>
      <c r="AI17" s="53"/>
      <c r="AJ17" s="53"/>
    </row>
    <row r="18" spans="1:36" ht="12" customHeight="1">
      <c r="A18" s="53" t="s">
        <v>813</v>
      </c>
      <c r="B18" s="520">
        <f>+GETPIVOTDATA("Sum of State Gen Purp-New",'Amounts Pivot Table'!$A$3,"state","LA","category2","Four-Year")+GETPIVOTDATA("Sum of State Gen Purp-New",'Amounts Pivot Table'!$A$3,"state","LA","category2","Two-Year")+GETPIVOTDATA("Sum of State Gen Purp-New",'Amounts Pivot Table'!$A$3,"state","LA","category2","Technical")</f>
        <v>444959900</v>
      </c>
      <c r="C18" s="520">
        <f>+GETPIVOTDATA("Sum of State Ed Spec Purp-New",'Amounts Pivot Table'!$A$3,"state","LA","category2","Four-Year")+GETPIVOTDATA("Sum of State Ed Spec Purp-New",'Amounts Pivot Table'!$A$3,"state","LA","category2","Two-Year")+GETPIVOTDATA("Sum of State Ed Spec Purp-New",'Amounts Pivot Table'!$A$3,"state","LA","category2","Technical")</f>
        <v>85128291</v>
      </c>
      <c r="D18" s="520">
        <f>+GETPIVOTDATA("Sum of State Ed Spec Purp-New",'Amounts Pivot Table'!$A$3,"state","LA","category2","Other")</f>
        <v>0</v>
      </c>
      <c r="E18" s="520">
        <f>+GETPIVOTDATA("Sum of Other Spec Purp State-New",'Amounts Pivot Table'!$A$3,"state","LA","category2","Specialized")</f>
        <v>0</v>
      </c>
      <c r="F18" s="520">
        <f>+GETPIVOTDATA("Sum of Health State-New",'Amounts Pivot Table'!$A$3,"state","LA")</f>
        <v>132999228</v>
      </c>
      <c r="G18" s="520">
        <f>+GETPIVOTDATA("Sum of Other Spec Purp State-New",'Amounts Pivot Table'!$A$3,"state","LA")</f>
        <v>0</v>
      </c>
      <c r="H18" s="521">
        <f t="shared" si="5"/>
        <v>663087419</v>
      </c>
      <c r="I18" s="520">
        <f>+GETPIVOTDATA("Sum of Local-New",'Amounts Pivot Table'!$A$3,"state","LA")</f>
        <v>0</v>
      </c>
      <c r="J18" s="520">
        <f>+GETPIVOTDATA("Sum of Tuition Tot-New",'Amounts Pivot Table'!$A$3,"state","LA","category2","Four-Year")+GETPIVOTDATA("Sum of Tuition Tot-New",'Amounts Pivot Table'!$A$3,"state","LA","category2","Two-Year")+GETPIVOTDATA("Sum of Tuition Tot-New",'Amounts Pivot Table'!$A$3,"state","LA","category2","Technical")</f>
        <v>1379741102.23</v>
      </c>
      <c r="K18" s="520">
        <f>+GETPIVOTDATA("Sum of Tuition Debt-New",'Amounts Pivot Table'!$A$3,"state","LA","category2","Four-Year")+GETPIVOTDATA("Sum of Tuition Debt-New",'Amounts Pivot Table'!$A$3,"state","LA","category2","Two-Year")+GETPIVOTDATA("Sum of Tuition Debt-New",'Amounts Pivot Table'!$A$3,"state","LA","category2","Technical")</f>
        <v>0</v>
      </c>
      <c r="L18" s="520">
        <f>+GETPIVOTDATA("Sum of Tuition SP Tot-New",'Amounts Pivot Table'!$A$3,"state","LA","category2","Specialized")</f>
        <v>0</v>
      </c>
      <c r="M18" s="520">
        <f>+GETPIVOTDATA("Sum of Tuition SP Debt-New",'Amounts Pivot Table'!$A$3,"state","LA","category2","Specialized")</f>
        <v>0</v>
      </c>
      <c r="N18" s="520">
        <f>+GETPIVOTDATA("Sum of Health Tuition-New",'Amounts Pivot Table'!$A$3,"state","LA")</f>
        <v>89219583</v>
      </c>
      <c r="O18" s="521">
        <f t="shared" si="6"/>
        <v>1468960685.23</v>
      </c>
      <c r="P18" s="521">
        <f t="shared" si="7"/>
        <v>2132048104.23</v>
      </c>
      <c r="Q18" s="523"/>
      <c r="R18" s="53" t="s">
        <v>813</v>
      </c>
      <c r="S18" s="545">
        <f t="shared" si="0"/>
        <v>0.20870068509110845</v>
      </c>
      <c r="T18" s="545">
        <f t="shared" si="0"/>
        <v>3.9927941039934703E-2</v>
      </c>
      <c r="U18" s="545">
        <f t="shared" si="0"/>
        <v>0</v>
      </c>
      <c r="V18" s="545">
        <f t="shared" si="0"/>
        <v>0</v>
      </c>
      <c r="W18" s="545">
        <f t="shared" si="0"/>
        <v>6.2380969611393146E-2</v>
      </c>
      <c r="X18" s="545">
        <f t="shared" si="0"/>
        <v>0</v>
      </c>
      <c r="Y18" s="546">
        <f t="shared" si="2"/>
        <v>0.31100959574243631</v>
      </c>
      <c r="Z18" s="545">
        <f t="shared" si="1"/>
        <v>0</v>
      </c>
      <c r="AA18" s="545">
        <f t="shared" si="1"/>
        <v>0.64714351401949277</v>
      </c>
      <c r="AB18" s="545">
        <f t="shared" si="1"/>
        <v>0</v>
      </c>
      <c r="AC18" s="545">
        <f t="shared" si="1"/>
        <v>0</v>
      </c>
      <c r="AD18" s="545">
        <f t="shared" si="1"/>
        <v>0</v>
      </c>
      <c r="AE18" s="545">
        <f t="shared" si="1"/>
        <v>4.1846890238070922E-2</v>
      </c>
      <c r="AF18" s="519">
        <f t="shared" si="3"/>
        <v>0.68899040425756364</v>
      </c>
      <c r="AG18" s="547">
        <f t="shared" si="4"/>
        <v>1</v>
      </c>
      <c r="AH18" s="53"/>
      <c r="AI18" s="53"/>
      <c r="AJ18" s="53"/>
    </row>
    <row r="19" spans="1:36" ht="12" customHeight="1">
      <c r="A19" s="53" t="s">
        <v>784</v>
      </c>
      <c r="B19" s="520">
        <f>+GETPIVOTDATA("Sum of State Gen Purp-New",'Amounts Pivot Table'!$A$3,"state","MD","category2","Four-Year")+GETPIVOTDATA("Sum of State Gen Purp-New",'Amounts Pivot Table'!$A$3,"state","MD","category2","Two-Year")+GETPIVOTDATA("Sum of State Gen Purp-New",'Amounts Pivot Table'!$A$3,"state","MD","category2","Technical")</f>
        <v>1589762677</v>
      </c>
      <c r="C19" s="520">
        <f>+GETPIVOTDATA("Sum of State Ed Spec Purp-New",'Amounts Pivot Table'!$A$3,"state","MD","category2","Four-Year")+GETPIVOTDATA("Sum of State Ed Spec Purp-New",'Amounts Pivot Table'!$A$3,"state","MD","category2","Two-Year")+GETPIVOTDATA("Sum of State Ed Spec Purp-New",'Amounts Pivot Table'!$A$3,"state","MD","category2","Technical")</f>
        <v>63547494</v>
      </c>
      <c r="D19" s="520">
        <f>+GETPIVOTDATA("Sum of State Ed Spec Purp-New",'Amounts Pivot Table'!$A$3,"state","MD","category2","Other")</f>
        <v>0</v>
      </c>
      <c r="E19" s="520">
        <f>+GETPIVOTDATA("Sum of Other Spec Purp State-New",'Amounts Pivot Table'!$A$3,"state","MD","category2","Specialized")</f>
        <v>44297206</v>
      </c>
      <c r="F19" s="520">
        <f>+GETPIVOTDATA("Sum of Health State-New",'Amounts Pivot Table'!$A$3,"state","MD")</f>
        <v>244296504</v>
      </c>
      <c r="G19" s="520">
        <f>+GETPIVOTDATA("Sum of Other Spec Purp State-New",'Amounts Pivot Table'!$A$3,"state","MD")</f>
        <v>56896122</v>
      </c>
      <c r="H19" s="521">
        <f t="shared" si="5"/>
        <v>1998800003</v>
      </c>
      <c r="I19" s="520">
        <f>+GETPIVOTDATA("Sum of Local-New",'Amounts Pivot Table'!$A$3,"state","MD")</f>
        <v>454222181</v>
      </c>
      <c r="J19" s="520">
        <f>+GETPIVOTDATA("Sum of Tuition Tot-New",'Amounts Pivot Table'!$A$3,"state","MD","category2","Four-Year")+GETPIVOTDATA("Sum of Tuition Tot-New",'Amounts Pivot Table'!$A$3,"state","MD","category2","Two-Year")+GETPIVOTDATA("Sum of Tuition Tot-New",'Amounts Pivot Table'!$A$3,"state","MD","category2","Technical")</f>
        <v>1696690436</v>
      </c>
      <c r="K19" s="520">
        <f>+GETPIVOTDATA("Sum of Tuition Debt-New",'Amounts Pivot Table'!$A$3,"state","MD","category2","Four-Year")+GETPIVOTDATA("Sum of Tuition Debt-New",'Amounts Pivot Table'!$A$3,"state","MD","category2","Two-Year")+GETPIVOTDATA("Sum of Tuition Debt-New",'Amounts Pivot Table'!$A$3,"state","MD","category2","Technical")</f>
        <v>0</v>
      </c>
      <c r="L19" s="520">
        <f>+GETPIVOTDATA("Sum of Tuition SP Tot-New",'Amounts Pivot Table'!$A$3,"state","MD","category2","Specialized")</f>
        <v>369044818</v>
      </c>
      <c r="M19" s="520">
        <f>+GETPIVOTDATA("Sum of Tuition SP Debt-New",'Amounts Pivot Table'!$A$3,"state","MD","category2","Specialized")</f>
        <v>0</v>
      </c>
      <c r="N19" s="520">
        <f>+GETPIVOTDATA("Sum of Health Tuition-New",'Amounts Pivot Table'!$A$3,"state","MD")</f>
        <v>165462822</v>
      </c>
      <c r="O19" s="521">
        <f t="shared" si="6"/>
        <v>2231198076</v>
      </c>
      <c r="P19" s="521">
        <f t="shared" si="7"/>
        <v>4684220260</v>
      </c>
      <c r="Q19" s="523"/>
      <c r="R19" s="53" t="s">
        <v>784</v>
      </c>
      <c r="S19" s="545">
        <f t="shared" si="0"/>
        <v>0.33938683254830548</v>
      </c>
      <c r="T19" s="545">
        <f t="shared" si="0"/>
        <v>1.35662907533729E-2</v>
      </c>
      <c r="U19" s="545">
        <f t="shared" si="0"/>
        <v>0</v>
      </c>
      <c r="V19" s="545">
        <f t="shared" si="0"/>
        <v>9.456687248092812E-3</v>
      </c>
      <c r="W19" s="545">
        <f t="shared" si="0"/>
        <v>5.2153077874267165E-2</v>
      </c>
      <c r="X19" s="545">
        <f t="shared" si="0"/>
        <v>1.2146337883778335E-2</v>
      </c>
      <c r="Y19" s="546">
        <f t="shared" si="2"/>
        <v>0.42670922630781666</v>
      </c>
      <c r="Z19" s="545">
        <f t="shared" si="1"/>
        <v>9.696857871495565E-2</v>
      </c>
      <c r="AA19" s="545">
        <f t="shared" si="1"/>
        <v>0.36221405950709928</v>
      </c>
      <c r="AB19" s="545">
        <f t="shared" si="1"/>
        <v>0</v>
      </c>
      <c r="AC19" s="545">
        <f t="shared" si="1"/>
        <v>7.878468507371171E-2</v>
      </c>
      <c r="AD19" s="545">
        <f t="shared" si="1"/>
        <v>0</v>
      </c>
      <c r="AE19" s="545">
        <f t="shared" si="1"/>
        <v>3.532345039641667E-2</v>
      </c>
      <c r="AF19" s="519">
        <f t="shared" si="3"/>
        <v>0.47632219497722766</v>
      </c>
      <c r="AG19" s="547">
        <f t="shared" si="4"/>
        <v>1</v>
      </c>
      <c r="AH19" s="53"/>
      <c r="AI19" s="53"/>
      <c r="AJ19" s="53"/>
    </row>
    <row r="20" spans="1:36" s="524" customFormat="1" ht="9" customHeight="1">
      <c r="B20" s="525"/>
      <c r="C20" s="525"/>
      <c r="D20" s="525"/>
      <c r="E20" s="525"/>
      <c r="F20" s="525"/>
      <c r="G20" s="525"/>
      <c r="H20" s="526"/>
      <c r="I20" s="525"/>
      <c r="J20" s="525"/>
      <c r="K20" s="525"/>
      <c r="L20" s="525"/>
      <c r="M20" s="525"/>
      <c r="N20" s="525"/>
      <c r="O20" s="521"/>
      <c r="P20" s="526"/>
      <c r="Q20" s="527"/>
      <c r="R20" s="53"/>
      <c r="S20" s="545"/>
      <c r="T20" s="545"/>
      <c r="U20" s="545"/>
      <c r="V20" s="545"/>
      <c r="W20" s="545"/>
      <c r="X20" s="545"/>
      <c r="Y20" s="546"/>
      <c r="Z20" s="545"/>
      <c r="AA20" s="545"/>
      <c r="AB20" s="545"/>
      <c r="AC20" s="545"/>
      <c r="AD20" s="545"/>
      <c r="AE20" s="545"/>
      <c r="AF20" s="519"/>
      <c r="AG20" s="547"/>
    </row>
    <row r="21" spans="1:36" ht="12" customHeight="1">
      <c r="A21" s="53" t="s">
        <v>785</v>
      </c>
      <c r="B21" s="520">
        <f>+GETPIVOTDATA("Sum of State Gen Purp-New",'Amounts Pivot Table'!$A$3,"state","MS","category2","Four-Year")+GETPIVOTDATA("Sum of State Gen Purp-New",'Amounts Pivot Table'!$A$3,"state","MS","category2","Two-Year")+GETPIVOTDATA("Sum of State Gen Purp-New",'Amounts Pivot Table'!$A$3,"state","MS","category2","Technical")</f>
        <v>393249845</v>
      </c>
      <c r="C21" s="520">
        <f>+GETPIVOTDATA("Sum of State Ed Spec Purp-New",'Amounts Pivot Table'!$A$3,"state","MS","category2","Four-Year")+GETPIVOTDATA("Sum of State Ed Spec Purp-New",'Amounts Pivot Table'!$A$3,"state","MS","category2","Two-Year")+GETPIVOTDATA("Sum of State Ed Spec Purp-New",'Amounts Pivot Table'!$A$3,"state","MS","category2","Technical")</f>
        <v>90688927</v>
      </c>
      <c r="D21" s="520">
        <f>+GETPIVOTDATA("Sum of State Ed Spec Purp-New",'Amounts Pivot Table'!$A$3,"state","MS","category2","Other")</f>
        <v>0</v>
      </c>
      <c r="E21" s="520">
        <f>+GETPIVOTDATA("Sum of Other Spec Purp State-New",'Amounts Pivot Table'!$A$3,"state","MS","category2","Specialized")</f>
        <v>0</v>
      </c>
      <c r="F21" s="520">
        <f>+GETPIVOTDATA("Sum of Health State-New",'Amounts Pivot Table'!$A$3,"state","MS")</f>
        <v>184963786</v>
      </c>
      <c r="G21" s="520">
        <f>+GETPIVOTDATA("Sum of Other Spec Purp State-New",'Amounts Pivot Table'!$A$3,"state","MS")</f>
        <v>0</v>
      </c>
      <c r="H21" s="521">
        <f t="shared" si="5"/>
        <v>668902558</v>
      </c>
      <c r="I21" s="520">
        <f>+GETPIVOTDATA("Sum of Local-New",'Amounts Pivot Table'!$A$3,"state","MS")</f>
        <v>0</v>
      </c>
      <c r="J21" s="520">
        <f>+GETPIVOTDATA("Sum of Tuition Tot-New",'Amounts Pivot Table'!$A$3,"state","MS","category2","Four-Year")+GETPIVOTDATA("Sum of Tuition Tot-New",'Amounts Pivot Table'!$A$3,"state","MS","category2","Two-Year")+GETPIVOTDATA("Sum of Tuition Tot-New",'Amounts Pivot Table'!$A$3,"state","MS","category2","Technical")</f>
        <v>809056242</v>
      </c>
      <c r="K21" s="520">
        <f>+GETPIVOTDATA("Sum of Tuition Debt-New",'Amounts Pivot Table'!$A$3,"state","MS","category2","Four-Year")+GETPIVOTDATA("Sum of Tuition Debt-New",'Amounts Pivot Table'!$A$3,"state","MS","category2","Two-Year")+GETPIVOTDATA("Sum of Tuition Debt-New",'Amounts Pivot Table'!$A$3,"state","MS","category2","Technical")</f>
        <v>0</v>
      </c>
      <c r="L21" s="520">
        <f>+GETPIVOTDATA("Sum of Tuition SP Tot-New",'Amounts Pivot Table'!$A$3,"state","MS","category2","Specialized")</f>
        <v>0</v>
      </c>
      <c r="M21" s="520">
        <f>+GETPIVOTDATA("Sum of Tuition SP Debt-New",'Amounts Pivot Table'!$A$3,"state","MS","category2","Specialized")</f>
        <v>0</v>
      </c>
      <c r="N21" s="520">
        <f>+GETPIVOTDATA("Sum of Health Tuition-New",'Amounts Pivot Table'!$A$3,"state","MS")</f>
        <v>55998674</v>
      </c>
      <c r="O21" s="521">
        <f t="shared" si="6"/>
        <v>865054916</v>
      </c>
      <c r="P21" s="521">
        <f t="shared" si="7"/>
        <v>1533957474</v>
      </c>
      <c r="Q21" s="523"/>
      <c r="R21" s="53" t="s">
        <v>785</v>
      </c>
      <c r="S21" s="545">
        <f t="shared" si="0"/>
        <v>0.25636293812927435</v>
      </c>
      <c r="T21" s="545">
        <f t="shared" si="0"/>
        <v>5.9120887336932784E-2</v>
      </c>
      <c r="U21" s="545">
        <f t="shared" si="0"/>
        <v>0</v>
      </c>
      <c r="V21" s="545">
        <f t="shared" si="0"/>
        <v>0</v>
      </c>
      <c r="W21" s="545">
        <f t="shared" si="0"/>
        <v>0.12057947442159664</v>
      </c>
      <c r="X21" s="545">
        <f t="shared" si="0"/>
        <v>0</v>
      </c>
      <c r="Y21" s="546">
        <f t="shared" si="2"/>
        <v>0.43606329988780379</v>
      </c>
      <c r="Z21" s="545">
        <f t="shared" si="1"/>
        <v>0</v>
      </c>
      <c r="AA21" s="545">
        <f t="shared" si="1"/>
        <v>0.52743068547413985</v>
      </c>
      <c r="AB21" s="545">
        <f t="shared" si="1"/>
        <v>0</v>
      </c>
      <c r="AC21" s="545">
        <f t="shared" si="1"/>
        <v>0</v>
      </c>
      <c r="AD21" s="545">
        <f t="shared" si="1"/>
        <v>0</v>
      </c>
      <c r="AE21" s="545">
        <f t="shared" si="1"/>
        <v>3.6506014638056389E-2</v>
      </c>
      <c r="AF21" s="519">
        <f t="shared" si="3"/>
        <v>0.56393670011219621</v>
      </c>
      <c r="AG21" s="547">
        <f t="shared" si="4"/>
        <v>1</v>
      </c>
      <c r="AH21" s="53"/>
      <c r="AI21" s="53"/>
      <c r="AJ21" s="53"/>
    </row>
    <row r="22" spans="1:36" ht="12" customHeight="1">
      <c r="A22" s="53" t="s">
        <v>786</v>
      </c>
      <c r="B22" s="520">
        <f>+GETPIVOTDATA("Sum of State Gen Purp-New",'Amounts Pivot Table'!$A$3,"state","NC","category2","Four-Year")+GETPIVOTDATA("Sum of State Gen Purp-New",'Amounts Pivot Table'!$A$3,"state","NC","category2","Two-Year")+GETPIVOTDATA("Sum of State Gen Purp-New",'Amounts Pivot Table'!$A$3,"state","NC","category2","Technical")</f>
        <v>3182840620</v>
      </c>
      <c r="C22" s="520">
        <f>+GETPIVOTDATA("Sum of State Ed Spec Purp-New",'Amounts Pivot Table'!$A$3,"state","NC","category2","Four-Year")+GETPIVOTDATA("Sum of State Ed Spec Purp-New",'Amounts Pivot Table'!$A$3,"state","NC","category2","Two-Year")+GETPIVOTDATA("Sum of State Ed Spec Purp-New",'Amounts Pivot Table'!$A$3,"state","NC","category2","Technical")</f>
        <v>251072642</v>
      </c>
      <c r="D22" s="520">
        <f>+GETPIVOTDATA("Sum of State Ed Spec Purp-New",'Amounts Pivot Table'!$A$3,"state","NC","category2","Other")</f>
        <v>0</v>
      </c>
      <c r="E22" s="520">
        <f>+GETPIVOTDATA("Sum of Other Spec Purp State-New",'Amounts Pivot Table'!$A$3,"state","NC","category2","Specialized")</f>
        <v>33759891</v>
      </c>
      <c r="F22" s="520">
        <f>+GETPIVOTDATA("Sum of Health State-New",'Amounts Pivot Table'!$A$3,"state","NC")</f>
        <v>329755502</v>
      </c>
      <c r="G22" s="520">
        <f>+GETPIVOTDATA("Sum of Other Spec Purp State-New",'Amounts Pivot Table'!$A$3,"state","NC")</f>
        <v>33759891</v>
      </c>
      <c r="H22" s="521">
        <f t="shared" si="5"/>
        <v>3831188546</v>
      </c>
      <c r="I22" s="520">
        <f>+GETPIVOTDATA("Sum of Local-New",'Amounts Pivot Table'!$A$3,"state","NC")</f>
        <v>283089460</v>
      </c>
      <c r="J22" s="520">
        <f>+GETPIVOTDATA("Sum of Tuition Tot-New",'Amounts Pivot Table'!$A$3,"state","NC","category2","Four-Year")+GETPIVOTDATA("Sum of Tuition Tot-New",'Amounts Pivot Table'!$A$3,"state","NC","category2","Two-Year")+GETPIVOTDATA("Sum of Tuition Tot-New",'Amounts Pivot Table'!$A$3,"state","NC","category2","Technical")</f>
        <v>2013589625</v>
      </c>
      <c r="K22" s="520">
        <f>+GETPIVOTDATA("Sum of Tuition Debt-New",'Amounts Pivot Table'!$A$3,"state","NC","category2","Four-Year")+GETPIVOTDATA("Sum of Tuition Debt-New",'Amounts Pivot Table'!$A$3,"state","NC","category2","Two-Year")+GETPIVOTDATA("Sum of Tuition Debt-New",'Amounts Pivot Table'!$A$3,"state","NC","category2","Technical")</f>
        <v>0</v>
      </c>
      <c r="L22" s="520">
        <f>+GETPIVOTDATA("Sum of Tuition SP Tot-New",'Amounts Pivot Table'!$A$3,"state","NC","category2","Specialized")</f>
        <v>16850252</v>
      </c>
      <c r="M22" s="520">
        <f>+GETPIVOTDATA("Sum of Tuition SP Debt-New",'Amounts Pivot Table'!$A$3,"state","NC","category2","Specialized")</f>
        <v>0</v>
      </c>
      <c r="N22" s="520">
        <f>+GETPIVOTDATA("Sum of Health Tuition-New",'Amounts Pivot Table'!$A$3,"state","NC")</f>
        <v>152946069</v>
      </c>
      <c r="O22" s="521">
        <f t="shared" si="6"/>
        <v>2183385946</v>
      </c>
      <c r="P22" s="521">
        <f t="shared" si="7"/>
        <v>6297663952</v>
      </c>
      <c r="Q22" s="523"/>
      <c r="R22" s="53" t="s">
        <v>786</v>
      </c>
      <c r="S22" s="545">
        <f t="shared" si="0"/>
        <v>0.50540019986128337</v>
      </c>
      <c r="T22" s="545">
        <f t="shared" si="0"/>
        <v>3.9867583267961582E-2</v>
      </c>
      <c r="U22" s="545">
        <f t="shared" si="0"/>
        <v>0</v>
      </c>
      <c r="V22" s="545">
        <f t="shared" si="0"/>
        <v>5.360700611736928E-3</v>
      </c>
      <c r="W22" s="545">
        <f t="shared" si="0"/>
        <v>5.2361558907136813E-2</v>
      </c>
      <c r="X22" s="545">
        <f t="shared" si="0"/>
        <v>5.360700611736928E-3</v>
      </c>
      <c r="Y22" s="546">
        <f t="shared" si="2"/>
        <v>0.6083507432598555</v>
      </c>
      <c r="Z22" s="545">
        <f t="shared" si="1"/>
        <v>4.4951502995026753E-2</v>
      </c>
      <c r="AA22" s="545">
        <f t="shared" si="1"/>
        <v>0.31973595929337068</v>
      </c>
      <c r="AB22" s="545">
        <f t="shared" si="1"/>
        <v>0</v>
      </c>
      <c r="AC22" s="545">
        <f t="shared" si="1"/>
        <v>2.6756353035713712E-3</v>
      </c>
      <c r="AD22" s="545">
        <f t="shared" si="1"/>
        <v>0</v>
      </c>
      <c r="AE22" s="545">
        <f t="shared" si="1"/>
        <v>2.4286159148175519E-2</v>
      </c>
      <c r="AF22" s="519">
        <f t="shared" si="3"/>
        <v>0.34669775374511752</v>
      </c>
      <c r="AG22" s="547">
        <f t="shared" si="4"/>
        <v>0.99999999999999978</v>
      </c>
      <c r="AH22" s="53"/>
      <c r="AI22" s="53"/>
      <c r="AJ22" s="53"/>
    </row>
    <row r="23" spans="1:36" ht="12" customHeight="1">
      <c r="A23" s="53" t="s">
        <v>787</v>
      </c>
      <c r="B23" s="520">
        <f>+GETPIVOTDATA("Sum of State Gen Purp-New",'Amounts Pivot Table'!$A$3,"state","OK","category2","Four-Year")+GETPIVOTDATA("Sum of State Gen Purp-New",'Amounts Pivot Table'!$A$3,"state","OK","category2","Two-Year")+GETPIVOTDATA("Sum of State Gen Purp-New",'Amounts Pivot Table'!$A$3,"state","OK","category2","Technical")</f>
        <v>88443484</v>
      </c>
      <c r="C23" s="520">
        <f>+GETPIVOTDATA("Sum of State Ed Spec Purp-New",'Amounts Pivot Table'!$A$3,"state","OK","category2","Four-Year")+GETPIVOTDATA("Sum of State Ed Spec Purp-New",'Amounts Pivot Table'!$A$3,"state","OK","category2","Two-Year")+GETPIVOTDATA("Sum of State Ed Spec Purp-New",'Amounts Pivot Table'!$A$3,"state","OK","category2","Technical")</f>
        <v>0</v>
      </c>
      <c r="D23" s="520">
        <f>+GETPIVOTDATA("Sum of State Ed Spec Purp-New",'Amounts Pivot Table'!$A$3,"state","OK","category2","Other")</f>
        <v>0</v>
      </c>
      <c r="E23" s="520">
        <f>+GETPIVOTDATA("Sum of Other Spec Purp State-New",'Amounts Pivot Table'!$A$3,"state","OK","category2","Specialized")</f>
        <v>0</v>
      </c>
      <c r="F23" s="520">
        <f>+GETPIVOTDATA("Sum of Health State-New",'Amounts Pivot Table'!$A$3,"state","OK")</f>
        <v>0</v>
      </c>
      <c r="G23" s="520">
        <f>+GETPIVOTDATA("Sum of Other Spec Purp State-New",'Amounts Pivot Table'!$A$3,"state","OK")</f>
        <v>0</v>
      </c>
      <c r="H23" s="521">
        <f t="shared" si="5"/>
        <v>88443484</v>
      </c>
      <c r="I23" s="520">
        <f>+GETPIVOTDATA("Sum of Local-New",'Amounts Pivot Table'!$A$3,"state","OK")</f>
        <v>0</v>
      </c>
      <c r="J23" s="520">
        <f>+GETPIVOTDATA("Sum of Tuition Tot-New",'Amounts Pivot Table'!$A$3,"state","OK","category2","Four-Year")+GETPIVOTDATA("Sum of Tuition Tot-New",'Amounts Pivot Table'!$A$3,"state","OK","category2","Two-Year")+GETPIVOTDATA("Sum of Tuition Tot-New",'Amounts Pivot Table'!$A$3,"state","OK","category2","Technical")</f>
        <v>23428979</v>
      </c>
      <c r="K23" s="520">
        <f>+GETPIVOTDATA("Sum of Tuition Debt-New",'Amounts Pivot Table'!$A$3,"state","OK","category2","Four-Year")+GETPIVOTDATA("Sum of Tuition Debt-New",'Amounts Pivot Table'!$A$3,"state","OK","category2","Two-Year")+GETPIVOTDATA("Sum of Tuition Debt-New",'Amounts Pivot Table'!$A$3,"state","OK","category2","Technical")</f>
        <v>0</v>
      </c>
      <c r="L23" s="520">
        <f>+GETPIVOTDATA("Sum of Tuition SP Tot-New",'Amounts Pivot Table'!$A$3,"state","OK","category2","Specialized")</f>
        <v>0</v>
      </c>
      <c r="M23" s="520">
        <f>+GETPIVOTDATA("Sum of Tuition SP Debt-New",'Amounts Pivot Table'!$A$3,"state","OK","category2","Specialized")</f>
        <v>0</v>
      </c>
      <c r="N23" s="520">
        <f>+GETPIVOTDATA("Sum of Health Tuition-New",'Amounts Pivot Table'!$A$3,"state","OK")</f>
        <v>0</v>
      </c>
      <c r="O23" s="521">
        <f t="shared" si="6"/>
        <v>23428979</v>
      </c>
      <c r="P23" s="521">
        <f t="shared" si="7"/>
        <v>111872463</v>
      </c>
      <c r="Q23" s="523"/>
      <c r="R23" s="53" t="s">
        <v>787</v>
      </c>
      <c r="S23" s="545">
        <f t="shared" si="0"/>
        <v>0.79057420949067692</v>
      </c>
      <c r="T23" s="545">
        <f t="shared" si="0"/>
        <v>0</v>
      </c>
      <c r="U23" s="545">
        <f t="shared" si="0"/>
        <v>0</v>
      </c>
      <c r="V23" s="545">
        <f t="shared" si="0"/>
        <v>0</v>
      </c>
      <c r="W23" s="545">
        <f t="shared" si="0"/>
        <v>0</v>
      </c>
      <c r="X23" s="545">
        <f t="shared" si="0"/>
        <v>0</v>
      </c>
      <c r="Y23" s="546">
        <f t="shared" si="2"/>
        <v>0.79057420949067692</v>
      </c>
      <c r="Z23" s="545">
        <f t="shared" si="1"/>
        <v>0</v>
      </c>
      <c r="AA23" s="545">
        <f t="shared" si="1"/>
        <v>0.20942579050932311</v>
      </c>
      <c r="AB23" s="545">
        <f t="shared" si="1"/>
        <v>0</v>
      </c>
      <c r="AC23" s="545">
        <f t="shared" si="1"/>
        <v>0</v>
      </c>
      <c r="AD23" s="545">
        <f t="shared" si="1"/>
        <v>0</v>
      </c>
      <c r="AE23" s="545">
        <f t="shared" si="1"/>
        <v>0</v>
      </c>
      <c r="AF23" s="519">
        <f t="shared" si="3"/>
        <v>0.20942579050932311</v>
      </c>
      <c r="AG23" s="547">
        <f t="shared" si="4"/>
        <v>1</v>
      </c>
      <c r="AH23" s="53"/>
      <c r="AI23" s="53"/>
      <c r="AJ23" s="53"/>
    </row>
    <row r="24" spans="1:36" ht="12" customHeight="1">
      <c r="A24" s="53" t="s">
        <v>788</v>
      </c>
      <c r="B24" s="520">
        <f>+GETPIVOTDATA("Sum of State Gen Purp-New",'Amounts Pivot Table'!$A$3,"state","SC","category2","Four-Year")+GETPIVOTDATA("Sum of State Gen Purp-New",'Amounts Pivot Table'!$A$3,"state","SC","category2","Two-Year")+GETPIVOTDATA("Sum of State Gen Purp-New",'Amounts Pivot Table'!$A$3,"state","SC","category2","Technical")</f>
        <v>541003147</v>
      </c>
      <c r="C24" s="520">
        <f>+GETPIVOTDATA("Sum of State Ed Spec Purp-New",'Amounts Pivot Table'!$A$3,"state","SC","category2","Four-Year")+GETPIVOTDATA("Sum of State Ed Spec Purp-New",'Amounts Pivot Table'!$A$3,"state","SC","category2","Two-Year")+GETPIVOTDATA("Sum of State Ed Spec Purp-New",'Amounts Pivot Table'!$A$3,"state","SC","category2","Technical")</f>
        <v>89765409</v>
      </c>
      <c r="D24" s="520">
        <f>+GETPIVOTDATA("Sum of State Ed Spec Purp-New",'Amounts Pivot Table'!$A$3,"state","SC","category2","Other")</f>
        <v>0</v>
      </c>
      <c r="E24" s="520">
        <f>+GETPIVOTDATA("Sum of Other Spec Purp State-New",'Amounts Pivot Table'!$A$3,"state","SC","category2","Specialized")</f>
        <v>0</v>
      </c>
      <c r="F24" s="520">
        <f>+GETPIVOTDATA("Sum of Health State-New",'Amounts Pivot Table'!$A$3,"state","SC")</f>
        <v>110994440</v>
      </c>
      <c r="G24" s="520">
        <f>+GETPIVOTDATA("Sum of Other Spec Purp State-New",'Amounts Pivot Table'!$A$3,"state","SC")</f>
        <v>0</v>
      </c>
      <c r="H24" s="521">
        <f t="shared" si="5"/>
        <v>741762996</v>
      </c>
      <c r="I24" s="520">
        <f>+GETPIVOTDATA("Sum of Local-New",'Amounts Pivot Table'!$A$3,"state","SC")</f>
        <v>86089916</v>
      </c>
      <c r="J24" s="520">
        <f>+GETPIVOTDATA("Sum of Tuition Tot-New",'Amounts Pivot Table'!$A$3,"state","SC","category2","Four-Year")+GETPIVOTDATA("Sum of Tuition Tot-New",'Amounts Pivot Table'!$A$3,"state","SC","category2","Two-Year")+GETPIVOTDATA("Sum of Tuition Tot-New",'Amounts Pivot Table'!$A$3,"state","SC","category2","Technical")</f>
        <v>2435403174</v>
      </c>
      <c r="K24" s="520">
        <f>+GETPIVOTDATA("Sum of Tuition Debt-New",'Amounts Pivot Table'!$A$3,"state","SC","category2","Four-Year")+GETPIVOTDATA("Sum of Tuition Debt-New",'Amounts Pivot Table'!$A$3,"state","SC","category2","Two-Year")+GETPIVOTDATA("Sum of Tuition Debt-New",'Amounts Pivot Table'!$A$3,"state","SC","category2","Technical")</f>
        <v>94588284</v>
      </c>
      <c r="L24" s="520">
        <f>+GETPIVOTDATA("Sum of Tuition SP Tot-New",'Amounts Pivot Table'!$A$3,"state","SC","category2","Specialized")</f>
        <v>0</v>
      </c>
      <c r="M24" s="520">
        <f>+GETPIVOTDATA("Sum of Tuition SP Debt-New",'Amounts Pivot Table'!$A$3,"state","SC","category2","Specialized")</f>
        <v>0</v>
      </c>
      <c r="N24" s="520">
        <f>+GETPIVOTDATA("Sum of Health Tuition-New",'Amounts Pivot Table'!$A$3,"state","SC")</f>
        <v>94335528</v>
      </c>
      <c r="O24" s="521">
        <f t="shared" si="6"/>
        <v>2435150418</v>
      </c>
      <c r="P24" s="521">
        <f t="shared" si="7"/>
        <v>3263003330</v>
      </c>
      <c r="Q24" s="523"/>
      <c r="R24" s="53" t="s">
        <v>788</v>
      </c>
      <c r="S24" s="545">
        <f t="shared" si="0"/>
        <v>0.16579914032757054</v>
      </c>
      <c r="T24" s="545">
        <f t="shared" ref="T24" si="8">IF(C24/$P24=0,,IF(C24/$P24&gt;0.0005,C24/$P24,"*"))</f>
        <v>2.7510057429208937E-2</v>
      </c>
      <c r="U24" s="545">
        <f t="shared" ref="U24" si="9">IF(D24/$P24=0,,IF(D24/$P24&gt;0.0005,D24/$P24,"*"))</f>
        <v>0</v>
      </c>
      <c r="V24" s="545">
        <f t="shared" ref="V24" si="10">IF(E24/$P24=0,,IF(E24/$P24&gt;0.0005,E24/$P24,"*"))</f>
        <v>0</v>
      </c>
      <c r="W24" s="545">
        <f t="shared" ref="W24" si="11">IF(F24/$P24=0,,IF(F24/$P24&gt;0.0005,F24/$P24,"*"))</f>
        <v>3.4016036385718304E-2</v>
      </c>
      <c r="X24" s="545">
        <f t="shared" ref="X24" si="12">IF(G24/$P24=0,,IF(G24/$P24&gt;0.0005,G24/$P24,"*"))</f>
        <v>0</v>
      </c>
      <c r="Y24" s="546">
        <f t="shared" si="2"/>
        <v>0.22732523414249778</v>
      </c>
      <c r="Z24" s="545">
        <f t="shared" ref="Z24" si="13">IF(I24/$P24=0,,IF(I24/$P24&gt;0.0005,I24/$P24,"*"))</f>
        <v>2.6383643316723184E-2</v>
      </c>
      <c r="AA24" s="545">
        <f t="shared" ref="AA24" si="14">IF(J24/$P24=0,,IF(J24/$P24&gt;0.0005,J24/$P24,"*"))</f>
        <v>0.74636858369372239</v>
      </c>
      <c r="AB24" s="545">
        <f t="shared" ref="AB24" si="15">IF(K24/$P24=0,,IF(K24/$P24&gt;0.0005,K24/$P24,"*"))</f>
        <v>2.8988105261909126E-2</v>
      </c>
      <c r="AC24" s="545">
        <f t="shared" ref="AC24" si="16">IF(L24/$P24=0,,IF(L24/$P24&gt;0.0005,L24/$P24,"*"))</f>
        <v>0</v>
      </c>
      <c r="AD24" s="545">
        <f t="shared" ref="AD24" si="17">IF(M24/$P24=0,,IF(M24/$P24&gt;0.0005,M24/$P24,"*"))</f>
        <v>0</v>
      </c>
      <c r="AE24" s="545">
        <f t="shared" ref="AE24" si="18">IF(N24/$P24=0,,IF(N24/$P24&gt;0.0005,N24/$P24,"*"))</f>
        <v>2.8910644108965711E-2</v>
      </c>
      <c r="AF24" s="519" t="str">
        <f>IFERROR(" ",J24/$P24-K24/$P24+L24/$P24-M24/$P24+N24/$P24)</f>
        <v xml:space="preserve"> </v>
      </c>
      <c r="AG24" s="547" t="str">
        <f>IFERROR(" ",Y24+I24/$P24+AF24)</f>
        <v xml:space="preserve"> </v>
      </c>
      <c r="AH24" s="53"/>
      <c r="AI24" s="53"/>
      <c r="AJ24" s="53"/>
    </row>
    <row r="25" spans="1:36" s="524" customFormat="1" ht="11.25" customHeight="1">
      <c r="B25" s="525"/>
      <c r="C25" s="525"/>
      <c r="D25" s="525"/>
      <c r="E25" s="525"/>
      <c r="F25" s="525"/>
      <c r="G25" s="525"/>
      <c r="H25" s="526"/>
      <c r="I25" s="525"/>
      <c r="J25" s="525"/>
      <c r="K25" s="525"/>
      <c r="L25" s="525"/>
      <c r="M25" s="525"/>
      <c r="N25" s="525"/>
      <c r="O25" s="521"/>
      <c r="P25" s="526"/>
      <c r="Q25" s="527"/>
      <c r="R25" s="53"/>
      <c r="S25" s="545"/>
      <c r="T25" s="545"/>
      <c r="U25" s="545"/>
      <c r="V25" s="545"/>
      <c r="W25" s="545"/>
      <c r="X25" s="545"/>
      <c r="Y25" s="546"/>
      <c r="Z25" s="545"/>
      <c r="AA25" s="545"/>
      <c r="AB25" s="545"/>
      <c r="AC25" s="545"/>
      <c r="AD25" s="545"/>
      <c r="AE25" s="545"/>
      <c r="AF25" s="519"/>
      <c r="AG25" s="547"/>
    </row>
    <row r="26" spans="1:36" ht="12" customHeight="1">
      <c r="A26" s="53" t="s">
        <v>789</v>
      </c>
      <c r="B26" s="520">
        <f>+GETPIVOTDATA("Sum of State Gen Purp-New",'Amounts Pivot Table'!$A$3,"state","TN","category2","Four-Year")+GETPIVOTDATA("Sum of State Gen Purp-New",'Amounts Pivot Table'!$A$3,"state","TN","category2","Two-Year")+GETPIVOTDATA("Sum of State Gen Purp-New",'Amounts Pivot Table'!$A$3,"state","TN","category2","Technical")</f>
        <v>1216969500</v>
      </c>
      <c r="C26" s="520">
        <f>+GETPIVOTDATA("Sum of State Ed Spec Purp-New",'Amounts Pivot Table'!$A$3,"state","TN","category2","Four-Year")+GETPIVOTDATA("Sum of State Ed Spec Purp-New",'Amounts Pivot Table'!$A$3,"state","TN","category2","Two-Year")+GETPIVOTDATA("Sum of State Ed Spec Purp-New",'Amounts Pivot Table'!$A$3,"state","TN","category2","Technical")</f>
        <v>93894100</v>
      </c>
      <c r="D26" s="520">
        <f>+GETPIVOTDATA("Sum of State Ed Spec Purp-New",'Amounts Pivot Table'!$A$3,"state","TN","category2","Other")</f>
        <v>0</v>
      </c>
      <c r="E26" s="520">
        <f>+GETPIVOTDATA("Sum of Other Spec Purp State-New",'Amounts Pivot Table'!$A$3,"state","TN","category2","Specialized")</f>
        <v>10914900</v>
      </c>
      <c r="F26" s="520">
        <f>+GETPIVOTDATA("Sum of Health State-New",'Amounts Pivot Table'!$A$3,"state","TN")</f>
        <v>237835400</v>
      </c>
      <c r="G26" s="520">
        <f>+GETPIVOTDATA("Sum of Other Spec Purp State-New",'Amounts Pivot Table'!$A$3,"state","TN")</f>
        <v>10914900</v>
      </c>
      <c r="H26" s="521">
        <f t="shared" si="5"/>
        <v>1570528800</v>
      </c>
      <c r="I26" s="520">
        <f>+GETPIVOTDATA("Sum of Local-New",'Amounts Pivot Table'!$A$3,"state","TN")</f>
        <v>0</v>
      </c>
      <c r="J26" s="520">
        <f>+GETPIVOTDATA("Sum of Tuition Tot-New",'Amounts Pivot Table'!$A$3,"state","TN","category2","Four-Year")+GETPIVOTDATA("Sum of Tuition Tot-New",'Amounts Pivot Table'!$A$3,"state","TN","category2","Two-Year")+GETPIVOTDATA("Sum of Tuition Tot-New",'Amounts Pivot Table'!$A$3,"state","TN","category2","Technical")</f>
        <v>1578436019</v>
      </c>
      <c r="K26" s="520">
        <f>+GETPIVOTDATA("Sum of Tuition Debt-New",'Amounts Pivot Table'!$A$3,"state","TN","category2","Four-Year")+GETPIVOTDATA("Sum of Tuition Debt-New",'Amounts Pivot Table'!$A$3,"state","TN","category2","Two-Year")+GETPIVOTDATA("Sum of Tuition Debt-New",'Amounts Pivot Table'!$A$3,"state","TN","category2","Technical")</f>
        <v>45327320</v>
      </c>
      <c r="L26" s="520">
        <f>+GETPIVOTDATA("Sum of Tuition SP Tot-New",'Amounts Pivot Table'!$A$3,"state","TN","category2","Specialized")</f>
        <v>997918</v>
      </c>
      <c r="M26" s="520">
        <f>+GETPIVOTDATA("Sum of Tuition SP Debt-New",'Amounts Pivot Table'!$A$3,"state","TN","category2","Specialized")</f>
        <v>0</v>
      </c>
      <c r="N26" s="520">
        <f>+GETPIVOTDATA("Sum of Health Tuition-New",'Amounts Pivot Table'!$A$3,"state","TN")</f>
        <v>114656572</v>
      </c>
      <c r="O26" s="521">
        <f t="shared" si="6"/>
        <v>1648763189</v>
      </c>
      <c r="P26" s="521">
        <f t="shared" si="7"/>
        <v>3219291989</v>
      </c>
      <c r="Q26" s="523"/>
      <c r="R26" s="53" t="s">
        <v>789</v>
      </c>
      <c r="S26" s="545">
        <f t="shared" si="0"/>
        <v>0.37802395811198969</v>
      </c>
      <c r="T26" s="545">
        <f t="shared" si="0"/>
        <v>2.9166071397321768E-2</v>
      </c>
      <c r="U26" s="545">
        <f t="shared" si="0"/>
        <v>0</v>
      </c>
      <c r="V26" s="545">
        <f t="shared" si="0"/>
        <v>3.3904659898186078E-3</v>
      </c>
      <c r="W26" s="545">
        <f t="shared" si="0"/>
        <v>7.3878169738147356E-2</v>
      </c>
      <c r="X26" s="545">
        <f t="shared" si="0"/>
        <v>3.3904659898186078E-3</v>
      </c>
      <c r="Y26" s="546">
        <f t="shared" si="2"/>
        <v>0.48784913122709606</v>
      </c>
      <c r="Z26" s="545">
        <f t="shared" ref="Z26:AE29" si="19">IF(I26/$P26=0,,IF(I26/$P26&gt;0.0005,I26/$P26,"*"))</f>
        <v>0</v>
      </c>
      <c r="AA26" s="545">
        <f t="shared" si="19"/>
        <v>0.49030532936849425</v>
      </c>
      <c r="AB26" s="545">
        <f t="shared" si="19"/>
        <v>1.4079903331191745E-2</v>
      </c>
      <c r="AC26" s="545" t="str">
        <f t="shared" si="19"/>
        <v>*</v>
      </c>
      <c r="AD26" s="545">
        <f t="shared" si="19"/>
        <v>0</v>
      </c>
      <c r="AE26" s="545">
        <f t="shared" si="19"/>
        <v>3.5615462154961426E-2</v>
      </c>
      <c r="AF26" s="519">
        <f t="shared" si="3"/>
        <v>0.51215086877290394</v>
      </c>
      <c r="AG26" s="547">
        <f t="shared" si="4"/>
        <v>1</v>
      </c>
      <c r="AH26" s="53"/>
      <c r="AI26" s="53"/>
      <c r="AJ26" s="53"/>
    </row>
    <row r="27" spans="1:36" ht="12" customHeight="1">
      <c r="A27" s="53" t="s">
        <v>790</v>
      </c>
      <c r="B27" s="520">
        <f>+GETPIVOTDATA("Sum of State Gen Purp-New",'Amounts Pivot Table'!$A$3,"state","TX","category2","Four-Year")+GETPIVOTDATA("Sum of State Gen Purp-New",'Amounts Pivot Table'!$A$3,"state","TX","category2","Two-Year")+GETPIVOTDATA("Sum of State Gen Purp-New",'Amounts Pivot Table'!$A$3,"state","TX","category2","Technical")</f>
        <v>4947540876</v>
      </c>
      <c r="C27" s="520">
        <f>+GETPIVOTDATA("Sum of State Ed Spec Purp-New",'Amounts Pivot Table'!$A$3,"state","TX","category2","Four-Year")+GETPIVOTDATA("Sum of State Ed Spec Purp-New",'Amounts Pivot Table'!$A$3,"state","TX","category2","Two-Year")+GETPIVOTDATA("Sum of State Ed Spec Purp-New",'Amounts Pivot Table'!$A$3,"state","TX","category2","Technical")</f>
        <v>258199115</v>
      </c>
      <c r="D27" s="520">
        <f>+GETPIVOTDATA("Sum of State Ed Spec Purp-New",'Amounts Pivot Table'!$A$3,"state","TX","category2","Other")</f>
        <v>0</v>
      </c>
      <c r="E27" s="520">
        <f>+GETPIVOTDATA("Sum of Other Spec Purp State-New",'Amounts Pivot Table'!$A$3,"state","TX","category2","Specialized")</f>
        <v>0</v>
      </c>
      <c r="F27" s="520">
        <f>+GETPIVOTDATA("Sum of Health State-New",'Amounts Pivot Table'!$A$3,"state","TX")</f>
        <v>1747456920</v>
      </c>
      <c r="G27" s="520">
        <f>+GETPIVOTDATA("Sum of Other Spec Purp State-New",'Amounts Pivot Table'!$A$3,"state","TX")</f>
        <v>0</v>
      </c>
      <c r="H27" s="521">
        <f t="shared" si="5"/>
        <v>6953196911</v>
      </c>
      <c r="I27" s="520">
        <f>+GETPIVOTDATA("Sum of Local-New",'Amounts Pivot Table'!$A$3,"state","TX")</f>
        <v>2107070631</v>
      </c>
      <c r="J27" s="520">
        <f>+GETPIVOTDATA("Sum of Tuition Tot-New",'Amounts Pivot Table'!$A$3,"state","TX","category2","Four-Year")+GETPIVOTDATA("Sum of Tuition Tot-New",'Amounts Pivot Table'!$A$3,"state","TX","category2","Two-Year")+GETPIVOTDATA("Sum of Tuition Tot-New",'Amounts Pivot Table'!$A$3,"state","TX","category2","Technical")</f>
        <v>5652668629.9406624</v>
      </c>
      <c r="K27" s="520">
        <f>+GETPIVOTDATA("Sum of Tuition Debt-New",'Amounts Pivot Table'!$A$3,"state","TX","category2","Four-Year")+GETPIVOTDATA("Sum of Tuition Debt-New",'Amounts Pivot Table'!$A$3,"state","TX","category2","Two-Year")+GETPIVOTDATA("Sum of Tuition Debt-New",'Amounts Pivot Table'!$A$3,"state","TX","category2","Technical")</f>
        <v>0</v>
      </c>
      <c r="L27" s="520">
        <f>+GETPIVOTDATA("Sum of Tuition SP Tot-New",'Amounts Pivot Table'!$A$3,"state","TX","category2","Specialized")</f>
        <v>0</v>
      </c>
      <c r="M27" s="520">
        <f>+GETPIVOTDATA("Sum of Tuition SP Debt-New",'Amounts Pivot Table'!$A$3,"state","TX","category2","Specialized")</f>
        <v>0</v>
      </c>
      <c r="N27" s="520">
        <f>+GETPIVOTDATA("Sum of Health Tuition-New",'Amounts Pivot Table'!$A$3,"state","TX")</f>
        <v>347036510.05933809</v>
      </c>
      <c r="O27" s="521">
        <f t="shared" si="6"/>
        <v>5999705140</v>
      </c>
      <c r="P27" s="521">
        <f t="shared" si="7"/>
        <v>15059972682</v>
      </c>
      <c r="Q27" s="523"/>
      <c r="R27" s="53" t="s">
        <v>790</v>
      </c>
      <c r="S27" s="545">
        <f t="shared" si="0"/>
        <v>0.32852256643953986</v>
      </c>
      <c r="T27" s="545">
        <f t="shared" si="0"/>
        <v>1.7144726650706682E-2</v>
      </c>
      <c r="U27" s="545">
        <f t="shared" si="0"/>
        <v>0</v>
      </c>
      <c r="V27" s="545">
        <f t="shared" si="0"/>
        <v>0</v>
      </c>
      <c r="W27" s="545">
        <f t="shared" si="0"/>
        <v>0.11603320649370086</v>
      </c>
      <c r="X27" s="545">
        <f t="shared" si="0"/>
        <v>0</v>
      </c>
      <c r="Y27" s="546">
        <f t="shared" si="2"/>
        <v>0.46170049958394743</v>
      </c>
      <c r="Z27" s="545">
        <f t="shared" si="19"/>
        <v>0.13991198227858778</v>
      </c>
      <c r="AA27" s="545">
        <f t="shared" si="19"/>
        <v>0.37534388337216923</v>
      </c>
      <c r="AB27" s="545">
        <f t="shared" si="19"/>
        <v>0</v>
      </c>
      <c r="AC27" s="545">
        <f t="shared" si="19"/>
        <v>0</v>
      </c>
      <c r="AD27" s="545">
        <f t="shared" si="19"/>
        <v>0</v>
      </c>
      <c r="AE27" s="545">
        <f t="shared" si="19"/>
        <v>2.3043634765295657E-2</v>
      </c>
      <c r="AF27" s="519">
        <f t="shared" si="3"/>
        <v>0.39838751813746487</v>
      </c>
      <c r="AG27" s="547">
        <f t="shared" si="4"/>
        <v>1</v>
      </c>
      <c r="AH27" s="53"/>
      <c r="AI27" s="53"/>
      <c r="AJ27" s="53"/>
    </row>
    <row r="28" spans="1:36" ht="12" customHeight="1">
      <c r="A28" s="53" t="s">
        <v>791</v>
      </c>
      <c r="B28" s="520">
        <f>+GETPIVOTDATA("Sum of State Gen Purp-New",'Amounts Pivot Table'!$A$3,"state","VA","category2","Four-Year")+GETPIVOTDATA("Sum of State Gen Purp-New",'Amounts Pivot Table'!$A$3,"state","VA","category2","Two-Year")+GETPIVOTDATA("Sum of State Gen Purp-New",'Amounts Pivot Table'!$A$3,"state","VA","category2","Technical")</f>
        <v>1715161589</v>
      </c>
      <c r="C28" s="520">
        <f>+GETPIVOTDATA("Sum of State Ed Spec Purp-New",'Amounts Pivot Table'!$A$3,"state","VA","category2","Four-Year")+GETPIVOTDATA("Sum of State Ed Spec Purp-New",'Amounts Pivot Table'!$A$3,"state","VA","category2","Two-Year")+GETPIVOTDATA("Sum of State Ed Spec Purp-New",'Amounts Pivot Table'!$A$3,"state","VA","category2","Technical")</f>
        <v>147014753</v>
      </c>
      <c r="D28" s="520">
        <f>+GETPIVOTDATA("Sum of State Ed Spec Purp-New",'Amounts Pivot Table'!$A$3,"state","VA","category2","Other")</f>
        <v>0</v>
      </c>
      <c r="E28" s="520">
        <f>+GETPIVOTDATA("Sum of Other Spec Purp State-New",'Amounts Pivot Table'!$A$3,"state","VA","category2","Specialized")</f>
        <v>19296030</v>
      </c>
      <c r="F28" s="520">
        <f>+GETPIVOTDATA("Sum of Health State-New",'Amounts Pivot Table'!$A$3,"state","VA")</f>
        <v>63635526</v>
      </c>
      <c r="G28" s="520">
        <f>+GETPIVOTDATA("Sum of Other Spec Purp State-New",'Amounts Pivot Table'!$A$3,"state","VA")</f>
        <v>19296030</v>
      </c>
      <c r="H28" s="521">
        <f t="shared" si="5"/>
        <v>1964403928</v>
      </c>
      <c r="I28" s="520">
        <f>+GETPIVOTDATA("Sum of Local-New",'Amounts Pivot Table'!$A$3,"state","VA")</f>
        <v>9533038</v>
      </c>
      <c r="J28" s="520">
        <f>+GETPIVOTDATA("Sum of Tuition Tot-New",'Amounts Pivot Table'!$A$3,"state","VA","category2","Four-Year")+GETPIVOTDATA("Sum of Tuition Tot-New",'Amounts Pivot Table'!$A$3,"state","VA","category2","Two-Year")+GETPIVOTDATA("Sum of Tuition Tot-New",'Amounts Pivot Table'!$A$3,"state","VA","category2","Technical")</f>
        <v>3876145450.1783524</v>
      </c>
      <c r="K28" s="520">
        <f>+GETPIVOTDATA("Sum of Tuition Debt-New",'Amounts Pivot Table'!$A$3,"state","VA","category2","Four-Year")+GETPIVOTDATA("Sum of Tuition Debt-New",'Amounts Pivot Table'!$A$3,"state","VA","category2","Two-Year")+GETPIVOTDATA("Sum of Tuition Debt-New",'Amounts Pivot Table'!$A$3,"state","VA","category2","Technical")</f>
        <v>26283504</v>
      </c>
      <c r="L28" s="520">
        <f>+GETPIVOTDATA("Sum of Tuition SP Tot-New",'Amounts Pivot Table'!$A$3,"state","VA","category2","Specialized")</f>
        <v>67322064</v>
      </c>
      <c r="M28" s="520">
        <f>+GETPIVOTDATA("Sum of Tuition SP Debt-New",'Amounts Pivot Table'!$A$3,"state","VA","category2","Specialized")</f>
        <v>33661032</v>
      </c>
      <c r="N28" s="520">
        <f>+GETPIVOTDATA("Sum of Health Tuition-New",'Amounts Pivot Table'!$A$3,"state","VA")</f>
        <v>143197951</v>
      </c>
      <c r="O28" s="521">
        <f t="shared" si="6"/>
        <v>4026720929.1783524</v>
      </c>
      <c r="P28" s="521">
        <f t="shared" si="7"/>
        <v>6000657895.1783524</v>
      </c>
      <c r="Q28" s="523"/>
      <c r="R28" s="53" t="s">
        <v>791</v>
      </c>
      <c r="S28" s="545">
        <f t="shared" si="0"/>
        <v>0.28582892392151971</v>
      </c>
      <c r="T28" s="545">
        <f t="shared" si="0"/>
        <v>2.4499772452972076E-2</v>
      </c>
      <c r="U28" s="545">
        <f t="shared" si="0"/>
        <v>0</v>
      </c>
      <c r="V28" s="545">
        <f t="shared" si="0"/>
        <v>3.2156524062977735E-3</v>
      </c>
      <c r="W28" s="545">
        <f t="shared" si="0"/>
        <v>1.060475819678579E-2</v>
      </c>
      <c r="X28" s="545">
        <f t="shared" si="0"/>
        <v>3.2156524062977735E-3</v>
      </c>
      <c r="Y28" s="546">
        <f t="shared" si="2"/>
        <v>0.32736475938387316</v>
      </c>
      <c r="Z28" s="545">
        <f t="shared" si="19"/>
        <v>1.5886654707744604E-3</v>
      </c>
      <c r="AA28" s="545">
        <f t="shared" si="19"/>
        <v>0.64595341342370349</v>
      </c>
      <c r="AB28" s="545">
        <f t="shared" si="19"/>
        <v>4.3801037251464236E-3</v>
      </c>
      <c r="AC28" s="545">
        <f t="shared" si="19"/>
        <v>1.121911383318396E-2</v>
      </c>
      <c r="AD28" s="545">
        <f t="shared" si="19"/>
        <v>5.6095569165919802E-3</v>
      </c>
      <c r="AE28" s="545">
        <f t="shared" si="19"/>
        <v>2.3863708530203396E-2</v>
      </c>
      <c r="AF28" s="519">
        <f t="shared" si="3"/>
        <v>0.67104657514535249</v>
      </c>
      <c r="AG28" s="547">
        <f t="shared" si="4"/>
        <v>1</v>
      </c>
      <c r="AH28" s="53"/>
      <c r="AI28" s="53"/>
      <c r="AJ28" s="53"/>
    </row>
    <row r="29" spans="1:36" ht="12" customHeight="1">
      <c r="A29" s="284" t="s">
        <v>792</v>
      </c>
      <c r="B29" s="520">
        <f>+GETPIVOTDATA("Sum of State Gen Purp-New",'Amounts Pivot Table'!$A$3,"state","WV","category2","Four-Year")+GETPIVOTDATA("Sum of State Gen Purp-New",'Amounts Pivot Table'!$A$3,"state","WV","category2","Two-Year")+GETPIVOTDATA("Sum of State Gen Purp-New",'Amounts Pivot Table'!$A$3,"state","WV","category2","Technical")</f>
        <v>270046175</v>
      </c>
      <c r="C29" s="520">
        <f>+GETPIVOTDATA("Sum of State Ed Spec Purp-New",'Amounts Pivot Table'!$A$3,"state","WV","category2","Four-Year")+GETPIVOTDATA("Sum of State Ed Spec Purp-New",'Amounts Pivot Table'!$A$3,"state","WV","category2","Two-Year")+GETPIVOTDATA("Sum of State Ed Spec Purp-New",'Amounts Pivot Table'!$A$3,"state","WV","category2","Technical")</f>
        <v>41995476</v>
      </c>
      <c r="D29" s="520">
        <f>+GETPIVOTDATA("Sum of State Ed Spec Purp-New",'Amounts Pivot Table'!$A$3,"state","WV","category2","Other")</f>
        <v>0</v>
      </c>
      <c r="E29" s="520">
        <f>+GETPIVOTDATA("Sum of Other Spec Purp State-New",'Amounts Pivot Table'!$A$3,"state","WV","category2","Specialized")</f>
        <v>0</v>
      </c>
      <c r="F29" s="520">
        <f>+GETPIVOTDATA("Sum of Health State-New",'Amounts Pivot Table'!$A$3,"state","WV")</f>
        <v>96303692</v>
      </c>
      <c r="G29" s="520">
        <f>+GETPIVOTDATA("Sum of Other Spec Purp State-New",'Amounts Pivot Table'!$A$3,"state","WV")</f>
        <v>0</v>
      </c>
      <c r="H29" s="521">
        <f t="shared" si="5"/>
        <v>408345343</v>
      </c>
      <c r="I29" s="520">
        <f>+GETPIVOTDATA("Sum of Local-New",'Amounts Pivot Table'!$A$3,"state","WV")</f>
        <v>0</v>
      </c>
      <c r="J29" s="520">
        <f>+GETPIVOTDATA("Sum of Tuition Tot-New",'Amounts Pivot Table'!$A$3,"state","WV","category2","Four-Year")+GETPIVOTDATA("Sum of Tuition Tot-New",'Amounts Pivot Table'!$A$3,"state","WV","category2","Two-Year")+GETPIVOTDATA("Sum of Tuition Tot-New",'Amounts Pivot Table'!$A$3,"state","WV","category2","Technical")</f>
        <v>720982160</v>
      </c>
      <c r="K29" s="520">
        <f>+GETPIVOTDATA("Sum of Tuition Debt-New",'Amounts Pivot Table'!$A$3,"state","WV","category2","Four-Year")+GETPIVOTDATA("Sum of Tuition Debt-New",'Amounts Pivot Table'!$A$3,"state","WV","category2","Two-Year")+GETPIVOTDATA("Sum of Tuition Debt-New",'Amounts Pivot Table'!$A$3,"state","WV","category2","Technical")</f>
        <v>13101354</v>
      </c>
      <c r="L29" s="520">
        <f>+GETPIVOTDATA("Sum of Tuition SP Tot-New",'Amounts Pivot Table'!$A$3,"state","WV","category2","Specialized")</f>
        <v>0</v>
      </c>
      <c r="M29" s="520">
        <f>+GETPIVOTDATA("Sum of Tuition SP Debt-New",'Amounts Pivot Table'!$A$3,"state","WV","category2","Specialized")</f>
        <v>0</v>
      </c>
      <c r="N29" s="520">
        <f>+GETPIVOTDATA("Sum of Health Tuition-New",'Amounts Pivot Table'!$A$3,"state","WV")</f>
        <v>139237027</v>
      </c>
      <c r="O29" s="521">
        <f t="shared" si="6"/>
        <v>847117833</v>
      </c>
      <c r="P29" s="521">
        <f t="shared" si="7"/>
        <v>1255463176</v>
      </c>
      <c r="Q29" s="528"/>
      <c r="R29" s="284" t="s">
        <v>792</v>
      </c>
      <c r="S29" s="548">
        <f t="shared" si="0"/>
        <v>0.21509685043920396</v>
      </c>
      <c r="T29" s="548">
        <f t="shared" si="0"/>
        <v>3.345018539994199E-2</v>
      </c>
      <c r="U29" s="548">
        <f t="shared" si="0"/>
        <v>0</v>
      </c>
      <c r="V29" s="548">
        <f t="shared" si="0"/>
        <v>0</v>
      </c>
      <c r="W29" s="548">
        <f t="shared" si="0"/>
        <v>7.6707699469793125E-2</v>
      </c>
      <c r="X29" s="548">
        <f t="shared" si="0"/>
        <v>0</v>
      </c>
      <c r="Y29" s="533">
        <f t="shared" si="2"/>
        <v>0.32525473530893906</v>
      </c>
      <c r="Z29" s="549">
        <f t="shared" si="19"/>
        <v>0</v>
      </c>
      <c r="AA29" s="549">
        <f t="shared" si="19"/>
        <v>0.57427583204559085</v>
      </c>
      <c r="AB29" s="549">
        <f t="shared" si="19"/>
        <v>1.0435474532787092E-2</v>
      </c>
      <c r="AC29" s="549">
        <f t="shared" si="19"/>
        <v>0</v>
      </c>
      <c r="AD29" s="549">
        <f t="shared" si="19"/>
        <v>0</v>
      </c>
      <c r="AE29" s="549">
        <f t="shared" si="19"/>
        <v>0.11090490717825721</v>
      </c>
      <c r="AF29" s="533">
        <f t="shared" si="3"/>
        <v>0.67474526469106089</v>
      </c>
      <c r="AG29" s="550">
        <f t="shared" si="4"/>
        <v>1</v>
      </c>
      <c r="AH29" s="53"/>
      <c r="AI29" s="53"/>
      <c r="AJ29" s="53"/>
    </row>
    <row r="30" spans="1:36" s="77" customFormat="1" ht="24" customHeight="1">
      <c r="A30" s="1242" t="s">
        <v>1004</v>
      </c>
      <c r="B30" s="1243"/>
      <c r="C30" s="1243"/>
      <c r="D30" s="1243"/>
      <c r="E30" s="1243"/>
      <c r="F30" s="1243"/>
      <c r="G30" s="1243"/>
      <c r="H30" s="1243"/>
      <c r="I30" s="1243"/>
      <c r="J30" s="1243"/>
      <c r="K30" s="1243"/>
      <c r="L30" s="1243"/>
      <c r="M30" s="1243"/>
      <c r="N30" s="1243"/>
      <c r="O30" s="1243"/>
      <c r="P30" s="1243"/>
      <c r="Q30" s="535"/>
      <c r="R30" s="1244" t="s">
        <v>1005</v>
      </c>
      <c r="S30" s="1245"/>
      <c r="T30" s="1245"/>
      <c r="U30" s="1245"/>
      <c r="V30" s="1245"/>
      <c r="W30" s="1245"/>
      <c r="X30" s="1245"/>
      <c r="Y30" s="1245"/>
      <c r="Z30" s="1245"/>
      <c r="AA30" s="1245"/>
      <c r="AB30" s="1245"/>
      <c r="AC30" s="1245"/>
      <c r="AD30" s="1245"/>
      <c r="AE30" s="1245"/>
      <c r="AF30" s="1245"/>
      <c r="AG30" s="1245"/>
      <c r="AH30" s="369"/>
      <c r="AI30" s="369"/>
      <c r="AJ30" s="369"/>
    </row>
    <row r="31" spans="1:36" s="77" customFormat="1" ht="12.75" customHeight="1">
      <c r="A31" s="1244" t="s">
        <v>1006</v>
      </c>
      <c r="B31" s="1245"/>
      <c r="C31" s="1245"/>
      <c r="D31" s="1245"/>
      <c r="E31" s="1245"/>
      <c r="F31" s="1245"/>
      <c r="G31" s="1245"/>
      <c r="H31" s="1245"/>
      <c r="I31" s="1245"/>
      <c r="J31" s="1245"/>
      <c r="K31" s="1245"/>
      <c r="L31" s="1245"/>
      <c r="M31" s="1245"/>
      <c r="N31" s="1245"/>
      <c r="O31" s="1245"/>
      <c r="P31" s="1245"/>
      <c r="Q31" s="535"/>
      <c r="R31" s="1244" t="s">
        <v>1006</v>
      </c>
      <c r="S31" s="1245"/>
      <c r="T31" s="1245"/>
      <c r="U31" s="1245"/>
      <c r="V31" s="1245"/>
      <c r="W31" s="1245"/>
      <c r="X31" s="1245"/>
      <c r="Y31" s="1245"/>
      <c r="Z31" s="1245"/>
      <c r="AA31" s="1245"/>
      <c r="AB31" s="1245"/>
      <c r="AC31" s="1245"/>
      <c r="AD31" s="1245"/>
      <c r="AE31" s="1245"/>
      <c r="AF31" s="1245"/>
      <c r="AG31" s="1245"/>
      <c r="AH31" s="369"/>
      <c r="AI31" s="369"/>
      <c r="AJ31" s="369"/>
    </row>
    <row r="32" spans="1:36" s="77" customFormat="1" ht="13.5" customHeight="1">
      <c r="A32" s="1244" t="s">
        <v>1007</v>
      </c>
      <c r="B32" s="1245"/>
      <c r="C32" s="1245"/>
      <c r="D32" s="1245"/>
      <c r="E32" s="1245"/>
      <c r="F32" s="1245"/>
      <c r="G32" s="1245"/>
      <c r="H32" s="1245"/>
      <c r="I32" s="1245"/>
      <c r="J32" s="1245"/>
      <c r="K32" s="1245"/>
      <c r="L32" s="1245"/>
      <c r="M32" s="1245"/>
      <c r="N32" s="1245"/>
      <c r="O32" s="1245"/>
      <c r="P32" s="1245"/>
      <c r="Q32" s="535"/>
      <c r="R32" s="1244" t="s">
        <v>1008</v>
      </c>
      <c r="S32" s="1245"/>
      <c r="T32" s="1245"/>
      <c r="U32" s="1245"/>
      <c r="V32" s="1245"/>
      <c r="W32" s="1245"/>
      <c r="X32" s="1245"/>
      <c r="Y32" s="1245"/>
      <c r="Z32" s="1245"/>
      <c r="AA32" s="1245"/>
      <c r="AB32" s="1245"/>
      <c r="AC32" s="1245"/>
      <c r="AD32" s="1245"/>
      <c r="AE32" s="1245"/>
      <c r="AF32" s="1245"/>
      <c r="AG32" s="1245"/>
      <c r="AH32" s="396"/>
      <c r="AI32" s="396"/>
      <c r="AJ32" s="396"/>
    </row>
    <row r="33" spans="1:36" s="77" customFormat="1">
      <c r="A33" s="1244" t="s">
        <v>1009</v>
      </c>
      <c r="B33" s="1245"/>
      <c r="C33" s="1245"/>
      <c r="D33" s="1245"/>
      <c r="E33" s="1245"/>
      <c r="F33" s="1245"/>
      <c r="G33" s="1245"/>
      <c r="H33" s="1245"/>
      <c r="I33" s="1245"/>
      <c r="J33" s="1245"/>
      <c r="K33" s="1245"/>
      <c r="L33" s="1245"/>
      <c r="M33" s="1245"/>
      <c r="N33" s="1245"/>
      <c r="O33" s="1245"/>
      <c r="P33" s="1245"/>
      <c r="Q33" s="535"/>
      <c r="R33" s="1244" t="s">
        <v>1009</v>
      </c>
      <c r="S33" s="1245"/>
      <c r="T33" s="1245"/>
      <c r="U33" s="1245"/>
      <c r="V33" s="1245"/>
      <c r="W33" s="1245"/>
      <c r="X33" s="1245"/>
      <c r="Y33" s="1245"/>
      <c r="Z33" s="1245"/>
      <c r="AA33" s="1245"/>
      <c r="AB33" s="1245"/>
      <c r="AC33" s="1245"/>
      <c r="AD33" s="1245"/>
      <c r="AE33" s="1245"/>
      <c r="AF33" s="1245"/>
      <c r="AG33" s="1245"/>
      <c r="AH33" s="369"/>
      <c r="AI33" s="369"/>
      <c r="AJ33" s="369"/>
    </row>
    <row r="34" spans="1:36" s="77" customFormat="1">
      <c r="A34" s="1244" t="s">
        <v>1010</v>
      </c>
      <c r="B34" s="1245"/>
      <c r="C34" s="1245"/>
      <c r="D34" s="1245"/>
      <c r="E34" s="1245"/>
      <c r="F34" s="1245"/>
      <c r="G34" s="1245"/>
      <c r="H34" s="1245"/>
      <c r="I34" s="1245"/>
      <c r="J34" s="1245"/>
      <c r="K34" s="1245"/>
      <c r="L34" s="1245"/>
      <c r="M34" s="1245"/>
      <c r="N34" s="1245"/>
      <c r="O34" s="1245"/>
      <c r="P34" s="1245"/>
      <c r="Q34" s="535"/>
      <c r="R34" s="1244" t="s">
        <v>1010</v>
      </c>
      <c r="S34" s="1245"/>
      <c r="T34" s="1245"/>
      <c r="U34" s="1245"/>
      <c r="V34" s="1245"/>
      <c r="W34" s="1245"/>
      <c r="X34" s="1245"/>
      <c r="Y34" s="1245"/>
      <c r="Z34" s="1245"/>
      <c r="AA34" s="1245"/>
      <c r="AB34" s="1245"/>
      <c r="AC34" s="1245"/>
      <c r="AD34" s="1245"/>
      <c r="AE34" s="1245"/>
      <c r="AF34" s="1245"/>
      <c r="AG34" s="1245"/>
      <c r="AH34" s="369"/>
      <c r="AI34" s="369"/>
      <c r="AJ34" s="369"/>
    </row>
    <row r="35" spans="1:36" s="77" customFormat="1">
      <c r="A35" s="368"/>
      <c r="B35" s="369"/>
      <c r="C35" s="369"/>
      <c r="D35" s="369"/>
      <c r="E35" s="369"/>
      <c r="F35" s="369"/>
      <c r="G35" s="369"/>
      <c r="H35" s="369"/>
      <c r="I35" s="369"/>
      <c r="J35" s="369"/>
      <c r="K35" s="369"/>
      <c r="L35" s="369"/>
      <c r="M35" s="369"/>
      <c r="N35" s="369"/>
      <c r="O35" s="369"/>
      <c r="P35" s="369"/>
      <c r="Q35" s="535"/>
      <c r="R35" s="405" t="s">
        <v>1011</v>
      </c>
      <c r="S35" s="369"/>
      <c r="T35" s="369"/>
      <c r="U35" s="369"/>
      <c r="V35" s="369"/>
      <c r="W35" s="369"/>
      <c r="X35" s="369"/>
      <c r="Y35" s="369"/>
      <c r="Z35" s="369"/>
      <c r="AA35" s="369"/>
      <c r="AB35" s="369"/>
      <c r="AC35" s="369"/>
      <c r="AD35" s="369"/>
      <c r="AE35" s="369"/>
      <c r="AF35" s="369"/>
      <c r="AG35" s="369"/>
      <c r="AH35" s="369"/>
      <c r="AI35" s="369"/>
      <c r="AJ35" s="369"/>
    </row>
    <row r="36" spans="1:36">
      <c r="AG36" s="370" t="s">
        <v>1814</v>
      </c>
    </row>
  </sheetData>
  <mergeCells count="28">
    <mergeCell ref="A32:P32"/>
    <mergeCell ref="R32:AG32"/>
    <mergeCell ref="A33:P33"/>
    <mergeCell ref="R33:AG33"/>
    <mergeCell ref="A34:P34"/>
    <mergeCell ref="R34:AG34"/>
    <mergeCell ref="A30:P30"/>
    <mergeCell ref="R30:AG30"/>
    <mergeCell ref="A31:P31"/>
    <mergeCell ref="R31:AG31"/>
    <mergeCell ref="X7:X8"/>
    <mergeCell ref="Y7:Y8"/>
    <mergeCell ref="Z7:Z8"/>
    <mergeCell ref="AA7:AB7"/>
    <mergeCell ref="AC7:AD7"/>
    <mergeCell ref="AE7:AE8"/>
    <mergeCell ref="R1:AG1"/>
    <mergeCell ref="R3:AG3"/>
    <mergeCell ref="R4:AG4"/>
    <mergeCell ref="B7:B8"/>
    <mergeCell ref="C7:C8"/>
    <mergeCell ref="S7:S8"/>
    <mergeCell ref="T7:T8"/>
    <mergeCell ref="U7:U8"/>
    <mergeCell ref="V7:V8"/>
    <mergeCell ref="W7:W8"/>
    <mergeCell ref="AF7:AF8"/>
    <mergeCell ref="AG7:AG8"/>
  </mergeCells>
  <pageMargins left="0.5" right="0.25" top="0.75" bottom="0.5" header="0.5" footer="0.25"/>
  <pageSetup scale="74" firstPageNumber="127" orientation="landscape" useFirstPageNumber="1" r:id="rId1"/>
  <headerFooter alignWithMargins="0">
    <oddHeader>&amp;R&amp;"Arial,Regular"&amp;8SREB-State Data Exchange</oddHeader>
    <oddFooter xml:space="preserve">&amp;C&amp;"Arial,Regular"&amp;P&amp;R&amp;"Arial,Regular"&amp;8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3568F-F86F-44E1-8FF5-00FCE57C63CF}">
  <sheetPr codeName="Sheet7">
    <tabColor theme="5" tint="0.59999389629810485"/>
    <pageSetUpPr fitToPage="1"/>
  </sheetPr>
  <dimension ref="A1:AJ34"/>
  <sheetViews>
    <sheetView view="pageBreakPreview" topLeftCell="K5" zoomScaleNormal="100" zoomScaleSheetLayoutView="100" workbookViewId="0">
      <selection activeCell="AG34" sqref="AG34"/>
    </sheetView>
  </sheetViews>
  <sheetFormatPr defaultColWidth="7.84375" defaultRowHeight="12.5"/>
  <cols>
    <col min="1" max="1" width="12.4609375" style="53" customWidth="1"/>
    <col min="2" max="2" width="13.07421875" style="506" customWidth="1"/>
    <col min="3" max="3" width="11.69140625" style="506" customWidth="1"/>
    <col min="4" max="4" width="10.07421875" style="506" customWidth="1"/>
    <col min="5" max="5" width="11.4609375" style="506" customWidth="1"/>
    <col min="6" max="6" width="11" style="506" customWidth="1"/>
    <col min="7" max="7" width="11.4609375" style="506" customWidth="1"/>
    <col min="8" max="8" width="13.4609375" style="506" customWidth="1"/>
    <col min="9" max="9" width="11.3046875" style="506" customWidth="1"/>
    <col min="10" max="10" width="12.3046875" style="506" customWidth="1"/>
    <col min="11" max="11" width="11.53515625" style="506" bestFit="1" customWidth="1"/>
    <col min="12" max="13" width="9.84375" style="506" customWidth="1"/>
    <col min="14" max="14" width="10.23046875" style="506" customWidth="1"/>
    <col min="15" max="15" width="14" style="506" customWidth="1"/>
    <col min="16" max="16" width="12.3046875" style="536" customWidth="1"/>
    <col min="17" max="17" width="2.07421875" style="537" customWidth="1"/>
    <col min="18" max="18" width="11.69140625" style="53" customWidth="1"/>
    <col min="19" max="19" width="11.69140625" style="506" customWidth="1"/>
    <col min="20" max="20" width="9.3046875" style="506" customWidth="1"/>
    <col min="21" max="21" width="9.23046875" style="506" customWidth="1"/>
    <col min="22" max="22" width="9" style="506" customWidth="1"/>
    <col min="23" max="23" width="9.69140625" style="506" customWidth="1"/>
    <col min="24" max="24" width="7.07421875" style="506" customWidth="1"/>
    <col min="25" max="25" width="7.3046875" style="506" customWidth="1"/>
    <col min="26" max="26" width="5.765625" style="506" customWidth="1"/>
    <col min="27" max="27" width="7.07421875" style="506" customWidth="1"/>
    <col min="28" max="28" width="6.765625" style="506" customWidth="1"/>
    <col min="29" max="29" width="7.07421875" style="506" customWidth="1"/>
    <col min="30" max="30" width="6.84375" style="506" customWidth="1"/>
    <col min="31" max="31" width="8.23046875" style="506" customWidth="1"/>
    <col min="32" max="32" width="10.07421875" style="506" customWidth="1"/>
    <col min="33" max="33" width="9.23046875" style="506" customWidth="1"/>
    <col min="34" max="35" width="6.07421875" style="506" customWidth="1"/>
    <col min="36" max="36" width="5.07421875" style="506" customWidth="1"/>
    <col min="37" max="16384" width="7.84375" style="53"/>
  </cols>
  <sheetData>
    <row r="1" spans="1:36" s="477" customFormat="1" ht="18">
      <c r="A1" s="223"/>
      <c r="P1" s="478"/>
      <c r="Q1" s="479"/>
      <c r="R1" s="1227" t="s">
        <v>972</v>
      </c>
      <c r="S1" s="1227"/>
      <c r="T1" s="1227"/>
      <c r="U1" s="1227"/>
      <c r="V1" s="1227"/>
      <c r="W1" s="1227"/>
      <c r="X1" s="1227"/>
      <c r="Y1" s="1227"/>
      <c r="Z1" s="1227"/>
      <c r="AA1" s="1227"/>
      <c r="AB1" s="1227"/>
      <c r="AC1" s="1227"/>
      <c r="AD1" s="1227"/>
      <c r="AE1" s="1227"/>
      <c r="AF1" s="1227"/>
      <c r="AG1" s="1227"/>
    </row>
    <row r="2" spans="1:36" s="477" customFormat="1" ht="17.5">
      <c r="A2" s="223" t="s">
        <v>973</v>
      </c>
      <c r="P2" s="478"/>
      <c r="Q2" s="479"/>
      <c r="R2" s="1228" t="s">
        <v>974</v>
      </c>
      <c r="S2" s="1228"/>
      <c r="T2" s="1228"/>
      <c r="U2" s="1228"/>
      <c r="V2" s="1228"/>
      <c r="W2" s="1228"/>
      <c r="X2" s="1228"/>
      <c r="Y2" s="1228"/>
      <c r="Z2" s="1228"/>
      <c r="AA2" s="1228"/>
      <c r="AB2" s="1228"/>
      <c r="AC2" s="1228"/>
      <c r="AD2" s="1228"/>
      <c r="AE2" s="1228"/>
      <c r="AF2" s="1228"/>
      <c r="AG2" s="1228"/>
    </row>
    <row r="3" spans="1:36" s="477" customFormat="1" ht="15.5">
      <c r="A3" s="223" t="s">
        <v>975</v>
      </c>
      <c r="B3" s="340"/>
      <c r="C3" s="340"/>
      <c r="D3" s="340"/>
      <c r="E3" s="340"/>
      <c r="F3" s="480"/>
      <c r="G3" s="340"/>
      <c r="H3" s="340"/>
      <c r="I3" s="340"/>
      <c r="J3" s="340"/>
      <c r="K3" s="340"/>
      <c r="L3" s="340"/>
      <c r="M3" s="340"/>
      <c r="N3" s="340"/>
      <c r="O3" s="340"/>
      <c r="P3" s="481"/>
      <c r="Q3" s="482"/>
      <c r="R3" s="1228" t="s">
        <v>1813</v>
      </c>
      <c r="S3" s="1228"/>
      <c r="T3" s="1228"/>
      <c r="U3" s="1228"/>
      <c r="V3" s="1228"/>
      <c r="W3" s="1228"/>
      <c r="X3" s="1228"/>
      <c r="Y3" s="1228"/>
      <c r="Z3" s="1228"/>
      <c r="AA3" s="1228"/>
      <c r="AB3" s="1228"/>
      <c r="AC3" s="1228"/>
      <c r="AD3" s="1228"/>
      <c r="AE3" s="1228"/>
      <c r="AF3" s="1228"/>
      <c r="AG3" s="1228"/>
      <c r="AH3" s="340"/>
      <c r="AI3" s="340"/>
      <c r="AJ3" s="340"/>
    </row>
    <row r="4" spans="1:36" s="77" customFormat="1" ht="15.5">
      <c r="A4" s="483"/>
      <c r="B4" s="229" t="s">
        <v>20</v>
      </c>
      <c r="C4" s="484"/>
      <c r="D4" s="484"/>
      <c r="E4" s="484"/>
      <c r="F4" s="485"/>
      <c r="G4" s="484"/>
      <c r="H4" s="485"/>
      <c r="I4" s="486" t="s">
        <v>421</v>
      </c>
      <c r="J4" s="229" t="s">
        <v>976</v>
      </c>
      <c r="K4" s="229"/>
      <c r="L4" s="229"/>
      <c r="M4" s="229"/>
      <c r="N4" s="229"/>
      <c r="O4" s="230"/>
      <c r="P4" s="487" t="s">
        <v>421</v>
      </c>
      <c r="Q4" s="488"/>
      <c r="R4" s="483" t="s">
        <v>421</v>
      </c>
      <c r="S4" s="229" t="s">
        <v>977</v>
      </c>
      <c r="T4" s="484"/>
      <c r="U4" s="484"/>
      <c r="V4" s="484"/>
      <c r="W4" s="485"/>
      <c r="X4" s="485"/>
      <c r="Y4" s="485"/>
      <c r="Z4" s="486" t="s">
        <v>421</v>
      </c>
      <c r="AA4" s="229" t="s">
        <v>978</v>
      </c>
      <c r="AB4" s="229"/>
      <c r="AC4" s="229"/>
      <c r="AD4" s="229"/>
      <c r="AE4" s="229"/>
      <c r="AF4" s="489"/>
      <c r="AG4" s="490" t="s">
        <v>421</v>
      </c>
    </row>
    <row r="5" spans="1:36" ht="68.25" customHeight="1">
      <c r="A5" s="491"/>
      <c r="B5" s="1229" t="s">
        <v>979</v>
      </c>
      <c r="C5" s="1231" t="s">
        <v>980</v>
      </c>
      <c r="D5" s="492"/>
      <c r="E5" s="492"/>
      <c r="F5" s="492"/>
      <c r="G5" s="493"/>
      <c r="H5" s="494"/>
      <c r="I5" s="495"/>
      <c r="J5" s="496" t="s">
        <v>981</v>
      </c>
      <c r="K5" s="497"/>
      <c r="L5" s="496" t="s">
        <v>982</v>
      </c>
      <c r="M5" s="497"/>
      <c r="N5" s="498"/>
      <c r="O5" s="499" t="s">
        <v>421</v>
      </c>
      <c r="P5" s="500" t="s">
        <v>421</v>
      </c>
      <c r="Q5" s="501"/>
      <c r="R5" s="491"/>
      <c r="S5" s="1229" t="s">
        <v>983</v>
      </c>
      <c r="T5" s="1231" t="s">
        <v>984</v>
      </c>
      <c r="U5" s="1231" t="s">
        <v>985</v>
      </c>
      <c r="V5" s="1231" t="s">
        <v>986</v>
      </c>
      <c r="W5" s="1231" t="s">
        <v>987</v>
      </c>
      <c r="X5" s="1231" t="s">
        <v>988</v>
      </c>
      <c r="Y5" s="1258" t="s">
        <v>989</v>
      </c>
      <c r="Z5" s="1260" t="s">
        <v>990</v>
      </c>
      <c r="AA5" s="1262" t="s">
        <v>991</v>
      </c>
      <c r="AB5" s="1263"/>
      <c r="AC5" s="1262" t="s">
        <v>992</v>
      </c>
      <c r="AD5" s="1263"/>
      <c r="AE5" s="1231" t="s">
        <v>65</v>
      </c>
      <c r="AF5" s="1254" t="s">
        <v>993</v>
      </c>
      <c r="AG5" s="1256" t="s">
        <v>994</v>
      </c>
      <c r="AH5" s="53"/>
      <c r="AI5" s="53"/>
      <c r="AJ5" s="53"/>
    </row>
    <row r="6" spans="1:36" s="506" customFormat="1" ht="63" customHeight="1">
      <c r="A6" s="386"/>
      <c r="B6" s="1230"/>
      <c r="C6" s="1232"/>
      <c r="D6" s="502" t="s">
        <v>985</v>
      </c>
      <c r="E6" s="502" t="s">
        <v>982</v>
      </c>
      <c r="F6" s="502" t="s">
        <v>65</v>
      </c>
      <c r="G6" s="502" t="s">
        <v>995</v>
      </c>
      <c r="H6" s="502" t="s">
        <v>996</v>
      </c>
      <c r="I6" s="503" t="s">
        <v>8</v>
      </c>
      <c r="J6" s="502" t="s">
        <v>997</v>
      </c>
      <c r="K6" s="504" t="s">
        <v>998</v>
      </c>
      <c r="L6" s="502" t="s">
        <v>997</v>
      </c>
      <c r="M6" s="504" t="s">
        <v>998</v>
      </c>
      <c r="N6" s="504" t="s">
        <v>999</v>
      </c>
      <c r="O6" s="504" t="s">
        <v>1000</v>
      </c>
      <c r="P6" s="502" t="s">
        <v>1001</v>
      </c>
      <c r="Q6" s="505"/>
      <c r="R6" s="386"/>
      <c r="S6" s="1252"/>
      <c r="T6" s="1253"/>
      <c r="U6" s="1253"/>
      <c r="V6" s="1232"/>
      <c r="W6" s="1253"/>
      <c r="X6" s="1253"/>
      <c r="Y6" s="1259"/>
      <c r="Z6" s="1261"/>
      <c r="AA6" s="502" t="s">
        <v>997</v>
      </c>
      <c r="AB6" s="504" t="s">
        <v>998</v>
      </c>
      <c r="AC6" s="502" t="s">
        <v>997</v>
      </c>
      <c r="AD6" s="504" t="s">
        <v>998</v>
      </c>
      <c r="AE6" s="1253"/>
      <c r="AF6" s="1255"/>
      <c r="AG6" s="1257"/>
    </row>
    <row r="7" spans="1:36" s="77" customFormat="1" ht="15" customHeight="1">
      <c r="A7" s="77" t="s">
        <v>1002</v>
      </c>
      <c r="B7" s="480">
        <f>+GETPIVOTDATA("Sum of State Gen Purp-Old",'Amounts Pivot Table'!$A$3,"category2","Four-Year")+GETPIVOTDATA("Sum of State Gen Purp-Old",'Amounts Pivot Table'!$A$3,"category2","Two-Year")+GETPIVOTDATA("Sum of State Gen Purp-Old",'Amounts Pivot Table'!$A$3,"category2","Technical")</f>
        <v>20341227178.379997</v>
      </c>
      <c r="C7" s="480">
        <f>+GETPIVOTDATA("Sum of State Ed Spec Purp-Old",'Amounts Pivot Table'!$A$3,"category2","Four-Year")+GETPIVOTDATA("Sum of State Ed Spec Purp-Old",'Amounts Pivot Table'!$A$3,"category2","Two-Year")+GETPIVOTDATA("Sum of State Ed Spec Purp-Old",'Amounts Pivot Table'!$A$3,"category2","Technical")</f>
        <v>1542347213</v>
      </c>
      <c r="D7" s="480">
        <f>+GETPIVOTDATA("Sum of State Ed Spec Purp-Old",'Amounts Pivot Table'!$A$3,"category2","Other")</f>
        <v>0</v>
      </c>
      <c r="E7" s="480">
        <f>+GETPIVOTDATA("Sum of Other Spec Purp State-Old",'Amounts Pivot Table'!$A$3,"category2","Specialized")</f>
        <v>115283225</v>
      </c>
      <c r="F7" s="480">
        <f>+GETPIVOTDATA("Sum of Health State-Old",'Amounts Pivot Table'!$A$3)</f>
        <v>3931289453.0874648</v>
      </c>
      <c r="G7" s="480">
        <f>+GETPIVOTDATA("Sum of Other Spec Purp State-Old",'Amounts Pivot Table'!$A$3)</f>
        <v>115283225</v>
      </c>
      <c r="H7" s="507">
        <f>SUM(B7:G7)</f>
        <v>26045430294.467461</v>
      </c>
      <c r="I7" s="480">
        <f>+GETPIVOTDATA("Sum of Local-Old",'Amounts Pivot Table'!$A$3)</f>
        <v>2855978096.2857141</v>
      </c>
      <c r="J7" s="480">
        <f>+GETPIVOTDATA("Sum of Tuition Tot-Old",'Amounts Pivot Table'!$A$3,"category2","Four-Year")+GETPIVOTDATA("Sum of Tuition Tot-Old",'Amounts Pivot Table'!$A$3,"category2","Two-Year")+GETPIVOTDATA("Sum of Tuition Tot-Old",'Amounts Pivot Table'!$A$3,"category2","Technical")</f>
        <v>29195467195.099998</v>
      </c>
      <c r="K7" s="480">
        <f>+GETPIVOTDATA("Sum of Tuition Debt-Old",'Amounts Pivot Table'!$A$3,"category2","Four-Year")+GETPIVOTDATA("Sum of Tuition Debt-Old",'Amounts Pivot Table'!$A$3,"category2","Two-Year")+GETPIVOTDATA("Sum of Tuition Debt-Old",'Amounts Pivot Table'!$A$3,"category2","Technical")</f>
        <v>370199233</v>
      </c>
      <c r="L7" s="480">
        <f>+GETPIVOTDATA("Sum of Tuition SP Tot-Old",'Amounts Pivot Table'!$A$3,"category2","Specialized")</f>
        <v>410119411</v>
      </c>
      <c r="M7" s="480">
        <f>+GETPIVOTDATA("Sum of Tuition SP Debt-Old",'Amounts Pivot Table'!$A$3,"category2","Specialized")</f>
        <v>521013</v>
      </c>
      <c r="N7" s="480">
        <f>+GETPIVOTDATA("Sum of Health Tuition-Old",'Amounts Pivot Table'!$A$3)</f>
        <v>1786819047</v>
      </c>
      <c r="O7" s="507">
        <f>+J7+L7+N7-K7-M7</f>
        <v>31021685407.099998</v>
      </c>
      <c r="P7" s="507">
        <f>O7+H7+I7</f>
        <v>59923093797.853172</v>
      </c>
      <c r="Q7" s="508"/>
      <c r="R7" s="509" t="s">
        <v>1003</v>
      </c>
      <c r="S7" s="510">
        <f t="shared" ref="S7:X27" si="0">IF(B7/$P7=0,,IF(B7/$P7&gt;0.0005,B7/$P7,"*"))</f>
        <v>0.33945555693435758</v>
      </c>
      <c r="T7" s="510">
        <f t="shared" si="0"/>
        <v>2.57387780778311E-2</v>
      </c>
      <c r="U7" s="510">
        <f t="shared" si="0"/>
        <v>0</v>
      </c>
      <c r="V7" s="510">
        <f t="shared" si="0"/>
        <v>1.923853020488241E-3</v>
      </c>
      <c r="W7" s="510">
        <f t="shared" si="0"/>
        <v>6.5605582154176237E-2</v>
      </c>
      <c r="X7" s="510">
        <f t="shared" si="0"/>
        <v>1.923853020488241E-3</v>
      </c>
      <c r="Y7" s="511">
        <f>SUM(S7:X7)</f>
        <v>0.4346476232073414</v>
      </c>
      <c r="Z7" s="510">
        <f t="shared" ref="Z7:AE22" si="1">IF(I7/$P7=0,,IF(I7/$P7&gt;0.0005,I7/$P7,"*"))</f>
        <v>4.7660725027318822E-2</v>
      </c>
      <c r="AA7" s="510">
        <f t="shared" si="1"/>
        <v>0.48721561829883298</v>
      </c>
      <c r="AB7" s="510">
        <f t="shared" si="1"/>
        <v>6.1779058712963667E-3</v>
      </c>
      <c r="AC7" s="510">
        <f t="shared" si="1"/>
        <v>6.8440960739362408E-3</v>
      </c>
      <c r="AD7" s="510" t="str">
        <f>IF(M7/$P7=0,,IF(M7/$P7&gt;0.0005,M7/$P7,"*"))</f>
        <v>*</v>
      </c>
      <c r="AE7" s="510">
        <f>IF(N7/$P7=0,,IF(N7/$P7&gt;0.0005,N7/$P7,"*"))</f>
        <v>2.9818537958465945E-2</v>
      </c>
      <c r="AF7" s="512">
        <f>J7/$P7-K7/$P7+L7/$P7-M7/$P7+N7/$P7</f>
        <v>0.51769165176533982</v>
      </c>
      <c r="AG7" s="513">
        <f>Y7+I7/$P7+AF7</f>
        <v>1</v>
      </c>
    </row>
    <row r="8" spans="1:36" s="514" customFormat="1" ht="4.5" customHeight="1">
      <c r="B8" s="515"/>
      <c r="C8" s="515"/>
      <c r="D8" s="515"/>
      <c r="E8" s="515"/>
      <c r="F8" s="515"/>
      <c r="G8" s="515"/>
      <c r="H8" s="516"/>
      <c r="I8" s="515"/>
      <c r="J8" s="515"/>
      <c r="K8" s="515"/>
      <c r="L8" s="515"/>
      <c r="M8" s="515"/>
      <c r="N8" s="515"/>
      <c r="O8" s="516"/>
      <c r="P8" s="516"/>
      <c r="Q8" s="517"/>
      <c r="R8" s="518"/>
      <c r="S8" s="510"/>
      <c r="T8" s="510"/>
      <c r="U8" s="510"/>
      <c r="V8" s="510"/>
      <c r="W8" s="510"/>
      <c r="X8" s="510"/>
      <c r="Y8" s="511"/>
      <c r="Z8" s="510"/>
      <c r="AA8" s="510"/>
      <c r="AB8" s="510"/>
      <c r="AC8" s="510"/>
      <c r="AD8" s="510"/>
      <c r="AE8" s="510"/>
      <c r="AF8" s="519"/>
      <c r="AG8" s="513"/>
    </row>
    <row r="9" spans="1:36" ht="12" customHeight="1">
      <c r="A9" s="53" t="s">
        <v>777</v>
      </c>
      <c r="B9" s="520">
        <f>+GETPIVOTDATA("Sum of State Gen Purp-Old",'Amounts Pivot Table'!$A$3,"state","AL","category2","Four-Year")+GETPIVOTDATA("Sum of State Gen Purp-Old",'Amounts Pivot Table'!$A$3,"state","AL","category2","Two-Year")+GETPIVOTDATA("Sum of State Gen Purp-Old",'Amounts Pivot Table'!$A$3,"state","AL","category2","Technical")</f>
        <v>1107500847</v>
      </c>
      <c r="C9" s="520">
        <f>+GETPIVOTDATA("Sum of State Ed Spec Purp-Old",'Amounts Pivot Table'!$A$3,"state","AL","category2","Four-Year")+GETPIVOTDATA("Sum of State Ed Spec Purp-Old",'Amounts Pivot Table'!$A$3,"state","AL","category2","Two-Year")+GETPIVOTDATA("Sum of State Ed Spec Purp-Old",'Amounts Pivot Table'!$A$3,"state","AL","category2","Technical")</f>
        <v>95570565</v>
      </c>
      <c r="D9" s="520">
        <f>+GETPIVOTDATA("Sum of State Ed Spec Purp-Old",'Amounts Pivot Table'!$A$3,"state","AL","category2","Other")</f>
        <v>0</v>
      </c>
      <c r="E9" s="520">
        <f>+GETPIVOTDATA("Sum of Other Spec Purp State-Old",'Amounts Pivot Table'!$A$3,"state","AL","category2","Specialized")</f>
        <v>8994438</v>
      </c>
      <c r="F9" s="520">
        <f>+GETPIVOTDATA("Sum of Health State-Old",'Amounts Pivot Table'!$A$3,"state","AL")</f>
        <v>343438080</v>
      </c>
      <c r="G9" s="520">
        <f>+GETPIVOTDATA("Sum of Other Spec Purp State-Old",'Amounts Pivot Table'!$A$3,"state","AL")</f>
        <v>8994438</v>
      </c>
      <c r="H9" s="521">
        <f>SUM(B9:G9)</f>
        <v>1564498368</v>
      </c>
      <c r="I9" s="520">
        <f>+GETPIVOTDATA("Sum of Local-Old",'Amounts Pivot Table'!$A$3,"state","AL")</f>
        <v>1999252</v>
      </c>
      <c r="J9" s="520">
        <f>+GETPIVOTDATA("Sum of Tuition Tot-Old",'Amounts Pivot Table'!$A$3,"state","AL","category2","Four-Year")+GETPIVOTDATA("Sum of Tuition Tot-Old",'Amounts Pivot Table'!$A$3,"state","AL","category2","Two-Year")+GETPIVOTDATA("Sum of Tuition Tot-Old",'Amounts Pivot Table'!$A$3,"state","AL","category2","Technical")</f>
        <v>2620093873</v>
      </c>
      <c r="K9" s="520">
        <f>+GETPIVOTDATA("Sum of Tuition Debt-Old",'Amounts Pivot Table'!$A$3,"state","AL","category2","Four-Year")+GETPIVOTDATA("Sum of Tuition Debt-Old",'Amounts Pivot Table'!$A$3,"state","AL","category2","Two-Year")+GETPIVOTDATA("Sum of Tuition Debt-Old",'Amounts Pivot Table'!$A$3,"state","AL","category2","Technical")</f>
        <v>160065176</v>
      </c>
      <c r="L9" s="520">
        <f>+GETPIVOTDATA("Sum of Tuition SP Tot-Old",'Amounts Pivot Table'!$A$3,"state","AL","category2","Specialized")</f>
        <v>3669807</v>
      </c>
      <c r="M9" s="520">
        <f>+GETPIVOTDATA("Sum of Tuition SP Debt-Old",'Amounts Pivot Table'!$A$3,"state","AL","category2","Specialized")</f>
        <v>120543</v>
      </c>
      <c r="N9" s="520">
        <f>+GETPIVOTDATA("Sum of Health Tuition-Old",'Amounts Pivot Table'!$A$3,"state","AL")</f>
        <v>246508297</v>
      </c>
      <c r="O9" s="521">
        <f>+J9+L9+N9-K9-M9</f>
        <v>2710086258</v>
      </c>
      <c r="P9" s="521">
        <f>O9+H9+I9</f>
        <v>4276583878</v>
      </c>
      <c r="Q9" s="522"/>
      <c r="R9" s="518" t="s">
        <v>777</v>
      </c>
      <c r="S9" s="510">
        <f t="shared" si="0"/>
        <v>0.25896857833124909</v>
      </c>
      <c r="T9" s="510">
        <f t="shared" si="0"/>
        <v>2.2347408054275042E-2</v>
      </c>
      <c r="U9" s="510">
        <f t="shared" si="0"/>
        <v>0</v>
      </c>
      <c r="V9" s="510">
        <f t="shared" si="0"/>
        <v>2.1031828806796059E-3</v>
      </c>
      <c r="W9" s="510">
        <f t="shared" si="0"/>
        <v>8.0306639550961706E-2</v>
      </c>
      <c r="X9" s="510">
        <f t="shared" si="0"/>
        <v>2.1031828806796059E-3</v>
      </c>
      <c r="Y9" s="511">
        <f t="shared" ref="Y9:Y27" si="2">SUM(S9:X9)</f>
        <v>0.36582899169784505</v>
      </c>
      <c r="Z9" s="510" t="str">
        <f t="shared" si="1"/>
        <v>*</v>
      </c>
      <c r="AA9" s="510">
        <f t="shared" si="1"/>
        <v>0.61266046633120663</v>
      </c>
      <c r="AB9" s="510">
        <f t="shared" si="1"/>
        <v>3.7428279338427607E-2</v>
      </c>
      <c r="AC9" s="510">
        <f t="shared" si="1"/>
        <v>8.5811645572499162E-4</v>
      </c>
      <c r="AD9" s="510" t="str">
        <f t="shared" si="1"/>
        <v>*</v>
      </c>
      <c r="AE9" s="510">
        <f t="shared" si="1"/>
        <v>5.7641403520251495E-2</v>
      </c>
      <c r="AF9" s="519">
        <f t="shared" ref="AF9:AF27" si="3">J9/$P9-K9/$P9+L9/$P9-M9/$P9+N9/$P9</f>
        <v>0.6337035202189012</v>
      </c>
      <c r="AG9" s="513">
        <f t="shared" ref="AG9:AG27" si="4">Y9+I9/$P9+AF9</f>
        <v>1</v>
      </c>
      <c r="AH9" s="53"/>
      <c r="AI9" s="53"/>
      <c r="AJ9" s="53"/>
    </row>
    <row r="10" spans="1:36" ht="12" customHeight="1">
      <c r="A10" s="53" t="s">
        <v>778</v>
      </c>
      <c r="B10" s="520">
        <f>+GETPIVOTDATA("Sum of State Gen Purp-Old",'Amounts Pivot Table'!$A$3,"state","AR","category2","Four-Year")+GETPIVOTDATA("Sum of State Gen Purp-Old",'Amounts Pivot Table'!$A$3,"state","AR","category2","Two-Year")+GETPIVOTDATA("Sum of State Gen Purp-Old",'Amounts Pivot Table'!$A$3,"state","AR","category2","Technical")</f>
        <v>633399742</v>
      </c>
      <c r="C10" s="520">
        <f>+GETPIVOTDATA("Sum of State Ed Spec Purp-Old",'Amounts Pivot Table'!$A$3,"state","AR","category2","Four-Year")+GETPIVOTDATA("Sum of State Ed Spec Purp-Old",'Amounts Pivot Table'!$A$3,"state","AR","category2","Two-Year")+GETPIVOTDATA("Sum of State Ed Spec Purp-Old",'Amounts Pivot Table'!$A$3,"state","AR","category2","Technical")</f>
        <v>100110619</v>
      </c>
      <c r="D10" s="520">
        <f>+GETPIVOTDATA("Sum of State Ed Spec Purp-Old",'Amounts Pivot Table'!$A$3,"state","AR","category2","Other")</f>
        <v>0</v>
      </c>
      <c r="E10" s="520">
        <f>+GETPIVOTDATA("Sum of Other Spec Purp State-Old",'Amounts Pivot Table'!$A$3,"state","AR","category2","Specialized")</f>
        <v>0</v>
      </c>
      <c r="F10" s="520">
        <f>+GETPIVOTDATA("Sum of Health State-Old",'Amounts Pivot Table'!$A$3,"state","AR")</f>
        <v>107777725</v>
      </c>
      <c r="G10" s="520">
        <f>+GETPIVOTDATA("Sum of Other Spec Purp State-Old",'Amounts Pivot Table'!$A$3,"state","AR")</f>
        <v>0</v>
      </c>
      <c r="H10" s="521">
        <f t="shared" ref="H10:H27" si="5">SUM(B10:G10)</f>
        <v>841288086</v>
      </c>
      <c r="I10" s="520">
        <f>+GETPIVOTDATA("Sum of Local-Old",'Amounts Pivot Table'!$A$3,"state","AR")</f>
        <v>36789232</v>
      </c>
      <c r="J10" s="520">
        <f>+GETPIVOTDATA("Sum of Tuition Tot-Old",'Amounts Pivot Table'!$A$3,"state","AR","category2","Four-Year")+GETPIVOTDATA("Sum of Tuition Tot-Old",'Amounts Pivot Table'!$A$3,"state","AR","category2","Two-Year")+GETPIVOTDATA("Sum of Tuition Tot-Old",'Amounts Pivot Table'!$A$3,"state","AR","category2","Technical")</f>
        <v>865805544</v>
      </c>
      <c r="K10" s="520">
        <f>+GETPIVOTDATA("Sum of Tuition Debt-Old",'Amounts Pivot Table'!$A$3,"state","AR","category2","Four-Year")+GETPIVOTDATA("Sum of Tuition Debt-Old",'Amounts Pivot Table'!$A$3,"state","AR","category2","Two-Year")+GETPIVOTDATA("Sum of Tuition Debt-Old",'Amounts Pivot Table'!$A$3,"state","AR","category2","Technical")</f>
        <v>0</v>
      </c>
      <c r="L10" s="520">
        <f>+GETPIVOTDATA("Sum of Tuition SP Tot-Old",'Amounts Pivot Table'!$A$3,"state","AR","category2","Specialized")</f>
        <v>0</v>
      </c>
      <c r="M10" s="520">
        <f>+GETPIVOTDATA("Sum of Tuition SP Debt-Old",'Amounts Pivot Table'!$A$3,"state","AR","category2","Specialized")</f>
        <v>0</v>
      </c>
      <c r="N10" s="520">
        <f>+GETPIVOTDATA("Sum of Health Tuition-Old",'Amounts Pivot Table'!$A$3,"state","AR")</f>
        <v>47840199</v>
      </c>
      <c r="O10" s="521">
        <f t="shared" ref="O10:O27" si="6">+J10+L10+N10-K10-M10</f>
        <v>913645743</v>
      </c>
      <c r="P10" s="521">
        <f t="shared" ref="P10:P27" si="7">O10+H10+I10</f>
        <v>1791723061</v>
      </c>
      <c r="Q10" s="523"/>
      <c r="R10" s="518" t="s">
        <v>778</v>
      </c>
      <c r="S10" s="510">
        <f t="shared" si="0"/>
        <v>0.35351431021180568</v>
      </c>
      <c r="T10" s="510">
        <f t="shared" si="0"/>
        <v>5.5873935642780675E-2</v>
      </c>
      <c r="U10" s="510">
        <f t="shared" si="0"/>
        <v>0</v>
      </c>
      <c r="V10" s="510">
        <f t="shared" si="0"/>
        <v>0</v>
      </c>
      <c r="W10" s="510">
        <f t="shared" si="0"/>
        <v>6.0153115928444259E-2</v>
      </c>
      <c r="X10" s="510">
        <f t="shared" si="0"/>
        <v>0</v>
      </c>
      <c r="Y10" s="511">
        <f t="shared" si="2"/>
        <v>0.46954136178303058</v>
      </c>
      <c r="Z10" s="510">
        <f t="shared" si="1"/>
        <v>2.0532878546234215E-2</v>
      </c>
      <c r="AA10" s="510">
        <f t="shared" si="1"/>
        <v>0.48322509367980948</v>
      </c>
      <c r="AB10" s="510">
        <f t="shared" si="1"/>
        <v>0</v>
      </c>
      <c r="AC10" s="510">
        <f t="shared" si="1"/>
        <v>0</v>
      </c>
      <c r="AD10" s="510">
        <f t="shared" si="1"/>
        <v>0</v>
      </c>
      <c r="AE10" s="510">
        <f t="shared" si="1"/>
        <v>2.6700665990925705E-2</v>
      </c>
      <c r="AF10" s="519">
        <f t="shared" si="3"/>
        <v>0.50992575967073517</v>
      </c>
      <c r="AG10" s="513">
        <f t="shared" si="4"/>
        <v>1</v>
      </c>
      <c r="AH10" s="53"/>
      <c r="AI10" s="53"/>
      <c r="AJ10" s="53"/>
    </row>
    <row r="11" spans="1:36" ht="12" customHeight="1">
      <c r="A11" s="53" t="s">
        <v>779</v>
      </c>
      <c r="B11" s="520">
        <f>+GETPIVOTDATA("Sum of State Gen Purp-Old",'Amounts Pivot Table'!$A$3,"state","DE","category2","Four-Year")+GETPIVOTDATA("Sum of State Gen Purp-Old",'Amounts Pivot Table'!$A$3,"state","DE","category2","Two-Year")+GETPIVOTDATA("Sum of State Gen Purp-Old",'Amounts Pivot Table'!$A$3,"state","DE","category2","Technical")</f>
        <v>231922200</v>
      </c>
      <c r="C11" s="520">
        <f>+GETPIVOTDATA("Sum of State Ed Spec Purp-Old",'Amounts Pivot Table'!$A$3,"state","DE","category2","Four-Year")+GETPIVOTDATA("Sum of State Ed Spec Purp-Old",'Amounts Pivot Table'!$A$3,"state","DE","category2","Two-Year")+GETPIVOTDATA("Sum of State Ed Spec Purp-Old",'Amounts Pivot Table'!$A$3,"state","DE","category2","Technical")</f>
        <v>7325222</v>
      </c>
      <c r="D11" s="520">
        <f>+GETPIVOTDATA("Sum of State Ed Spec Purp-Old",'Amounts Pivot Table'!$A$3,"state","DE","category2","Other")</f>
        <v>0</v>
      </c>
      <c r="E11" s="520">
        <f>+GETPIVOTDATA("Sum of Other Spec Purp State-Old",'Amounts Pivot Table'!$A$3,"state","DE","category2","Specialized")</f>
        <v>0</v>
      </c>
      <c r="F11" s="520">
        <f>+GETPIVOTDATA("Sum of Health State-Old",'Amounts Pivot Table'!$A$3,"state","DE")</f>
        <v>0</v>
      </c>
      <c r="G11" s="520">
        <f>+GETPIVOTDATA("Sum of Other Spec Purp State-Old",'Amounts Pivot Table'!$A$3,"state","DE")</f>
        <v>0</v>
      </c>
      <c r="H11" s="521">
        <f t="shared" si="5"/>
        <v>239247422</v>
      </c>
      <c r="I11" s="520">
        <f>+GETPIVOTDATA("Sum of Local-Old",'Amounts Pivot Table'!$A$3,"state","DE")</f>
        <v>0</v>
      </c>
      <c r="J11" s="520">
        <f>+GETPIVOTDATA("Sum of Tuition Tot-Old",'Amounts Pivot Table'!$A$3,"state","DE","category2","Four-Year")+GETPIVOTDATA("Sum of Tuition Tot-Old",'Amounts Pivot Table'!$A$3,"state","DE","category2","Two-Year")+GETPIVOTDATA("Sum of Tuition Tot-Old",'Amounts Pivot Table'!$A$3,"state","DE","category2","Technical")</f>
        <v>776947686</v>
      </c>
      <c r="K11" s="520">
        <f>+GETPIVOTDATA("Sum of Tuition Debt-Old",'Amounts Pivot Table'!$A$3,"state","DE","category2","Four-Year")+GETPIVOTDATA("Sum of Tuition Debt-Old",'Amounts Pivot Table'!$A$3,"state","DE","category2","Two-Year")+GETPIVOTDATA("Sum of Tuition Debt-Old",'Amounts Pivot Table'!$A$3,"state","DE","category2","Technical")</f>
        <v>7923700</v>
      </c>
      <c r="L11" s="520">
        <f>+GETPIVOTDATA("Sum of Tuition SP Tot-Old",'Amounts Pivot Table'!$A$3,"state","DE","category2","Specialized")</f>
        <v>0</v>
      </c>
      <c r="M11" s="520">
        <f>+GETPIVOTDATA("Sum of Tuition SP Debt-Old",'Amounts Pivot Table'!$A$3,"state","DE","category2","Specialized")</f>
        <v>0</v>
      </c>
      <c r="N11" s="520">
        <f>+GETPIVOTDATA("Sum of Health Tuition-Old",'Amounts Pivot Table'!$A$3,"state","DE")</f>
        <v>0</v>
      </c>
      <c r="O11" s="521">
        <f t="shared" si="6"/>
        <v>769023986</v>
      </c>
      <c r="P11" s="521">
        <f t="shared" si="7"/>
        <v>1008271408</v>
      </c>
      <c r="Q11" s="523"/>
      <c r="R11" s="518" t="s">
        <v>779</v>
      </c>
      <c r="S11" s="510">
        <f t="shared" si="0"/>
        <v>0.23001961392522199</v>
      </c>
      <c r="T11" s="510">
        <f t="shared" si="0"/>
        <v>7.2651291526061009E-3</v>
      </c>
      <c r="U11" s="510">
        <f t="shared" si="0"/>
        <v>0</v>
      </c>
      <c r="V11" s="510">
        <f t="shared" si="0"/>
        <v>0</v>
      </c>
      <c r="W11" s="510">
        <f t="shared" si="0"/>
        <v>0</v>
      </c>
      <c r="X11" s="510">
        <f t="shared" si="0"/>
        <v>0</v>
      </c>
      <c r="Y11" s="511">
        <f t="shared" si="2"/>
        <v>0.2372847430778281</v>
      </c>
      <c r="Z11" s="510">
        <f t="shared" si="1"/>
        <v>0</v>
      </c>
      <c r="AA11" s="510">
        <f t="shared" si="1"/>
        <v>0.77057395442874643</v>
      </c>
      <c r="AB11" s="510">
        <f t="shared" si="1"/>
        <v>7.8586975065745388E-3</v>
      </c>
      <c r="AC11" s="510">
        <f t="shared" si="1"/>
        <v>0</v>
      </c>
      <c r="AD11" s="510">
        <f t="shared" si="1"/>
        <v>0</v>
      </c>
      <c r="AE11" s="510">
        <f t="shared" si="1"/>
        <v>0</v>
      </c>
      <c r="AF11" s="519">
        <f t="shared" si="3"/>
        <v>0.7627152569221719</v>
      </c>
      <c r="AG11" s="513">
        <f t="shared" si="4"/>
        <v>1</v>
      </c>
      <c r="AH11" s="53"/>
      <c r="AI11" s="53"/>
      <c r="AJ11" s="53"/>
    </row>
    <row r="12" spans="1:36" ht="12" customHeight="1">
      <c r="A12" s="53" t="s">
        <v>780</v>
      </c>
      <c r="B12" s="520">
        <f>+GETPIVOTDATA("Sum of State Gen Purp-Old",'Amounts Pivot Table'!$A$3,"state","FL","category2","Four-Year")+GETPIVOTDATA("Sum of State Gen Purp-Old",'Amounts Pivot Table'!$A$3,"state","FL","category2","Two-Year")+GETPIVOTDATA("Sum of State Gen Purp-Old",'Amounts Pivot Table'!$A$3,"state","FL","category2","Technical")</f>
        <v>1239585083</v>
      </c>
      <c r="C12" s="520">
        <f>+GETPIVOTDATA("Sum of State Ed Spec Purp-Old",'Amounts Pivot Table'!$A$3,"state","FL","category2","Four-Year")+GETPIVOTDATA("Sum of State Ed Spec Purp-Old",'Amounts Pivot Table'!$A$3,"state","FL","category2","Two-Year")+GETPIVOTDATA("Sum of State Ed Spec Purp-Old",'Amounts Pivot Table'!$A$3,"state","FL","category2","Technical")</f>
        <v>0</v>
      </c>
      <c r="D12" s="520">
        <f>+GETPIVOTDATA("Sum of State Ed Spec Purp-Old",'Amounts Pivot Table'!$A$3,"state","FL","category2","Other")</f>
        <v>0</v>
      </c>
      <c r="E12" s="520">
        <f>+GETPIVOTDATA("Sum of Other Spec Purp State-Old",'Amounts Pivot Table'!$A$3,"state","FL","category2","Specialized")</f>
        <v>0</v>
      </c>
      <c r="F12" s="520">
        <f>+GETPIVOTDATA("Sum of Health State-Old",'Amounts Pivot Table'!$A$3,"state","FL")</f>
        <v>0</v>
      </c>
      <c r="G12" s="520">
        <f>+GETPIVOTDATA("Sum of Other Spec Purp State-Old",'Amounts Pivot Table'!$A$3,"state","FL")</f>
        <v>0</v>
      </c>
      <c r="H12" s="521">
        <f t="shared" si="5"/>
        <v>1239585083</v>
      </c>
      <c r="I12" s="520">
        <f>+GETPIVOTDATA("Sum of Local-Old",'Amounts Pivot Table'!$A$3,"state","FL")</f>
        <v>0</v>
      </c>
      <c r="J12" s="520">
        <f>+GETPIVOTDATA("Sum of Tuition Tot-Old",'Amounts Pivot Table'!$A$3,"state","FL","category2","Four-Year")+GETPIVOTDATA("Sum of Tuition Tot-Old",'Amounts Pivot Table'!$A$3,"state","FL","category2","Two-Year")+GETPIVOTDATA("Sum of Tuition Tot-Old",'Amounts Pivot Table'!$A$3,"state","FL","category2","Technical")</f>
        <v>774137679</v>
      </c>
      <c r="K12" s="520">
        <f>+GETPIVOTDATA("Sum of Tuition Debt-Old",'Amounts Pivot Table'!$A$3,"state","FL","category2","Four-Year")+GETPIVOTDATA("Sum of Tuition Debt-Old",'Amounts Pivot Table'!$A$3,"state","FL","category2","Two-Year")+GETPIVOTDATA("Sum of Tuition Debt-Old",'Amounts Pivot Table'!$A$3,"state","FL","category2","Technical")</f>
        <v>0</v>
      </c>
      <c r="L12" s="520">
        <f>+GETPIVOTDATA("Sum of Tuition SP Tot-Old",'Amounts Pivot Table'!$A$3,"state","FL","category2","Specialized")</f>
        <v>0</v>
      </c>
      <c r="M12" s="520">
        <f>+GETPIVOTDATA("Sum of Tuition SP Debt-Old",'Amounts Pivot Table'!$A$3,"state","FL","category2","Specialized")</f>
        <v>0</v>
      </c>
      <c r="N12" s="520">
        <f>+GETPIVOTDATA("Sum of Health Tuition-Old",'Amounts Pivot Table'!$A$3,"state","FL")</f>
        <v>0</v>
      </c>
      <c r="O12" s="521">
        <f t="shared" si="6"/>
        <v>774137679</v>
      </c>
      <c r="P12" s="521">
        <f t="shared" si="7"/>
        <v>2013722762</v>
      </c>
      <c r="Q12" s="523"/>
      <c r="R12" s="518" t="s">
        <v>780</v>
      </c>
      <c r="S12" s="510">
        <f t="shared" si="0"/>
        <v>0.6155688888220453</v>
      </c>
      <c r="T12" s="510">
        <f t="shared" si="0"/>
        <v>0</v>
      </c>
      <c r="U12" s="510">
        <f t="shared" si="0"/>
        <v>0</v>
      </c>
      <c r="V12" s="510">
        <f t="shared" si="0"/>
        <v>0</v>
      </c>
      <c r="W12" s="510">
        <f t="shared" si="0"/>
        <v>0</v>
      </c>
      <c r="X12" s="510">
        <f t="shared" si="0"/>
        <v>0</v>
      </c>
      <c r="Y12" s="511">
        <f t="shared" si="2"/>
        <v>0.6155688888220453</v>
      </c>
      <c r="Z12" s="510">
        <f t="shared" si="1"/>
        <v>0</v>
      </c>
      <c r="AA12" s="510">
        <f t="shared" si="1"/>
        <v>0.3844311111779547</v>
      </c>
      <c r="AB12" s="510">
        <f t="shared" si="1"/>
        <v>0</v>
      </c>
      <c r="AC12" s="510">
        <f t="shared" si="1"/>
        <v>0</v>
      </c>
      <c r="AD12" s="510">
        <f t="shared" si="1"/>
        <v>0</v>
      </c>
      <c r="AE12" s="510">
        <f t="shared" si="1"/>
        <v>0</v>
      </c>
      <c r="AF12" s="519">
        <f t="shared" si="3"/>
        <v>0.3844311111779547</v>
      </c>
      <c r="AG12" s="513">
        <f t="shared" si="4"/>
        <v>1</v>
      </c>
      <c r="AH12" s="53"/>
      <c r="AI12" s="53"/>
      <c r="AJ12" s="53"/>
    </row>
    <row r="13" spans="1:36" s="524" customFormat="1" ht="4.5" customHeight="1">
      <c r="B13" s="525"/>
      <c r="C13" s="525"/>
      <c r="D13" s="525"/>
      <c r="E13" s="525"/>
      <c r="F13" s="525"/>
      <c r="G13" s="525"/>
      <c r="H13" s="526"/>
      <c r="I13" s="525"/>
      <c r="J13" s="525"/>
      <c r="K13" s="525"/>
      <c r="L13" s="525"/>
      <c r="M13" s="525"/>
      <c r="N13" s="525"/>
      <c r="O13" s="521"/>
      <c r="P13" s="526"/>
      <c r="Q13" s="527"/>
      <c r="S13" s="510"/>
      <c r="T13" s="510"/>
      <c r="U13" s="510"/>
      <c r="V13" s="510"/>
      <c r="W13" s="510"/>
      <c r="X13" s="510"/>
      <c r="Y13" s="511"/>
      <c r="Z13" s="510"/>
      <c r="AA13" s="510"/>
      <c r="AB13" s="510"/>
      <c r="AC13" s="510"/>
      <c r="AD13" s="510"/>
      <c r="AE13" s="510"/>
      <c r="AF13" s="519"/>
      <c r="AG13" s="513"/>
    </row>
    <row r="14" spans="1:36" ht="12" customHeight="1">
      <c r="A14" s="53" t="s">
        <v>781</v>
      </c>
      <c r="B14" s="520">
        <f>+GETPIVOTDATA("Sum of State Gen Purp-Old",'Amounts Pivot Table'!$A$3,"state","GA","category2","Four-Year")+GETPIVOTDATA("Sum of State Gen Purp-Old",'Amounts Pivot Table'!$A$3,"state","GA","category2","Two-Year")+GETPIVOTDATA("Sum of State Gen Purp-Old",'Amounts Pivot Table'!$A$3,"state","GA","category2","Technical")</f>
        <v>2312132922</v>
      </c>
      <c r="C14" s="520">
        <f>+GETPIVOTDATA("Sum of State Ed Spec Purp-Old",'Amounts Pivot Table'!$A$3,"state","GA","category2","Four-Year")+GETPIVOTDATA("Sum of State Ed Spec Purp-Old",'Amounts Pivot Table'!$A$3,"state","GA","category2","Two-Year")+GETPIVOTDATA("Sum of State Ed Spec Purp-Old",'Amounts Pivot Table'!$A$3,"state","GA","category2","Technical")</f>
        <v>117161684</v>
      </c>
      <c r="D14" s="520">
        <f>+GETPIVOTDATA("Sum of State Ed Spec Purp-Old",'Amounts Pivot Table'!$A$3,"state","GA","category2","Other")</f>
        <v>0</v>
      </c>
      <c r="E14" s="520">
        <f>+GETPIVOTDATA("Sum of Other Spec Purp State-Old",'Amounts Pivot Table'!$A$3,"state","GA","category2","Specialized")</f>
        <v>0</v>
      </c>
      <c r="F14" s="520">
        <f>+GETPIVOTDATA("Sum of Health State-Old",'Amounts Pivot Table'!$A$3,"state","GA")</f>
        <v>244937871</v>
      </c>
      <c r="G14" s="520">
        <f>+GETPIVOTDATA("Sum of Other Spec Purp State-Old",'Amounts Pivot Table'!$A$3,"state","GA")</f>
        <v>0</v>
      </c>
      <c r="H14" s="521">
        <f t="shared" si="5"/>
        <v>2674232477</v>
      </c>
      <c r="I14" s="520">
        <f>+GETPIVOTDATA("Sum of Local-Old",'Amounts Pivot Table'!$A$3,"state","GA")</f>
        <v>0</v>
      </c>
      <c r="J14" s="520">
        <f>+GETPIVOTDATA("Sum of Tuition Tot-Old",'Amounts Pivot Table'!$A$3,"state","GA","category2","Four-Year")+GETPIVOTDATA("Sum of Tuition Tot-Old",'Amounts Pivot Table'!$A$3,"state","GA","category2","Two-Year")+GETPIVOTDATA("Sum of Tuition Tot-Old",'Amounts Pivot Table'!$A$3,"state","GA","category2","Technical")</f>
        <v>2624221031.4200001</v>
      </c>
      <c r="K14" s="520">
        <f>+GETPIVOTDATA("Sum of Tuition Debt-Old",'Amounts Pivot Table'!$A$3,"state","GA","category2","Four-Year")+GETPIVOTDATA("Sum of Tuition Debt-Old",'Amounts Pivot Table'!$A$3,"state","GA","category2","Two-Year")+GETPIVOTDATA("Sum of Tuition Debt-Old",'Amounts Pivot Table'!$A$3,"state","GA","category2","Technical")</f>
        <v>0</v>
      </c>
      <c r="L14" s="520">
        <f>+GETPIVOTDATA("Sum of Tuition SP Tot-Old",'Amounts Pivot Table'!$A$3,"state","GA","category2","Specialized")</f>
        <v>0</v>
      </c>
      <c r="M14" s="520">
        <f>+GETPIVOTDATA("Sum of Tuition SP Debt-Old",'Amounts Pivot Table'!$A$3,"state","GA","category2","Specialized")</f>
        <v>0</v>
      </c>
      <c r="N14" s="520">
        <f>+GETPIVOTDATA("Sum of Health Tuition-Old",'Amounts Pivot Table'!$A$3,"state","GA")</f>
        <v>83262415</v>
      </c>
      <c r="O14" s="521">
        <f t="shared" si="6"/>
        <v>2707483446.4200001</v>
      </c>
      <c r="P14" s="521">
        <f t="shared" si="7"/>
        <v>5381715923.4200001</v>
      </c>
      <c r="Q14" s="523"/>
      <c r="R14" s="518" t="s">
        <v>781</v>
      </c>
      <c r="S14" s="510">
        <f t="shared" si="0"/>
        <v>0.42962745616841741</v>
      </c>
      <c r="T14" s="510">
        <f t="shared" si="0"/>
        <v>2.1770321151686783E-2</v>
      </c>
      <c r="U14" s="510">
        <f t="shared" si="0"/>
        <v>0</v>
      </c>
      <c r="V14" s="510">
        <f t="shared" si="0"/>
        <v>0</v>
      </c>
      <c r="W14" s="510">
        <f t="shared" si="0"/>
        <v>4.5512969187780104E-2</v>
      </c>
      <c r="X14" s="510">
        <f t="shared" si="0"/>
        <v>0</v>
      </c>
      <c r="Y14" s="511">
        <f t="shared" si="2"/>
        <v>0.4969107465078843</v>
      </c>
      <c r="Z14" s="510">
        <f t="shared" si="1"/>
        <v>0</v>
      </c>
      <c r="AA14" s="510">
        <f t="shared" si="1"/>
        <v>0.48761790268415856</v>
      </c>
      <c r="AB14" s="510">
        <f t="shared" si="1"/>
        <v>0</v>
      </c>
      <c r="AC14" s="510">
        <f t="shared" si="1"/>
        <v>0</v>
      </c>
      <c r="AD14" s="510">
        <f t="shared" si="1"/>
        <v>0</v>
      </c>
      <c r="AE14" s="510">
        <f t="shared" si="1"/>
        <v>1.5471350807957173E-2</v>
      </c>
      <c r="AF14" s="519">
        <f t="shared" si="3"/>
        <v>0.50308925349211575</v>
      </c>
      <c r="AG14" s="513">
        <f t="shared" si="4"/>
        <v>1</v>
      </c>
      <c r="AH14" s="53"/>
      <c r="AI14" s="53"/>
      <c r="AJ14" s="53"/>
    </row>
    <row r="15" spans="1:36" ht="12" customHeight="1">
      <c r="A15" s="53" t="s">
        <v>782</v>
      </c>
      <c r="B15" s="520">
        <f>+GETPIVOTDATA("Sum of State Gen Purp-Old",'Amounts Pivot Table'!$A$3,"state","KY","category2","Four-Year")+GETPIVOTDATA("Sum of State Gen Purp-Old",'Amounts Pivot Table'!$A$3,"state","KY","category2","Two-Year")+GETPIVOTDATA("Sum of State Gen Purp-Old",'Amounts Pivot Table'!$A$3,"state","KY","category2","Technical")</f>
        <v>670549400</v>
      </c>
      <c r="C15" s="520">
        <f>+GETPIVOTDATA("Sum of State Ed Spec Purp-Old",'Amounts Pivot Table'!$A$3,"state","KY","category2","Four-Year")+GETPIVOTDATA("Sum of State Ed Spec Purp-Old",'Amounts Pivot Table'!$A$3,"state","KY","category2","Two-Year")+GETPIVOTDATA("Sum of State Ed Spec Purp-Old",'Amounts Pivot Table'!$A$3,"state","KY","category2","Technical")</f>
        <v>102235400</v>
      </c>
      <c r="D15" s="520">
        <f>+GETPIVOTDATA("Sum of State Ed Spec Purp-Old",'Amounts Pivot Table'!$A$3,"state","KY","category2","Other")</f>
        <v>0</v>
      </c>
      <c r="E15" s="520">
        <f>+GETPIVOTDATA("Sum of Other Spec Purp State-Old",'Amounts Pivot Table'!$A$3,"state","KY","category2","Specialized")</f>
        <v>0</v>
      </c>
      <c r="F15" s="520">
        <f>+GETPIVOTDATA("Sum of Health State-Old",'Amounts Pivot Table'!$A$3,"state","KY")</f>
        <v>65120366.947465003</v>
      </c>
      <c r="G15" s="520">
        <f>+GETPIVOTDATA("Sum of Other Spec Purp State-Old",'Amounts Pivot Table'!$A$3,"state","KY")</f>
        <v>0</v>
      </c>
      <c r="H15" s="521">
        <f t="shared" si="5"/>
        <v>837905166.94746494</v>
      </c>
      <c r="I15" s="520">
        <f>+GETPIVOTDATA("Sum of Local-Old",'Amounts Pivot Table'!$A$3,"state","KY")</f>
        <v>27915000</v>
      </c>
      <c r="J15" s="520">
        <f>+GETPIVOTDATA("Sum of Tuition Tot-Old",'Amounts Pivot Table'!$A$3,"state","KY","category2","Four-Year")+GETPIVOTDATA("Sum of Tuition Tot-Old",'Amounts Pivot Table'!$A$3,"state","KY","category2","Two-Year")+GETPIVOTDATA("Sum of Tuition Tot-Old",'Amounts Pivot Table'!$A$3,"state","KY","category2","Technical")</f>
        <v>1667365545</v>
      </c>
      <c r="K15" s="520">
        <f>+GETPIVOTDATA("Sum of Tuition Debt-Old",'Amounts Pivot Table'!$A$3,"state","KY","category2","Four-Year")+GETPIVOTDATA("Sum of Tuition Debt-Old",'Amounts Pivot Table'!$A$3,"state","KY","category2","Two-Year")+GETPIVOTDATA("Sum of Tuition Debt-Old",'Amounts Pivot Table'!$A$3,"state","KY","category2","Technical")</f>
        <v>34199623</v>
      </c>
      <c r="L15" s="520">
        <f>+GETPIVOTDATA("Sum of Tuition SP Tot-Old",'Amounts Pivot Table'!$A$3,"state","KY","category2","Specialized")</f>
        <v>0</v>
      </c>
      <c r="M15" s="520">
        <f>+GETPIVOTDATA("Sum of Tuition SP Debt-Old",'Amounts Pivot Table'!$A$3,"state","KY","category2","Specialized")</f>
        <v>0</v>
      </c>
      <c r="N15" s="520">
        <f>+GETPIVOTDATA("Sum of Health Tuition-Old",'Amounts Pivot Table'!$A$3,"state","KY")</f>
        <v>102643301</v>
      </c>
      <c r="O15" s="521">
        <f t="shared" si="6"/>
        <v>1735809223</v>
      </c>
      <c r="P15" s="521">
        <f t="shared" si="7"/>
        <v>2601629389.9474649</v>
      </c>
      <c r="Q15" s="523"/>
      <c r="R15" s="518" t="s">
        <v>782</v>
      </c>
      <c r="S15" s="510">
        <f t="shared" si="0"/>
        <v>0.25774209139509319</v>
      </c>
      <c r="T15" s="510">
        <f t="shared" si="0"/>
        <v>3.9296680916594523E-2</v>
      </c>
      <c r="U15" s="510">
        <f t="shared" si="0"/>
        <v>0</v>
      </c>
      <c r="V15" s="510">
        <f t="shared" si="0"/>
        <v>0</v>
      </c>
      <c r="W15" s="510">
        <f t="shared" si="0"/>
        <v>2.5030608586713417E-2</v>
      </c>
      <c r="X15" s="510">
        <f t="shared" si="0"/>
        <v>0</v>
      </c>
      <c r="Y15" s="511">
        <f t="shared" si="2"/>
        <v>0.32206938089840115</v>
      </c>
      <c r="Z15" s="510">
        <f t="shared" si="1"/>
        <v>1.0729814210994785E-2</v>
      </c>
      <c r="AA15" s="510">
        <f t="shared" si="1"/>
        <v>0.64089280027454998</v>
      </c>
      <c r="AB15" s="510">
        <f t="shared" si="1"/>
        <v>1.314546304410045E-2</v>
      </c>
      <c r="AC15" s="510">
        <f t="shared" si="1"/>
        <v>0</v>
      </c>
      <c r="AD15" s="510">
        <f t="shared" si="1"/>
        <v>0</v>
      </c>
      <c r="AE15" s="510">
        <f t="shared" si="1"/>
        <v>3.9453467660154583E-2</v>
      </c>
      <c r="AF15" s="519">
        <f t="shared" si="3"/>
        <v>0.66720080489060407</v>
      </c>
      <c r="AG15" s="513">
        <f t="shared" si="4"/>
        <v>1</v>
      </c>
      <c r="AH15" s="53"/>
      <c r="AI15" s="53"/>
      <c r="AJ15" s="53"/>
    </row>
    <row r="16" spans="1:36" ht="12" customHeight="1">
      <c r="A16" s="53" t="s">
        <v>813</v>
      </c>
      <c r="B16" s="520">
        <f>+GETPIVOTDATA("Sum of State Gen Purp-Old",'Amounts Pivot Table'!$A$3,"state","LA","category2","Four-Year")+GETPIVOTDATA("Sum of State Gen Purp-Old",'Amounts Pivot Table'!$A$3,"state","LA","category2","Two-Year")+GETPIVOTDATA("Sum of State Gen Purp-Old",'Amounts Pivot Table'!$A$3,"state","LA","category2","Technical")</f>
        <v>542441330</v>
      </c>
      <c r="C16" s="520">
        <f>+GETPIVOTDATA("Sum of State Ed Spec Purp-Old",'Amounts Pivot Table'!$A$3,"state","LA","category2","Four-Year")+GETPIVOTDATA("Sum of State Ed Spec Purp-Old",'Amounts Pivot Table'!$A$3,"state","LA","category2","Two-Year")+GETPIVOTDATA("Sum of State Ed Spec Purp-Old",'Amounts Pivot Table'!$A$3,"state","LA","category2","Technical")</f>
        <v>76760602</v>
      </c>
      <c r="D16" s="520">
        <f>+GETPIVOTDATA("Sum of State Ed Spec Purp-Old",'Amounts Pivot Table'!$A$3,"state","LA","category2","Other")</f>
        <v>0</v>
      </c>
      <c r="E16" s="520">
        <f>+GETPIVOTDATA("Sum of Other Spec Purp State-Old",'Amounts Pivot Table'!$A$3,"state","LA","category2","Specialized")</f>
        <v>0</v>
      </c>
      <c r="F16" s="520">
        <f>+GETPIVOTDATA("Sum of Health State-Old",'Amounts Pivot Table'!$A$3,"state","LA")</f>
        <v>148805566</v>
      </c>
      <c r="G16" s="520">
        <f>+GETPIVOTDATA("Sum of Other Spec Purp State-Old",'Amounts Pivot Table'!$A$3,"state","LA")</f>
        <v>0</v>
      </c>
      <c r="H16" s="521">
        <f t="shared" si="5"/>
        <v>768007498</v>
      </c>
      <c r="I16" s="520">
        <f>+GETPIVOTDATA("Sum of Local-Old",'Amounts Pivot Table'!$A$3,"state","LA")</f>
        <v>0</v>
      </c>
      <c r="J16" s="520">
        <f>+GETPIVOTDATA("Sum of Tuition Tot-Old",'Amounts Pivot Table'!$A$3,"state","LA","category2","Four-Year")+GETPIVOTDATA("Sum of Tuition Tot-Old",'Amounts Pivot Table'!$A$3,"state","LA","category2","Two-Year")+GETPIVOTDATA("Sum of Tuition Tot-Old",'Amounts Pivot Table'!$A$3,"state","LA","category2","Technical")</f>
        <v>1363332642.71</v>
      </c>
      <c r="K16" s="520">
        <f>+GETPIVOTDATA("Sum of Tuition Debt-Old",'Amounts Pivot Table'!$A$3,"state","LA","category2","Four-Year")+GETPIVOTDATA("Sum of Tuition Debt-Old",'Amounts Pivot Table'!$A$3,"state","LA","category2","Two-Year")+GETPIVOTDATA("Sum of Tuition Debt-Old",'Amounts Pivot Table'!$A$3,"state","LA","category2","Technical")</f>
        <v>0</v>
      </c>
      <c r="L16" s="520">
        <f>+GETPIVOTDATA("Sum of Tuition SP Tot-Old",'Amounts Pivot Table'!$A$3,"state","LA","category2","Specialized")</f>
        <v>0</v>
      </c>
      <c r="M16" s="520">
        <f>+GETPIVOTDATA("Sum of Tuition SP Debt-Old",'Amounts Pivot Table'!$A$3,"state","LA","category2","Specialized")</f>
        <v>0</v>
      </c>
      <c r="N16" s="520">
        <f>+GETPIVOTDATA("Sum of Health Tuition-Old",'Amounts Pivot Table'!$A$3,"state","LA")</f>
        <v>85755861</v>
      </c>
      <c r="O16" s="521">
        <f t="shared" si="6"/>
        <v>1449088503.71</v>
      </c>
      <c r="P16" s="521">
        <f t="shared" si="7"/>
        <v>2217096001.71</v>
      </c>
      <c r="Q16" s="523"/>
      <c r="R16" s="518" t="s">
        <v>813</v>
      </c>
      <c r="S16" s="510">
        <f t="shared" si="0"/>
        <v>0.24466298688988941</v>
      </c>
      <c r="T16" s="510">
        <f t="shared" si="0"/>
        <v>3.4622137219496196E-2</v>
      </c>
      <c r="U16" s="510">
        <f t="shared" si="0"/>
        <v>0</v>
      </c>
      <c r="V16" s="510">
        <f t="shared" si="0"/>
        <v>0</v>
      </c>
      <c r="W16" s="510">
        <f t="shared" si="0"/>
        <v>6.7117330907290149E-2</v>
      </c>
      <c r="X16" s="510">
        <f t="shared" si="0"/>
        <v>0</v>
      </c>
      <c r="Y16" s="511">
        <f t="shared" si="2"/>
        <v>0.34640245501667577</v>
      </c>
      <c r="Z16" s="510">
        <f t="shared" si="1"/>
        <v>0</v>
      </c>
      <c r="AA16" s="510">
        <f t="shared" si="1"/>
        <v>0.61491818200857784</v>
      </c>
      <c r="AB16" s="510">
        <f t="shared" si="1"/>
        <v>0</v>
      </c>
      <c r="AC16" s="510">
        <f t="shared" si="1"/>
        <v>0</v>
      </c>
      <c r="AD16" s="510">
        <f t="shared" si="1"/>
        <v>0</v>
      </c>
      <c r="AE16" s="510">
        <f t="shared" si="1"/>
        <v>3.8679362974746376E-2</v>
      </c>
      <c r="AF16" s="519">
        <f t="shared" si="3"/>
        <v>0.65359754498332423</v>
      </c>
      <c r="AG16" s="513">
        <f t="shared" si="4"/>
        <v>1</v>
      </c>
      <c r="AH16" s="53"/>
      <c r="AI16" s="53"/>
      <c r="AJ16" s="53"/>
    </row>
    <row r="17" spans="1:36" ht="12" customHeight="1">
      <c r="A17" s="53" t="s">
        <v>784</v>
      </c>
      <c r="B17" s="520">
        <f>+GETPIVOTDATA("Sum of State Gen Purp-Old",'Amounts Pivot Table'!$A$3,"state","MD","category2","Four-Year")+GETPIVOTDATA("Sum of State Gen Purp-Old",'Amounts Pivot Table'!$A$3,"state","MD","category2","Two-Year")+GETPIVOTDATA("Sum of State Gen Purp-Old",'Amounts Pivot Table'!$A$3,"state","MD","category2","Technical")</f>
        <v>1561629616</v>
      </c>
      <c r="C17" s="520">
        <f>+GETPIVOTDATA("Sum of State Ed Spec Purp-Old",'Amounts Pivot Table'!$A$3,"state","MD","category2","Four-Year")+GETPIVOTDATA("Sum of State Ed Spec Purp-Old",'Amounts Pivot Table'!$A$3,"state","MD","category2","Two-Year")+GETPIVOTDATA("Sum of State Ed Spec Purp-Old",'Amounts Pivot Table'!$A$3,"state","MD","category2","Technical")</f>
        <v>66459513</v>
      </c>
      <c r="D17" s="520">
        <f>+GETPIVOTDATA("Sum of State Ed Spec Purp-Old",'Amounts Pivot Table'!$A$3,"state","MD","category2","Other")</f>
        <v>0</v>
      </c>
      <c r="E17" s="520">
        <f>+GETPIVOTDATA("Sum of Other Spec Purp State-Old",'Amounts Pivot Table'!$A$3,"state","MD","category2","Specialized")</f>
        <v>44322848</v>
      </c>
      <c r="F17" s="520">
        <f>+GETPIVOTDATA("Sum of Health State-Old",'Amounts Pivot Table'!$A$3,"state","MD")</f>
        <v>252312068</v>
      </c>
      <c r="G17" s="520">
        <f>+GETPIVOTDATA("Sum of Other Spec Purp State-Old",'Amounts Pivot Table'!$A$3,"state","MD")</f>
        <v>44322848</v>
      </c>
      <c r="H17" s="521">
        <f t="shared" si="5"/>
        <v>1969046893</v>
      </c>
      <c r="I17" s="520">
        <f>+GETPIVOTDATA("Sum of Local-Old",'Amounts Pivot Table'!$A$3,"state","MD")</f>
        <v>449424318</v>
      </c>
      <c r="J17" s="520">
        <f>+GETPIVOTDATA("Sum of Tuition Tot-Old",'Amounts Pivot Table'!$A$3,"state","MD","category2","Four-Year")+GETPIVOTDATA("Sum of Tuition Tot-Old",'Amounts Pivot Table'!$A$3,"state","MD","category2","Two-Year")+GETPIVOTDATA("Sum of Tuition Tot-Old",'Amounts Pivot Table'!$A$3,"state","MD","category2","Technical")</f>
        <v>1758717848</v>
      </c>
      <c r="K17" s="520">
        <f>+GETPIVOTDATA("Sum of Tuition Debt-Old",'Amounts Pivot Table'!$A$3,"state","MD","category2","Four-Year")+GETPIVOTDATA("Sum of Tuition Debt-Old",'Amounts Pivot Table'!$A$3,"state","MD","category2","Two-Year")+GETPIVOTDATA("Sum of Tuition Debt-Old",'Amounts Pivot Table'!$A$3,"state","MD","category2","Technical")</f>
        <v>0</v>
      </c>
      <c r="L17" s="520">
        <f>+GETPIVOTDATA("Sum of Tuition SP Tot-Old",'Amounts Pivot Table'!$A$3,"state","MD","category2","Specialized")</f>
        <v>356205595</v>
      </c>
      <c r="M17" s="520">
        <f>+GETPIVOTDATA("Sum of Tuition SP Debt-Old",'Amounts Pivot Table'!$A$3,"state","MD","category2","Specialized")</f>
        <v>0</v>
      </c>
      <c r="N17" s="520">
        <f>+GETPIVOTDATA("Sum of Health Tuition-Old",'Amounts Pivot Table'!$A$3,"state","MD")</f>
        <v>162219794</v>
      </c>
      <c r="O17" s="521">
        <f t="shared" si="6"/>
        <v>2277143237</v>
      </c>
      <c r="P17" s="521">
        <f t="shared" si="7"/>
        <v>4695614448</v>
      </c>
      <c r="Q17" s="523"/>
      <c r="R17" s="518" t="s">
        <v>784</v>
      </c>
      <c r="S17" s="510">
        <f t="shared" si="0"/>
        <v>0.33257194203096124</v>
      </c>
      <c r="T17" s="510">
        <f t="shared" si="0"/>
        <v>1.4153528518148899E-2</v>
      </c>
      <c r="U17" s="510">
        <f t="shared" si="0"/>
        <v>0</v>
      </c>
      <c r="V17" s="510">
        <f t="shared" si="0"/>
        <v>9.4392008736744557E-3</v>
      </c>
      <c r="W17" s="510">
        <f t="shared" si="0"/>
        <v>5.3733557299932733E-2</v>
      </c>
      <c r="X17" s="510">
        <f t="shared" si="0"/>
        <v>9.4392008736744557E-3</v>
      </c>
      <c r="Y17" s="511">
        <f t="shared" si="2"/>
        <v>0.41933742959639175</v>
      </c>
      <c r="Z17" s="510">
        <f t="shared" si="1"/>
        <v>9.5711503356376071E-2</v>
      </c>
      <c r="AA17" s="510">
        <f t="shared" si="1"/>
        <v>0.37454477310186518</v>
      </c>
      <c r="AB17" s="510">
        <f t="shared" si="1"/>
        <v>0</v>
      </c>
      <c r="AC17" s="510">
        <f t="shared" si="1"/>
        <v>7.5859208404923106E-2</v>
      </c>
      <c r="AD17" s="510">
        <f t="shared" si="1"/>
        <v>0</v>
      </c>
      <c r="AE17" s="510">
        <f t="shared" si="1"/>
        <v>3.4547085540443841E-2</v>
      </c>
      <c r="AF17" s="519">
        <f t="shared" si="3"/>
        <v>0.48495106704723212</v>
      </c>
      <c r="AG17" s="513">
        <f t="shared" si="4"/>
        <v>1</v>
      </c>
      <c r="AH17" s="53"/>
      <c r="AI17" s="53"/>
      <c r="AJ17" s="53"/>
    </row>
    <row r="18" spans="1:36" s="524" customFormat="1" ht="4.5" customHeight="1">
      <c r="B18" s="525"/>
      <c r="C18" s="525"/>
      <c r="D18" s="525"/>
      <c r="E18" s="525"/>
      <c r="F18" s="525"/>
      <c r="G18" s="525"/>
      <c r="H18" s="526"/>
      <c r="I18" s="525"/>
      <c r="J18" s="525"/>
      <c r="K18" s="525"/>
      <c r="L18" s="525"/>
      <c r="M18" s="525"/>
      <c r="N18" s="525"/>
      <c r="O18" s="521"/>
      <c r="P18" s="526"/>
      <c r="Q18" s="527"/>
      <c r="S18" s="510"/>
      <c r="T18" s="510"/>
      <c r="U18" s="510"/>
      <c r="V18" s="510"/>
      <c r="W18" s="510"/>
      <c r="X18" s="510"/>
      <c r="Y18" s="511"/>
      <c r="Z18" s="510"/>
      <c r="AA18" s="510"/>
      <c r="AB18" s="510"/>
      <c r="AC18" s="510"/>
      <c r="AD18" s="510"/>
      <c r="AE18" s="510"/>
      <c r="AF18" s="519"/>
      <c r="AG18" s="513"/>
    </row>
    <row r="19" spans="1:36" ht="12" customHeight="1">
      <c r="A19" s="53" t="s">
        <v>785</v>
      </c>
      <c r="B19" s="520">
        <f>+GETPIVOTDATA("Sum of State Gen Purp-Old",'Amounts Pivot Table'!$A$3,"state","MS","category2","Four-Year")+GETPIVOTDATA("Sum of State Gen Purp-Old",'Amounts Pivot Table'!$A$3,"state","MS","category2","Two-Year")+GETPIVOTDATA("Sum of State Gen Purp-Old",'Amounts Pivot Table'!$A$3,"state","MS","category2","Technical")</f>
        <v>375613092</v>
      </c>
      <c r="C19" s="520">
        <f>+GETPIVOTDATA("Sum of State Ed Spec Purp-Old",'Amounts Pivot Table'!$A$3,"state","MS","category2","Four-Year")+GETPIVOTDATA("Sum of State Ed Spec Purp-Old",'Amounts Pivot Table'!$A$3,"state","MS","category2","Two-Year")+GETPIVOTDATA("Sum of State Ed Spec Purp-Old",'Amounts Pivot Table'!$A$3,"state","MS","category2","Technical")</f>
        <v>92486322</v>
      </c>
      <c r="D19" s="520">
        <f>+GETPIVOTDATA("Sum of State Ed Spec Purp-Old",'Amounts Pivot Table'!$A$3,"state","MS","category2","Other")</f>
        <v>0</v>
      </c>
      <c r="E19" s="520">
        <f>+GETPIVOTDATA("Sum of Other Spec Purp State-Old",'Amounts Pivot Table'!$A$3,"state","MS","category2","Specialized")</f>
        <v>0</v>
      </c>
      <c r="F19" s="520">
        <f>+GETPIVOTDATA("Sum of Health State-Old",'Amounts Pivot Table'!$A$3,"state","MS")</f>
        <v>190982129</v>
      </c>
      <c r="G19" s="520">
        <f>+GETPIVOTDATA("Sum of Other Spec Purp State-Old",'Amounts Pivot Table'!$A$3,"state","MS")</f>
        <v>0</v>
      </c>
      <c r="H19" s="521">
        <f t="shared" si="5"/>
        <v>659081543</v>
      </c>
      <c r="I19" s="520">
        <f>+GETPIVOTDATA("Sum of Local-Old",'Amounts Pivot Table'!$A$3,"state","MS")</f>
        <v>0</v>
      </c>
      <c r="J19" s="520">
        <f>+GETPIVOTDATA("Sum of Tuition Tot-Old",'Amounts Pivot Table'!$A$3,"state","MS","category2","Four-Year")+GETPIVOTDATA("Sum of Tuition Tot-Old",'Amounts Pivot Table'!$A$3,"state","MS","category2","Two-Year")+GETPIVOTDATA("Sum of Tuition Tot-Old",'Amounts Pivot Table'!$A$3,"state","MS","category2","Technical")</f>
        <v>829459252</v>
      </c>
      <c r="K19" s="520">
        <f>+GETPIVOTDATA("Sum of Tuition Debt-Old",'Amounts Pivot Table'!$A$3,"state","MS","category2","Four-Year")+GETPIVOTDATA("Sum of Tuition Debt-Old",'Amounts Pivot Table'!$A$3,"state","MS","category2","Two-Year")+GETPIVOTDATA("Sum of Tuition Debt-Old",'Amounts Pivot Table'!$A$3,"state","MS","category2","Technical")</f>
        <v>0</v>
      </c>
      <c r="L19" s="520">
        <f>+GETPIVOTDATA("Sum of Tuition SP Tot-Old",'Amounts Pivot Table'!$A$3,"state","MS","category2","Specialized")</f>
        <v>0</v>
      </c>
      <c r="M19" s="520">
        <f>+GETPIVOTDATA("Sum of Tuition SP Debt-Old",'Amounts Pivot Table'!$A$3,"state","MS","category2","Specialized")</f>
        <v>0</v>
      </c>
      <c r="N19" s="520">
        <f>+GETPIVOTDATA("Sum of Health Tuition-Old",'Amounts Pivot Table'!$A$3,"state","MS")</f>
        <v>57787625</v>
      </c>
      <c r="O19" s="521">
        <f t="shared" si="6"/>
        <v>887246877</v>
      </c>
      <c r="P19" s="521">
        <f t="shared" si="7"/>
        <v>1546328420</v>
      </c>
      <c r="Q19" s="523"/>
      <c r="R19" s="518" t="s">
        <v>785</v>
      </c>
      <c r="S19" s="510">
        <f t="shared" si="0"/>
        <v>0.24290641440839586</v>
      </c>
      <c r="T19" s="510">
        <f t="shared" si="0"/>
        <v>5.981027109363999E-2</v>
      </c>
      <c r="U19" s="510">
        <f t="shared" si="0"/>
        <v>0</v>
      </c>
      <c r="V19" s="510">
        <f t="shared" si="0"/>
        <v>0</v>
      </c>
      <c r="W19" s="510">
        <f t="shared" si="0"/>
        <v>0.1235068349839939</v>
      </c>
      <c r="X19" s="510">
        <f t="shared" si="0"/>
        <v>0</v>
      </c>
      <c r="Y19" s="511">
        <f t="shared" si="2"/>
        <v>0.42622352048602974</v>
      </c>
      <c r="Z19" s="510">
        <f t="shared" si="1"/>
        <v>0</v>
      </c>
      <c r="AA19" s="510">
        <f t="shared" si="1"/>
        <v>0.53640561815451859</v>
      </c>
      <c r="AB19" s="510">
        <f t="shared" si="1"/>
        <v>0</v>
      </c>
      <c r="AC19" s="510">
        <f t="shared" si="1"/>
        <v>0</v>
      </c>
      <c r="AD19" s="510">
        <f t="shared" si="1"/>
        <v>0</v>
      </c>
      <c r="AE19" s="510">
        <f t="shared" si="1"/>
        <v>3.7370861359451703E-2</v>
      </c>
      <c r="AF19" s="519">
        <f t="shared" si="3"/>
        <v>0.57377647951397026</v>
      </c>
      <c r="AG19" s="513">
        <f t="shared" si="4"/>
        <v>1</v>
      </c>
      <c r="AH19" s="53"/>
      <c r="AI19" s="53"/>
      <c r="AJ19" s="53"/>
    </row>
    <row r="20" spans="1:36" ht="12" customHeight="1">
      <c r="A20" s="53" t="s">
        <v>786</v>
      </c>
      <c r="B20" s="520">
        <f>+GETPIVOTDATA("Sum of State Gen Purp-Old",'Amounts Pivot Table'!$A$3,"state","NC","category2","Four-Year")+GETPIVOTDATA("Sum of State Gen Purp-Old",'Amounts Pivot Table'!$A$3,"state","NC","category2","Two-Year")+GETPIVOTDATA("Sum of State Gen Purp-Old",'Amounts Pivot Table'!$A$3,"state","NC","category2","Technical")</f>
        <v>3142325745.7399998</v>
      </c>
      <c r="C20" s="520">
        <f>+GETPIVOTDATA("Sum of State Ed Spec Purp-Old",'Amounts Pivot Table'!$A$3,"state","NC","category2","Four-Year")+GETPIVOTDATA("Sum of State Ed Spec Purp-Old",'Amounts Pivot Table'!$A$3,"state","NC","category2","Two-Year")+GETPIVOTDATA("Sum of State Ed Spec Purp-Old",'Amounts Pivot Table'!$A$3,"state","NC","category2","Technical")</f>
        <v>240723148</v>
      </c>
      <c r="D20" s="520">
        <f>+GETPIVOTDATA("Sum of State Ed Spec Purp-Old",'Amounts Pivot Table'!$A$3,"state","NC","category2","Other")</f>
        <v>0</v>
      </c>
      <c r="E20" s="520">
        <f>+GETPIVOTDATA("Sum of Other Spec Purp State-Old",'Amounts Pivot Table'!$A$3,"state","NC","category2","Specialized")</f>
        <v>33813217</v>
      </c>
      <c r="F20" s="520">
        <f>+GETPIVOTDATA("Sum of Health State-Old",'Amounts Pivot Table'!$A$3,"state","NC")</f>
        <v>327863117.13999999</v>
      </c>
      <c r="G20" s="520">
        <f>+GETPIVOTDATA("Sum of Other Spec Purp State-Old",'Amounts Pivot Table'!$A$3,"state","NC")</f>
        <v>33813217</v>
      </c>
      <c r="H20" s="521">
        <f t="shared" si="5"/>
        <v>3778538444.8799996</v>
      </c>
      <c r="I20" s="520">
        <f>+GETPIVOTDATA("Sum of Local-Old",'Amounts Pivot Table'!$A$3,"state","NC")</f>
        <v>273698409</v>
      </c>
      <c r="J20" s="520">
        <f>+GETPIVOTDATA("Sum of Tuition Tot-Old",'Amounts Pivot Table'!$A$3,"state","NC","category2","Four-Year")+GETPIVOTDATA("Sum of Tuition Tot-Old",'Amounts Pivot Table'!$A$3,"state","NC","category2","Two-Year")+GETPIVOTDATA("Sum of Tuition Tot-Old",'Amounts Pivot Table'!$A$3,"state","NC","category2","Technical")</f>
        <v>1956857234.0799999</v>
      </c>
      <c r="K20" s="520">
        <f>+GETPIVOTDATA("Sum of Tuition Debt-Old",'Amounts Pivot Table'!$A$3,"state","NC","category2","Four-Year")+GETPIVOTDATA("Sum of Tuition Debt-Old",'Amounts Pivot Table'!$A$3,"state","NC","category2","Two-Year")+GETPIVOTDATA("Sum of Tuition Debt-Old",'Amounts Pivot Table'!$A$3,"state","NC","category2","Technical")</f>
        <v>0</v>
      </c>
      <c r="L20" s="520">
        <f>+GETPIVOTDATA("Sum of Tuition SP Tot-Old",'Amounts Pivot Table'!$A$3,"state","NC","category2","Specialized")</f>
        <v>16057404</v>
      </c>
      <c r="M20" s="520">
        <f>+GETPIVOTDATA("Sum of Tuition SP Debt-Old",'Amounts Pivot Table'!$A$3,"state","NC","category2","Specialized")</f>
        <v>0</v>
      </c>
      <c r="N20" s="520">
        <f>+GETPIVOTDATA("Sum of Health Tuition-Old",'Amounts Pivot Table'!$A$3,"state","NC")</f>
        <v>137748657</v>
      </c>
      <c r="O20" s="521">
        <f t="shared" si="6"/>
        <v>2110663295.0799999</v>
      </c>
      <c r="P20" s="521">
        <f t="shared" si="7"/>
        <v>6162900148.9599991</v>
      </c>
      <c r="Q20" s="523"/>
      <c r="R20" s="518" t="s">
        <v>786</v>
      </c>
      <c r="S20" s="510">
        <f t="shared" si="0"/>
        <v>0.50987776368083348</v>
      </c>
      <c r="T20" s="510">
        <f t="shared" si="0"/>
        <v>3.9060043515490424E-2</v>
      </c>
      <c r="U20" s="510">
        <f t="shared" si="0"/>
        <v>0</v>
      </c>
      <c r="V20" s="510">
        <f t="shared" si="0"/>
        <v>5.4865755054795172E-3</v>
      </c>
      <c r="W20" s="510">
        <f t="shared" si="0"/>
        <v>5.319948550445483E-2</v>
      </c>
      <c r="X20" s="510">
        <f t="shared" si="0"/>
        <v>5.4865755054795172E-3</v>
      </c>
      <c r="Y20" s="511">
        <f t="shared" si="2"/>
        <v>0.61311044371173773</v>
      </c>
      <c r="Z20" s="510">
        <f t="shared" si="1"/>
        <v>4.441065121689293E-2</v>
      </c>
      <c r="AA20" s="510">
        <f t="shared" si="1"/>
        <v>0.31752213840592941</v>
      </c>
      <c r="AB20" s="510">
        <f t="shared" si="1"/>
        <v>0</v>
      </c>
      <c r="AC20" s="510">
        <f t="shared" si="1"/>
        <v>2.6054947527763724E-3</v>
      </c>
      <c r="AD20" s="510">
        <f t="shared" si="1"/>
        <v>0</v>
      </c>
      <c r="AE20" s="510">
        <f t="shared" si="1"/>
        <v>2.235127191266361E-2</v>
      </c>
      <c r="AF20" s="519">
        <f t="shared" si="3"/>
        <v>0.34247890507136941</v>
      </c>
      <c r="AG20" s="513">
        <f t="shared" si="4"/>
        <v>1</v>
      </c>
      <c r="AH20" s="53"/>
      <c r="AI20" s="53"/>
      <c r="AJ20" s="53"/>
    </row>
    <row r="21" spans="1:36" ht="12" customHeight="1">
      <c r="A21" s="53" t="s">
        <v>787</v>
      </c>
      <c r="B21" s="520">
        <f>+GETPIVOTDATA("Sum of State Gen Purp-Old",'Amounts Pivot Table'!$A$3,"state","OK","category2","Four-Year")+GETPIVOTDATA("Sum of State Gen Purp-Old",'Amounts Pivot Table'!$A$3,"state","OK","category2","Two-Year")+GETPIVOTDATA("Sum of State Gen Purp-Old",'Amounts Pivot Table'!$A$3,"state","OK","category2","Technical")</f>
        <v>101394308</v>
      </c>
      <c r="C21" s="520">
        <f>+GETPIVOTDATA("Sum of State Ed Spec Purp-Old",'Amounts Pivot Table'!$A$3,"state","OK","category2","Four-Year")+GETPIVOTDATA("Sum of State Ed Spec Purp-Old",'Amounts Pivot Table'!$A$3,"state","OK","category2","Two-Year")+GETPIVOTDATA("Sum of State Ed Spec Purp-Old",'Amounts Pivot Table'!$A$3,"state","OK","category2","Technical")</f>
        <v>0</v>
      </c>
      <c r="D21" s="520">
        <f>+GETPIVOTDATA("Sum of State Ed Spec Purp-Old",'Amounts Pivot Table'!$A$3,"state","OK","category2","Other")</f>
        <v>0</v>
      </c>
      <c r="E21" s="520">
        <f>+GETPIVOTDATA("Sum of Other Spec Purp State-Old",'Amounts Pivot Table'!$A$3,"state","OK","category2","Specialized")</f>
        <v>0</v>
      </c>
      <c r="F21" s="520">
        <f>+GETPIVOTDATA("Sum of Health State-Old",'Amounts Pivot Table'!$A$3,"state","OK")</f>
        <v>0</v>
      </c>
      <c r="G21" s="520">
        <f>+GETPIVOTDATA("Sum of Other Spec Purp State-Old",'Amounts Pivot Table'!$A$3,"state","OK")</f>
        <v>0</v>
      </c>
      <c r="H21" s="521">
        <f t="shared" si="5"/>
        <v>101394308</v>
      </c>
      <c r="I21" s="520">
        <f>+GETPIVOTDATA("Sum of Local-Old",'Amounts Pivot Table'!$A$3,"state","OK")</f>
        <v>0</v>
      </c>
      <c r="J21" s="520">
        <f>+GETPIVOTDATA("Sum of Tuition Tot-Old",'Amounts Pivot Table'!$A$3,"state","OK","category2","Four-Year")+GETPIVOTDATA("Sum of Tuition Tot-Old",'Amounts Pivot Table'!$A$3,"state","OK","category2","Two-Year")+GETPIVOTDATA("Sum of Tuition Tot-Old",'Amounts Pivot Table'!$A$3,"state","OK","category2","Technical")</f>
        <v>25539858</v>
      </c>
      <c r="K21" s="520">
        <f>+GETPIVOTDATA("Sum of Tuition Debt-Old",'Amounts Pivot Table'!$A$3,"state","OK","category2","Four-Year")+GETPIVOTDATA("Sum of Tuition Debt-Old",'Amounts Pivot Table'!$A$3,"state","OK","category2","Two-Year")+GETPIVOTDATA("Sum of Tuition Debt-Old",'Amounts Pivot Table'!$A$3,"state","OK","category2","Technical")</f>
        <v>0</v>
      </c>
      <c r="L21" s="520">
        <f>+GETPIVOTDATA("Sum of Tuition SP Tot-Old",'Amounts Pivot Table'!$A$3,"state","OK","category2","Specialized")</f>
        <v>0</v>
      </c>
      <c r="M21" s="520">
        <f>+GETPIVOTDATA("Sum of Tuition SP Debt-Old",'Amounts Pivot Table'!$A$3,"state","OK","category2","Specialized")</f>
        <v>0</v>
      </c>
      <c r="N21" s="520">
        <f>+GETPIVOTDATA("Sum of Health Tuition-Old",'Amounts Pivot Table'!$A$3,"state","OK")</f>
        <v>0</v>
      </c>
      <c r="O21" s="521">
        <f t="shared" si="6"/>
        <v>25539858</v>
      </c>
      <c r="P21" s="521">
        <f t="shared" si="7"/>
        <v>126934166</v>
      </c>
      <c r="Q21" s="523"/>
      <c r="R21" s="518" t="s">
        <v>787</v>
      </c>
      <c r="S21" s="510">
        <f t="shared" si="0"/>
        <v>0.79879445538721228</v>
      </c>
      <c r="T21" s="510">
        <f t="shared" si="0"/>
        <v>0</v>
      </c>
      <c r="U21" s="510">
        <f t="shared" si="0"/>
        <v>0</v>
      </c>
      <c r="V21" s="510">
        <f t="shared" si="0"/>
        <v>0</v>
      </c>
      <c r="W21" s="510">
        <f t="shared" si="0"/>
        <v>0</v>
      </c>
      <c r="X21" s="510">
        <f t="shared" si="0"/>
        <v>0</v>
      </c>
      <c r="Y21" s="511">
        <f t="shared" si="2"/>
        <v>0.79879445538721228</v>
      </c>
      <c r="Z21" s="510">
        <f t="shared" si="1"/>
        <v>0</v>
      </c>
      <c r="AA21" s="510">
        <f t="shared" si="1"/>
        <v>0.2012055446127877</v>
      </c>
      <c r="AB21" s="510">
        <f t="shared" si="1"/>
        <v>0</v>
      </c>
      <c r="AC21" s="510">
        <f t="shared" si="1"/>
        <v>0</v>
      </c>
      <c r="AD21" s="510">
        <f t="shared" si="1"/>
        <v>0</v>
      </c>
      <c r="AE21" s="510">
        <f t="shared" si="1"/>
        <v>0</v>
      </c>
      <c r="AF21" s="519">
        <f t="shared" si="3"/>
        <v>0.2012055446127877</v>
      </c>
      <c r="AG21" s="513">
        <f t="shared" si="4"/>
        <v>1</v>
      </c>
      <c r="AH21" s="53"/>
      <c r="AI21" s="53"/>
      <c r="AJ21" s="53"/>
    </row>
    <row r="22" spans="1:36" ht="12" customHeight="1">
      <c r="A22" s="53" t="s">
        <v>788</v>
      </c>
      <c r="B22" s="520">
        <f>+GETPIVOTDATA("Sum of State Gen Purp-Old",'Amounts Pivot Table'!$A$3,"state","SC","category2","Four-Year")+GETPIVOTDATA("Sum of State Gen Purp-Old",'Amounts Pivot Table'!$A$3,"state","SC","category2","Two-Year")+GETPIVOTDATA("Sum of State Gen Purp-Old",'Amounts Pivot Table'!$A$3,"state","SC","category2","Technical")</f>
        <v>542291306</v>
      </c>
      <c r="C22" s="520">
        <f>+GETPIVOTDATA("Sum of State Ed Spec Purp-Old",'Amounts Pivot Table'!$A$3,"state","SC","category2","Four-Year")+GETPIVOTDATA("Sum of State Ed Spec Purp-Old",'Amounts Pivot Table'!$A$3,"state","SC","category2","Two-Year")+GETPIVOTDATA("Sum of State Ed Spec Purp-Old",'Amounts Pivot Table'!$A$3,"state","SC","category2","Technical")</f>
        <v>93668715</v>
      </c>
      <c r="D22" s="520">
        <f>+GETPIVOTDATA("Sum of State Ed Spec Purp-Old",'Amounts Pivot Table'!$A$3,"state","SC","category2","Other")</f>
        <v>0</v>
      </c>
      <c r="E22" s="520">
        <f>+GETPIVOTDATA("Sum of Other Spec Purp State-Old",'Amounts Pivot Table'!$A$3,"state","SC","category2","Specialized")</f>
        <v>0</v>
      </c>
      <c r="F22" s="520">
        <f>+GETPIVOTDATA("Sum of Health State-Old",'Amounts Pivot Table'!$A$3,"state","SC")</f>
        <v>111217522</v>
      </c>
      <c r="G22" s="520">
        <f>+GETPIVOTDATA("Sum of Other Spec Purp State-Old",'Amounts Pivot Table'!$A$3,"state","SC")</f>
        <v>0</v>
      </c>
      <c r="H22" s="521">
        <f t="shared" si="5"/>
        <v>747177543</v>
      </c>
      <c r="I22" s="520">
        <f>+GETPIVOTDATA("Sum of Local-Old",'Amounts Pivot Table'!$A$3,"state","SC")</f>
        <v>81432589</v>
      </c>
      <c r="J22" s="520">
        <f>+GETPIVOTDATA("Sum of Tuition Tot-Old",'Amounts Pivot Table'!$A$3,"state","SC","category2","Four-Year")+GETPIVOTDATA("Sum of Tuition Tot-Old",'Amounts Pivot Table'!$A$3,"state","SC","category2","Two-Year")+GETPIVOTDATA("Sum of Tuition Tot-Old",'Amounts Pivot Table'!$A$3,"state","SC","category2","Technical")</f>
        <v>2469511620</v>
      </c>
      <c r="K22" s="520">
        <f>+GETPIVOTDATA("Sum of Tuition Debt-Old",'Amounts Pivot Table'!$A$3,"state","SC","category2","Four-Year")+GETPIVOTDATA("Sum of Tuition Debt-Old",'Amounts Pivot Table'!$A$3,"state","SC","category2","Two-Year")+GETPIVOTDATA("Sum of Tuition Debt-Old",'Amounts Pivot Table'!$A$3,"state","SC","category2","Technical")</f>
        <v>83724876</v>
      </c>
      <c r="L22" s="520">
        <f>+GETPIVOTDATA("Sum of Tuition SP Tot-Old",'Amounts Pivot Table'!$A$3,"state","SC","category2","Specialized")</f>
        <v>0</v>
      </c>
      <c r="M22" s="520">
        <f>+GETPIVOTDATA("Sum of Tuition SP Debt-Old",'Amounts Pivot Table'!$A$3,"state","SC","category2","Specialized")</f>
        <v>0</v>
      </c>
      <c r="N22" s="520">
        <f>+GETPIVOTDATA("Sum of Health Tuition-Old",'Amounts Pivot Table'!$A$3,"state","SC")</f>
        <v>130521160</v>
      </c>
      <c r="O22" s="521">
        <f t="shared" si="6"/>
        <v>2516307904</v>
      </c>
      <c r="P22" s="521">
        <f t="shared" si="7"/>
        <v>3344918036</v>
      </c>
      <c r="Q22" s="523"/>
      <c r="R22" s="518" t="s">
        <v>788</v>
      </c>
      <c r="S22" s="510">
        <f t="shared" si="0"/>
        <v>0.16212394449237261</v>
      </c>
      <c r="T22" s="510">
        <f t="shared" si="0"/>
        <v>2.8003291558083489E-2</v>
      </c>
      <c r="U22" s="510">
        <f t="shared" si="0"/>
        <v>0</v>
      </c>
      <c r="V22" s="510">
        <f t="shared" si="0"/>
        <v>0</v>
      </c>
      <c r="W22" s="510">
        <f t="shared" si="0"/>
        <v>3.3249700232714459E-2</v>
      </c>
      <c r="X22" s="510">
        <f t="shared" si="0"/>
        <v>0</v>
      </c>
      <c r="Y22" s="511">
        <f t="shared" si="2"/>
        <v>0.22337693628317054</v>
      </c>
      <c r="Z22" s="510">
        <f t="shared" si="1"/>
        <v>2.4345167242836439E-2</v>
      </c>
      <c r="AA22" s="510">
        <f t="shared" si="1"/>
        <v>0.73828763318611856</v>
      </c>
      <c r="AB22" s="510">
        <f t="shared" si="1"/>
        <v>2.5030471628572963E-2</v>
      </c>
      <c r="AC22" s="510">
        <f t="shared" si="1"/>
        <v>0</v>
      </c>
      <c r="AD22" s="510">
        <f t="shared" si="1"/>
        <v>0</v>
      </c>
      <c r="AE22" s="510">
        <f t="shared" si="1"/>
        <v>3.902073491644744E-2</v>
      </c>
      <c r="AF22" s="519">
        <f t="shared" si="3"/>
        <v>0.75227789647399301</v>
      </c>
      <c r="AG22" s="513">
        <f t="shared" si="4"/>
        <v>1</v>
      </c>
      <c r="AH22" s="53"/>
      <c r="AI22" s="53"/>
      <c r="AJ22" s="53"/>
    </row>
    <row r="23" spans="1:36" s="524" customFormat="1" ht="4.5" customHeight="1">
      <c r="B23" s="525"/>
      <c r="C23" s="525"/>
      <c r="D23" s="525"/>
      <c r="E23" s="525"/>
      <c r="F23" s="525"/>
      <c r="G23" s="525"/>
      <c r="H23" s="526"/>
      <c r="I23" s="525"/>
      <c r="J23" s="525"/>
      <c r="K23" s="525"/>
      <c r="L23" s="525"/>
      <c r="M23" s="525"/>
      <c r="N23" s="525"/>
      <c r="O23" s="521"/>
      <c r="P23" s="526"/>
      <c r="Q23" s="527"/>
      <c r="S23" s="510"/>
      <c r="T23" s="510"/>
      <c r="U23" s="510"/>
      <c r="V23" s="510"/>
      <c r="W23" s="510"/>
      <c r="X23" s="510"/>
      <c r="Y23" s="511"/>
      <c r="Z23" s="510"/>
      <c r="AA23" s="510"/>
      <c r="AB23" s="510"/>
      <c r="AC23" s="510"/>
      <c r="AD23" s="510"/>
      <c r="AE23" s="510"/>
      <c r="AF23" s="519"/>
      <c r="AG23" s="513"/>
    </row>
    <row r="24" spans="1:36" ht="12" customHeight="1">
      <c r="A24" s="53" t="s">
        <v>789</v>
      </c>
      <c r="B24" s="520">
        <f>+GETPIVOTDATA("Sum of State Gen Purp-Old",'Amounts Pivot Table'!$A$3,"state","TN","category2","Four-Year")+GETPIVOTDATA("Sum of State Gen Purp-Old",'Amounts Pivot Table'!$A$3,"state","TN","category2","Two-Year")+GETPIVOTDATA("Sum of State Gen Purp-Old",'Amounts Pivot Table'!$A$3,"state","TN","category2","Technical")</f>
        <v>1203191700</v>
      </c>
      <c r="C24" s="520">
        <f>+GETPIVOTDATA("Sum of State Ed Spec Purp-Old",'Amounts Pivot Table'!$A$3,"state","TN","category2","Four-Year")+GETPIVOTDATA("Sum of State Ed Spec Purp-Old",'Amounts Pivot Table'!$A$3,"state","TN","category2","Two-Year")+GETPIVOTDATA("Sum of State Ed Spec Purp-Old",'Amounts Pivot Table'!$A$3,"state","TN","category2","Technical")</f>
        <v>92743100</v>
      </c>
      <c r="D24" s="520">
        <f>+GETPIVOTDATA("Sum of State Ed Spec Purp-Old",'Amounts Pivot Table'!$A$3,"state","TN","category2","Other")</f>
        <v>0</v>
      </c>
      <c r="E24" s="520">
        <f>+GETPIVOTDATA("Sum of Other Spec Purp State-Old",'Amounts Pivot Table'!$A$3,"state","TN","category2","Specialized")</f>
        <v>10340800</v>
      </c>
      <c r="F24" s="520">
        <f>+GETPIVOTDATA("Sum of Health State-Old",'Amounts Pivot Table'!$A$3,"state","TN")</f>
        <v>232634100</v>
      </c>
      <c r="G24" s="520">
        <f>+GETPIVOTDATA("Sum of Other Spec Purp State-Old",'Amounts Pivot Table'!$A$3,"state","TN")</f>
        <v>10340800</v>
      </c>
      <c r="H24" s="521">
        <f t="shared" si="5"/>
        <v>1549250500</v>
      </c>
      <c r="I24" s="520">
        <f>+GETPIVOTDATA("Sum of Local-Old",'Amounts Pivot Table'!$A$3,"state","TN")</f>
        <v>0</v>
      </c>
      <c r="J24" s="520">
        <f>+GETPIVOTDATA("Sum of Tuition Tot-Old",'Amounts Pivot Table'!$A$3,"state","TN","category2","Four-Year")+GETPIVOTDATA("Sum of Tuition Tot-Old",'Amounts Pivot Table'!$A$3,"state","TN","category2","Two-Year")+GETPIVOTDATA("Sum of Tuition Tot-Old",'Amounts Pivot Table'!$A$3,"state","TN","category2","Technical")</f>
        <v>1589906085</v>
      </c>
      <c r="K24" s="520">
        <f>+GETPIVOTDATA("Sum of Tuition Debt-Old",'Amounts Pivot Table'!$A$3,"state","TN","category2","Four-Year")+GETPIVOTDATA("Sum of Tuition Debt-Old",'Amounts Pivot Table'!$A$3,"state","TN","category2","Two-Year")+GETPIVOTDATA("Sum of Tuition Debt-Old",'Amounts Pivot Table'!$A$3,"state","TN","category2","Technical")</f>
        <v>44901500</v>
      </c>
      <c r="L24" s="520">
        <f>+GETPIVOTDATA("Sum of Tuition SP Tot-Old",'Amounts Pivot Table'!$A$3,"state","TN","category2","Specialized")</f>
        <v>1095000</v>
      </c>
      <c r="M24" s="520">
        <f>+GETPIVOTDATA("Sum of Tuition SP Debt-Old",'Amounts Pivot Table'!$A$3,"state","TN","category2","Specialized")</f>
        <v>0</v>
      </c>
      <c r="N24" s="520">
        <f>+GETPIVOTDATA("Sum of Health Tuition-Old",'Amounts Pivot Table'!$A$3,"state","TN")</f>
        <v>116212755</v>
      </c>
      <c r="O24" s="521">
        <f t="shared" si="6"/>
        <v>1662312340</v>
      </c>
      <c r="P24" s="521">
        <f t="shared" si="7"/>
        <v>3211562840</v>
      </c>
      <c r="Q24" s="523"/>
      <c r="R24" s="518" t="s">
        <v>789</v>
      </c>
      <c r="S24" s="510">
        <f t="shared" si="0"/>
        <v>0.37464367348328143</v>
      </c>
      <c r="T24" s="510">
        <f t="shared" si="0"/>
        <v>2.8877871808978835E-2</v>
      </c>
      <c r="U24" s="510">
        <f t="shared" si="0"/>
        <v>0</v>
      </c>
      <c r="V24" s="510">
        <f t="shared" si="0"/>
        <v>3.2198653786889627E-3</v>
      </c>
      <c r="W24" s="510">
        <f t="shared" si="0"/>
        <v>7.2436415412005448E-2</v>
      </c>
      <c r="X24" s="510">
        <f t="shared" si="0"/>
        <v>3.2198653786889627E-3</v>
      </c>
      <c r="Y24" s="511">
        <f t="shared" si="2"/>
        <v>0.48239769146164363</v>
      </c>
      <c r="Z24" s="510">
        <f t="shared" ref="Z24:AE27" si="8">IF(I24/$P24=0,,IF(I24/$P24&gt;0.0005,I24/$P24,"*"))</f>
        <v>0</v>
      </c>
      <c r="AA24" s="510">
        <f t="shared" si="8"/>
        <v>0.49505681943934809</v>
      </c>
      <c r="AB24" s="510">
        <f t="shared" si="8"/>
        <v>1.3981199259361215E-2</v>
      </c>
      <c r="AC24" s="510" t="str">
        <f t="shared" si="8"/>
        <v>*</v>
      </c>
      <c r="AD24" s="510">
        <f t="shared" si="8"/>
        <v>0</v>
      </c>
      <c r="AE24" s="510">
        <f t="shared" si="8"/>
        <v>3.6185732862695594E-2</v>
      </c>
      <c r="AF24" s="519">
        <f t="shared" si="3"/>
        <v>0.51760230853835631</v>
      </c>
      <c r="AG24" s="513">
        <f t="shared" si="4"/>
        <v>1</v>
      </c>
      <c r="AH24" s="53"/>
      <c r="AI24" s="53"/>
      <c r="AJ24" s="53"/>
    </row>
    <row r="25" spans="1:36" ht="12" customHeight="1">
      <c r="A25" s="53" t="s">
        <v>790</v>
      </c>
      <c r="B25" s="520">
        <f>+GETPIVOTDATA("Sum of State Gen Purp-Old",'Amounts Pivot Table'!$A$3,"state","TX","category2","Four-Year")+GETPIVOTDATA("Sum of State Gen Purp-Old",'Amounts Pivot Table'!$A$3,"state","TX","category2","Two-Year")+GETPIVOTDATA("Sum of State Gen Purp-Old",'Amounts Pivot Table'!$A$3,"state","TX","category2","Technical")</f>
        <v>4913399688</v>
      </c>
      <c r="C25" s="520">
        <f>+GETPIVOTDATA("Sum of State Ed Spec Purp-Old",'Amounts Pivot Table'!$A$3,"state","TX","category2","Four-Year")+GETPIVOTDATA("Sum of State Ed Spec Purp-Old",'Amounts Pivot Table'!$A$3,"state","TX","category2","Two-Year")+GETPIVOTDATA("Sum of State Ed Spec Purp-Old",'Amounts Pivot Table'!$A$3,"state","TX","category2","Technical")</f>
        <v>270626086</v>
      </c>
      <c r="D25" s="520">
        <f>+GETPIVOTDATA("Sum of State Ed Spec Purp-Old",'Amounts Pivot Table'!$A$3,"state","TX","category2","Other")</f>
        <v>0</v>
      </c>
      <c r="E25" s="520">
        <f>+GETPIVOTDATA("Sum of Other Spec Purp State-Old",'Amounts Pivot Table'!$A$3,"state","TX","category2","Specialized")</f>
        <v>0</v>
      </c>
      <c r="F25" s="520">
        <f>+GETPIVOTDATA("Sum of Health State-Old",'Amounts Pivot Table'!$A$3,"state","TX")</f>
        <v>1741917978</v>
      </c>
      <c r="G25" s="520">
        <f>+GETPIVOTDATA("Sum of Other Spec Purp State-Old",'Amounts Pivot Table'!$A$3,"state","TX")</f>
        <v>0</v>
      </c>
      <c r="H25" s="521">
        <f t="shared" si="5"/>
        <v>6925943752</v>
      </c>
      <c r="I25" s="520">
        <f>+GETPIVOTDATA("Sum of Local-Old",'Amounts Pivot Table'!$A$3,"state","TX")</f>
        <v>1973148606</v>
      </c>
      <c r="J25" s="520">
        <f>+GETPIVOTDATA("Sum of Tuition Tot-Old",'Amounts Pivot Table'!$A$3,"state","TX","category2","Four-Year")+GETPIVOTDATA("Sum of Tuition Tot-Old",'Amounts Pivot Table'!$A$3,"state","TX","category2","Two-Year")+GETPIVOTDATA("Sum of Tuition Tot-Old",'Amounts Pivot Table'!$A$3,"state","TX","category2","Technical")</f>
        <v>5438930989</v>
      </c>
      <c r="K25" s="520">
        <f>+GETPIVOTDATA("Sum of Tuition Debt-Old",'Amounts Pivot Table'!$A$3,"state","TX","category2","Four-Year")+GETPIVOTDATA("Sum of Tuition Debt-Old",'Amounts Pivot Table'!$A$3,"state","TX","category2","Two-Year")+GETPIVOTDATA("Sum of Tuition Debt-Old",'Amounts Pivot Table'!$A$3,"state","TX","category2","Technical")</f>
        <v>0</v>
      </c>
      <c r="L25" s="520">
        <f>+GETPIVOTDATA("Sum of Tuition SP Tot-Old",'Amounts Pivot Table'!$A$3,"state","TX","category2","Specialized")</f>
        <v>0</v>
      </c>
      <c r="M25" s="520">
        <f>+GETPIVOTDATA("Sum of Tuition SP Debt-Old",'Amounts Pivot Table'!$A$3,"state","TX","category2","Specialized")</f>
        <v>0</v>
      </c>
      <c r="N25" s="520">
        <f>+GETPIVOTDATA("Sum of Health Tuition-Old",'Amounts Pivot Table'!$A$3,"state","TX")</f>
        <v>342363302</v>
      </c>
      <c r="O25" s="521">
        <f t="shared" si="6"/>
        <v>5781294291</v>
      </c>
      <c r="P25" s="521">
        <f t="shared" si="7"/>
        <v>14680386649</v>
      </c>
      <c r="Q25" s="523"/>
      <c r="R25" s="518" t="s">
        <v>790</v>
      </c>
      <c r="S25" s="510">
        <f t="shared" si="0"/>
        <v>0.33469143595987588</v>
      </c>
      <c r="T25" s="510">
        <f t="shared" si="0"/>
        <v>1.8434533944542565E-2</v>
      </c>
      <c r="U25" s="510">
        <f t="shared" si="0"/>
        <v>0</v>
      </c>
      <c r="V25" s="510">
        <f t="shared" si="0"/>
        <v>0</v>
      </c>
      <c r="W25" s="510">
        <f t="shared" si="0"/>
        <v>0.11865613758331468</v>
      </c>
      <c r="X25" s="510">
        <f t="shared" si="0"/>
        <v>0</v>
      </c>
      <c r="Y25" s="511">
        <f t="shared" si="2"/>
        <v>0.47178210748773314</v>
      </c>
      <c r="Z25" s="510">
        <f t="shared" si="8"/>
        <v>0.13440712790316101</v>
      </c>
      <c r="AA25" s="510">
        <f t="shared" si="8"/>
        <v>0.37048962803513691</v>
      </c>
      <c r="AB25" s="510">
        <f t="shared" si="8"/>
        <v>0</v>
      </c>
      <c r="AC25" s="510">
        <f t="shared" si="8"/>
        <v>0</v>
      </c>
      <c r="AD25" s="510">
        <f t="shared" si="8"/>
        <v>0</v>
      </c>
      <c r="AE25" s="510">
        <f t="shared" si="8"/>
        <v>2.3321136573968993E-2</v>
      </c>
      <c r="AF25" s="519">
        <f t="shared" si="3"/>
        <v>0.39381076460910591</v>
      </c>
      <c r="AG25" s="513">
        <f t="shared" si="4"/>
        <v>1</v>
      </c>
      <c r="AH25" s="53"/>
      <c r="AI25" s="53"/>
      <c r="AJ25" s="53"/>
    </row>
    <row r="26" spans="1:36" ht="12" customHeight="1">
      <c r="A26" s="53" t="s">
        <v>791</v>
      </c>
      <c r="B26" s="520">
        <f>+GETPIVOTDATA("Sum of State Gen Purp-Old",'Amounts Pivot Table'!$A$3,"state","VA","category2","Four-Year")+GETPIVOTDATA("Sum of State Gen Purp-Old",'Amounts Pivot Table'!$A$3,"state","VA","category2","Two-Year")+GETPIVOTDATA("Sum of State Gen Purp-Old",'Amounts Pivot Table'!$A$3,"state","VA","category2","Technical")</f>
        <v>1495334477</v>
      </c>
      <c r="C26" s="520">
        <f>+GETPIVOTDATA("Sum of State Ed Spec Purp-Old",'Amounts Pivot Table'!$A$3,"state","VA","category2","Four-Year")+GETPIVOTDATA("Sum of State Ed Spec Purp-Old",'Amounts Pivot Table'!$A$3,"state","VA","category2","Two-Year")+GETPIVOTDATA("Sum of State Ed Spec Purp-Old",'Amounts Pivot Table'!$A$3,"state","VA","category2","Technical")</f>
        <v>143243774</v>
      </c>
      <c r="D26" s="520">
        <f>+GETPIVOTDATA("Sum of State Ed Spec Purp-Old",'Amounts Pivot Table'!$A$3,"state","VA","category2","Other")</f>
        <v>0</v>
      </c>
      <c r="E26" s="520">
        <f>+GETPIVOTDATA("Sum of Other Spec Purp State-Old",'Amounts Pivot Table'!$A$3,"state","VA","category2","Specialized")</f>
        <v>17811922</v>
      </c>
      <c r="F26" s="520">
        <f>+GETPIVOTDATA("Sum of Health State-Old",'Amounts Pivot Table'!$A$3,"state","VA")</f>
        <v>68054851</v>
      </c>
      <c r="G26" s="520">
        <f>+GETPIVOTDATA("Sum of Other Spec Purp State-Old",'Amounts Pivot Table'!$A$3,"state","VA")</f>
        <v>17811922</v>
      </c>
      <c r="H26" s="521">
        <f t="shared" si="5"/>
        <v>1742256946</v>
      </c>
      <c r="I26" s="520">
        <f>+GETPIVOTDATA("Sum of Local-Old",'Amounts Pivot Table'!$A$3,"state","VA")</f>
        <v>11570690.2857143</v>
      </c>
      <c r="J26" s="520">
        <f>+GETPIVOTDATA("Sum of Tuition Tot-Old",'Amounts Pivot Table'!$A$3,"state","VA","category2","Four-Year")+GETPIVOTDATA("Sum of Tuition Tot-Old",'Amounts Pivot Table'!$A$3,"state","VA","category2","Two-Year")+GETPIVOTDATA("Sum of Tuition Tot-Old",'Amounts Pivot Table'!$A$3,"state","VA","category2","Technical")</f>
        <v>3718326762.8900003</v>
      </c>
      <c r="K26" s="520">
        <f>+GETPIVOTDATA("Sum of Tuition Debt-Old",'Amounts Pivot Table'!$A$3,"state","VA","category2","Four-Year")+GETPIVOTDATA("Sum of Tuition Debt-Old",'Amounts Pivot Table'!$A$3,"state","VA","category2","Two-Year")+GETPIVOTDATA("Sum of Tuition Debt-Old",'Amounts Pivot Table'!$A$3,"state","VA","category2","Technical")</f>
        <v>26283504</v>
      </c>
      <c r="L26" s="520">
        <f>+GETPIVOTDATA("Sum of Tuition SP Tot-Old",'Amounts Pivot Table'!$A$3,"state","VA","category2","Specialized")</f>
        <v>33091605</v>
      </c>
      <c r="M26" s="520">
        <f>+GETPIVOTDATA("Sum of Tuition SP Debt-Old",'Amounts Pivot Table'!$A$3,"state","VA","category2","Specialized")</f>
        <v>400470</v>
      </c>
      <c r="N26" s="520">
        <f>+GETPIVOTDATA("Sum of Health Tuition-Old",'Amounts Pivot Table'!$A$3,"state","VA")</f>
        <v>134718654</v>
      </c>
      <c r="O26" s="521">
        <f t="shared" si="6"/>
        <v>3859453047.8900003</v>
      </c>
      <c r="P26" s="521">
        <f t="shared" si="7"/>
        <v>5613280684.1757145</v>
      </c>
      <c r="Q26" s="523"/>
      <c r="R26" s="518" t="s">
        <v>791</v>
      </c>
      <c r="S26" s="510">
        <f t="shared" si="0"/>
        <v>0.26639225100848191</v>
      </c>
      <c r="T26" s="510">
        <f t="shared" si="0"/>
        <v>2.5518726402514597E-2</v>
      </c>
      <c r="U26" s="510">
        <f t="shared" si="0"/>
        <v>0</v>
      </c>
      <c r="V26" s="510">
        <f t="shared" si="0"/>
        <v>3.1731750115780292E-3</v>
      </c>
      <c r="W26" s="510">
        <f t="shared" si="0"/>
        <v>1.2123899521335545E-2</v>
      </c>
      <c r="X26" s="510">
        <f t="shared" si="0"/>
        <v>3.1731750115780292E-3</v>
      </c>
      <c r="Y26" s="511">
        <f t="shared" si="2"/>
        <v>0.31038122695548809</v>
      </c>
      <c r="Z26" s="510">
        <f t="shared" si="8"/>
        <v>2.0613062016180657E-3</v>
      </c>
      <c r="AA26" s="510">
        <f t="shared" si="8"/>
        <v>0.66241596885975429</v>
      </c>
      <c r="AB26" s="510">
        <f t="shared" si="8"/>
        <v>4.6823783592534916E-3</v>
      </c>
      <c r="AC26" s="510">
        <f t="shared" si="8"/>
        <v>5.8952343311974176E-3</v>
      </c>
      <c r="AD26" s="510" t="str">
        <f t="shared" si="8"/>
        <v>*</v>
      </c>
      <c r="AE26" s="510">
        <f t="shared" si="8"/>
        <v>2.3999985316925737E-2</v>
      </c>
      <c r="AF26" s="519">
        <f t="shared" si="3"/>
        <v>0.68755746684289387</v>
      </c>
      <c r="AG26" s="513">
        <f t="shared" si="4"/>
        <v>1</v>
      </c>
      <c r="AH26" s="53"/>
      <c r="AI26" s="53"/>
      <c r="AJ26" s="53"/>
    </row>
    <row r="27" spans="1:36" ht="12" customHeight="1">
      <c r="A27" s="284" t="s">
        <v>792</v>
      </c>
      <c r="B27" s="520">
        <f>+GETPIVOTDATA("Sum of State Gen Purp-Old",'Amounts Pivot Table'!$A$3,"state","WV","category2","Four-Year")+GETPIVOTDATA("Sum of State Gen Purp-Old",'Amounts Pivot Table'!$A$3,"state","WV","category2","Two-Year")+GETPIVOTDATA("Sum of State Gen Purp-Old",'Amounts Pivot Table'!$A$3,"state","WV","category2","Technical")</f>
        <v>268515721.63999999</v>
      </c>
      <c r="C27" s="520">
        <f>+GETPIVOTDATA("Sum of State Ed Spec Purp-Old",'Amounts Pivot Table'!$A$3,"state","WV","category2","Four-Year")+GETPIVOTDATA("Sum of State Ed Spec Purp-Old",'Amounts Pivot Table'!$A$3,"state","WV","category2","Two-Year")+GETPIVOTDATA("Sum of State Ed Spec Purp-Old",'Amounts Pivot Table'!$A$3,"state","WV","category2","Technical")</f>
        <v>43232463</v>
      </c>
      <c r="D27" s="520">
        <f>+GETPIVOTDATA("Sum of State Ed Spec Purp-Old",'Amounts Pivot Table'!$A$3,"state","WV","category2","Other")</f>
        <v>0</v>
      </c>
      <c r="E27" s="520">
        <f>+GETPIVOTDATA("Sum of Other Spec Purp State-Old",'Amounts Pivot Table'!$A$3,"state","WV","category2","Specialized")</f>
        <v>0</v>
      </c>
      <c r="F27" s="520">
        <f>+GETPIVOTDATA("Sum of Health State-Old",'Amounts Pivot Table'!$A$3,"state","WV")</f>
        <v>96228079</v>
      </c>
      <c r="G27" s="520">
        <f>+GETPIVOTDATA("Sum of Other Spec Purp State-Old",'Amounts Pivot Table'!$A$3,"state","WV")</f>
        <v>0</v>
      </c>
      <c r="H27" s="521">
        <f t="shared" si="5"/>
        <v>407976263.63999999</v>
      </c>
      <c r="I27" s="520">
        <f>+GETPIVOTDATA("Sum of Local-Old",'Amounts Pivot Table'!$A$3,"state","WV")</f>
        <v>0</v>
      </c>
      <c r="J27" s="520">
        <f>+GETPIVOTDATA("Sum of Tuition Tot-Old",'Amounts Pivot Table'!$A$3,"state","WV","category2","Four-Year")+GETPIVOTDATA("Sum of Tuition Tot-Old",'Amounts Pivot Table'!$A$3,"state","WV","category2","Two-Year")+GETPIVOTDATA("Sum of Tuition Tot-Old",'Amounts Pivot Table'!$A$3,"state","WV","category2","Technical")</f>
        <v>716313545</v>
      </c>
      <c r="K27" s="520">
        <f>+GETPIVOTDATA("Sum of Tuition Debt-Old",'Amounts Pivot Table'!$A$3,"state","WV","category2","Four-Year")+GETPIVOTDATA("Sum of Tuition Debt-Old",'Amounts Pivot Table'!$A$3,"state","WV","category2","Two-Year")+GETPIVOTDATA("Sum of Tuition Debt-Old",'Amounts Pivot Table'!$A$3,"state","WV","category2","Technical")</f>
        <v>13100854</v>
      </c>
      <c r="L27" s="520">
        <f>+GETPIVOTDATA("Sum of Tuition SP Tot-Old",'Amounts Pivot Table'!$A$3,"state","WV","category2","Specialized")</f>
        <v>0</v>
      </c>
      <c r="M27" s="520">
        <f>+GETPIVOTDATA("Sum of Tuition SP Debt-Old",'Amounts Pivot Table'!$A$3,"state","WV","category2","Specialized")</f>
        <v>0</v>
      </c>
      <c r="N27" s="520">
        <f>+GETPIVOTDATA("Sum of Health Tuition-Old",'Amounts Pivot Table'!$A$3,"state","WV")</f>
        <v>139237027</v>
      </c>
      <c r="O27" s="521">
        <f t="shared" si="6"/>
        <v>842449718</v>
      </c>
      <c r="P27" s="521">
        <f t="shared" si="7"/>
        <v>1250425981.6399999</v>
      </c>
      <c r="Q27" s="528"/>
      <c r="R27" s="529" t="s">
        <v>792</v>
      </c>
      <c r="S27" s="530">
        <f t="shared" si="0"/>
        <v>0.21473939727949942</v>
      </c>
      <c r="T27" s="530">
        <f t="shared" si="0"/>
        <v>3.4574188024546912E-2</v>
      </c>
      <c r="U27" s="530">
        <f t="shared" si="0"/>
        <v>0</v>
      </c>
      <c r="V27" s="530">
        <f t="shared" si="0"/>
        <v>0</v>
      </c>
      <c r="W27" s="530">
        <f t="shared" si="0"/>
        <v>7.6956237644543971E-2</v>
      </c>
      <c r="X27" s="530">
        <f t="shared" si="0"/>
        <v>0</v>
      </c>
      <c r="Y27" s="531">
        <f t="shared" si="2"/>
        <v>0.3262698229485903</v>
      </c>
      <c r="Z27" s="532">
        <f t="shared" si="8"/>
        <v>0</v>
      </c>
      <c r="AA27" s="532">
        <f t="shared" si="8"/>
        <v>0.57285561522043627</v>
      </c>
      <c r="AB27" s="532">
        <f t="shared" si="8"/>
        <v>1.0477112753861317E-2</v>
      </c>
      <c r="AC27" s="532">
        <f t="shared" si="8"/>
        <v>0</v>
      </c>
      <c r="AD27" s="532">
        <f t="shared" si="8"/>
        <v>0</v>
      </c>
      <c r="AE27" s="532">
        <f t="shared" si="8"/>
        <v>0.1113516745848349</v>
      </c>
      <c r="AF27" s="533">
        <f t="shared" si="3"/>
        <v>0.67373017705140981</v>
      </c>
      <c r="AG27" s="534">
        <f t="shared" si="4"/>
        <v>1</v>
      </c>
      <c r="AH27" s="53"/>
      <c r="AI27" s="53"/>
      <c r="AJ27" s="53"/>
    </row>
    <row r="28" spans="1:36" s="77" customFormat="1" ht="24" customHeight="1">
      <c r="A28" s="1242" t="s">
        <v>1004</v>
      </c>
      <c r="B28" s="1243"/>
      <c r="C28" s="1243"/>
      <c r="D28" s="1243"/>
      <c r="E28" s="1243"/>
      <c r="F28" s="1243"/>
      <c r="G28" s="1243"/>
      <c r="H28" s="1243"/>
      <c r="I28" s="1243"/>
      <c r="J28" s="1243"/>
      <c r="K28" s="1243"/>
      <c r="L28" s="1243"/>
      <c r="M28" s="1243"/>
      <c r="N28" s="1243"/>
      <c r="O28" s="1243"/>
      <c r="P28" s="1243"/>
      <c r="Q28" s="535"/>
      <c r="R28" s="1244" t="s">
        <v>1005</v>
      </c>
      <c r="S28" s="1245"/>
      <c r="T28" s="1245"/>
      <c r="U28" s="1245"/>
      <c r="V28" s="1245"/>
      <c r="W28" s="1245"/>
      <c r="X28" s="1245"/>
      <c r="Y28" s="1245"/>
      <c r="Z28" s="1245"/>
      <c r="AA28" s="1245"/>
      <c r="AB28" s="1245"/>
      <c r="AC28" s="1245"/>
      <c r="AD28" s="1245"/>
      <c r="AE28" s="1245"/>
      <c r="AF28" s="1245"/>
      <c r="AG28" s="1245"/>
      <c r="AH28" s="369"/>
      <c r="AI28" s="369"/>
      <c r="AJ28" s="369"/>
    </row>
    <row r="29" spans="1:36" s="77" customFormat="1" ht="12.75" customHeight="1">
      <c r="A29" s="1244" t="s">
        <v>1006</v>
      </c>
      <c r="B29" s="1245"/>
      <c r="C29" s="1245"/>
      <c r="D29" s="1245"/>
      <c r="E29" s="1245"/>
      <c r="F29" s="1245"/>
      <c r="G29" s="1245"/>
      <c r="H29" s="1245"/>
      <c r="I29" s="1245"/>
      <c r="J29" s="1245"/>
      <c r="K29" s="1245"/>
      <c r="L29" s="1245"/>
      <c r="M29" s="1245"/>
      <c r="N29" s="1245"/>
      <c r="O29" s="1245"/>
      <c r="P29" s="1245"/>
      <c r="Q29" s="535"/>
      <c r="R29" s="1244" t="s">
        <v>1006</v>
      </c>
      <c r="S29" s="1245"/>
      <c r="T29" s="1245"/>
      <c r="U29" s="1245"/>
      <c r="V29" s="1245"/>
      <c r="W29" s="1245"/>
      <c r="X29" s="1245"/>
      <c r="Y29" s="1245"/>
      <c r="Z29" s="1245"/>
      <c r="AA29" s="1245"/>
      <c r="AB29" s="1245"/>
      <c r="AC29" s="1245"/>
      <c r="AD29" s="1245"/>
      <c r="AE29" s="1245"/>
      <c r="AF29" s="1245"/>
      <c r="AG29" s="1245"/>
      <c r="AH29" s="369"/>
      <c r="AI29" s="369"/>
      <c r="AJ29" s="369"/>
    </row>
    <row r="30" spans="1:36" s="77" customFormat="1" ht="13.5" customHeight="1">
      <c r="A30" s="1244" t="s">
        <v>1007</v>
      </c>
      <c r="B30" s="1245"/>
      <c r="C30" s="1245"/>
      <c r="D30" s="1245"/>
      <c r="E30" s="1245"/>
      <c r="F30" s="1245"/>
      <c r="G30" s="1245"/>
      <c r="H30" s="1245"/>
      <c r="I30" s="1245"/>
      <c r="J30" s="1245"/>
      <c r="K30" s="1245"/>
      <c r="L30" s="1245"/>
      <c r="M30" s="1245"/>
      <c r="N30" s="1245"/>
      <c r="O30" s="1245"/>
      <c r="P30" s="1245"/>
      <c r="Q30" s="535"/>
      <c r="R30" s="1244" t="s">
        <v>1008</v>
      </c>
      <c r="S30" s="1245"/>
      <c r="T30" s="1245"/>
      <c r="U30" s="1245"/>
      <c r="V30" s="1245"/>
      <c r="W30" s="1245"/>
      <c r="X30" s="1245"/>
      <c r="Y30" s="1245"/>
      <c r="Z30" s="1245"/>
      <c r="AA30" s="1245"/>
      <c r="AB30" s="1245"/>
      <c r="AC30" s="1245"/>
      <c r="AD30" s="1245"/>
      <c r="AE30" s="1245"/>
      <c r="AF30" s="1245"/>
      <c r="AG30" s="1245"/>
      <c r="AH30" s="396"/>
      <c r="AI30" s="396"/>
      <c r="AJ30" s="396"/>
    </row>
    <row r="31" spans="1:36" s="77" customFormat="1">
      <c r="A31" s="1244" t="s">
        <v>1009</v>
      </c>
      <c r="B31" s="1245"/>
      <c r="C31" s="1245"/>
      <c r="D31" s="1245"/>
      <c r="E31" s="1245"/>
      <c r="F31" s="1245"/>
      <c r="G31" s="1245"/>
      <c r="H31" s="1245"/>
      <c r="I31" s="1245"/>
      <c r="J31" s="1245"/>
      <c r="K31" s="1245"/>
      <c r="L31" s="1245"/>
      <c r="M31" s="1245"/>
      <c r="N31" s="1245"/>
      <c r="O31" s="1245"/>
      <c r="P31" s="1245"/>
      <c r="Q31" s="535"/>
      <c r="R31" s="1244" t="s">
        <v>1009</v>
      </c>
      <c r="S31" s="1245"/>
      <c r="T31" s="1245"/>
      <c r="U31" s="1245"/>
      <c r="V31" s="1245"/>
      <c r="W31" s="1245"/>
      <c r="X31" s="1245"/>
      <c r="Y31" s="1245"/>
      <c r="Z31" s="1245"/>
      <c r="AA31" s="1245"/>
      <c r="AB31" s="1245"/>
      <c r="AC31" s="1245"/>
      <c r="AD31" s="1245"/>
      <c r="AE31" s="1245"/>
      <c r="AF31" s="1245"/>
      <c r="AG31" s="1245"/>
      <c r="AH31" s="369"/>
      <c r="AI31" s="369"/>
      <c r="AJ31" s="369"/>
    </row>
    <row r="32" spans="1:36" s="77" customFormat="1">
      <c r="A32" s="1244" t="s">
        <v>1010</v>
      </c>
      <c r="B32" s="1245"/>
      <c r="C32" s="1245"/>
      <c r="D32" s="1245"/>
      <c r="E32" s="1245"/>
      <c r="F32" s="1245"/>
      <c r="G32" s="1245"/>
      <c r="H32" s="1245"/>
      <c r="I32" s="1245"/>
      <c r="J32" s="1245"/>
      <c r="K32" s="1245"/>
      <c r="L32" s="1245"/>
      <c r="M32" s="1245"/>
      <c r="N32" s="1245"/>
      <c r="O32" s="1245"/>
      <c r="P32" s="1245"/>
      <c r="Q32" s="535"/>
      <c r="R32" s="1244" t="s">
        <v>1010</v>
      </c>
      <c r="S32" s="1245"/>
      <c r="T32" s="1245"/>
      <c r="U32" s="1245"/>
      <c r="V32" s="1245"/>
      <c r="W32" s="1245"/>
      <c r="X32" s="1245"/>
      <c r="Y32" s="1245"/>
      <c r="Z32" s="1245"/>
      <c r="AA32" s="1245"/>
      <c r="AB32" s="1245"/>
      <c r="AC32" s="1245"/>
      <c r="AD32" s="1245"/>
      <c r="AE32" s="1245"/>
      <c r="AF32" s="1245"/>
      <c r="AG32" s="1245"/>
      <c r="AH32" s="369"/>
      <c r="AI32" s="369"/>
      <c r="AJ32" s="369"/>
    </row>
    <row r="33" spans="1:36" s="77" customFormat="1">
      <c r="A33" s="368"/>
      <c r="B33" s="369"/>
      <c r="C33" s="369"/>
      <c r="D33" s="369"/>
      <c r="E33" s="369"/>
      <c r="F33" s="369"/>
      <c r="G33" s="369"/>
      <c r="H33" s="369"/>
      <c r="I33" s="369"/>
      <c r="J33" s="369"/>
      <c r="K33" s="369"/>
      <c r="L33" s="369"/>
      <c r="M33" s="369"/>
      <c r="N33" s="369"/>
      <c r="O33" s="369"/>
      <c r="P33" s="369"/>
      <c r="Q33" s="535"/>
      <c r="R33" s="405" t="s">
        <v>1011</v>
      </c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H33" s="369"/>
      <c r="AI33" s="369"/>
      <c r="AJ33" s="369"/>
    </row>
    <row r="34" spans="1:36">
      <c r="AG34" s="370" t="s">
        <v>1814</v>
      </c>
    </row>
  </sheetData>
  <mergeCells count="28">
    <mergeCell ref="A30:P30"/>
    <mergeCell ref="R30:AG30"/>
    <mergeCell ref="A31:P31"/>
    <mergeCell ref="R31:AG31"/>
    <mergeCell ref="A32:P32"/>
    <mergeCell ref="R32:AG32"/>
    <mergeCell ref="A28:P28"/>
    <mergeCell ref="R28:AG28"/>
    <mergeCell ref="A29:P29"/>
    <mergeCell ref="R29:AG29"/>
    <mergeCell ref="X5:X6"/>
    <mergeCell ref="Y5:Y6"/>
    <mergeCell ref="Z5:Z6"/>
    <mergeCell ref="AA5:AB5"/>
    <mergeCell ref="AC5:AD5"/>
    <mergeCell ref="AE5:AE6"/>
    <mergeCell ref="R1:AG1"/>
    <mergeCell ref="R2:AG2"/>
    <mergeCell ref="R3:AG3"/>
    <mergeCell ref="B5:B6"/>
    <mergeCell ref="C5:C6"/>
    <mergeCell ref="S5:S6"/>
    <mergeCell ref="T5:T6"/>
    <mergeCell ref="U5:U6"/>
    <mergeCell ref="V5:V6"/>
    <mergeCell ref="W5:W6"/>
    <mergeCell ref="AF5:AF6"/>
    <mergeCell ref="AG5:AG6"/>
  </mergeCells>
  <printOptions horizontalCentered="1"/>
  <pageMargins left="0.25" right="0.25" top="0.7" bottom="0.25" header="0.75" footer="0.25"/>
  <pageSetup scale="82" firstPageNumber="116" orientation="landscape" useFirstPageNumber="1" r:id="rId1"/>
  <headerFooter alignWithMargins="0">
    <oddHeader>&amp;R&amp;"Arial,Regular"&amp;8SREB-State Data Exchange</oddHeader>
    <oddFooter xml:space="preserve">&amp;C&amp;"Arial,Regular"C-&amp;P&amp;R&amp;"Arial,Regular"&amp;8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1E40C-66D2-4BF5-A2A1-09D5CF7C0F50}">
  <sheetPr codeName="Sheet8">
    <tabColor indexed="16"/>
  </sheetPr>
  <dimension ref="A1:AD549"/>
  <sheetViews>
    <sheetView showZeros="0" view="pageBreakPreview" zoomScaleNormal="100" zoomScaleSheetLayoutView="100" workbookViewId="0">
      <selection activeCell="F28" sqref="F28"/>
    </sheetView>
  </sheetViews>
  <sheetFormatPr defaultColWidth="7.84375" defaultRowHeight="12.5"/>
  <cols>
    <col min="1" max="1" width="10.765625" style="77" customWidth="1"/>
    <col min="2" max="2" width="10.3046875" style="77" bestFit="1" customWidth="1"/>
    <col min="3" max="3" width="10.07421875" style="77" customWidth="1"/>
    <col min="4" max="4" width="8.07421875" style="77" customWidth="1"/>
    <col min="5" max="5" width="8.84375" style="77" customWidth="1"/>
    <col min="6" max="6" width="8.23046875" style="77" customWidth="1"/>
    <col min="7" max="7" width="9.07421875" style="77" customWidth="1"/>
    <col min="8" max="8" width="9.23046875" style="77" customWidth="1"/>
    <col min="9" max="9" width="9.69140625" style="77" customWidth="1"/>
    <col min="10" max="10" width="8.23046875" style="77" customWidth="1"/>
    <col min="11" max="11" width="7.69140625" style="77" customWidth="1"/>
    <col min="12" max="12" width="2.23046875" style="77" customWidth="1"/>
    <col min="13" max="13" width="9.84375" style="466" customWidth="1"/>
    <col min="14" max="16" width="9.69140625" style="77" customWidth="1"/>
    <col min="17" max="17" width="9.53515625" style="77" customWidth="1"/>
    <col min="18" max="18" width="12.23046875" style="77" customWidth="1"/>
    <col min="19" max="20" width="12.07421875" style="77" customWidth="1"/>
    <col min="21" max="21" width="8.23046875" style="77" customWidth="1"/>
    <col min="22" max="22" width="7.3046875" style="77" customWidth="1"/>
    <col min="23" max="23" width="7.84375" style="77" customWidth="1"/>
    <col min="24" max="24" width="8" style="77" customWidth="1"/>
    <col min="25" max="26" width="11.84375" style="77" bestFit="1" customWidth="1"/>
    <col min="27" max="29" width="12.53515625" style="77" customWidth="1"/>
    <col min="30" max="30" width="12.23046875" style="77" customWidth="1"/>
    <col min="31" max="16384" width="7.84375" style="77"/>
  </cols>
  <sheetData>
    <row r="1" spans="1:29" s="339" customFormat="1" ht="18">
      <c r="A1" s="336" t="s">
        <v>919</v>
      </c>
      <c r="B1" s="224"/>
      <c r="C1" s="224"/>
      <c r="D1" s="224"/>
      <c r="E1" s="224"/>
      <c r="F1" s="224"/>
      <c r="G1" s="224"/>
      <c r="H1" s="224"/>
      <c r="I1" s="224"/>
      <c r="J1" s="224" t="s">
        <v>421</v>
      </c>
      <c r="K1" s="224"/>
      <c r="L1" s="337"/>
      <c r="M1" s="412"/>
    </row>
    <row r="2" spans="1:29" s="339" customFormat="1" ht="10.5" customHeight="1">
      <c r="A2" s="336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337"/>
      <c r="M2" s="412"/>
    </row>
    <row r="3" spans="1:29" s="339" customFormat="1" ht="17.5">
      <c r="A3" s="1228" t="s">
        <v>920</v>
      </c>
      <c r="B3" s="1228"/>
      <c r="C3" s="1228"/>
      <c r="D3" s="1228"/>
      <c r="E3" s="1228"/>
      <c r="F3" s="1228"/>
      <c r="G3" s="1228"/>
      <c r="H3" s="1228"/>
      <c r="I3" s="1228"/>
      <c r="J3" s="224"/>
      <c r="K3" s="224"/>
      <c r="L3" s="337"/>
      <c r="M3" s="412"/>
    </row>
    <row r="4" spans="1:29" s="339" customFormat="1" ht="15.5">
      <c r="A4" s="341" t="s">
        <v>1749</v>
      </c>
      <c r="B4" s="341"/>
      <c r="C4" s="341"/>
      <c r="D4" s="341"/>
      <c r="E4" s="341"/>
      <c r="F4" s="341"/>
      <c r="G4" s="341"/>
      <c r="H4" s="341"/>
      <c r="I4" s="341"/>
      <c r="J4" s="224" t="s">
        <v>421</v>
      </c>
      <c r="K4" s="341"/>
      <c r="L4" s="342"/>
      <c r="M4" s="413"/>
      <c r="O4" s="414" t="s">
        <v>954</v>
      </c>
      <c r="Y4" s="415" t="s">
        <v>955</v>
      </c>
    </row>
    <row r="5" spans="1:29" s="287" customFormat="1" ht="7.5" customHeight="1">
      <c r="A5" s="226"/>
      <c r="B5" s="226"/>
      <c r="C5" s="226"/>
      <c r="D5" s="226"/>
      <c r="E5" s="226"/>
      <c r="F5" s="226"/>
      <c r="G5" s="290"/>
      <c r="H5" s="226"/>
      <c r="I5" s="226"/>
      <c r="J5" s="343"/>
      <c r="K5" s="226"/>
      <c r="L5" s="344"/>
      <c r="M5" s="413"/>
      <c r="O5" s="414"/>
    </row>
    <row r="6" spans="1:29" ht="15.5">
      <c r="A6" s="346"/>
      <c r="B6" s="1264" t="s">
        <v>922</v>
      </c>
      <c r="C6" s="1264"/>
      <c r="D6" s="1264"/>
      <c r="E6" s="1265"/>
      <c r="F6" s="1266" t="s">
        <v>923</v>
      </c>
      <c r="G6" s="1264"/>
      <c r="H6" s="1264"/>
      <c r="I6" s="1264"/>
      <c r="J6" s="77" t="s">
        <v>421</v>
      </c>
      <c r="L6" s="347"/>
      <c r="M6" s="417" t="s">
        <v>956</v>
      </c>
      <c r="O6" s="418" t="s">
        <v>957</v>
      </c>
      <c r="P6" s="418"/>
      <c r="Q6" s="419"/>
      <c r="R6" s="418" t="s">
        <v>958</v>
      </c>
      <c r="S6" s="418"/>
      <c r="T6" s="419"/>
      <c r="U6" s="418" t="s">
        <v>959</v>
      </c>
      <c r="V6" s="418"/>
      <c r="W6" s="418"/>
      <c r="Y6" s="277"/>
    </row>
    <row r="7" spans="1:29" s="53" customFormat="1" ht="50.25" customHeight="1">
      <c r="A7" s="243"/>
      <c r="B7" s="420" t="s">
        <v>6</v>
      </c>
      <c r="C7" s="421" t="s">
        <v>7</v>
      </c>
      <c r="D7" s="421" t="s">
        <v>960</v>
      </c>
      <c r="E7" s="421" t="s">
        <v>768</v>
      </c>
      <c r="F7" s="422" t="s">
        <v>6</v>
      </c>
      <c r="G7" s="421" t="s">
        <v>7</v>
      </c>
      <c r="H7" s="421" t="s">
        <v>960</v>
      </c>
      <c r="I7" s="421" t="s">
        <v>768</v>
      </c>
      <c r="J7" s="349"/>
      <c r="L7" s="350"/>
      <c r="M7" s="423" t="s">
        <v>961</v>
      </c>
      <c r="N7" s="424" t="s">
        <v>921</v>
      </c>
      <c r="O7" s="425" t="s">
        <v>20</v>
      </c>
      <c r="P7" s="426" t="s">
        <v>962</v>
      </c>
      <c r="Q7" s="426" t="s">
        <v>768</v>
      </c>
      <c r="R7" s="425" t="s">
        <v>20</v>
      </c>
      <c r="S7" s="426" t="s">
        <v>962</v>
      </c>
      <c r="T7" s="426" t="s">
        <v>768</v>
      </c>
      <c r="U7" s="425" t="s">
        <v>20</v>
      </c>
      <c r="V7" s="426" t="s">
        <v>962</v>
      </c>
      <c r="W7" s="426" t="s">
        <v>768</v>
      </c>
      <c r="X7" s="426"/>
      <c r="Y7" s="284"/>
      <c r="Z7" s="244" t="s">
        <v>6</v>
      </c>
      <c r="AA7" s="245" t="s">
        <v>7</v>
      </c>
      <c r="AB7" s="245" t="s">
        <v>924</v>
      </c>
      <c r="AC7" s="245" t="s">
        <v>768</v>
      </c>
    </row>
    <row r="8" spans="1:29" ht="16.5" customHeight="1">
      <c r="A8" s="77" t="s">
        <v>925</v>
      </c>
      <c r="B8" s="352">
        <f>IF($M8&gt;0,('Amounts Pivot Table'!I$631/$M8),0)</f>
        <v>6523.8169440944985</v>
      </c>
      <c r="C8" s="352">
        <f>IF($M8&gt;0,('Amounts Pivot Table'!I$634/$M8),0)</f>
        <v>627.19873844565632</v>
      </c>
      <c r="D8" s="352">
        <f>IF($M8&gt;0,('Amounts Pivot Table'!I$640/$M8),0)</f>
        <v>11064.521783295411</v>
      </c>
      <c r="E8" s="352">
        <f>SUM(B8:D8)</f>
        <v>18215.537465835565</v>
      </c>
      <c r="F8" s="353"/>
      <c r="G8" s="354"/>
      <c r="H8" s="354"/>
      <c r="I8" s="354"/>
      <c r="J8" s="355"/>
      <c r="L8" s="356"/>
      <c r="M8" s="427">
        <v>2186121.8110833331</v>
      </c>
      <c r="N8" s="428">
        <v>2157832.0085</v>
      </c>
      <c r="O8" s="429">
        <f>+B8+C8</f>
        <v>7151.0156825401546</v>
      </c>
      <c r="P8" s="430">
        <f>+D8</f>
        <v>11064.521783295411</v>
      </c>
      <c r="Q8" s="430">
        <f>+E8</f>
        <v>18215.537465835565</v>
      </c>
      <c r="R8" s="431">
        <f>IF($N8&gt;0,(('Amounts Pivot Table'!I$630+'Amounts Pivot Table'!I$633)/$N8),0)</f>
        <v>7213.780508131711</v>
      </c>
      <c r="S8" s="432">
        <f>IF($N8&gt;0,('Amounts Pivot Table'!I$639/$N8),0)</f>
        <v>11016.681331265923</v>
      </c>
      <c r="T8" s="432">
        <f>+S8+R8</f>
        <v>18230.461839397634</v>
      </c>
      <c r="U8" s="433">
        <f>(O8-R8)/R8</f>
        <v>-8.7006841309913742E-3</v>
      </c>
      <c r="V8" s="434">
        <f>(P8-S8)/S8</f>
        <v>4.3425465973781305E-3</v>
      </c>
      <c r="W8" s="434">
        <f>(Q8-T8)/T8</f>
        <v>-8.1865032787137022E-4</v>
      </c>
      <c r="X8" s="267"/>
      <c r="Y8" s="77" t="s">
        <v>925</v>
      </c>
      <c r="Z8" s="77">
        <f>B8*$M8</f>
        <v>14261858513</v>
      </c>
      <c r="AA8" s="77">
        <f>C8*$M8</f>
        <v>1371132842</v>
      </c>
      <c r="AB8" s="77">
        <f>D8*$M8</f>
        <v>24188392399.668755</v>
      </c>
      <c r="AC8" s="77">
        <f>E8*$M8</f>
        <v>39821383754.668755</v>
      </c>
    </row>
    <row r="9" spans="1:29" ht="9" customHeight="1">
      <c r="B9" s="352"/>
      <c r="C9" s="352"/>
      <c r="D9" s="352"/>
      <c r="E9" s="352"/>
      <c r="F9" s="353"/>
      <c r="G9" s="354"/>
      <c r="H9" s="354"/>
      <c r="I9" s="354"/>
      <c r="J9" s="355"/>
      <c r="L9" s="356"/>
      <c r="M9" s="427"/>
      <c r="N9" s="428"/>
      <c r="O9" s="429"/>
      <c r="P9" s="430"/>
      <c r="Q9" s="430"/>
      <c r="R9" s="429"/>
      <c r="S9" s="430"/>
      <c r="T9" s="432"/>
      <c r="U9" s="435"/>
      <c r="V9" s="436"/>
      <c r="W9" s="436"/>
      <c r="X9" s="267"/>
    </row>
    <row r="10" spans="1:29">
      <c r="A10" s="77" t="s">
        <v>777</v>
      </c>
      <c r="B10" s="1146">
        <f>IF($M10&gt;0,('Amounts Pivot Table'!I$7/$M10),0)</f>
        <v>5541.8679431237924</v>
      </c>
      <c r="C10" s="1146">
        <f>IF($M10&gt;0,('Amounts Pivot Table'!I$10/$M10),0)</f>
        <v>672.72231624749168</v>
      </c>
      <c r="D10" s="1146">
        <f>IF($M10&gt;0,('Amounts Pivot Table'!I$16/$M10),0)</f>
        <v>14798.516735035268</v>
      </c>
      <c r="E10" s="1146">
        <f>SUM(B10:D10)</f>
        <v>21013.106994406553</v>
      </c>
      <c r="F10" s="1309">
        <f t="shared" ref="F10:I13" si="0">IF(B10&gt;0,RANK(B10,B$10:B$28),)</f>
        <v>10</v>
      </c>
      <c r="G10" s="1310">
        <f t="shared" si="0"/>
        <v>8</v>
      </c>
      <c r="H10" s="1310">
        <f t="shared" si="0"/>
        <v>4</v>
      </c>
      <c r="I10" s="1310">
        <f t="shared" si="0"/>
        <v>6</v>
      </c>
      <c r="J10" s="288"/>
      <c r="L10" s="356"/>
      <c r="M10" s="427">
        <v>144646.89166666666</v>
      </c>
      <c r="N10" s="428">
        <v>143682.71666666667</v>
      </c>
      <c r="O10" s="429">
        <f t="shared" ref="O10:O28" si="1">+B10+C10</f>
        <v>6214.5902593712844</v>
      </c>
      <c r="P10" s="430">
        <f t="shared" ref="P10:Q28" si="2">+D10</f>
        <v>14798.516735035268</v>
      </c>
      <c r="Q10" s="430">
        <f t="shared" si="2"/>
        <v>21013.106994406553</v>
      </c>
      <c r="R10" s="437">
        <f>IF($N10&gt;0,(('Amounts Pivot Table'!I$6+'Amounts Pivot Table'!I$9)/$N10),0)</f>
        <v>6066.4142578967103</v>
      </c>
      <c r="S10" s="432">
        <f>IF($N10&gt;0,('Amounts Pivot Table'!I$15/$N10),0)</f>
        <v>15325.603302090496</v>
      </c>
      <c r="T10" s="432">
        <f t="shared" ref="T10:T28" si="3">+S10+R10</f>
        <v>21392.017559987205</v>
      </c>
      <c r="U10" s="438">
        <f t="shared" ref="U10:W28" si="4">(O10-R10)/R10</f>
        <v>2.4425631876638165E-2</v>
      </c>
      <c r="V10" s="434">
        <f t="shared" si="4"/>
        <v>-3.4392549295813431E-2</v>
      </c>
      <c r="W10" s="434">
        <f t="shared" si="4"/>
        <v>-1.771270823418673E-2</v>
      </c>
      <c r="X10" s="267"/>
      <c r="Y10" s="77" t="s">
        <v>777</v>
      </c>
      <c r="Z10" s="77">
        <f t="shared" ref="Z10:AC28" si="5">B10*$M10</f>
        <v>801613972</v>
      </c>
      <c r="AA10" s="77">
        <f t="shared" si="5"/>
        <v>97307192</v>
      </c>
      <c r="AB10" s="77">
        <f t="shared" si="5"/>
        <v>2140559447</v>
      </c>
      <c r="AC10" s="77">
        <f t="shared" si="5"/>
        <v>3039480611</v>
      </c>
    </row>
    <row r="11" spans="1:29">
      <c r="A11" s="77" t="s">
        <v>778</v>
      </c>
      <c r="B11" s="1146">
        <f>IF($M11&gt;0,('Amounts Pivot Table'!I$46/$M11),0)</f>
        <v>5825.7324303234809</v>
      </c>
      <c r="C11" s="1146">
        <f>IF($M11&gt;0,('Amounts Pivot Table'!I$49/$M11),0)</f>
        <v>1269.3763819999551</v>
      </c>
      <c r="D11" s="1146">
        <f>IF($M11&gt;0,('Amounts Pivot Table'!I$55/$M11),0)</f>
        <v>10333.801351407807</v>
      </c>
      <c r="E11" s="1146">
        <f t="shared" ref="E11:E28" si="6">SUM(B11:D11)</f>
        <v>17428.910163731241</v>
      </c>
      <c r="F11" s="1309">
        <f t="shared" si="0"/>
        <v>8</v>
      </c>
      <c r="G11" s="1310">
        <f t="shared" si="0"/>
        <v>2</v>
      </c>
      <c r="H11" s="1310">
        <f t="shared" si="0"/>
        <v>10</v>
      </c>
      <c r="I11" s="1310">
        <f t="shared" si="0"/>
        <v>11</v>
      </c>
      <c r="J11" s="288"/>
      <c r="L11" s="356"/>
      <c r="M11" s="427">
        <v>79391.283333333326</v>
      </c>
      <c r="N11" s="428">
        <v>81346.833333333328</v>
      </c>
      <c r="O11" s="429">
        <f t="shared" si="1"/>
        <v>7095.1088123234358</v>
      </c>
      <c r="P11" s="430">
        <f t="shared" si="2"/>
        <v>10333.801351407807</v>
      </c>
      <c r="Q11" s="430">
        <f t="shared" si="2"/>
        <v>17428.910163731241</v>
      </c>
      <c r="R11" s="437">
        <f>IF($N11&gt;0,(('Amounts Pivot Table'!I$45+'Amounts Pivot Table'!I$48)/$N11),0)</f>
        <v>6784.4437009430812</v>
      </c>
      <c r="S11" s="432">
        <f>IF($N11&gt;0,('Amounts Pivot Table'!I$54/$N11),0)</f>
        <v>8944.1796218250656</v>
      </c>
      <c r="T11" s="432">
        <f t="shared" si="3"/>
        <v>15728.623322768148</v>
      </c>
      <c r="U11" s="438">
        <f t="shared" si="4"/>
        <v>4.5790800996280669E-2</v>
      </c>
      <c r="V11" s="434">
        <f t="shared" si="4"/>
        <v>0.15536603560508411</v>
      </c>
      <c r="W11" s="434">
        <f t="shared" si="4"/>
        <v>0.10810144067102326</v>
      </c>
      <c r="X11" s="267"/>
      <c r="Y11" s="77" t="s">
        <v>778</v>
      </c>
      <c r="Z11" s="77">
        <f t="shared" si="5"/>
        <v>462512374</v>
      </c>
      <c r="AA11" s="77">
        <f t="shared" si="5"/>
        <v>100777420</v>
      </c>
      <c r="AB11" s="77">
        <f t="shared" si="5"/>
        <v>820413751</v>
      </c>
      <c r="AC11" s="77">
        <f t="shared" si="5"/>
        <v>1383703545</v>
      </c>
    </row>
    <row r="12" spans="1:29">
      <c r="A12" s="77" t="s">
        <v>779</v>
      </c>
      <c r="B12" s="1147">
        <f>IF($M12&gt;0,('Amounts Pivot Table'!I$85/$M12),0)</f>
        <v>5860.138390161841</v>
      </c>
      <c r="C12" s="1147">
        <f>IF($M12&gt;0,('Amounts Pivot Table'!I$88/$M12),0)</f>
        <v>265.61906815061559</v>
      </c>
      <c r="D12" s="1147">
        <f>IF($M12&gt;0,('Amounts Pivot Table'!I$94/$M12),0)</f>
        <v>23992.755674540065</v>
      </c>
      <c r="E12" s="1147">
        <f>SUM(B12:D12)</f>
        <v>30118.513132852524</v>
      </c>
      <c r="F12" s="1311">
        <f t="shared" si="0"/>
        <v>7</v>
      </c>
      <c r="G12" s="1312">
        <f t="shared" si="0"/>
        <v>14</v>
      </c>
      <c r="H12" s="1312">
        <f t="shared" si="0"/>
        <v>1</v>
      </c>
      <c r="I12" s="1312">
        <f t="shared" si="0"/>
        <v>1</v>
      </c>
      <c r="J12" s="288"/>
      <c r="L12" s="356"/>
      <c r="M12" s="427">
        <v>27909.01666666667</v>
      </c>
      <c r="N12" s="428">
        <v>27711.358333333334</v>
      </c>
      <c r="O12" s="429">
        <f t="shared" si="1"/>
        <v>6125.7574583124569</v>
      </c>
      <c r="P12" s="430">
        <f t="shared" si="2"/>
        <v>23992.755674540065</v>
      </c>
      <c r="Q12" s="430">
        <f t="shared" si="2"/>
        <v>30118.513132852524</v>
      </c>
      <c r="R12" s="437">
        <f>IF($N12&gt;0,(('Amounts Pivot Table'!I$84+'Amounts Pivot Table'!I$87)/$N12),0)</f>
        <v>6029.2974451210284</v>
      </c>
      <c r="S12" s="432">
        <f>IF($N12&gt;0,('Amounts Pivot Table'!I$93/$N12),0)</f>
        <v>25910.497687019433</v>
      </c>
      <c r="T12" s="432">
        <f>+S12+R12</f>
        <v>31939.795132140462</v>
      </c>
      <c r="U12" s="438">
        <f t="shared" si="4"/>
        <v>1.5998549427924637E-2</v>
      </c>
      <c r="V12" s="434">
        <f t="shared" si="4"/>
        <v>-7.4014094041895337E-2</v>
      </c>
      <c r="W12" s="434">
        <f t="shared" si="4"/>
        <v>-5.7022344437494939E-2</v>
      </c>
      <c r="X12" s="267"/>
      <c r="Y12" s="77" t="s">
        <v>779</v>
      </c>
      <c r="Z12" s="77">
        <f t="shared" si="5"/>
        <v>163550700</v>
      </c>
      <c r="AA12" s="77">
        <f t="shared" si="5"/>
        <v>7413167.0000000009</v>
      </c>
      <c r="AB12" s="77">
        <f t="shared" si="5"/>
        <v>669614218</v>
      </c>
      <c r="AC12" s="77">
        <f t="shared" si="5"/>
        <v>840578085.00000012</v>
      </c>
    </row>
    <row r="13" spans="1:29">
      <c r="A13" s="77" t="s">
        <v>780</v>
      </c>
      <c r="B13" s="1146">
        <f>IF($M13&gt;0,('Amounts Pivot Table'!I$124/$M13),0)</f>
        <v>0</v>
      </c>
      <c r="C13" s="1146">
        <f>IF($M13&gt;0,('Amounts Pivot Table'!I$127/$M13),0)</f>
        <v>0</v>
      </c>
      <c r="D13" s="1146">
        <f>IF($M13&gt;0,('Amounts Pivot Table'!I$133/$M13),0)</f>
        <v>0</v>
      </c>
      <c r="E13" s="1146">
        <f t="shared" si="6"/>
        <v>0</v>
      </c>
      <c r="F13" s="1309">
        <f t="shared" si="0"/>
        <v>0</v>
      </c>
      <c r="G13" s="1310">
        <f t="shared" si="0"/>
        <v>0</v>
      </c>
      <c r="H13" s="1310">
        <f t="shared" si="0"/>
        <v>0</v>
      </c>
      <c r="I13" s="1310">
        <f t="shared" si="0"/>
        <v>0</v>
      </c>
      <c r="J13" s="288"/>
      <c r="L13" s="356"/>
      <c r="M13" s="427">
        <v>0</v>
      </c>
      <c r="N13" s="428">
        <v>0</v>
      </c>
      <c r="O13" s="429">
        <f t="shared" si="1"/>
        <v>0</v>
      </c>
      <c r="P13" s="430">
        <f t="shared" si="2"/>
        <v>0</v>
      </c>
      <c r="Q13" s="430">
        <f t="shared" si="2"/>
        <v>0</v>
      </c>
      <c r="R13" s="437">
        <f>IF($N13&gt;0,(('Amounts Pivot Table'!I$123+'Amounts Pivot Table'!I$126)/$N13),0)</f>
        <v>0</v>
      </c>
      <c r="S13" s="432">
        <f>IF($N13&gt;0,('Amounts Pivot Table'!I$132/$N13),0)</f>
        <v>0</v>
      </c>
      <c r="T13" s="432">
        <f t="shared" si="3"/>
        <v>0</v>
      </c>
      <c r="U13" s="438" t="e">
        <f t="shared" si="4"/>
        <v>#DIV/0!</v>
      </c>
      <c r="V13" s="434" t="e">
        <f t="shared" si="4"/>
        <v>#DIV/0!</v>
      </c>
      <c r="W13" s="434" t="e">
        <f t="shared" si="4"/>
        <v>#DIV/0!</v>
      </c>
      <c r="X13" s="267"/>
      <c r="Y13" s="77" t="s">
        <v>780</v>
      </c>
      <c r="Z13" s="77">
        <f t="shared" si="5"/>
        <v>0</v>
      </c>
      <c r="AA13" s="77">
        <f t="shared" si="5"/>
        <v>0</v>
      </c>
      <c r="AB13" s="77">
        <f t="shared" si="5"/>
        <v>0</v>
      </c>
      <c r="AC13" s="77">
        <f t="shared" si="5"/>
        <v>0</v>
      </c>
    </row>
    <row r="14" spans="1:29">
      <c r="B14" s="1146"/>
      <c r="C14" s="1146"/>
      <c r="D14" s="1146"/>
      <c r="E14" s="1146"/>
      <c r="F14" s="1309"/>
      <c r="G14" s="1310"/>
      <c r="H14" s="1310"/>
      <c r="I14" s="1310"/>
      <c r="J14" s="288"/>
      <c r="L14" s="356"/>
      <c r="M14" s="427"/>
      <c r="N14" s="428"/>
      <c r="O14" s="429"/>
      <c r="P14" s="430"/>
      <c r="Q14" s="430"/>
      <c r="R14" s="437"/>
      <c r="S14" s="432"/>
      <c r="T14" s="432"/>
      <c r="U14" s="438"/>
      <c r="V14" s="434"/>
      <c r="W14" s="434"/>
      <c r="X14" s="267"/>
    </row>
    <row r="15" spans="1:29">
      <c r="A15" s="77" t="s">
        <v>781</v>
      </c>
      <c r="B15" s="1146">
        <f>IF($M15&gt;0,('Amounts Pivot Table'!I$163/$M15),0)</f>
        <v>6247.3451213862227</v>
      </c>
      <c r="C15" s="1146">
        <f>IF($M15&gt;0,('Amounts Pivot Table'!I$166/$M15),0)</f>
        <v>401.46796014253846</v>
      </c>
      <c r="D15" s="1146">
        <f>IF($M15&gt;0,('Amounts Pivot Table'!I$172/$M15),0)</f>
        <v>7944.0642238345927</v>
      </c>
      <c r="E15" s="1146">
        <f t="shared" si="6"/>
        <v>14592.877305363354</v>
      </c>
      <c r="F15" s="1309">
        <f t="shared" ref="F15:I18" si="7">IF(B15&gt;0,RANK(B15,B$10:B$28),)</f>
        <v>6</v>
      </c>
      <c r="G15" s="1310">
        <f t="shared" si="7"/>
        <v>13</v>
      </c>
      <c r="H15" s="1310">
        <f t="shared" si="7"/>
        <v>13</v>
      </c>
      <c r="I15" s="1310">
        <f t="shared" si="7"/>
        <v>13</v>
      </c>
      <c r="J15" s="288"/>
      <c r="L15" s="356"/>
      <c r="M15" s="427">
        <v>288605.0656666666</v>
      </c>
      <c r="N15" s="428">
        <v>282872.40100000001</v>
      </c>
      <c r="O15" s="429">
        <f t="shared" si="1"/>
        <v>6648.8130815287614</v>
      </c>
      <c r="P15" s="430">
        <f t="shared" si="2"/>
        <v>7944.0642238345927</v>
      </c>
      <c r="Q15" s="430">
        <f t="shared" si="2"/>
        <v>14592.877305363354</v>
      </c>
      <c r="R15" s="437">
        <f>IF($N15&gt;0,(('Amounts Pivot Table'!I$162+'Amounts Pivot Table'!I$165)/$N15),0)</f>
        <v>7303.1673068734617</v>
      </c>
      <c r="S15" s="432">
        <f>IF($N15&gt;0,('Amounts Pivot Table'!I$171/$N15),0)</f>
        <v>8041.9455575660768</v>
      </c>
      <c r="T15" s="432">
        <f t="shared" si="3"/>
        <v>15345.112864439539</v>
      </c>
      <c r="U15" s="438">
        <f t="shared" si="4"/>
        <v>-8.9598690246195947E-2</v>
      </c>
      <c r="V15" s="434">
        <f t="shared" si="4"/>
        <v>-1.2171349958890824E-2</v>
      </c>
      <c r="W15" s="434">
        <f t="shared" si="4"/>
        <v>-4.9021181253049051E-2</v>
      </c>
      <c r="X15" s="267"/>
      <c r="Y15" s="77" t="s">
        <v>781</v>
      </c>
      <c r="Z15" s="77">
        <f t="shared" si="5"/>
        <v>1803015449</v>
      </c>
      <c r="AA15" s="77">
        <f t="shared" si="5"/>
        <v>115865687</v>
      </c>
      <c r="AB15" s="77">
        <f t="shared" si="5"/>
        <v>2292697176.9799995</v>
      </c>
      <c r="AC15" s="77">
        <f t="shared" si="5"/>
        <v>4211578312.9799995</v>
      </c>
    </row>
    <row r="16" spans="1:29">
      <c r="A16" s="77" t="s">
        <v>782</v>
      </c>
      <c r="B16" s="1146">
        <f>IF($M16&gt;0,('Amounts Pivot Table'!I$202/$M16),0)</f>
        <v>5450.9926446486179</v>
      </c>
      <c r="C16" s="1146">
        <f>IF($M16&gt;0,('Amounts Pivot Table'!I$205/$M16),0)</f>
        <v>1133.2427813585798</v>
      </c>
      <c r="D16" s="1146">
        <f>IF($M16&gt;0,('Amounts Pivot Table'!I$211/$M16),0)</f>
        <v>14735.357307470527</v>
      </c>
      <c r="E16" s="1146">
        <f t="shared" si="6"/>
        <v>21319.592733477726</v>
      </c>
      <c r="F16" s="1309">
        <f t="shared" si="7"/>
        <v>11</v>
      </c>
      <c r="G16" s="1310">
        <f t="shared" si="7"/>
        <v>3</v>
      </c>
      <c r="H16" s="1310">
        <f t="shared" si="7"/>
        <v>5</v>
      </c>
      <c r="I16" s="1310">
        <f t="shared" si="7"/>
        <v>5</v>
      </c>
      <c r="J16" s="288"/>
      <c r="L16" s="356"/>
      <c r="M16" s="427">
        <v>94954.675000000003</v>
      </c>
      <c r="N16" s="428">
        <v>90757.9</v>
      </c>
      <c r="O16" s="429">
        <f t="shared" si="1"/>
        <v>6584.2354260071979</v>
      </c>
      <c r="P16" s="430">
        <f t="shared" si="2"/>
        <v>14735.357307470527</v>
      </c>
      <c r="Q16" s="430">
        <f t="shared" si="2"/>
        <v>21319.592733477726</v>
      </c>
      <c r="R16" s="437">
        <f>IF($N16&gt;0,(('Amounts Pivot Table'!I$201+'Amounts Pivot Table'!I$204)/$N16),0)</f>
        <v>6974.9806903861818</v>
      </c>
      <c r="S16" s="432">
        <f>IF($N16&gt;0,('Amounts Pivot Table'!I$210/$N16),0)</f>
        <v>15398.463626857829</v>
      </c>
      <c r="T16" s="432">
        <f t="shared" si="3"/>
        <v>22373.444317244011</v>
      </c>
      <c r="U16" s="438">
        <f t="shared" si="4"/>
        <v>-5.6020981522939467E-2</v>
      </c>
      <c r="V16" s="434">
        <f t="shared" si="4"/>
        <v>-4.3063148081261743E-2</v>
      </c>
      <c r="W16" s="434">
        <f t="shared" si="4"/>
        <v>-4.7102787073067885E-2</v>
      </c>
      <c r="X16" s="267"/>
      <c r="Y16" s="77" t="s">
        <v>782</v>
      </c>
      <c r="Z16" s="77">
        <f t="shared" si="5"/>
        <v>517597235</v>
      </c>
      <c r="AA16" s="77">
        <f t="shared" si="5"/>
        <v>107606700</v>
      </c>
      <c r="AB16" s="77">
        <f t="shared" si="5"/>
        <v>1399191064.139739</v>
      </c>
      <c r="AC16" s="77">
        <f t="shared" si="5"/>
        <v>2024394999.1397393</v>
      </c>
    </row>
    <row r="17" spans="1:29">
      <c r="A17" s="77" t="s">
        <v>813</v>
      </c>
      <c r="B17" s="1146">
        <f>IF($M17&gt;0,('Amounts Pivot Table'!I$241/$M17),0)</f>
        <v>2741.0942272062061</v>
      </c>
      <c r="C17" s="1146">
        <f>IF($M17&gt;0,('Amounts Pivot Table'!I$244/$M17),0)</f>
        <v>688.52291964759502</v>
      </c>
      <c r="D17" s="1146">
        <f>IF($M17&gt;0,('Amounts Pivot Table'!I$250/$M17),0)</f>
        <v>9602.5089608383441</v>
      </c>
      <c r="E17" s="1146">
        <f t="shared" si="6"/>
        <v>13032.126107692146</v>
      </c>
      <c r="F17" s="1309">
        <f t="shared" si="7"/>
        <v>14</v>
      </c>
      <c r="G17" s="1310">
        <f t="shared" si="7"/>
        <v>7</v>
      </c>
      <c r="H17" s="1310">
        <f t="shared" si="7"/>
        <v>11</v>
      </c>
      <c r="I17" s="1310">
        <f t="shared" si="7"/>
        <v>14</v>
      </c>
      <c r="J17" s="288"/>
      <c r="L17" s="356"/>
      <c r="M17" s="427">
        <v>123639.00833333333</v>
      </c>
      <c r="N17" s="428">
        <v>121465.32916666666</v>
      </c>
      <c r="O17" s="429">
        <f t="shared" si="1"/>
        <v>3429.6171468538014</v>
      </c>
      <c r="P17" s="430">
        <f t="shared" si="2"/>
        <v>9602.5089608383441</v>
      </c>
      <c r="Q17" s="430">
        <f t="shared" si="2"/>
        <v>13032.126107692146</v>
      </c>
      <c r="R17" s="437">
        <f>IF($N17&gt;0,(('Amounts Pivot Table'!I$240+'Amounts Pivot Table'!I$243)/$N17),0)</f>
        <v>4024.6830544477389</v>
      </c>
      <c r="S17" s="432">
        <f>IF($N17&gt;0,('Amounts Pivot Table'!I$249/$N17),0)</f>
        <v>9656.0604663628474</v>
      </c>
      <c r="T17" s="432">
        <f t="shared" si="3"/>
        <v>13680.743520810585</v>
      </c>
      <c r="U17" s="438">
        <f t="shared" si="4"/>
        <v>-0.14785410417258099</v>
      </c>
      <c r="V17" s="434">
        <f t="shared" si="4"/>
        <v>-5.5458958351650104E-3</v>
      </c>
      <c r="W17" s="434">
        <f t="shared" si="4"/>
        <v>-4.7410976759544511E-2</v>
      </c>
      <c r="X17" s="267"/>
      <c r="Y17" s="77" t="s">
        <v>813</v>
      </c>
      <c r="Z17" s="77">
        <f t="shared" si="5"/>
        <v>338906172</v>
      </c>
      <c r="AA17" s="77">
        <f t="shared" si="5"/>
        <v>85128291</v>
      </c>
      <c r="AB17" s="77">
        <f t="shared" si="5"/>
        <v>1187244685.4300001</v>
      </c>
      <c r="AC17" s="77">
        <f t="shared" si="5"/>
        <v>1611279148.4300001</v>
      </c>
    </row>
    <row r="18" spans="1:29">
      <c r="A18" s="77" t="s">
        <v>784</v>
      </c>
      <c r="B18" s="1146">
        <f>IF($M18&gt;0,('Amounts Pivot Table'!I$280/$M18),0)</f>
        <v>12667.011571874142</v>
      </c>
      <c r="C18" s="1146">
        <f>IF($M18&gt;0,('Amounts Pivot Table'!I$283/$M18),0)</f>
        <v>624.27845390599168</v>
      </c>
      <c r="D18" s="1146">
        <f>IF($M18&gt;0,('Amounts Pivot Table'!I$289/$M18),0)</f>
        <v>12734.833755361447</v>
      </c>
      <c r="E18" s="1146">
        <f t="shared" si="6"/>
        <v>26026.123781141581</v>
      </c>
      <c r="F18" s="1309">
        <f t="shared" si="7"/>
        <v>1</v>
      </c>
      <c r="G18" s="1310">
        <f t="shared" si="7"/>
        <v>9</v>
      </c>
      <c r="H18" s="1310">
        <f t="shared" si="7"/>
        <v>7</v>
      </c>
      <c r="I18" s="1310">
        <f t="shared" si="7"/>
        <v>2</v>
      </c>
      <c r="J18" s="288"/>
      <c r="L18" s="356"/>
      <c r="M18" s="427">
        <v>101793.50833333332</v>
      </c>
      <c r="N18" s="428">
        <v>103004.30833333333</v>
      </c>
      <c r="O18" s="429">
        <f t="shared" si="1"/>
        <v>13291.290025780134</v>
      </c>
      <c r="P18" s="430">
        <f t="shared" si="2"/>
        <v>12734.833755361447</v>
      </c>
      <c r="Q18" s="430">
        <f t="shared" si="2"/>
        <v>26026.123781141581</v>
      </c>
      <c r="R18" s="437">
        <f>IF($N18&gt;0,(('Amounts Pivot Table'!I$279+'Amounts Pivot Table'!I$282)/$N18),0)</f>
        <v>12912.056859757566</v>
      </c>
      <c r="S18" s="432">
        <f>IF($N18&gt;0,('Amounts Pivot Table'!I$288/$N18),0)</f>
        <v>13039.563283639349</v>
      </c>
      <c r="T18" s="432">
        <f t="shared" si="3"/>
        <v>25951.620143396915</v>
      </c>
      <c r="U18" s="438">
        <f t="shared" si="4"/>
        <v>2.9370469022987913E-2</v>
      </c>
      <c r="V18" s="434">
        <f t="shared" si="4"/>
        <v>-2.3369611516073047E-2</v>
      </c>
      <c r="W18" s="434">
        <f t="shared" si="4"/>
        <v>2.8708665329175353E-3</v>
      </c>
      <c r="X18" s="267"/>
      <c r="Y18" s="77" t="s">
        <v>784</v>
      </c>
      <c r="Z18" s="77">
        <f t="shared" si="5"/>
        <v>1289419548</v>
      </c>
      <c r="AA18" s="77">
        <f t="shared" si="5"/>
        <v>63547494</v>
      </c>
      <c r="AB18" s="77">
        <f t="shared" si="5"/>
        <v>1296323406</v>
      </c>
      <c r="AC18" s="77">
        <f t="shared" si="5"/>
        <v>2649290448</v>
      </c>
    </row>
    <row r="19" spans="1:29">
      <c r="B19" s="1146"/>
      <c r="C19" s="1146"/>
      <c r="D19" s="1146"/>
      <c r="E19" s="1146"/>
      <c r="F19" s="1309"/>
      <c r="G19" s="1310"/>
      <c r="H19" s="1310"/>
      <c r="I19" s="1310"/>
      <c r="J19" s="288"/>
      <c r="L19" s="356"/>
      <c r="M19" s="427"/>
      <c r="N19" s="428"/>
      <c r="O19" s="429"/>
      <c r="P19" s="430"/>
      <c r="Q19" s="430"/>
      <c r="R19" s="437"/>
      <c r="S19" s="432"/>
      <c r="T19" s="432"/>
      <c r="U19" s="438"/>
      <c r="V19" s="434"/>
      <c r="W19" s="434"/>
      <c r="X19" s="267"/>
    </row>
    <row r="20" spans="1:29">
      <c r="A20" s="77" t="s">
        <v>785</v>
      </c>
      <c r="B20" s="1146">
        <f>IF($M20&gt;0,('Amounts Pivot Table'!I$319/$M20),0)</f>
        <v>5619.4564736664233</v>
      </c>
      <c r="C20" s="1146">
        <f>IF($M20&gt;0,('Amounts Pivot Table'!I$322/$M20),0)</f>
        <v>1295.9254387500437</v>
      </c>
      <c r="D20" s="1146">
        <f>IF($M20&gt;0,('Amounts Pivot Table'!I$328/$M20),0)</f>
        <v>11561.241268047108</v>
      </c>
      <c r="E20" s="1146">
        <f t="shared" si="6"/>
        <v>18476.623180463575</v>
      </c>
      <c r="F20" s="1309">
        <f t="shared" ref="F20:I23" si="8">IF(B20&gt;0,RANK(B20,B$10:B$28),)</f>
        <v>9</v>
      </c>
      <c r="G20" s="1310">
        <f t="shared" si="8"/>
        <v>1</v>
      </c>
      <c r="H20" s="1310">
        <f t="shared" si="8"/>
        <v>8</v>
      </c>
      <c r="I20" s="1310">
        <f t="shared" si="8"/>
        <v>9</v>
      </c>
      <c r="J20" s="288"/>
      <c r="L20" s="356"/>
      <c r="M20" s="427">
        <v>69980.05</v>
      </c>
      <c r="N20" s="428">
        <v>70794.144166666665</v>
      </c>
      <c r="O20" s="429">
        <f t="shared" si="1"/>
        <v>6915.3819124164675</v>
      </c>
      <c r="P20" s="430">
        <f t="shared" si="2"/>
        <v>11561.241268047108</v>
      </c>
      <c r="Q20" s="430">
        <f t="shared" si="2"/>
        <v>18476.623180463575</v>
      </c>
      <c r="R20" s="437">
        <f>IF($N20&gt;0,(('Amounts Pivot Table'!I$318+'Amounts Pivot Table'!I$321)/$N20),0)</f>
        <v>6612.1205293192033</v>
      </c>
      <c r="S20" s="432">
        <f>IF($N20&gt;0,('Amounts Pivot Table'!I$327/$N20),0)</f>
        <v>11716.495223775159</v>
      </c>
      <c r="T20" s="432">
        <f t="shared" si="3"/>
        <v>18328.61575309436</v>
      </c>
      <c r="U20" s="438">
        <f t="shared" si="4"/>
        <v>4.5864466891151555E-2</v>
      </c>
      <c r="V20" s="434">
        <f t="shared" si="4"/>
        <v>-1.3250887126468391E-2</v>
      </c>
      <c r="W20" s="434">
        <f t="shared" si="4"/>
        <v>8.0752103357411304E-3</v>
      </c>
      <c r="X20" s="267"/>
      <c r="Y20" s="77" t="s">
        <v>785</v>
      </c>
      <c r="Z20" s="77">
        <f t="shared" si="5"/>
        <v>393249845</v>
      </c>
      <c r="AA20" s="77">
        <f t="shared" si="5"/>
        <v>90688927</v>
      </c>
      <c r="AB20" s="77">
        <f t="shared" si="5"/>
        <v>809056242</v>
      </c>
      <c r="AC20" s="77">
        <f t="shared" si="5"/>
        <v>1292995014</v>
      </c>
    </row>
    <row r="21" spans="1:29">
      <c r="A21" s="77" t="s">
        <v>786</v>
      </c>
      <c r="B21" s="1146">
        <f>IF($M21&gt;0,('Amounts Pivot Table'!I$358/$M21),0)</f>
        <v>10262.697946009443</v>
      </c>
      <c r="C21" s="1146">
        <f>IF($M21&gt;0,('Amounts Pivot Table'!I$361/$M21),0)</f>
        <v>448.34520142428073</v>
      </c>
      <c r="D21" s="1146">
        <f>IF($M21&gt;0,('Amounts Pivot Table'!I$367/$M21),0)</f>
        <v>7850.3983709994036</v>
      </c>
      <c r="E21" s="1146">
        <f t="shared" si="6"/>
        <v>18561.441518433126</v>
      </c>
      <c r="F21" s="1309">
        <f t="shared" si="8"/>
        <v>2</v>
      </c>
      <c r="G21" s="1310">
        <f t="shared" si="8"/>
        <v>12</v>
      </c>
      <c r="H21" s="1310">
        <f t="shared" si="8"/>
        <v>14</v>
      </c>
      <c r="I21" s="1310">
        <f t="shared" si="8"/>
        <v>7</v>
      </c>
      <c r="J21" s="288"/>
      <c r="L21" s="356"/>
      <c r="M21" s="427">
        <v>216356.58124999999</v>
      </c>
      <c r="N21" s="428">
        <v>213723.40416666667</v>
      </c>
      <c r="O21" s="429">
        <f t="shared" si="1"/>
        <v>10711.043147433724</v>
      </c>
      <c r="P21" s="430">
        <f t="shared" si="2"/>
        <v>7850.3983709994036</v>
      </c>
      <c r="Q21" s="430">
        <f t="shared" si="2"/>
        <v>18561.441518433126</v>
      </c>
      <c r="R21" s="437">
        <f>IF($N21&gt;0,(('Amounts Pivot Table'!I$357+'Amounts Pivot Table'!I$360)/$N21),0)</f>
        <v>10851.436550820737</v>
      </c>
      <c r="S21" s="432">
        <f>IF($N21&gt;0,('Amounts Pivot Table'!I$366/$N21),0)</f>
        <v>7712.73833348894</v>
      </c>
      <c r="T21" s="432">
        <f t="shared" si="3"/>
        <v>18564.174884309679</v>
      </c>
      <c r="U21" s="438">
        <f t="shared" si="4"/>
        <v>-1.2937771209323908E-2</v>
      </c>
      <c r="V21" s="434">
        <f t="shared" si="4"/>
        <v>1.7848399823541215E-2</v>
      </c>
      <c r="W21" s="434">
        <f t="shared" si="4"/>
        <v>-1.4723874848125224E-4</v>
      </c>
      <c r="X21" s="267"/>
      <c r="Y21" s="77" t="s">
        <v>786</v>
      </c>
      <c r="Z21" s="77">
        <f t="shared" si="5"/>
        <v>2220402242</v>
      </c>
      <c r="AA21" s="77">
        <f t="shared" si="5"/>
        <v>97002435</v>
      </c>
      <c r="AB21" s="77">
        <f t="shared" si="5"/>
        <v>1698485353</v>
      </c>
      <c r="AC21" s="77">
        <f t="shared" si="5"/>
        <v>4015890030</v>
      </c>
    </row>
    <row r="22" spans="1:29">
      <c r="A22" s="77" t="s">
        <v>787</v>
      </c>
      <c r="B22" s="1146">
        <f>IF($M22&gt;0,('Amounts Pivot Table'!I$397/$M22),0)</f>
        <v>0</v>
      </c>
      <c r="C22" s="1146">
        <f>IF($M22&gt;0,('Amounts Pivot Table'!I$400/$M22),0)</f>
        <v>0</v>
      </c>
      <c r="D22" s="1146">
        <f>IF($M22&gt;0,('Amounts Pivot Table'!I$406/$M22),0)</f>
        <v>0</v>
      </c>
      <c r="E22" s="1146">
        <f t="shared" si="6"/>
        <v>0</v>
      </c>
      <c r="F22" s="1309">
        <f t="shared" si="8"/>
        <v>0</v>
      </c>
      <c r="G22" s="1310">
        <f t="shared" si="8"/>
        <v>0</v>
      </c>
      <c r="H22" s="1310">
        <f t="shared" si="8"/>
        <v>0</v>
      </c>
      <c r="I22" s="1310">
        <f t="shared" si="8"/>
        <v>0</v>
      </c>
      <c r="J22" s="288"/>
      <c r="L22" s="356"/>
      <c r="M22" s="427">
        <v>0</v>
      </c>
      <c r="N22" s="428">
        <v>0</v>
      </c>
      <c r="O22" s="429">
        <f t="shared" si="1"/>
        <v>0</v>
      </c>
      <c r="P22" s="430">
        <f t="shared" si="2"/>
        <v>0</v>
      </c>
      <c r="Q22" s="430">
        <f t="shared" si="2"/>
        <v>0</v>
      </c>
      <c r="R22" s="437">
        <f>IF($N22&gt;0,(('Amounts Pivot Table'!I$396+'Amounts Pivot Table'!I$399)/$N22),0)</f>
        <v>0</v>
      </c>
      <c r="S22" s="432">
        <f>IF($N22&gt;0,('Amounts Pivot Table'!I$405/$N22),0)</f>
        <v>0</v>
      </c>
      <c r="T22" s="432">
        <f t="shared" si="3"/>
        <v>0</v>
      </c>
      <c r="U22" s="438" t="e">
        <f t="shared" si="4"/>
        <v>#DIV/0!</v>
      </c>
      <c r="V22" s="434" t="e">
        <f t="shared" si="4"/>
        <v>#DIV/0!</v>
      </c>
      <c r="W22" s="434" t="e">
        <f t="shared" si="4"/>
        <v>#DIV/0!</v>
      </c>
      <c r="X22" s="267"/>
      <c r="Y22" s="77" t="s">
        <v>787</v>
      </c>
      <c r="Z22" s="77">
        <f t="shared" si="5"/>
        <v>0</v>
      </c>
      <c r="AA22" s="77">
        <f t="shared" si="5"/>
        <v>0</v>
      </c>
      <c r="AB22" s="77">
        <f t="shared" si="5"/>
        <v>0</v>
      </c>
      <c r="AC22" s="77">
        <f t="shared" si="5"/>
        <v>0</v>
      </c>
    </row>
    <row r="23" spans="1:29">
      <c r="A23" s="77" t="s">
        <v>788</v>
      </c>
      <c r="B23" s="1146">
        <f>IF($M23&gt;0,('Amounts Pivot Table'!I$436/$M23),0)</f>
        <v>3565.7493939700885</v>
      </c>
      <c r="C23" s="1146">
        <f>IF($M23&gt;0,('Amounts Pivot Table'!I$439/$M23),0)</f>
        <v>593.00946960408794</v>
      </c>
      <c r="D23" s="1146">
        <f>IF($M23&gt;0,('Amounts Pivot Table'!I$445/$M23),0)</f>
        <v>18047.822156059407</v>
      </c>
      <c r="E23" s="1146">
        <f t="shared" si="6"/>
        <v>22206.581019633584</v>
      </c>
      <c r="F23" s="1309">
        <f t="shared" si="8"/>
        <v>13</v>
      </c>
      <c r="G23" s="1310">
        <f t="shared" si="8"/>
        <v>10</v>
      </c>
      <c r="H23" s="1310">
        <f t="shared" si="8"/>
        <v>2</v>
      </c>
      <c r="I23" s="1310">
        <f t="shared" si="8"/>
        <v>4</v>
      </c>
      <c r="J23" s="288"/>
      <c r="L23" s="356"/>
      <c r="M23" s="427">
        <v>109091.15</v>
      </c>
      <c r="N23" s="428">
        <v>108114.94999999998</v>
      </c>
      <c r="O23" s="429">
        <f t="shared" si="1"/>
        <v>4158.7588635741768</v>
      </c>
      <c r="P23" s="430">
        <f t="shared" si="2"/>
        <v>18047.822156059407</v>
      </c>
      <c r="Q23" s="430">
        <f t="shared" si="2"/>
        <v>22206.581019633584</v>
      </c>
      <c r="R23" s="437">
        <f>IF($N23&gt;0,(('Amounts Pivot Table'!I$435+'Amounts Pivot Table'!I$438)/$N23),0)</f>
        <v>4221.8220236886764</v>
      </c>
      <c r="S23" s="432">
        <f>IF($N23&gt;0,('Amounts Pivot Table'!I$444/$N23),0)</f>
        <v>18338.790981265774</v>
      </c>
      <c r="T23" s="432">
        <f t="shared" si="3"/>
        <v>22560.613004954452</v>
      </c>
      <c r="U23" s="438">
        <f t="shared" si="4"/>
        <v>-1.4937427433144206E-2</v>
      </c>
      <c r="V23" s="434">
        <f t="shared" si="4"/>
        <v>-1.5866303591311491E-2</v>
      </c>
      <c r="W23" s="434">
        <f t="shared" si="4"/>
        <v>-1.5692480751437025E-2</v>
      </c>
      <c r="X23" s="267"/>
      <c r="Y23" s="77" t="s">
        <v>788</v>
      </c>
      <c r="Z23" s="77">
        <f t="shared" si="5"/>
        <v>388991702</v>
      </c>
      <c r="AA23" s="77">
        <f t="shared" si="5"/>
        <v>64692084.999999993</v>
      </c>
      <c r="AB23" s="77">
        <f t="shared" si="5"/>
        <v>1968857674</v>
      </c>
      <c r="AC23" s="77">
        <f t="shared" si="5"/>
        <v>2422541461</v>
      </c>
    </row>
    <row r="24" spans="1:29">
      <c r="B24" s="1146"/>
      <c r="C24" s="1146"/>
      <c r="D24" s="1146"/>
      <c r="E24" s="1146"/>
      <c r="F24" s="1309"/>
      <c r="G24" s="1310"/>
      <c r="H24" s="1310"/>
      <c r="I24" s="1310"/>
      <c r="J24" s="288"/>
      <c r="L24" s="356"/>
      <c r="M24" s="427"/>
      <c r="N24" s="428"/>
      <c r="O24" s="429"/>
      <c r="P24" s="430"/>
      <c r="Q24" s="430"/>
      <c r="R24" s="437"/>
      <c r="S24" s="432"/>
      <c r="T24" s="432"/>
      <c r="U24" s="438"/>
      <c r="V24" s="434"/>
      <c r="W24" s="434"/>
      <c r="X24" s="267"/>
    </row>
    <row r="25" spans="1:29">
      <c r="A25" s="77" t="s">
        <v>789</v>
      </c>
      <c r="B25" s="1146">
        <f>IF($M25&gt;0,('Amounts Pivot Table'!I$475/$M25),0)</f>
        <v>7188.8014586035115</v>
      </c>
      <c r="C25" s="1146">
        <f>IF($M25&gt;0,('Amounts Pivot Table'!I$478/$M25),0)</f>
        <v>805.29751530665294</v>
      </c>
      <c r="D25" s="1146">
        <f>IF($M25&gt;0,('Amounts Pivot Table'!I$484/$M25),0)</f>
        <v>10525.399637564757</v>
      </c>
      <c r="E25" s="1146">
        <f t="shared" si="6"/>
        <v>18519.498611474919</v>
      </c>
      <c r="F25" s="1309">
        <f t="shared" ref="F25:I28" si="9">IF(B25&gt;0,RANK(B25,B$10:B$28),)</f>
        <v>3</v>
      </c>
      <c r="G25" s="1310">
        <f t="shared" si="9"/>
        <v>5</v>
      </c>
      <c r="H25" s="1310">
        <f t="shared" si="9"/>
        <v>9</v>
      </c>
      <c r="I25" s="1310">
        <f t="shared" si="9"/>
        <v>8</v>
      </c>
      <c r="J25" s="288"/>
      <c r="L25" s="356"/>
      <c r="M25" s="427">
        <v>116595.54166666669</v>
      </c>
      <c r="N25" s="428">
        <v>115355.78333333334</v>
      </c>
      <c r="O25" s="429">
        <f t="shared" si="1"/>
        <v>7994.0989739101642</v>
      </c>
      <c r="P25" s="430">
        <f t="shared" si="2"/>
        <v>10525.399637564757</v>
      </c>
      <c r="Q25" s="430">
        <f t="shared" si="2"/>
        <v>18519.498611474919</v>
      </c>
      <c r="R25" s="437">
        <f>IF($N25&gt;0,(('Amounts Pivot Table'!I$474+'Amounts Pivot Table'!I$477)/$N25),0)</f>
        <v>8002.5029809948837</v>
      </c>
      <c r="S25" s="432">
        <f>IF($N25&gt;0,('Amounts Pivot Table'!I$483/$N25),0)</f>
        <v>10510.697677778617</v>
      </c>
      <c r="T25" s="432">
        <f t="shared" si="3"/>
        <v>18513.200658773501</v>
      </c>
      <c r="U25" s="438">
        <f t="shared" si="4"/>
        <v>-1.0501723154215839E-3</v>
      </c>
      <c r="V25" s="434">
        <f t="shared" si="4"/>
        <v>1.3987615510264689E-3</v>
      </c>
      <c r="W25" s="434">
        <f t="shared" si="4"/>
        <v>3.4018713552013704E-4</v>
      </c>
      <c r="X25" s="267"/>
      <c r="Y25" s="77" t="s">
        <v>789</v>
      </c>
      <c r="Z25" s="77">
        <f t="shared" si="5"/>
        <v>838182200</v>
      </c>
      <c r="AA25" s="77">
        <f t="shared" si="5"/>
        <v>93894100</v>
      </c>
      <c r="AB25" s="77">
        <f t="shared" si="5"/>
        <v>1227214672</v>
      </c>
      <c r="AC25" s="77">
        <f t="shared" si="5"/>
        <v>2159290971.9999995</v>
      </c>
    </row>
    <row r="26" spans="1:29">
      <c r="A26" s="77" t="s">
        <v>790</v>
      </c>
      <c r="B26" s="1146">
        <f>IF($M26&gt;0,('Amounts Pivot Table'!I$514/$M26),0)</f>
        <v>6384.5917780440532</v>
      </c>
      <c r="C26" s="1146">
        <f>IF($M26&gt;0,('Amounts Pivot Table'!I$517/$M26),0)</f>
        <v>461.22865637873946</v>
      </c>
      <c r="D26" s="1146">
        <f>IF($M26&gt;0,('Amounts Pivot Table'!I$523/$M26),0)</f>
        <v>8365.6197247331893</v>
      </c>
      <c r="E26" s="1146">
        <f t="shared" si="6"/>
        <v>15211.440159155982</v>
      </c>
      <c r="F26" s="1309">
        <f t="shared" si="9"/>
        <v>4</v>
      </c>
      <c r="G26" s="1310">
        <f t="shared" si="9"/>
        <v>11</v>
      </c>
      <c r="H26" s="1310">
        <f t="shared" si="9"/>
        <v>12</v>
      </c>
      <c r="I26" s="1310">
        <f t="shared" si="9"/>
        <v>12</v>
      </c>
      <c r="J26" s="288"/>
      <c r="L26" s="356"/>
      <c r="M26" s="427">
        <v>559807.18333333335</v>
      </c>
      <c r="N26" s="428">
        <v>545999.54999999993</v>
      </c>
      <c r="O26" s="429">
        <f t="shared" si="1"/>
        <v>6845.8204344227925</v>
      </c>
      <c r="P26" s="430">
        <f t="shared" si="2"/>
        <v>8365.6197247331893</v>
      </c>
      <c r="Q26" s="430">
        <f t="shared" si="2"/>
        <v>15211.440159155982</v>
      </c>
      <c r="R26" s="437">
        <f>IF($N26&gt;0,(('Amounts Pivot Table'!I$513+'Amounts Pivot Table'!I$516)/$N26),0)</f>
        <v>6971.5812494717266</v>
      </c>
      <c r="S26" s="432">
        <f>IF($N26&gt;0,('Amounts Pivot Table'!I$522/$N26),0)</f>
        <v>8097.8048040515796</v>
      </c>
      <c r="T26" s="432">
        <f t="shared" si="3"/>
        <v>15069.386053523307</v>
      </c>
      <c r="U26" s="438">
        <f t="shared" si="4"/>
        <v>-1.8039066109781572E-2</v>
      </c>
      <c r="V26" s="434">
        <f t="shared" si="4"/>
        <v>3.3072533502859158E-2</v>
      </c>
      <c r="W26" s="434">
        <f t="shared" si="4"/>
        <v>9.42666842087184E-3</v>
      </c>
      <c r="X26" s="267"/>
      <c r="Y26" s="77" t="s">
        <v>790</v>
      </c>
      <c r="Z26" s="77">
        <f t="shared" si="5"/>
        <v>3574140340</v>
      </c>
      <c r="AA26" s="77">
        <f t="shared" si="5"/>
        <v>258199115</v>
      </c>
      <c r="AB26" s="77">
        <f t="shared" si="5"/>
        <v>4683134014.9406624</v>
      </c>
      <c r="AC26" s="77">
        <f t="shared" si="5"/>
        <v>8515473469.9406624</v>
      </c>
    </row>
    <row r="27" spans="1:29" s="362" customFormat="1" ht="12.75" customHeight="1">
      <c r="A27" s="77" t="s">
        <v>791</v>
      </c>
      <c r="B27" s="1146">
        <f>IF($M27&gt;0,('Amounts Pivot Table'!I$553/$M27),0)</f>
        <v>6296.428295772509</v>
      </c>
      <c r="C27" s="1146">
        <f>IF($M27&gt;0,('Amounts Pivot Table'!I$556/$M27),0)</f>
        <v>724.32419933245933</v>
      </c>
      <c r="D27" s="1146">
        <f>IF($M27&gt;0,('Amounts Pivot Table'!I$562/$M27),0)</f>
        <v>16499.838085091902</v>
      </c>
      <c r="E27" s="1146">
        <f t="shared" si="6"/>
        <v>23520.590580196869</v>
      </c>
      <c r="F27" s="1309">
        <f t="shared" si="9"/>
        <v>5</v>
      </c>
      <c r="G27" s="1310">
        <f t="shared" si="9"/>
        <v>6</v>
      </c>
      <c r="H27" s="1310">
        <f t="shared" si="9"/>
        <v>3</v>
      </c>
      <c r="I27" s="1310">
        <f t="shared" si="9"/>
        <v>3</v>
      </c>
      <c r="J27" s="288"/>
      <c r="L27" s="363"/>
      <c r="M27" s="427">
        <v>202968.16416666668</v>
      </c>
      <c r="N27" s="428">
        <v>201616.46333333332</v>
      </c>
      <c r="O27" s="429">
        <f t="shared" si="1"/>
        <v>7020.7524951049681</v>
      </c>
      <c r="P27" s="430">
        <f t="shared" si="2"/>
        <v>16499.838085091902</v>
      </c>
      <c r="Q27" s="430">
        <f t="shared" si="2"/>
        <v>23520.590580196869</v>
      </c>
      <c r="R27" s="437">
        <f>IF($N27&gt;0,(('Amounts Pivot Table'!I$552+'Amounts Pivot Table'!I$555)/$N27),0)</f>
        <v>6200.2503780321249</v>
      </c>
      <c r="S27" s="432">
        <f>IF($N27&gt;0,('Amounts Pivot Table'!I$561/$N27),0)</f>
        <v>15863.924555119418</v>
      </c>
      <c r="T27" s="432">
        <f t="shared" si="3"/>
        <v>22064.174933151542</v>
      </c>
      <c r="U27" s="438">
        <f t="shared" si="4"/>
        <v>0.13233370703543418</v>
      </c>
      <c r="V27" s="434">
        <f t="shared" si="4"/>
        <v>4.0085511486328232E-2</v>
      </c>
      <c r="W27" s="434">
        <f t="shared" si="4"/>
        <v>6.6008162619172084E-2</v>
      </c>
      <c r="X27" s="267"/>
      <c r="Y27" s="77" t="s">
        <v>791</v>
      </c>
      <c r="Z27" s="77">
        <f t="shared" si="5"/>
        <v>1277974492</v>
      </c>
      <c r="AA27" s="77">
        <f t="shared" si="5"/>
        <v>147014753</v>
      </c>
      <c r="AB27" s="77">
        <f t="shared" si="5"/>
        <v>3348941845.1783524</v>
      </c>
      <c r="AC27" s="77">
        <f t="shared" si="5"/>
        <v>4773931090.1783524</v>
      </c>
    </row>
    <row r="28" spans="1:29">
      <c r="A28" s="277" t="s">
        <v>792</v>
      </c>
      <c r="B28" s="1148">
        <f>IF($M28&gt;0,('Amounts Pivot Table'!I$592/$M28),0)</f>
        <v>3816.7556929383395</v>
      </c>
      <c r="C28" s="1148">
        <f>IF($M28&gt;0,('Amounts Pivot Table'!I$595/$M28),0)</f>
        <v>833.51327802332855</v>
      </c>
      <c r="D28" s="1148">
        <f>IF($M28&gt;0,('Amounts Pivot Table'!I$601/$M28),0)</f>
        <v>12834.685760587543</v>
      </c>
      <c r="E28" s="1149">
        <f t="shared" si="6"/>
        <v>17484.954731549209</v>
      </c>
      <c r="F28" s="1313">
        <f t="shared" si="9"/>
        <v>12</v>
      </c>
      <c r="G28" s="1314">
        <f t="shared" si="9"/>
        <v>4</v>
      </c>
      <c r="H28" s="1314">
        <f t="shared" si="9"/>
        <v>6</v>
      </c>
      <c r="I28" s="1314">
        <f t="shared" si="9"/>
        <v>10</v>
      </c>
      <c r="J28" s="288"/>
      <c r="L28" s="367"/>
      <c r="M28" s="427">
        <v>50383.691666666673</v>
      </c>
      <c r="N28" s="428">
        <v>51386.866666666669</v>
      </c>
      <c r="O28" s="429">
        <f t="shared" si="1"/>
        <v>4650.2689709616679</v>
      </c>
      <c r="P28" s="430">
        <f t="shared" si="2"/>
        <v>12834.685760587543</v>
      </c>
      <c r="Q28" s="430">
        <f t="shared" si="2"/>
        <v>17484.954731549209</v>
      </c>
      <c r="R28" s="437">
        <f>IF($N28&gt;0,(('Amounts Pivot Table'!I$591+'Amounts Pivot Table'!I$594)/$N28),0)</f>
        <v>4559.9848015640828</v>
      </c>
      <c r="S28" s="432">
        <f>IF($N28&gt;0,('Amounts Pivot Table'!I$600/$N28),0)</f>
        <v>12518.719329063328</v>
      </c>
      <c r="T28" s="432">
        <f t="shared" si="3"/>
        <v>17078.704130627411</v>
      </c>
      <c r="U28" s="438">
        <f t="shared" si="4"/>
        <v>1.9799225946239458E-2</v>
      </c>
      <c r="V28" s="434">
        <f t="shared" si="4"/>
        <v>2.5239517175744242E-2</v>
      </c>
      <c r="W28" s="434">
        <f t="shared" si="4"/>
        <v>2.3786968719322472E-2</v>
      </c>
      <c r="X28" s="267"/>
      <c r="Y28" s="277" t="s">
        <v>792</v>
      </c>
      <c r="Z28" s="277">
        <f t="shared" si="5"/>
        <v>192302242</v>
      </c>
      <c r="AA28" s="277">
        <f t="shared" si="5"/>
        <v>41995476</v>
      </c>
      <c r="AB28" s="277">
        <f t="shared" si="5"/>
        <v>646658850</v>
      </c>
      <c r="AC28" s="277">
        <f t="shared" si="5"/>
        <v>880956567.99999988</v>
      </c>
    </row>
    <row r="29" spans="1:29" ht="40.5" customHeight="1">
      <c r="A29" s="1244" t="s">
        <v>926</v>
      </c>
      <c r="B29" s="1244"/>
      <c r="C29" s="1244"/>
      <c r="D29" s="1244"/>
      <c r="E29" s="1244"/>
      <c r="F29" s="1244"/>
      <c r="G29" s="1244"/>
      <c r="H29" s="1244"/>
      <c r="I29" s="1244"/>
      <c r="J29" s="369"/>
      <c r="K29" s="369"/>
      <c r="L29" s="367"/>
      <c r="M29" s="412"/>
      <c r="N29" s="439"/>
      <c r="O29" s="439"/>
      <c r="P29" s="439"/>
      <c r="R29" s="97"/>
    </row>
    <row r="30" spans="1:29" s="362" customFormat="1" ht="17.25" customHeight="1">
      <c r="A30" s="1244" t="s">
        <v>927</v>
      </c>
      <c r="B30" s="1244"/>
      <c r="C30" s="1244"/>
      <c r="D30" s="1244"/>
      <c r="E30" s="1244"/>
      <c r="F30" s="1244"/>
      <c r="G30" s="1244"/>
      <c r="H30" s="1244"/>
      <c r="I30" s="1244"/>
      <c r="J30" s="369"/>
      <c r="L30" s="363"/>
      <c r="M30" s="412"/>
      <c r="R30" s="97"/>
      <c r="S30" s="77"/>
    </row>
    <row r="31" spans="1:29" ht="15.75" customHeight="1">
      <c r="A31" s="1244" t="s">
        <v>963</v>
      </c>
      <c r="B31" s="1245"/>
      <c r="C31" s="1245"/>
      <c r="D31" s="1245"/>
      <c r="E31" s="1245"/>
      <c r="F31" s="1245"/>
      <c r="G31" s="1245"/>
      <c r="H31" s="1245"/>
      <c r="I31" s="1245"/>
      <c r="J31" s="369"/>
      <c r="K31" s="369"/>
      <c r="L31" s="367"/>
      <c r="M31" s="412"/>
    </row>
    <row r="32" spans="1:29">
      <c r="A32" s="368"/>
      <c r="B32" s="369"/>
      <c r="C32" s="369"/>
      <c r="D32" s="369"/>
      <c r="E32" s="369"/>
      <c r="F32" s="369"/>
      <c r="G32" s="369"/>
      <c r="H32" s="369"/>
      <c r="I32" s="370" t="s">
        <v>1814</v>
      </c>
      <c r="J32" s="369"/>
      <c r="K32" s="369"/>
      <c r="L32" s="367"/>
      <c r="M32" s="412"/>
      <c r="N32" s="440"/>
    </row>
    <row r="33" spans="1:16" ht="18">
      <c r="A33" s="336" t="s">
        <v>929</v>
      </c>
      <c r="B33" s="336"/>
      <c r="C33" s="336"/>
      <c r="D33" s="336"/>
      <c r="E33" s="336"/>
      <c r="F33" s="336"/>
      <c r="G33" s="336"/>
      <c r="H33" s="336"/>
      <c r="I33" s="336"/>
      <c r="J33" s="234" t="s">
        <v>421</v>
      </c>
      <c r="K33" s="234"/>
      <c r="L33" s="367"/>
      <c r="M33" s="441"/>
    </row>
    <row r="34" spans="1:16" ht="12" customHeight="1">
      <c r="A34" s="336"/>
      <c r="B34" s="336"/>
      <c r="C34" s="336"/>
      <c r="D34" s="336"/>
      <c r="E34" s="336"/>
      <c r="F34" s="336"/>
      <c r="G34" s="336"/>
      <c r="H34" s="336"/>
      <c r="I34" s="336"/>
      <c r="J34" s="234"/>
      <c r="K34" s="234"/>
      <c r="L34" s="367"/>
      <c r="M34" s="441"/>
    </row>
    <row r="35" spans="1:16" ht="17.5">
      <c r="A35" s="1228" t="s">
        <v>920</v>
      </c>
      <c r="B35" s="1228"/>
      <c r="C35" s="1228"/>
      <c r="D35" s="1228"/>
      <c r="E35" s="1228"/>
      <c r="F35" s="1228"/>
      <c r="G35" s="1228"/>
      <c r="H35" s="1228"/>
      <c r="I35" s="1228"/>
      <c r="J35" s="234"/>
      <c r="K35" s="234"/>
      <c r="L35" s="367"/>
      <c r="M35" s="442"/>
    </row>
    <row r="36" spans="1:16" ht="15.5">
      <c r="A36" s="1228" t="s">
        <v>1750</v>
      </c>
      <c r="B36" s="1228"/>
      <c r="C36" s="1228"/>
      <c r="D36" s="1228"/>
      <c r="E36" s="1228"/>
      <c r="F36" s="1228"/>
      <c r="G36" s="1228"/>
      <c r="H36" s="1228"/>
      <c r="I36" s="1228"/>
      <c r="J36" s="234"/>
      <c r="K36" s="234"/>
      <c r="L36" s="344"/>
      <c r="M36" s="442"/>
    </row>
    <row r="37" spans="1:16" ht="9.75" customHeight="1">
      <c r="A37" s="341"/>
      <c r="B37" s="341"/>
      <c r="C37" s="341"/>
      <c r="D37" s="341"/>
      <c r="E37" s="341"/>
      <c r="F37" s="341"/>
      <c r="G37" s="373"/>
      <c r="H37" s="341"/>
      <c r="I37" s="341"/>
      <c r="J37" s="341"/>
      <c r="K37" s="341"/>
      <c r="L37" s="344"/>
      <c r="M37" s="442"/>
    </row>
    <row r="38" spans="1:16" ht="17.25" customHeight="1">
      <c r="A38" s="346"/>
      <c r="B38" s="443" t="s">
        <v>922</v>
      </c>
      <c r="C38" s="444"/>
      <c r="D38" s="444"/>
      <c r="E38" s="444"/>
      <c r="F38" s="445" t="s">
        <v>923</v>
      </c>
      <c r="G38" s="446"/>
      <c r="H38" s="446"/>
      <c r="I38" s="446"/>
      <c r="L38" s="344"/>
      <c r="M38" s="447" t="s">
        <v>1765</v>
      </c>
    </row>
    <row r="39" spans="1:16" s="53" customFormat="1" ht="46">
      <c r="A39" s="243"/>
      <c r="B39" s="420" t="s">
        <v>6</v>
      </c>
      <c r="C39" s="421" t="s">
        <v>7</v>
      </c>
      <c r="D39" s="421" t="s">
        <v>960</v>
      </c>
      <c r="E39" s="421" t="s">
        <v>768</v>
      </c>
      <c r="F39" s="422" t="s">
        <v>6</v>
      </c>
      <c r="G39" s="421" t="s">
        <v>7</v>
      </c>
      <c r="H39" s="421" t="s">
        <v>960</v>
      </c>
      <c r="I39" s="421" t="s">
        <v>768</v>
      </c>
      <c r="L39" s="375"/>
      <c r="M39" s="442" t="s">
        <v>932</v>
      </c>
    </row>
    <row r="40" spans="1:16" ht="16.5" customHeight="1">
      <c r="A40" s="77" t="s">
        <v>925</v>
      </c>
      <c r="B40" s="352">
        <f>IF($M40&gt;0,('Amounts Pivot Table'!C$631/$M40),0)</f>
        <v>7097.8539999794684</v>
      </c>
      <c r="C40" s="352">
        <f>IF($M40&gt;0,('Amounts Pivot Table'!C$634/$M40),0)</f>
        <v>1168.1513135881492</v>
      </c>
      <c r="D40" s="352">
        <f>IF($M40&gt;0,('Amounts Pivot Table'!C$640/$M40),0)</f>
        <v>13817.724276532257</v>
      </c>
      <c r="E40" s="352">
        <f>SUM(B40:D40)</f>
        <v>22083.729590099872</v>
      </c>
      <c r="F40" s="353"/>
      <c r="G40" s="354"/>
      <c r="H40" s="354"/>
      <c r="I40" s="354"/>
      <c r="J40" s="288"/>
      <c r="L40" s="356"/>
      <c r="M40" s="448">
        <v>1048614.8354166667</v>
      </c>
    </row>
    <row r="41" spans="1:16" s="376" customFormat="1">
      <c r="B41" s="377"/>
      <c r="C41" s="377"/>
      <c r="D41" s="377"/>
      <c r="E41" s="377"/>
      <c r="F41" s="378"/>
      <c r="G41" s="379"/>
      <c r="H41" s="379"/>
      <c r="I41" s="379"/>
      <c r="J41" s="380"/>
      <c r="L41" s="381"/>
      <c r="M41" s="448"/>
    </row>
    <row r="42" spans="1:16" ht="12.75" customHeight="1">
      <c r="A42" s="77" t="s">
        <v>777</v>
      </c>
      <c r="B42" s="288">
        <f>IF($M42&gt;0,('Amounts Pivot Table'!C$7/$M42),0)</f>
        <v>4961.8641900168977</v>
      </c>
      <c r="C42" s="288">
        <f>IF($M42&gt;0,('Amounts Pivot Table'!C$10/$M42),0)</f>
        <v>1050.2162435720886</v>
      </c>
      <c r="D42" s="288">
        <f>IF($M42&gt;0,('Amounts Pivot Table'!C$16/$M42),0)</f>
        <v>18707.165985070151</v>
      </c>
      <c r="E42" s="288">
        <f>SUM(B42:D42)</f>
        <v>24719.246418659139</v>
      </c>
      <c r="F42" s="359">
        <f>IF(B42&gt;0,RANK(B42,$B$42:$B$60),)</f>
        <v>11</v>
      </c>
      <c r="G42" s="289">
        <f>IF(C42&gt;0,RANK(C42,C$42:C$60),)</f>
        <v>9</v>
      </c>
      <c r="H42" s="289">
        <f>IF(D42&gt;0,RANK(D42,D$42:D$60),)</f>
        <v>3</v>
      </c>
      <c r="I42" s="289">
        <f>IF(E42&gt;0,RANK(E42,E$42:E$60),)</f>
        <v>6</v>
      </c>
      <c r="J42" s="288"/>
      <c r="L42" s="356"/>
      <c r="M42" s="448">
        <v>76387.241666666669</v>
      </c>
    </row>
    <row r="43" spans="1:16" ht="12.75" customHeight="1">
      <c r="A43" s="77" t="s">
        <v>778</v>
      </c>
      <c r="B43" s="288">
        <f>IF($M43&gt;0,('Amounts Pivot Table'!C$46/$M43),0)</f>
        <v>5297.277898233333</v>
      </c>
      <c r="C43" s="288">
        <f>IF($M43&gt;0,('Amounts Pivot Table'!C$49/$M43),0)</f>
        <v>3527.1440406210486</v>
      </c>
      <c r="D43" s="288">
        <f>IF($M43&gt;0,('Amounts Pivot Table'!C$55/$M43),0)</f>
        <v>13139.90744521034</v>
      </c>
      <c r="E43" s="288">
        <f>SUM(B43:D43)</f>
        <v>21964.329384064724</v>
      </c>
      <c r="F43" s="359">
        <f t="shared" ref="F43:F60" si="10">IF(B43&gt;0,RANK(B43,$B$42:$B$60),)</f>
        <v>9</v>
      </c>
      <c r="G43" s="289">
        <f t="shared" ref="G43:I60" si="11">IF(C43&gt;0,RANK(C43,C$42:C$60),)</f>
        <v>1</v>
      </c>
      <c r="H43" s="289">
        <f t="shared" si="11"/>
        <v>9</v>
      </c>
      <c r="I43" s="289">
        <f t="shared" si="11"/>
        <v>8</v>
      </c>
      <c r="J43" s="288"/>
      <c r="L43" s="356"/>
      <c r="M43" s="448">
        <v>25228.3</v>
      </c>
    </row>
    <row r="44" spans="1:16" ht="12.75" customHeight="1">
      <c r="A44" s="77" t="s">
        <v>779</v>
      </c>
      <c r="B44" s="288">
        <f>IF($M44&gt;0,('Amounts Pivot Table'!C$85/$M44),0)</f>
        <v>5411.6969700463478</v>
      </c>
      <c r="C44" s="288">
        <f>IF($M44&gt;0,('Amounts Pivot Table'!C$88/$M44),0)</f>
        <v>320.51301969239279</v>
      </c>
      <c r="D44" s="288">
        <f>IF($M44&gt;0,('Amounts Pivot Table'!C$94/$M44),0)</f>
        <v>27452.638281988606</v>
      </c>
      <c r="E44" s="288">
        <f>SUM(B44:D44)</f>
        <v>33184.848271727344</v>
      </c>
      <c r="F44" s="359">
        <f t="shared" si="10"/>
        <v>8</v>
      </c>
      <c r="G44" s="289">
        <f t="shared" si="11"/>
        <v>14</v>
      </c>
      <c r="H44" s="289">
        <f t="shared" si="11"/>
        <v>1</v>
      </c>
      <c r="I44" s="289">
        <f t="shared" si="11"/>
        <v>2</v>
      </c>
      <c r="J44" s="288"/>
      <c r="L44" s="356"/>
      <c r="M44" s="448">
        <v>23129.066666666669</v>
      </c>
      <c r="N44" s="439"/>
      <c r="O44" s="439"/>
      <c r="P44" s="439"/>
    </row>
    <row r="45" spans="1:16" ht="12.75" customHeight="1">
      <c r="A45" s="77" t="s">
        <v>780</v>
      </c>
      <c r="B45" s="288">
        <f>IF($M45&gt;0,('Amounts Pivot Table'!C$124/$M45),0)</f>
        <v>0</v>
      </c>
      <c r="C45" s="288">
        <f>IF($M45&gt;0,('Amounts Pivot Table'!C$127/$M45),0)</f>
        <v>0</v>
      </c>
      <c r="D45" s="288">
        <f>IF($M45&gt;0,('Amounts Pivot Table'!C$133/$M45),0)</f>
        <v>0</v>
      </c>
      <c r="E45" s="288">
        <f>SUM(B45:D45)</f>
        <v>0</v>
      </c>
      <c r="F45" s="359">
        <f t="shared" si="10"/>
        <v>0</v>
      </c>
      <c r="G45" s="289">
        <f t="shared" si="11"/>
        <v>0</v>
      </c>
      <c r="H45" s="289">
        <f t="shared" si="11"/>
        <v>0</v>
      </c>
      <c r="I45" s="289">
        <f t="shared" si="11"/>
        <v>0</v>
      </c>
      <c r="J45" s="288"/>
      <c r="L45" s="356"/>
      <c r="M45" s="448">
        <v>0</v>
      </c>
    </row>
    <row r="46" spans="1:16" s="376" customFormat="1" ht="9.75" customHeight="1">
      <c r="B46" s="377"/>
      <c r="C46" s="377"/>
      <c r="D46" s="377"/>
      <c r="E46" s="377"/>
      <c r="F46" s="359"/>
      <c r="G46" s="289"/>
      <c r="H46" s="289"/>
      <c r="I46" s="289"/>
      <c r="J46" s="380"/>
      <c r="L46" s="381"/>
      <c r="M46" s="448"/>
    </row>
    <row r="47" spans="1:16" ht="12.75" customHeight="1">
      <c r="A47" s="77" t="s">
        <v>781</v>
      </c>
      <c r="B47" s="288">
        <f>IF($M47&gt;0,('Amounts Pivot Table'!C$163/$M47),0)</f>
        <v>7180.2519014505788</v>
      </c>
      <c r="C47" s="288">
        <f>IF($M47&gt;0,('Amounts Pivot Table'!C$166/$M47),0)</f>
        <v>1128.2636104796454</v>
      </c>
      <c r="D47" s="288">
        <f>IF($M47&gt;0,('Amounts Pivot Table'!C$172/$M47),0)</f>
        <v>9405.6381549188354</v>
      </c>
      <c r="E47" s="288">
        <f>SUM(B47:D47)</f>
        <v>17714.153666849059</v>
      </c>
      <c r="F47" s="359">
        <f t="shared" si="10"/>
        <v>5</v>
      </c>
      <c r="G47" s="289">
        <f t="shared" si="11"/>
        <v>8</v>
      </c>
      <c r="H47" s="289">
        <f t="shared" si="11"/>
        <v>14</v>
      </c>
      <c r="I47" s="289">
        <f t="shared" si="11"/>
        <v>14</v>
      </c>
      <c r="J47" s="288"/>
      <c r="L47" s="356"/>
      <c r="M47" s="448">
        <v>89146.304166666669</v>
      </c>
    </row>
    <row r="48" spans="1:16" ht="12.75" customHeight="1">
      <c r="A48" s="77" t="s">
        <v>782</v>
      </c>
      <c r="B48" s="288">
        <f>IF($M48&gt;0,('Amounts Pivot Table'!C$202/$M48),0)</f>
        <v>6098.1246633150104</v>
      </c>
      <c r="C48" s="288">
        <f>IF($M48&gt;0,('Amounts Pivot Table'!C$205/$M48),0)</f>
        <v>2021.8545421508393</v>
      </c>
      <c r="D48" s="288">
        <f>IF($M48&gt;0,('Amounts Pivot Table'!C$211/$M48),0)</f>
        <v>18283.371678078067</v>
      </c>
      <c r="E48" s="288">
        <f>SUM(B48:D48)</f>
        <v>26403.350883543917</v>
      </c>
      <c r="F48" s="359">
        <f t="shared" si="10"/>
        <v>6</v>
      </c>
      <c r="G48" s="289">
        <f t="shared" si="11"/>
        <v>3</v>
      </c>
      <c r="H48" s="289">
        <f t="shared" si="11"/>
        <v>4</v>
      </c>
      <c r="I48" s="289">
        <f t="shared" si="11"/>
        <v>3</v>
      </c>
      <c r="J48" s="288"/>
      <c r="L48" s="356"/>
      <c r="M48" s="448">
        <v>40266.991666666669</v>
      </c>
    </row>
    <row r="49" spans="1:13" ht="12.75" customHeight="1">
      <c r="A49" s="77" t="s">
        <v>813</v>
      </c>
      <c r="B49" s="288">
        <f>IF($M49&gt;0,('Amounts Pivot Table'!C$241/$M49),0)</f>
        <v>3719.4407063960412</v>
      </c>
      <c r="C49" s="288">
        <f>IF($M49&gt;0,('Amounts Pivot Table'!C$244/$M49),0)</f>
        <v>2520.9961965227262</v>
      </c>
      <c r="D49" s="288">
        <f>IF($M49&gt;0,('Amounts Pivot Table'!C$250/$M49),0)</f>
        <v>13284.574213886857</v>
      </c>
      <c r="E49" s="288">
        <f>SUM(B49:D49)</f>
        <v>19525.011116805625</v>
      </c>
      <c r="F49" s="359">
        <f t="shared" si="10"/>
        <v>13</v>
      </c>
      <c r="G49" s="289">
        <f t="shared" si="11"/>
        <v>2</v>
      </c>
      <c r="H49" s="289">
        <f t="shared" si="11"/>
        <v>8</v>
      </c>
      <c r="I49" s="289">
        <f t="shared" si="11"/>
        <v>11</v>
      </c>
      <c r="J49" s="288"/>
      <c r="L49" s="356"/>
      <c r="M49" s="448">
        <v>31105.308333333334</v>
      </c>
    </row>
    <row r="50" spans="1:13" ht="12.75" customHeight="1">
      <c r="A50" s="77" t="s">
        <v>784</v>
      </c>
      <c r="B50" s="288">
        <f>IF($M50&gt;0,('Amounts Pivot Table'!C$280/$M50),0)</f>
        <v>16099.935225474339</v>
      </c>
      <c r="C50" s="288">
        <f>IF($M50&gt;0,('Amounts Pivot Table'!C$283/$M50),0)</f>
        <v>1780.7738615243102</v>
      </c>
      <c r="D50" s="288">
        <f>IF($M50&gt;0,('Amounts Pivot Table'!C$289/$M50),0)</f>
        <v>17970.320993293462</v>
      </c>
      <c r="E50" s="288">
        <f>SUM(B50:D50)</f>
        <v>35851.030080292112</v>
      </c>
      <c r="F50" s="359">
        <f t="shared" si="10"/>
        <v>1</v>
      </c>
      <c r="G50" s="289">
        <f t="shared" si="11"/>
        <v>5</v>
      </c>
      <c r="H50" s="289">
        <f t="shared" si="11"/>
        <v>6</v>
      </c>
      <c r="I50" s="289">
        <f t="shared" si="11"/>
        <v>1</v>
      </c>
      <c r="J50" s="288"/>
      <c r="L50" s="356"/>
      <c r="M50" s="448">
        <v>35685.324999999997</v>
      </c>
    </row>
    <row r="51" spans="1:13" s="376" customFormat="1" ht="11.25" customHeight="1">
      <c r="B51" s="377"/>
      <c r="C51" s="377"/>
      <c r="D51" s="377"/>
      <c r="E51" s="377"/>
      <c r="F51" s="359"/>
      <c r="G51" s="289"/>
      <c r="H51" s="289"/>
      <c r="I51" s="289"/>
      <c r="J51" s="380"/>
      <c r="L51" s="381"/>
      <c r="M51" s="448"/>
    </row>
    <row r="52" spans="1:13" ht="12.75" customHeight="1">
      <c r="A52" s="77" t="s">
        <v>785</v>
      </c>
      <c r="B52" s="288">
        <f>IF($M52&gt;0,('Amounts Pivot Table'!C$319/$M52),0)</f>
        <v>5055.3199253927942</v>
      </c>
      <c r="C52" s="288">
        <f>IF($M52&gt;0,('Amounts Pivot Table'!C$322/$M52),0)</f>
        <v>1557.7896687821039</v>
      </c>
      <c r="D52" s="288">
        <f>IF($M52&gt;0,('Amounts Pivot Table'!C$328/$M52),0)</f>
        <v>12556.947975327179</v>
      </c>
      <c r="E52" s="288">
        <f>SUM(B52:D52)</f>
        <v>19170.057569502078</v>
      </c>
      <c r="F52" s="359">
        <f t="shared" si="10"/>
        <v>10</v>
      </c>
      <c r="G52" s="289">
        <f t="shared" si="11"/>
        <v>7</v>
      </c>
      <c r="H52" s="289">
        <f t="shared" si="11"/>
        <v>11</v>
      </c>
      <c r="I52" s="289">
        <f t="shared" si="11"/>
        <v>12</v>
      </c>
      <c r="J52" s="288"/>
      <c r="L52" s="356"/>
      <c r="M52" s="448">
        <v>53900.066666666673</v>
      </c>
    </row>
    <row r="53" spans="1:13" ht="12.75" customHeight="1">
      <c r="A53" s="77" t="s">
        <v>786</v>
      </c>
      <c r="B53" s="288">
        <f>IF($M53&gt;0,('Amounts Pivot Table'!C$358/$M53),0)</f>
        <v>10612.921812113562</v>
      </c>
      <c r="C53" s="288">
        <f>IF($M53&gt;0,('Amounts Pivot Table'!C$361/$M53),0)</f>
        <v>939.9655253686916</v>
      </c>
      <c r="D53" s="288">
        <f>IF($M53&gt;0,('Amounts Pivot Table'!C$367/$M53),0)</f>
        <v>10297.846794512363</v>
      </c>
      <c r="E53" s="288">
        <f>SUM(B53:D53)</f>
        <v>21850.734131994617</v>
      </c>
      <c r="F53" s="359">
        <f t="shared" si="10"/>
        <v>2</v>
      </c>
      <c r="G53" s="289">
        <f t="shared" si="11"/>
        <v>10</v>
      </c>
      <c r="H53" s="289">
        <f t="shared" si="11"/>
        <v>12</v>
      </c>
      <c r="I53" s="289">
        <f t="shared" si="11"/>
        <v>9</v>
      </c>
      <c r="J53" s="288"/>
      <c r="L53" s="356"/>
      <c r="M53" s="448">
        <v>103197.86458333333</v>
      </c>
    </row>
    <row r="54" spans="1:13" ht="12.75" customHeight="1">
      <c r="A54" s="77" t="s">
        <v>787</v>
      </c>
      <c r="B54" s="288">
        <f>IF($M54&gt;0,('Amounts Pivot Table'!C$397/$M54),0)</f>
        <v>0</v>
      </c>
      <c r="C54" s="288">
        <f>IF($M54&gt;0,('Amounts Pivot Table'!C$400/$M54),0)</f>
        <v>0</v>
      </c>
      <c r="D54" s="288">
        <f>IF($M54&gt;0,('Amounts Pivot Table'!C$406/$M54),0)</f>
        <v>0</v>
      </c>
      <c r="E54" s="288">
        <f>SUM(B54:D54)</f>
        <v>0</v>
      </c>
      <c r="F54" s="359">
        <f t="shared" si="10"/>
        <v>0</v>
      </c>
      <c r="G54" s="289">
        <f t="shared" si="11"/>
        <v>0</v>
      </c>
      <c r="H54" s="289">
        <f t="shared" si="11"/>
        <v>0</v>
      </c>
      <c r="I54" s="289">
        <f t="shared" si="11"/>
        <v>0</v>
      </c>
      <c r="J54" s="288"/>
      <c r="L54" s="356"/>
      <c r="M54" s="448">
        <v>0</v>
      </c>
    </row>
    <row r="55" spans="1:13" ht="12.75" customHeight="1">
      <c r="A55" s="77" t="s">
        <v>788</v>
      </c>
      <c r="B55" s="288">
        <f>IF($M55&gt;0,('Amounts Pivot Table'!C$436/$M55),0)</f>
        <v>3802.2828340823048</v>
      </c>
      <c r="C55" s="288">
        <f>IF($M55&gt;0,('Amounts Pivot Table'!C$439/$M55),0)</f>
        <v>863.85682189876491</v>
      </c>
      <c r="D55" s="288">
        <f>IF($M55&gt;0,('Amounts Pivot Table'!C$445/$M55),0)</f>
        <v>20986.929358472538</v>
      </c>
      <c r="E55" s="288">
        <f>SUM(B55:D55)</f>
        <v>25653.069014453609</v>
      </c>
      <c r="F55" s="359">
        <f t="shared" si="10"/>
        <v>12</v>
      </c>
      <c r="G55" s="289">
        <f t="shared" si="11"/>
        <v>11</v>
      </c>
      <c r="H55" s="289">
        <f t="shared" si="11"/>
        <v>2</v>
      </c>
      <c r="I55" s="289">
        <f t="shared" si="11"/>
        <v>4</v>
      </c>
      <c r="J55" s="288"/>
      <c r="L55" s="356"/>
      <c r="M55" s="448">
        <v>60640.558333333334</v>
      </c>
    </row>
    <row r="56" spans="1:13" s="376" customFormat="1" ht="8.25" customHeight="1">
      <c r="B56" s="377"/>
      <c r="C56" s="377"/>
      <c r="D56" s="377"/>
      <c r="E56" s="377"/>
      <c r="F56" s="359"/>
      <c r="G56" s="289"/>
      <c r="H56" s="289"/>
      <c r="I56" s="289"/>
      <c r="J56" s="380"/>
      <c r="L56" s="381"/>
      <c r="M56" s="448"/>
    </row>
    <row r="57" spans="1:13" ht="12.75" customHeight="1">
      <c r="A57" s="77" t="s">
        <v>789</v>
      </c>
      <c r="B57" s="288">
        <f>IF($M57&gt;0,('Amounts Pivot Table'!C$475/$M57),0)</f>
        <v>8700.7302633008912</v>
      </c>
      <c r="C57" s="288">
        <f>IF($M57&gt;0,('Amounts Pivot Table'!C$478/$M57),0)</f>
        <v>1866.2527102263427</v>
      </c>
      <c r="D57" s="288">
        <f>IF($M57&gt;0,('Amounts Pivot Table'!C$484/$M57),0)</f>
        <v>12563.398287116515</v>
      </c>
      <c r="E57" s="288">
        <f>SUM(B57:D57)</f>
        <v>23130.38126064375</v>
      </c>
      <c r="F57" s="359">
        <f t="shared" si="10"/>
        <v>3</v>
      </c>
      <c r="G57" s="289">
        <f t="shared" si="11"/>
        <v>4</v>
      </c>
      <c r="H57" s="289">
        <f t="shared" si="11"/>
        <v>10</v>
      </c>
      <c r="I57" s="289">
        <f t="shared" si="11"/>
        <v>7</v>
      </c>
      <c r="J57" s="288"/>
      <c r="K57" s="355"/>
      <c r="L57" s="356"/>
      <c r="M57" s="448">
        <v>44857.108333333337</v>
      </c>
    </row>
    <row r="58" spans="1:13" ht="12.75" customHeight="1">
      <c r="A58" s="77" t="s">
        <v>790</v>
      </c>
      <c r="B58" s="288">
        <f>IF($M58&gt;0,('Amounts Pivot Table'!C$514/$M58),0)</f>
        <v>7781.3659066119262</v>
      </c>
      <c r="C58" s="288">
        <f>IF($M58&gt;0,('Amounts Pivot Table'!C$517/$M58),0)</f>
        <v>845.3024396271162</v>
      </c>
      <c r="D58" s="288">
        <f>IF($M58&gt;0,('Amounts Pivot Table'!C$523/$M58),0)</f>
        <v>9751.5415150636873</v>
      </c>
      <c r="E58" s="288">
        <f>SUM(B58:D58)</f>
        <v>18378.20986130273</v>
      </c>
      <c r="F58" s="359">
        <f t="shared" si="10"/>
        <v>4</v>
      </c>
      <c r="G58" s="289">
        <f t="shared" si="11"/>
        <v>12</v>
      </c>
      <c r="H58" s="289">
        <f t="shared" si="11"/>
        <v>13</v>
      </c>
      <c r="I58" s="289">
        <f t="shared" si="11"/>
        <v>13</v>
      </c>
      <c r="J58" s="288"/>
      <c r="K58" s="355"/>
      <c r="L58" s="356"/>
      <c r="M58" s="448">
        <v>300801.43333333329</v>
      </c>
    </row>
    <row r="59" spans="1:13" s="362" customFormat="1" ht="12.75" customHeight="1">
      <c r="A59" s="77" t="s">
        <v>791</v>
      </c>
      <c r="B59" s="288">
        <f>IF($M59&gt;0,('Amounts Pivot Table'!C$553/$M59),0)</f>
        <v>5966.8734506448845</v>
      </c>
      <c r="C59" s="288">
        <f>IF($M59&gt;0,('Amounts Pivot Table'!C$556/$M59),0)</f>
        <v>806.57593178827869</v>
      </c>
      <c r="D59" s="288">
        <f>IF($M59&gt;0,('Amounts Pivot Table'!C$562/$M59),0)</f>
        <v>18250.775709573289</v>
      </c>
      <c r="E59" s="288">
        <f>SUM(B59:D59)</f>
        <v>25024.225092006451</v>
      </c>
      <c r="F59" s="359">
        <f t="shared" si="10"/>
        <v>7</v>
      </c>
      <c r="G59" s="289">
        <f t="shared" si="11"/>
        <v>13</v>
      </c>
      <c r="H59" s="289">
        <f t="shared" si="11"/>
        <v>5</v>
      </c>
      <c r="I59" s="289">
        <f t="shared" si="11"/>
        <v>5</v>
      </c>
      <c r="J59" s="288"/>
      <c r="K59" s="355"/>
      <c r="L59" s="363"/>
      <c r="M59" s="448">
        <v>140599.49166666667</v>
      </c>
    </row>
    <row r="60" spans="1:13" ht="12.75" customHeight="1">
      <c r="A60" s="277" t="s">
        <v>792</v>
      </c>
      <c r="B60" s="296">
        <f>IF($M60&gt;0,('Amounts Pivot Table'!C$592/$M60),0)</f>
        <v>2579.2703141453608</v>
      </c>
      <c r="C60" s="296">
        <f>IF($M60&gt;0,('Amounts Pivot Table'!C$595/$M60),0)</f>
        <v>1673.9938592572175</v>
      </c>
      <c r="D60" s="296">
        <f>IF($M60&gt;0,('Amounts Pivot Table'!C$601/$M60),0)</f>
        <v>16466.4952666428</v>
      </c>
      <c r="E60" s="364">
        <f>SUM(B60:D60)</f>
        <v>20719.759440045378</v>
      </c>
      <c r="F60" s="365">
        <f t="shared" si="10"/>
        <v>14</v>
      </c>
      <c r="G60" s="366">
        <f t="shared" si="11"/>
        <v>6</v>
      </c>
      <c r="H60" s="366">
        <f t="shared" si="11"/>
        <v>7</v>
      </c>
      <c r="I60" s="366">
        <f t="shared" si="11"/>
        <v>10</v>
      </c>
      <c r="J60" s="288"/>
      <c r="K60" s="355"/>
      <c r="L60" s="367"/>
      <c r="M60" s="448">
        <v>23669.774999999998</v>
      </c>
    </row>
    <row r="61" spans="1:13" ht="39.75" customHeight="1">
      <c r="A61" s="1244" t="s">
        <v>926</v>
      </c>
      <c r="B61" s="1245"/>
      <c r="C61" s="1245"/>
      <c r="D61" s="1245"/>
      <c r="E61" s="1245"/>
      <c r="F61" s="1245"/>
      <c r="G61" s="1245"/>
      <c r="H61" s="1245"/>
      <c r="I61" s="1245"/>
      <c r="J61" s="355"/>
      <c r="K61" s="355"/>
      <c r="L61" s="367"/>
      <c r="M61" s="449"/>
    </row>
    <row r="62" spans="1:13" s="362" customFormat="1" ht="19.5" customHeight="1">
      <c r="A62" s="1244" t="s">
        <v>927</v>
      </c>
      <c r="B62" s="1267"/>
      <c r="C62" s="1267"/>
      <c r="D62" s="1267"/>
      <c r="E62" s="1267"/>
      <c r="F62" s="1267"/>
      <c r="G62" s="1267"/>
      <c r="H62" s="1267"/>
      <c r="I62" s="1267"/>
      <c r="J62" s="369"/>
      <c r="L62" s="363"/>
      <c r="M62" s="412"/>
    </row>
    <row r="63" spans="1:13">
      <c r="A63" s="1244" t="s">
        <v>930</v>
      </c>
      <c r="B63" s="1245"/>
      <c r="C63" s="1245"/>
      <c r="D63" s="1245"/>
      <c r="E63" s="1245"/>
      <c r="F63" s="1245"/>
      <c r="G63" s="1245"/>
      <c r="H63" s="1245"/>
      <c r="I63" s="1245"/>
      <c r="J63" s="1245"/>
      <c r="K63" s="1245"/>
      <c r="L63" s="367"/>
      <c r="M63" s="412"/>
    </row>
    <row r="64" spans="1:13">
      <c r="A64" s="368"/>
      <c r="B64" s="369"/>
      <c r="C64" s="369"/>
      <c r="D64" s="369"/>
      <c r="E64" s="369"/>
      <c r="F64" s="369"/>
      <c r="G64" s="369"/>
      <c r="H64" s="369"/>
      <c r="I64" s="370" t="s">
        <v>1814</v>
      </c>
      <c r="J64" s="369"/>
      <c r="K64" s="369"/>
      <c r="L64" s="367"/>
      <c r="M64" s="412"/>
    </row>
    <row r="65" spans="1:13" ht="18">
      <c r="A65" s="336" t="s">
        <v>931</v>
      </c>
      <c r="B65" s="336"/>
      <c r="C65" s="336"/>
      <c r="D65" s="336"/>
      <c r="E65" s="336"/>
      <c r="F65" s="336"/>
      <c r="G65" s="336"/>
      <c r="H65" s="336"/>
      <c r="I65" s="336"/>
      <c r="J65" s="234" t="s">
        <v>421</v>
      </c>
      <c r="L65" s="367"/>
      <c r="M65" s="412"/>
    </row>
    <row r="66" spans="1:13" ht="18">
      <c r="A66" s="336"/>
      <c r="B66" s="336"/>
      <c r="C66" s="336"/>
      <c r="D66" s="336"/>
      <c r="E66" s="336"/>
      <c r="F66" s="336"/>
      <c r="G66" s="336"/>
      <c r="H66" s="336"/>
      <c r="I66" s="336"/>
      <c r="J66" s="234"/>
      <c r="L66" s="367"/>
      <c r="M66" s="412"/>
    </row>
    <row r="67" spans="1:13" ht="17.5">
      <c r="A67" s="1228" t="s">
        <v>920</v>
      </c>
      <c r="B67" s="1228"/>
      <c r="C67" s="1228"/>
      <c r="D67" s="1228"/>
      <c r="E67" s="1228"/>
      <c r="F67" s="1228"/>
      <c r="G67" s="1228"/>
      <c r="H67" s="1228"/>
      <c r="I67" s="1228"/>
      <c r="J67" s="234"/>
      <c r="K67" s="234"/>
      <c r="L67" s="367"/>
      <c r="M67" s="412"/>
    </row>
    <row r="68" spans="1:13" ht="15.5">
      <c r="A68" s="1228" t="s">
        <v>1751</v>
      </c>
      <c r="B68" s="1228"/>
      <c r="C68" s="1228"/>
      <c r="D68" s="1228"/>
      <c r="E68" s="1228"/>
      <c r="F68" s="1228"/>
      <c r="G68" s="1228"/>
      <c r="H68" s="1228"/>
      <c r="I68" s="1228"/>
      <c r="J68" s="234"/>
      <c r="K68" s="234"/>
      <c r="L68" s="344"/>
      <c r="M68" s="412"/>
    </row>
    <row r="69" spans="1:13" ht="6.75" customHeight="1">
      <c r="A69" s="341"/>
      <c r="B69" s="341"/>
      <c r="C69" s="341"/>
      <c r="D69" s="341"/>
      <c r="E69" s="341"/>
      <c r="F69" s="341"/>
      <c r="G69" s="373" t="s">
        <v>421</v>
      </c>
      <c r="H69" s="341"/>
      <c r="I69" s="341"/>
      <c r="J69" s="341"/>
      <c r="K69" s="341"/>
      <c r="L69" s="344"/>
      <c r="M69" s="412"/>
    </row>
    <row r="70" spans="1:13" ht="15.75" customHeight="1">
      <c r="A70" s="346"/>
      <c r="B70" s="443" t="s">
        <v>922</v>
      </c>
      <c r="C70" s="444"/>
      <c r="D70" s="444"/>
      <c r="E70" s="444"/>
      <c r="F70" s="445" t="s">
        <v>923</v>
      </c>
      <c r="G70" s="446"/>
      <c r="H70" s="446"/>
      <c r="I70" s="446"/>
      <c r="L70" s="344"/>
      <c r="M70" s="447" t="s">
        <v>1766</v>
      </c>
    </row>
    <row r="71" spans="1:13" s="53" customFormat="1" ht="46">
      <c r="A71" s="243"/>
      <c r="B71" s="420" t="s">
        <v>6</v>
      </c>
      <c r="C71" s="421" t="s">
        <v>7</v>
      </c>
      <c r="D71" s="421" t="s">
        <v>960</v>
      </c>
      <c r="E71" s="421" t="s">
        <v>768</v>
      </c>
      <c r="F71" s="422" t="s">
        <v>6</v>
      </c>
      <c r="G71" s="421" t="s">
        <v>7</v>
      </c>
      <c r="H71" s="421" t="s">
        <v>960</v>
      </c>
      <c r="I71" s="421" t="s">
        <v>768</v>
      </c>
      <c r="L71" s="375"/>
      <c r="M71" s="412" t="s">
        <v>932</v>
      </c>
    </row>
    <row r="72" spans="1:13" ht="16.5" customHeight="1">
      <c r="A72" s="77" t="s">
        <v>925</v>
      </c>
      <c r="B72" s="352">
        <f>IF($M72&gt;0,('Amounts Pivot Table'!D$631/$M72),0)</f>
        <v>6875.7615286434821</v>
      </c>
      <c r="C72" s="352">
        <f>IF($M72&gt;0,('Amounts Pivot Table'!D$634/$M72),0)</f>
        <v>255.30143308162363</v>
      </c>
      <c r="D72" s="352">
        <f>IF($M72&gt;0,('Amounts Pivot Table'!D$640/$M72),0)</f>
        <v>10027.140607232639</v>
      </c>
      <c r="E72" s="352">
        <f>SUM(B72:D72)</f>
        <v>17158.203568957746</v>
      </c>
      <c r="F72" s="353"/>
      <c r="G72" s="354"/>
      <c r="H72" s="354"/>
      <c r="I72" s="354"/>
      <c r="J72" s="352"/>
      <c r="L72" s="356"/>
      <c r="M72" s="448">
        <v>247215.36733333333</v>
      </c>
    </row>
    <row r="73" spans="1:13" ht="10.5" customHeight="1">
      <c r="B73" s="352"/>
      <c r="C73" s="352"/>
      <c r="D73" s="352"/>
      <c r="E73" s="352"/>
      <c r="F73" s="353"/>
      <c r="G73" s="354"/>
      <c r="H73" s="354"/>
      <c r="I73" s="354"/>
      <c r="J73" s="352"/>
      <c r="L73" s="356"/>
      <c r="M73" s="448"/>
    </row>
    <row r="74" spans="1:13">
      <c r="A74" s="77" t="s">
        <v>777</v>
      </c>
      <c r="B74" s="288">
        <f>IF($M74&gt;0,('Amounts Pivot Table'!D$7/$M74),0)</f>
        <v>6847.4225337052985</v>
      </c>
      <c r="C74" s="288">
        <f>IF($M74&gt;0,('Amounts Pivot Table'!D$10/$M74),0)</f>
        <v>225.87036947033835</v>
      </c>
      <c r="D74" s="288">
        <f>IF($M74&gt;0,('Amounts Pivot Table'!D$16/$M74),0)</f>
        <v>10975.03020111395</v>
      </c>
      <c r="E74" s="288">
        <f>SUM(B74:D74)</f>
        <v>18048.323104289586</v>
      </c>
      <c r="F74" s="359">
        <f>IF(B74&gt;0,RANK(B74,$B$74:$B$92),)</f>
        <v>6</v>
      </c>
      <c r="G74" s="289">
        <f>IF(C74&gt;0,RANK(C74,$C$74:$C$92),)</f>
        <v>5</v>
      </c>
      <c r="H74" s="289">
        <f>IF(D74&gt;0,RANK(D74,$D$74:$D$92),)</f>
        <v>3</v>
      </c>
      <c r="I74" s="289">
        <f>IF(E74&gt;0,RANK(E74,$E$74:$E$92),)</f>
        <v>5</v>
      </c>
      <c r="J74" s="288"/>
      <c r="L74" s="356"/>
      <c r="M74" s="448">
        <v>17146.166666666668</v>
      </c>
    </row>
    <row r="75" spans="1:13">
      <c r="A75" s="77" t="s">
        <v>778</v>
      </c>
      <c r="B75" s="288">
        <f>IF($M75&gt;0,('Amounts Pivot Table'!D$46/$M75),0)</f>
        <v>8970.1317226786214</v>
      </c>
      <c r="C75" s="288">
        <f>IF($M75&gt;0,('Amounts Pivot Table'!D$49/$M75),0)</f>
        <v>591.63841781135147</v>
      </c>
      <c r="D75" s="288">
        <f>IF($M75&gt;0,('Amounts Pivot Table'!D$55/$M75),0)</f>
        <v>9322.4086364961149</v>
      </c>
      <c r="E75" s="288">
        <f>SUM(B75:D75)</f>
        <v>18884.178776986089</v>
      </c>
      <c r="F75" s="359">
        <f t="shared" ref="F75:F92" si="12">IF(B75&gt;0,RANK(B75,$B$74:$B$92),)</f>
        <v>4</v>
      </c>
      <c r="G75" s="289">
        <f t="shared" ref="G75:G92" si="13">IF(C75&gt;0,RANK(C75,$C$74:$C$92),)</f>
        <v>2</v>
      </c>
      <c r="H75" s="289">
        <f t="shared" ref="H75:H92" si="14">IF(D75&gt;0,RANK(D75,$D$74:$D$92),)</f>
        <v>7</v>
      </c>
      <c r="I75" s="289">
        <f t="shared" ref="I75:I92" si="15">IF(E75&gt;0,RANK(E75,$E$74:$E$92),)</f>
        <v>4</v>
      </c>
      <c r="J75" s="288"/>
      <c r="L75" s="356"/>
      <c r="M75" s="448">
        <v>7033.7166666666672</v>
      </c>
    </row>
    <row r="76" spans="1:13">
      <c r="A76" s="77" t="s">
        <v>779</v>
      </c>
      <c r="B76" s="288">
        <f>IF($M76&gt;0,('Amounts Pivot Table'!D$85/$M76),0)</f>
        <v>0</v>
      </c>
      <c r="C76" s="288">
        <f>IF($M76&gt;0,('Amounts Pivot Table'!D$88/$M76),0)</f>
        <v>0</v>
      </c>
      <c r="D76" s="288">
        <f>IF($M76&gt;0,('Amounts Pivot Table'!D$94/$M76),0)</f>
        <v>0</v>
      </c>
      <c r="E76" s="288">
        <f>SUM(B76:D76)</f>
        <v>0</v>
      </c>
      <c r="F76" s="359">
        <f t="shared" si="12"/>
        <v>0</v>
      </c>
      <c r="G76" s="289">
        <f t="shared" si="13"/>
        <v>0</v>
      </c>
      <c r="H76" s="289">
        <f t="shared" si="14"/>
        <v>0</v>
      </c>
      <c r="I76" s="289">
        <f t="shared" si="15"/>
        <v>0</v>
      </c>
      <c r="J76" s="288"/>
      <c r="L76" s="356"/>
      <c r="M76" s="448">
        <v>0</v>
      </c>
    </row>
    <row r="77" spans="1:13">
      <c r="A77" s="77" t="s">
        <v>780</v>
      </c>
      <c r="B77" s="288">
        <f>IF($M77&gt;0,('Amounts Pivot Table'!D$124/$M77),0)</f>
        <v>0</v>
      </c>
      <c r="C77" s="288">
        <f>IF($M77&gt;0,('Amounts Pivot Table'!D$127/$M77),0)</f>
        <v>0</v>
      </c>
      <c r="D77" s="288">
        <f>IF($M77&gt;0,('Amounts Pivot Table'!D$133/$M77),0)</f>
        <v>0</v>
      </c>
      <c r="E77" s="288">
        <f>SUM(B77:D77)</f>
        <v>0</v>
      </c>
      <c r="F77" s="359">
        <f t="shared" si="12"/>
        <v>0</v>
      </c>
      <c r="G77" s="289">
        <f t="shared" si="13"/>
        <v>0</v>
      </c>
      <c r="H77" s="289">
        <f t="shared" si="14"/>
        <v>0</v>
      </c>
      <c r="I77" s="289">
        <f t="shared" si="15"/>
        <v>0</v>
      </c>
      <c r="J77" s="288"/>
      <c r="L77" s="356"/>
      <c r="M77" s="448">
        <v>0</v>
      </c>
    </row>
    <row r="78" spans="1:13" ht="7.5" customHeight="1">
      <c r="B78" s="288"/>
      <c r="C78" s="288"/>
      <c r="D78" s="288"/>
      <c r="E78" s="288"/>
      <c r="F78" s="359"/>
      <c r="G78" s="289"/>
      <c r="H78" s="289"/>
      <c r="I78" s="289"/>
      <c r="J78" s="288"/>
      <c r="L78" s="356"/>
      <c r="M78" s="448"/>
    </row>
    <row r="79" spans="1:13">
      <c r="A79" s="77" t="s">
        <v>781</v>
      </c>
      <c r="B79" s="288">
        <f>IF($M79&gt;0,('Amounts Pivot Table'!D$163/$M79),0)</f>
        <v>9790.2418729654291</v>
      </c>
      <c r="C79" s="288">
        <f>IF($M79&gt;0,('Amounts Pivot Table'!D$166/$M79),0)</f>
        <v>465.35203293666274</v>
      </c>
      <c r="D79" s="288">
        <f>IF($M79&gt;0,('Amounts Pivot Table'!D$172/$M79),0)</f>
        <v>14329.699433909673</v>
      </c>
      <c r="E79" s="288">
        <f>SUM(B79:D79)</f>
        <v>24585.293339811764</v>
      </c>
      <c r="F79" s="359">
        <f t="shared" si="12"/>
        <v>2</v>
      </c>
      <c r="G79" s="289">
        <f t="shared" si="13"/>
        <v>3</v>
      </c>
      <c r="H79" s="289">
        <f t="shared" si="14"/>
        <v>2</v>
      </c>
      <c r="I79" s="289">
        <f t="shared" si="15"/>
        <v>2</v>
      </c>
      <c r="J79" s="288"/>
      <c r="L79" s="356"/>
      <c r="M79" s="448">
        <v>32846.436499999996</v>
      </c>
    </row>
    <row r="80" spans="1:13">
      <c r="A80" s="77" t="s">
        <v>782</v>
      </c>
      <c r="B80" s="288">
        <f>IF($M80&gt;0,('Amounts Pivot Table'!D$202/$M80),0)</f>
        <v>0</v>
      </c>
      <c r="C80" s="288">
        <f>IF($M80&gt;0,('Amounts Pivot Table'!D$205/$M80),0)</f>
        <v>0</v>
      </c>
      <c r="D80" s="288">
        <f>IF($M80&gt;0,('Amounts Pivot Table'!D$211/$M80),0)</f>
        <v>0</v>
      </c>
      <c r="E80" s="288">
        <f>SUM(B80:D80)</f>
        <v>0</v>
      </c>
      <c r="F80" s="359">
        <f t="shared" si="12"/>
        <v>0</v>
      </c>
      <c r="G80" s="289">
        <f t="shared" si="13"/>
        <v>0</v>
      </c>
      <c r="H80" s="289">
        <f t="shared" si="14"/>
        <v>0</v>
      </c>
      <c r="I80" s="289">
        <f t="shared" si="15"/>
        <v>0</v>
      </c>
      <c r="J80" s="288"/>
      <c r="L80" s="356"/>
      <c r="M80" s="448">
        <v>0</v>
      </c>
    </row>
    <row r="81" spans="1:13">
      <c r="A81" s="77" t="s">
        <v>813</v>
      </c>
      <c r="B81" s="288">
        <f>IF($M81&gt;0,('Amounts Pivot Table'!D$241/$M81),0)</f>
        <v>2705.9346697180231</v>
      </c>
      <c r="C81" s="288">
        <f>IF($M81&gt;0,('Amounts Pivot Table'!D$244/$M81),0)</f>
        <v>0</v>
      </c>
      <c r="D81" s="288">
        <f>IF($M81&gt;0,('Amounts Pivot Table'!D$250/$M81),0)</f>
        <v>9333.08617607823</v>
      </c>
      <c r="E81" s="288">
        <f>SUM(B81:D81)</f>
        <v>12039.020845796253</v>
      </c>
      <c r="F81" s="359">
        <f t="shared" si="12"/>
        <v>10</v>
      </c>
      <c r="G81" s="289">
        <f t="shared" si="13"/>
        <v>0</v>
      </c>
      <c r="H81" s="289">
        <f t="shared" si="14"/>
        <v>6</v>
      </c>
      <c r="I81" s="289">
        <f t="shared" si="15"/>
        <v>9</v>
      </c>
      <c r="J81" s="288"/>
      <c r="L81" s="356"/>
      <c r="M81" s="448">
        <v>30103.191666666662</v>
      </c>
    </row>
    <row r="82" spans="1:13">
      <c r="A82" s="77" t="s">
        <v>784</v>
      </c>
      <c r="B82" s="288">
        <f>IF($M82&gt;0,('Amounts Pivot Table'!D$280/$M82),0)</f>
        <v>13609.526005337644</v>
      </c>
      <c r="C82" s="288">
        <f>IF($M82&gt;0,('Amounts Pivot Table'!D$283/$M82),0)</f>
        <v>0</v>
      </c>
      <c r="D82" s="288">
        <f>IF($M82&gt;0,('Amounts Pivot Table'!D$289/$M82),0)</f>
        <v>10550.062365426558</v>
      </c>
      <c r="E82" s="288">
        <f>SUM(B82:D82)</f>
        <v>24159.588370764202</v>
      </c>
      <c r="F82" s="359">
        <f t="shared" si="12"/>
        <v>1</v>
      </c>
      <c r="G82" s="289">
        <f t="shared" si="13"/>
        <v>0</v>
      </c>
      <c r="H82" s="289">
        <f t="shared" si="14"/>
        <v>4</v>
      </c>
      <c r="I82" s="289">
        <f t="shared" si="15"/>
        <v>3</v>
      </c>
      <c r="J82" s="288"/>
      <c r="L82" s="356"/>
      <c r="M82" s="448">
        <v>19134.533333333333</v>
      </c>
    </row>
    <row r="83" spans="1:13" ht="6.75" customHeight="1">
      <c r="B83" s="288"/>
      <c r="C83" s="288"/>
      <c r="D83" s="288"/>
      <c r="E83" s="288"/>
      <c r="F83" s="359"/>
      <c r="G83" s="289"/>
      <c r="H83" s="289"/>
      <c r="I83" s="289"/>
      <c r="J83" s="288"/>
      <c r="L83" s="356"/>
      <c r="M83" s="448"/>
    </row>
    <row r="84" spans="1:13">
      <c r="A84" s="77" t="s">
        <v>785</v>
      </c>
      <c r="B84" s="288">
        <f>IF($M84&gt;0,('Amounts Pivot Table'!D$319/$M84),0)</f>
        <v>7581.3465182226064</v>
      </c>
      <c r="C84" s="288">
        <f>IF($M84&gt;0,('Amounts Pivot Table'!D$322/$M84),0)</f>
        <v>77.151961266536361</v>
      </c>
      <c r="D84" s="288">
        <f>IF($M84&gt;0,('Amounts Pivot Table'!D$328/$M84),0)</f>
        <v>9162.3041620509575</v>
      </c>
      <c r="E84" s="288">
        <f>SUM(B84:D84)</f>
        <v>16820.8026415401</v>
      </c>
      <c r="F84" s="359">
        <f t="shared" si="12"/>
        <v>5</v>
      </c>
      <c r="G84" s="289">
        <f t="shared" si="13"/>
        <v>6</v>
      </c>
      <c r="H84" s="289">
        <f t="shared" si="14"/>
        <v>8</v>
      </c>
      <c r="I84" s="289">
        <f t="shared" si="15"/>
        <v>6</v>
      </c>
      <c r="J84" s="288"/>
      <c r="L84" s="356"/>
      <c r="M84" s="448">
        <v>5845.0749999999998</v>
      </c>
    </row>
    <row r="85" spans="1:13">
      <c r="A85" s="77" t="s">
        <v>786</v>
      </c>
      <c r="B85" s="288">
        <f>IF($M85&gt;0,('Amounts Pivot Table'!D$358/$M85),0)</f>
        <v>9272.5258591790898</v>
      </c>
      <c r="C85" s="288">
        <f>IF($M85&gt;0,('Amounts Pivot Table'!D$361/$M85),0)</f>
        <v>0</v>
      </c>
      <c r="D85" s="288">
        <f>IF($M85&gt;0,('Amounts Pivot Table'!D$367/$M85),0)</f>
        <v>6790.3616912683301</v>
      </c>
      <c r="E85" s="288">
        <f>SUM(B85:D85)</f>
        <v>16062.88755044742</v>
      </c>
      <c r="F85" s="359">
        <f t="shared" si="12"/>
        <v>3</v>
      </c>
      <c r="G85" s="289">
        <f t="shared" si="13"/>
        <v>0</v>
      </c>
      <c r="H85" s="289">
        <f t="shared" si="14"/>
        <v>10</v>
      </c>
      <c r="I85" s="289">
        <f t="shared" si="15"/>
        <v>8</v>
      </c>
      <c r="J85" s="288"/>
      <c r="L85" s="356"/>
      <c r="M85" s="448">
        <v>24834.025000000001</v>
      </c>
    </row>
    <row r="86" spans="1:13">
      <c r="A86" s="77" t="s">
        <v>787</v>
      </c>
      <c r="B86" s="288">
        <f>IF($M86&gt;0,('Amounts Pivot Table'!D$397/$M86),0)</f>
        <v>0</v>
      </c>
      <c r="C86" s="288">
        <f>IF($M86&gt;0,('Amounts Pivot Table'!D$400/$M86),0)</f>
        <v>0</v>
      </c>
      <c r="D86" s="288">
        <f>IF($M86&gt;0,('Amounts Pivot Table'!D$406/$M86),0)</f>
        <v>0</v>
      </c>
      <c r="E86" s="288">
        <f>SUM(B86:D86)</f>
        <v>0</v>
      </c>
      <c r="F86" s="359">
        <f t="shared" si="12"/>
        <v>0</v>
      </c>
      <c r="G86" s="289">
        <f t="shared" si="13"/>
        <v>0</v>
      </c>
      <c r="H86" s="289">
        <f t="shared" si="14"/>
        <v>0</v>
      </c>
      <c r="I86" s="289">
        <f t="shared" si="15"/>
        <v>0</v>
      </c>
      <c r="J86" s="288"/>
      <c r="L86" s="356"/>
      <c r="M86" s="448">
        <v>0</v>
      </c>
    </row>
    <row r="87" spans="1:13">
      <c r="A87" s="77" t="s">
        <v>788</v>
      </c>
      <c r="B87" s="288">
        <f>IF($M87&gt;0,('Amounts Pivot Table'!D$436/$M87),0)</f>
        <v>0</v>
      </c>
      <c r="C87" s="288">
        <f>IF($M87&gt;0,('Amounts Pivot Table'!D$439/$M87),0)</f>
        <v>0</v>
      </c>
      <c r="D87" s="288">
        <f>IF($M87&gt;0,('Amounts Pivot Table'!D$445/$M87),0)</f>
        <v>0</v>
      </c>
      <c r="E87" s="288">
        <f>SUM(B87:D87)</f>
        <v>0</v>
      </c>
      <c r="F87" s="359">
        <f t="shared" si="12"/>
        <v>0</v>
      </c>
      <c r="G87" s="289">
        <f t="shared" si="13"/>
        <v>0</v>
      </c>
      <c r="H87" s="289">
        <f t="shared" si="14"/>
        <v>0</v>
      </c>
      <c r="I87" s="289">
        <f t="shared" si="15"/>
        <v>0</v>
      </c>
      <c r="J87" s="288"/>
      <c r="L87" s="356"/>
      <c r="M87" s="448">
        <v>0</v>
      </c>
    </row>
    <row r="88" spans="1:13" ht="7.5" customHeight="1">
      <c r="B88" s="288"/>
      <c r="C88" s="288"/>
      <c r="D88" s="288"/>
      <c r="E88" s="288"/>
      <c r="F88" s="359"/>
      <c r="G88" s="289"/>
      <c r="H88" s="289"/>
      <c r="I88" s="289"/>
      <c r="J88" s="355"/>
      <c r="K88" s="355"/>
      <c r="L88" s="356"/>
      <c r="M88" s="448"/>
    </row>
    <row r="89" spans="1:13">
      <c r="A89" s="77" t="s">
        <v>789</v>
      </c>
      <c r="B89" s="288">
        <f>IF($M89&gt;0,('Amounts Pivot Table'!D$475/$M89),0)</f>
        <v>6186.5050053357281</v>
      </c>
      <c r="C89" s="288">
        <f>IF($M89&gt;0,('Amounts Pivot Table'!D$478/$M89),0)</f>
        <v>273.33785193819284</v>
      </c>
      <c r="D89" s="288">
        <f>IF($M89&gt;0,('Amounts Pivot Table'!D$484/$M89),0)</f>
        <v>9663.867676632286</v>
      </c>
      <c r="E89" s="288">
        <f>SUM(B89:D89)</f>
        <v>16123.710533906207</v>
      </c>
      <c r="F89" s="359">
        <f t="shared" si="12"/>
        <v>7</v>
      </c>
      <c r="G89" s="289">
        <f t="shared" si="13"/>
        <v>4</v>
      </c>
      <c r="H89" s="289">
        <f t="shared" si="14"/>
        <v>5</v>
      </c>
      <c r="I89" s="289">
        <f t="shared" si="15"/>
        <v>7</v>
      </c>
      <c r="J89" s="355"/>
      <c r="K89" s="355"/>
      <c r="L89" s="356"/>
      <c r="M89" s="448">
        <v>37241.091666666667</v>
      </c>
    </row>
    <row r="90" spans="1:13">
      <c r="A90" s="77" t="s">
        <v>790</v>
      </c>
      <c r="B90" s="288">
        <f>IF($M90&gt;0,('Amounts Pivot Table'!D$514/$M90),0)</f>
        <v>4624.7905496896337</v>
      </c>
      <c r="C90" s="288">
        <f>IF($M90&gt;0,('Amounts Pivot Table'!D$517/$M90),0)</f>
        <v>61.081430443653723</v>
      </c>
      <c r="D90" s="288">
        <f>IF($M90&gt;0,('Amounts Pivot Table'!D$523/$M90),0)</f>
        <v>7292.9035681585119</v>
      </c>
      <c r="E90" s="288">
        <f>SUM(B90:D90)</f>
        <v>11978.7755482918</v>
      </c>
      <c r="F90" s="359">
        <f t="shared" si="12"/>
        <v>9</v>
      </c>
      <c r="G90" s="289">
        <f t="shared" si="13"/>
        <v>7</v>
      </c>
      <c r="H90" s="289">
        <f t="shared" si="14"/>
        <v>9</v>
      </c>
      <c r="I90" s="289">
        <f t="shared" si="15"/>
        <v>10</v>
      </c>
      <c r="J90" s="355"/>
      <c r="K90" s="355"/>
      <c r="L90" s="356"/>
      <c r="M90" s="448">
        <v>64355.558333333342</v>
      </c>
    </row>
    <row r="91" spans="1:13" s="362" customFormat="1" ht="14.25" customHeight="1">
      <c r="A91" s="77" t="s">
        <v>791</v>
      </c>
      <c r="B91" s="288">
        <f>IF($M91&gt;0,('Amounts Pivot Table'!D$553/$M91),0)</f>
        <v>6136.642394493274</v>
      </c>
      <c r="C91" s="288">
        <f>IF($M91&gt;0,('Amounts Pivot Table'!D$556/$M91),0)</f>
        <v>2908.5994036704783</v>
      </c>
      <c r="D91" s="288">
        <f>IF($M91&gt;0,('Amounts Pivot Table'!D$562/$M91),0)</f>
        <v>25380.270408667555</v>
      </c>
      <c r="E91" s="288">
        <f>SUM(B91:D91)</f>
        <v>34425.512206831307</v>
      </c>
      <c r="F91" s="359">
        <f t="shared" si="12"/>
        <v>8</v>
      </c>
      <c r="G91" s="289">
        <f t="shared" si="13"/>
        <v>1</v>
      </c>
      <c r="H91" s="289">
        <f t="shared" si="14"/>
        <v>1</v>
      </c>
      <c r="I91" s="289">
        <f t="shared" si="15"/>
        <v>1</v>
      </c>
      <c r="J91" s="355"/>
      <c r="K91" s="355"/>
      <c r="L91" s="363"/>
      <c r="M91" s="448">
        <v>8675.5725000000002</v>
      </c>
    </row>
    <row r="92" spans="1:13">
      <c r="A92" s="277" t="s">
        <v>792</v>
      </c>
      <c r="B92" s="296">
        <f>IF($M92&gt;0,('Amounts Pivot Table'!D$592/$M92),0)</f>
        <v>0</v>
      </c>
      <c r="C92" s="296">
        <f>IF($M92&gt;0,('Amounts Pivot Table'!D$595/$M92),0)</f>
        <v>0</v>
      </c>
      <c r="D92" s="296">
        <f>IF($M92&gt;0,('Amounts Pivot Table'!D$601/$M92),0)</f>
        <v>0</v>
      </c>
      <c r="E92" s="364">
        <f>SUM(B92:D92)</f>
        <v>0</v>
      </c>
      <c r="F92" s="365">
        <f t="shared" si="12"/>
        <v>0</v>
      </c>
      <c r="G92" s="366">
        <f t="shared" si="13"/>
        <v>0</v>
      </c>
      <c r="H92" s="366">
        <f t="shared" si="14"/>
        <v>0</v>
      </c>
      <c r="I92" s="366">
        <f t="shared" si="15"/>
        <v>0</v>
      </c>
      <c r="J92" s="355"/>
      <c r="K92" s="355"/>
      <c r="L92" s="367"/>
      <c r="M92" s="448">
        <v>0</v>
      </c>
    </row>
    <row r="93" spans="1:13" ht="39" customHeight="1">
      <c r="A93" s="1244" t="s">
        <v>926</v>
      </c>
      <c r="B93" s="1245"/>
      <c r="C93" s="1245"/>
      <c r="D93" s="1245"/>
      <c r="E93" s="1245"/>
      <c r="F93" s="1245"/>
      <c r="G93" s="1245"/>
      <c r="H93" s="1245"/>
      <c r="I93" s="1245"/>
      <c r="J93" s="355"/>
      <c r="K93" s="355"/>
      <c r="L93" s="367"/>
      <c r="M93" s="449"/>
    </row>
    <row r="94" spans="1:13" s="362" customFormat="1" ht="22.5" customHeight="1">
      <c r="A94" s="1244" t="s">
        <v>927</v>
      </c>
      <c r="B94" s="1267"/>
      <c r="C94" s="1267"/>
      <c r="D94" s="1267"/>
      <c r="E94" s="1267"/>
      <c r="F94" s="1267"/>
      <c r="G94" s="1267"/>
      <c r="H94" s="1267"/>
      <c r="I94" s="1267"/>
      <c r="J94" s="369"/>
      <c r="L94" s="363"/>
      <c r="M94" s="412"/>
    </row>
    <row r="95" spans="1:13">
      <c r="A95" s="385" t="s">
        <v>930</v>
      </c>
      <c r="L95" s="367"/>
      <c r="M95" s="412"/>
    </row>
    <row r="96" spans="1:13">
      <c r="A96" s="385"/>
      <c r="I96" s="370" t="s">
        <v>1814</v>
      </c>
      <c r="L96" s="367"/>
      <c r="M96" s="412"/>
    </row>
    <row r="97" spans="1:13" ht="18">
      <c r="A97" s="336" t="s">
        <v>933</v>
      </c>
      <c r="B97" s="336"/>
      <c r="C97" s="336"/>
      <c r="D97" s="336"/>
      <c r="E97" s="336"/>
      <c r="F97" s="336"/>
      <c r="G97" s="336"/>
      <c r="H97" s="336"/>
      <c r="I97" s="336"/>
      <c r="J97" s="355" t="s">
        <v>421</v>
      </c>
      <c r="K97" s="355"/>
      <c r="L97" s="367"/>
      <c r="M97" s="412"/>
    </row>
    <row r="98" spans="1:13" ht="14.25" customHeight="1">
      <c r="A98" s="336"/>
      <c r="B98" s="336"/>
      <c r="C98" s="336"/>
      <c r="D98" s="336"/>
      <c r="E98" s="336"/>
      <c r="F98" s="336"/>
      <c r="G98" s="336"/>
      <c r="H98" s="336"/>
      <c r="I98" s="336"/>
      <c r="J98" s="355"/>
      <c r="K98" s="355"/>
      <c r="L98" s="367"/>
      <c r="M98" s="412"/>
    </row>
    <row r="99" spans="1:13" ht="17.5">
      <c r="A99" s="1228" t="s">
        <v>920</v>
      </c>
      <c r="B99" s="1228"/>
      <c r="C99" s="1228"/>
      <c r="D99" s="1228"/>
      <c r="E99" s="1228"/>
      <c r="F99" s="1228"/>
      <c r="G99" s="1228"/>
      <c r="H99" s="1228"/>
      <c r="I99" s="1228"/>
      <c r="J99" s="355"/>
      <c r="K99" s="355"/>
      <c r="L99" s="367"/>
      <c r="M99" s="412"/>
    </row>
    <row r="100" spans="1:13" ht="15.5">
      <c r="A100" s="1228" t="s">
        <v>1752</v>
      </c>
      <c r="B100" s="1228"/>
      <c r="C100" s="1228"/>
      <c r="D100" s="1228"/>
      <c r="E100" s="1228"/>
      <c r="F100" s="1228"/>
      <c r="G100" s="1228"/>
      <c r="H100" s="1228"/>
      <c r="I100" s="1228"/>
      <c r="J100" s="341"/>
      <c r="K100" s="341"/>
      <c r="L100" s="344"/>
      <c r="M100" s="412"/>
    </row>
    <row r="101" spans="1:13" ht="9" customHeight="1">
      <c r="A101" s="341"/>
      <c r="B101" s="341"/>
      <c r="C101" s="341"/>
      <c r="D101" s="341"/>
      <c r="E101" s="341"/>
      <c r="F101" s="341"/>
      <c r="G101" s="373"/>
      <c r="H101" s="341"/>
      <c r="I101" s="341"/>
      <c r="J101" s="341"/>
      <c r="K101" s="341"/>
      <c r="L101" s="344"/>
      <c r="M101" s="412"/>
    </row>
    <row r="102" spans="1:13" ht="15.75" customHeight="1">
      <c r="A102" s="346"/>
      <c r="B102" s="443" t="s">
        <v>922</v>
      </c>
      <c r="C102" s="444"/>
      <c r="D102" s="444"/>
      <c r="E102" s="444"/>
      <c r="F102" s="445" t="s">
        <v>923</v>
      </c>
      <c r="G102" s="446"/>
      <c r="H102" s="446"/>
      <c r="I102" s="446"/>
      <c r="L102" s="344"/>
      <c r="M102" s="447" t="s">
        <v>1767</v>
      </c>
    </row>
    <row r="103" spans="1:13" s="53" customFormat="1" ht="46">
      <c r="A103" s="386"/>
      <c r="B103" s="420" t="s">
        <v>6</v>
      </c>
      <c r="C103" s="421" t="s">
        <v>7</v>
      </c>
      <c r="D103" s="421" t="s">
        <v>960</v>
      </c>
      <c r="E103" s="421" t="s">
        <v>768</v>
      </c>
      <c r="F103" s="422" t="s">
        <v>6</v>
      </c>
      <c r="G103" s="421" t="s">
        <v>7</v>
      </c>
      <c r="H103" s="421" t="s">
        <v>960</v>
      </c>
      <c r="I103" s="421" t="s">
        <v>768</v>
      </c>
      <c r="L103" s="375"/>
      <c r="M103" s="412" t="s">
        <v>932</v>
      </c>
    </row>
    <row r="104" spans="1:13" ht="16.5" customHeight="1">
      <c r="A104" s="77" t="s">
        <v>925</v>
      </c>
      <c r="B104" s="352">
        <f>IF($M104&gt;0,('Amounts Pivot Table'!E$631/$M104),0)</f>
        <v>5476.4144514424252</v>
      </c>
      <c r="C104" s="352">
        <f>IF($M104&gt;0,('Amounts Pivot Table'!E$634/$M104),0)</f>
        <v>87.85844766327817</v>
      </c>
      <c r="D104" s="352">
        <f>IF($M104&gt;0,('Amounts Pivot Table'!E$640/$M104),0)</f>
        <v>8379.1292816638052</v>
      </c>
      <c r="E104" s="352">
        <f>SUM(B104:D104)</f>
        <v>13943.402180769508</v>
      </c>
      <c r="F104" s="353"/>
      <c r="G104" s="354"/>
      <c r="H104" s="354"/>
      <c r="I104" s="354"/>
      <c r="J104" s="352"/>
      <c r="L104" s="356"/>
      <c r="M104" s="448">
        <v>586697.72083333333</v>
      </c>
    </row>
    <row r="105" spans="1:13" s="376" customFormat="1">
      <c r="B105" s="380"/>
      <c r="C105" s="380"/>
      <c r="D105" s="380"/>
      <c r="E105" s="380"/>
      <c r="F105" s="387"/>
      <c r="G105" s="388"/>
      <c r="H105" s="388"/>
      <c r="I105" s="388"/>
      <c r="J105" s="380"/>
      <c r="L105" s="381"/>
      <c r="M105" s="448"/>
    </row>
    <row r="106" spans="1:13" ht="12.75" customHeight="1">
      <c r="A106" s="77" t="s">
        <v>777</v>
      </c>
      <c r="B106" s="288">
        <f>IF($M106&gt;0,('Amounts Pivot Table'!E$7/$M106),0)</f>
        <v>5297.7576874670867</v>
      </c>
      <c r="C106" s="288">
        <f>IF($M106&gt;0,('Amounts Pivot Table'!E$10/$M106),0)</f>
        <v>307.77863665170088</v>
      </c>
      <c r="D106" s="288">
        <f>IF($M106&gt;0,('Amounts Pivot Table'!E$16/$M106),0)</f>
        <v>10314.16141672543</v>
      </c>
      <c r="E106" s="288">
        <f>SUM(B106:D106)</f>
        <v>15919.697740844218</v>
      </c>
      <c r="F106" s="359">
        <f>IF(B106&gt;0,RANK(B106,$B$106:$B$124),)</f>
        <v>6</v>
      </c>
      <c r="G106" s="289">
        <f>IF(C106&gt;0,RANK(C106,$C$106:$C$124),)</f>
        <v>2</v>
      </c>
      <c r="H106" s="289">
        <f>IF(D106&gt;0,RANK(D106,$D$106:$D$124),)</f>
        <v>6</v>
      </c>
      <c r="I106" s="289">
        <f>IF(E106&gt;0,RANK(E106,$E$106:$E$124),)</f>
        <v>5</v>
      </c>
      <c r="J106" s="288"/>
      <c r="L106" s="356"/>
      <c r="M106" s="448">
        <v>37344.333333333328</v>
      </c>
    </row>
    <row r="107" spans="1:13" ht="12.75" customHeight="1">
      <c r="A107" s="77" t="s">
        <v>778</v>
      </c>
      <c r="B107" s="288">
        <f>IF($M107&gt;0,('Amounts Pivot Table'!E$46/$M107),0)</f>
        <v>5199.2830546926771</v>
      </c>
      <c r="C107" s="288">
        <f>IF($M107&gt;0,('Amounts Pivot Table'!E$49/$M107),0)</f>
        <v>107.34058833856703</v>
      </c>
      <c r="D107" s="288">
        <f>IF($M107&gt;0,('Amounts Pivot Table'!E$55/$M107),0)</f>
        <v>8906.1406919840992</v>
      </c>
      <c r="E107" s="288">
        <f>SUM(B107:D107)</f>
        <v>14212.764335015343</v>
      </c>
      <c r="F107" s="359">
        <f t="shared" ref="F107:F124" si="16">IF(B107&gt;0,RANK(B107,$B$106:$B$124),)</f>
        <v>7</v>
      </c>
      <c r="G107" s="289">
        <f t="shared" ref="G107:G124" si="17">IF(C107&gt;0,RANK(C107,$C$106:$C$124),)</f>
        <v>7</v>
      </c>
      <c r="H107" s="289">
        <f t="shared" ref="H107:H124" si="18">IF(D107&gt;0,RANK(D107,$D$106:$D$124),)</f>
        <v>7</v>
      </c>
      <c r="I107" s="289">
        <f t="shared" ref="I107:I124" si="19">IF(E107&gt;0,RANK(E107,$E$106:$E$124),)</f>
        <v>10</v>
      </c>
      <c r="J107" s="288"/>
      <c r="L107" s="356"/>
      <c r="M107" s="448">
        <v>30520.691666666666</v>
      </c>
    </row>
    <row r="108" spans="1:13" ht="12.75" customHeight="1">
      <c r="A108" s="77" t="s">
        <v>779</v>
      </c>
      <c r="B108" s="288">
        <f>IF($M108&gt;0,('Amounts Pivot Table'!E$85/$M108),0)</f>
        <v>8030.0421552526705</v>
      </c>
      <c r="C108" s="288">
        <f>IF($M108&gt;0,('Amounts Pivot Table'!E$88/$M108),0)</f>
        <v>0</v>
      </c>
      <c r="D108" s="288">
        <f>IF($M108&gt;0,('Amounts Pivot Table'!E$94/$M108),0)</f>
        <v>7251.1881923451083</v>
      </c>
      <c r="E108" s="288">
        <f>SUM(B108:D108)</f>
        <v>15281.230347597779</v>
      </c>
      <c r="F108" s="359">
        <f t="shared" si="16"/>
        <v>2</v>
      </c>
      <c r="G108" s="289">
        <f t="shared" si="17"/>
        <v>0</v>
      </c>
      <c r="H108" s="289">
        <f t="shared" si="18"/>
        <v>10</v>
      </c>
      <c r="I108" s="289">
        <f t="shared" si="19"/>
        <v>6</v>
      </c>
      <c r="J108" s="288"/>
      <c r="L108" s="356"/>
      <c r="M108" s="448">
        <v>4779.95</v>
      </c>
    </row>
    <row r="109" spans="1:13" ht="12.75" customHeight="1">
      <c r="A109" s="77" t="s">
        <v>780</v>
      </c>
      <c r="B109" s="288">
        <f>IF($M109&gt;0,('Amounts Pivot Table'!E$124/$M109),0)</f>
        <v>0</v>
      </c>
      <c r="C109" s="288">
        <f>IF($M109&gt;0,('Amounts Pivot Table'!E$127/$M109),0)</f>
        <v>0</v>
      </c>
      <c r="D109" s="288">
        <f>IF($M109&gt;0,('Amounts Pivot Table'!E$133/$M109),0)</f>
        <v>0</v>
      </c>
      <c r="E109" s="288">
        <f>SUM(B109:D109)</f>
        <v>0</v>
      </c>
      <c r="F109" s="359">
        <f t="shared" si="16"/>
        <v>0</v>
      </c>
      <c r="G109" s="289">
        <f t="shared" si="17"/>
        <v>0</v>
      </c>
      <c r="H109" s="289">
        <f t="shared" si="18"/>
        <v>0</v>
      </c>
      <c r="I109" s="289">
        <f t="shared" si="19"/>
        <v>0</v>
      </c>
      <c r="J109" s="288"/>
      <c r="L109" s="356"/>
      <c r="M109" s="448">
        <v>0</v>
      </c>
    </row>
    <row r="110" spans="1:13" s="376" customFormat="1">
      <c r="B110" s="380"/>
      <c r="C110" s="380"/>
      <c r="D110" s="380"/>
      <c r="E110" s="380"/>
      <c r="F110" s="359"/>
      <c r="G110" s="289"/>
      <c r="H110" s="289"/>
      <c r="I110" s="289"/>
      <c r="J110" s="380"/>
      <c r="L110" s="381"/>
      <c r="M110" s="448"/>
    </row>
    <row r="111" spans="1:13" ht="12.75" customHeight="1">
      <c r="A111" s="77" t="s">
        <v>781</v>
      </c>
      <c r="B111" s="288">
        <f>IF($M111&gt;0,('Amounts Pivot Table'!E$163/$M111),0)</f>
        <v>4715.9501610473926</v>
      </c>
      <c r="C111" s="288">
        <f>IF($M111&gt;0,('Amounts Pivot Table'!E$166/$M111),0)</f>
        <v>0</v>
      </c>
      <c r="D111" s="288">
        <f>IF($M111&gt;0,('Amounts Pivot Table'!E$172/$M111),0)</f>
        <v>6799.0552336533628</v>
      </c>
      <c r="E111" s="288">
        <f>SUM(B111:D111)</f>
        <v>11515.005394700755</v>
      </c>
      <c r="F111" s="359">
        <f t="shared" si="16"/>
        <v>10</v>
      </c>
      <c r="G111" s="289">
        <f t="shared" si="17"/>
        <v>0</v>
      </c>
      <c r="H111" s="289">
        <f t="shared" si="18"/>
        <v>11</v>
      </c>
      <c r="I111" s="289">
        <f t="shared" si="19"/>
        <v>11</v>
      </c>
      <c r="J111" s="288"/>
      <c r="L111" s="356"/>
      <c r="M111" s="448">
        <v>80768.150000000009</v>
      </c>
    </row>
    <row r="112" spans="1:13" ht="12.75" customHeight="1">
      <c r="A112" s="77" t="s">
        <v>782</v>
      </c>
      <c r="B112" s="288">
        <f>IF($M112&gt;0,('Amounts Pivot Table'!E$202/$M112),0)</f>
        <v>4813.0339129750573</v>
      </c>
      <c r="C112" s="288">
        <f>IF($M112&gt;0,('Amounts Pivot Table'!E$205/$M112),0)</f>
        <v>339.58234322133922</v>
      </c>
      <c r="D112" s="288">
        <f>IF($M112&gt;0,('Amounts Pivot Table'!E$211/$M112),0)</f>
        <v>12184.203486788891</v>
      </c>
      <c r="E112" s="288">
        <f>SUM(B112:D112)</f>
        <v>17336.819742985288</v>
      </c>
      <c r="F112" s="359">
        <f t="shared" si="16"/>
        <v>9</v>
      </c>
      <c r="G112" s="289">
        <f t="shared" si="17"/>
        <v>1</v>
      </c>
      <c r="H112" s="289">
        <f t="shared" si="18"/>
        <v>2</v>
      </c>
      <c r="I112" s="289">
        <f t="shared" si="19"/>
        <v>3</v>
      </c>
      <c r="J112" s="288"/>
      <c r="L112" s="356"/>
      <c r="M112" s="448">
        <v>52954.166666666664</v>
      </c>
    </row>
    <row r="113" spans="1:13" ht="12.75" customHeight="1">
      <c r="A113" s="77" t="s">
        <v>813</v>
      </c>
      <c r="B113" s="288">
        <f>IF($M113&gt;0,('Amounts Pivot Table'!E$241/$M113),0)</f>
        <v>2565.0588924318345</v>
      </c>
      <c r="C113" s="288">
        <f>IF($M113&gt;0,('Amounts Pivot Table'!E$244/$M113),0)</f>
        <v>213.0611525806805</v>
      </c>
      <c r="D113" s="288">
        <f>IF($M113&gt;0,('Amounts Pivot Table'!E$250/$M113),0)</f>
        <v>8591.710523183192</v>
      </c>
      <c r="E113" s="288">
        <f>SUM(B113:D113)</f>
        <v>11369.830568195706</v>
      </c>
      <c r="F113" s="359">
        <f t="shared" si="16"/>
        <v>13</v>
      </c>
      <c r="G113" s="289">
        <f t="shared" si="17"/>
        <v>4</v>
      </c>
      <c r="H113" s="289">
        <f t="shared" si="18"/>
        <v>9</v>
      </c>
      <c r="I113" s="289">
        <f t="shared" si="19"/>
        <v>12</v>
      </c>
      <c r="J113" s="288"/>
      <c r="L113" s="356"/>
      <c r="M113" s="448">
        <v>31502.35</v>
      </c>
    </row>
    <row r="114" spans="1:13" ht="12.75" customHeight="1">
      <c r="A114" s="77" t="s">
        <v>784</v>
      </c>
      <c r="B114" s="288">
        <f>IF($M114&gt;0,('Amounts Pivot Table'!E$280/$M114),0)</f>
        <v>7828.6192206940214</v>
      </c>
      <c r="C114" s="288">
        <f>IF($M114&gt;0,('Amounts Pivot Table'!E$283/$M114),0)</f>
        <v>0</v>
      </c>
      <c r="D114" s="288">
        <f>IF($M114&gt;0,('Amounts Pivot Table'!E$289/$M114),0)</f>
        <v>10516.875639968473</v>
      </c>
      <c r="E114" s="288">
        <f>SUM(B114:D114)</f>
        <v>18345.494860662497</v>
      </c>
      <c r="F114" s="359">
        <f t="shared" si="16"/>
        <v>3</v>
      </c>
      <c r="G114" s="289">
        <f t="shared" si="17"/>
        <v>0</v>
      </c>
      <c r="H114" s="289">
        <f t="shared" si="18"/>
        <v>5</v>
      </c>
      <c r="I114" s="289">
        <f t="shared" si="19"/>
        <v>2</v>
      </c>
      <c r="J114" s="288"/>
      <c r="L114" s="356"/>
      <c r="M114" s="448">
        <v>22864.895833333336</v>
      </c>
    </row>
    <row r="115" spans="1:13" s="376" customFormat="1">
      <c r="B115" s="380"/>
      <c r="C115" s="380"/>
      <c r="D115" s="380"/>
      <c r="E115" s="380"/>
      <c r="F115" s="359"/>
      <c r="G115" s="289"/>
      <c r="H115" s="289"/>
      <c r="I115" s="289"/>
      <c r="J115" s="380"/>
      <c r="L115" s="381"/>
      <c r="M115" s="448"/>
    </row>
    <row r="116" spans="1:13" ht="12.75" customHeight="1">
      <c r="A116" s="77" t="s">
        <v>785</v>
      </c>
      <c r="B116" s="288">
        <f>IF($M116&gt;0,('Amounts Pivot Table'!E$319/$M116),0)</f>
        <v>0</v>
      </c>
      <c r="C116" s="288">
        <f>IF($M116&gt;0,('Amounts Pivot Table'!E$322/$M116),0)</f>
        <v>0</v>
      </c>
      <c r="D116" s="288">
        <f>IF($M116&gt;0,('Amounts Pivot Table'!E$328/$M116),0)</f>
        <v>0</v>
      </c>
      <c r="E116" s="288">
        <f>SUM(B116:D116)</f>
        <v>0</v>
      </c>
      <c r="F116" s="359">
        <f t="shared" si="16"/>
        <v>0</v>
      </c>
      <c r="G116" s="289">
        <f t="shared" si="17"/>
        <v>0</v>
      </c>
      <c r="H116" s="289">
        <f t="shared" si="18"/>
        <v>0</v>
      </c>
      <c r="I116" s="289">
        <f t="shared" si="19"/>
        <v>0</v>
      </c>
      <c r="J116" s="288"/>
      <c r="L116" s="356"/>
      <c r="M116" s="448">
        <v>0</v>
      </c>
    </row>
    <row r="117" spans="1:13" ht="12.75" customHeight="1">
      <c r="A117" s="77" t="s">
        <v>786</v>
      </c>
      <c r="B117" s="288">
        <f>IF($M117&gt;0,('Amounts Pivot Table'!E$358/$M117),0)</f>
        <v>9403.8517501120132</v>
      </c>
      <c r="C117" s="288">
        <f>IF($M117&gt;0,('Amounts Pivot Table'!E$361/$M117),0)</f>
        <v>0</v>
      </c>
      <c r="D117" s="288">
        <f>IF($M117&gt;0,('Amounts Pivot Table'!E$367/$M117),0)</f>
        <v>5828.9855566794022</v>
      </c>
      <c r="E117" s="288">
        <f>SUM(B117:D117)</f>
        <v>15232.837306791414</v>
      </c>
      <c r="F117" s="359">
        <f t="shared" si="16"/>
        <v>1</v>
      </c>
      <c r="G117" s="289">
        <f t="shared" si="17"/>
        <v>0</v>
      </c>
      <c r="H117" s="289">
        <f t="shared" si="18"/>
        <v>13</v>
      </c>
      <c r="I117" s="289">
        <f t="shared" si="19"/>
        <v>8</v>
      </c>
      <c r="J117" s="288"/>
      <c r="L117" s="356"/>
      <c r="M117" s="448">
        <v>65672.225000000006</v>
      </c>
    </row>
    <row r="118" spans="1:13" ht="12.75" customHeight="1">
      <c r="A118" s="77" t="s">
        <v>787</v>
      </c>
      <c r="B118" s="288">
        <f>IF($M118&gt;0,('Amounts Pivot Table'!E$397/$M118),0)</f>
        <v>0</v>
      </c>
      <c r="C118" s="288">
        <f>IF($M118&gt;0,('Amounts Pivot Table'!E$400/$M118),0)</f>
        <v>0</v>
      </c>
      <c r="D118" s="288">
        <f>IF($M118&gt;0,('Amounts Pivot Table'!E$406/$M118),0)</f>
        <v>0</v>
      </c>
      <c r="E118" s="288">
        <f>SUM(B118:D118)</f>
        <v>0</v>
      </c>
      <c r="F118" s="359">
        <f t="shared" si="16"/>
        <v>0</v>
      </c>
      <c r="G118" s="289">
        <f t="shared" si="17"/>
        <v>0</v>
      </c>
      <c r="H118" s="289">
        <f t="shared" si="18"/>
        <v>0</v>
      </c>
      <c r="I118" s="289">
        <f t="shared" si="19"/>
        <v>0</v>
      </c>
      <c r="J118" s="288"/>
      <c r="L118" s="356"/>
      <c r="M118" s="448">
        <v>0</v>
      </c>
    </row>
    <row r="119" spans="1:13" ht="12.75" customHeight="1">
      <c r="A119" s="77" t="s">
        <v>788</v>
      </c>
      <c r="B119" s="288">
        <f>IF($M119&gt;0,('Amounts Pivot Table'!E$436/$M119),0)</f>
        <v>3278.5628786334437</v>
      </c>
      <c r="C119" s="288">
        <f>IF($M119&gt;0,('Amounts Pivot Table'!E$439/$M119),0)</f>
        <v>135.01366869998381</v>
      </c>
      <c r="D119" s="288">
        <f>IF($M119&gt;0,('Amounts Pivot Table'!E$445/$M119),0)</f>
        <v>16008.00703559089</v>
      </c>
      <c r="E119" s="288">
        <f>SUM(B119:D119)</f>
        <v>19421.583582924319</v>
      </c>
      <c r="F119" s="359">
        <f t="shared" si="16"/>
        <v>12</v>
      </c>
      <c r="G119" s="289">
        <f t="shared" si="17"/>
        <v>6</v>
      </c>
      <c r="H119" s="289">
        <f t="shared" si="18"/>
        <v>1</v>
      </c>
      <c r="I119" s="289">
        <f t="shared" si="19"/>
        <v>1</v>
      </c>
      <c r="J119" s="288"/>
      <c r="L119" s="356"/>
      <c r="M119" s="448">
        <v>19131.3</v>
      </c>
    </row>
    <row r="120" spans="1:13" s="376" customFormat="1" ht="12" customHeight="1">
      <c r="B120" s="380"/>
      <c r="C120" s="380"/>
      <c r="D120" s="380"/>
      <c r="E120" s="380"/>
      <c r="F120" s="359"/>
      <c r="G120" s="289"/>
      <c r="H120" s="289"/>
      <c r="I120" s="289"/>
      <c r="J120" s="380"/>
      <c r="L120" s="381"/>
      <c r="M120" s="448"/>
    </row>
    <row r="121" spans="1:13" ht="12.75" customHeight="1">
      <c r="A121" s="77" t="s">
        <v>789</v>
      </c>
      <c r="B121" s="288">
        <f>IF($M121&gt;0,('Amounts Pivot Table'!E$475/$M121),0)</f>
        <v>6334.0420142376724</v>
      </c>
      <c r="C121" s="288">
        <f>IF($M121&gt;0,('Amounts Pivot Table'!E$478/$M121),0)</f>
        <v>0</v>
      </c>
      <c r="D121" s="288">
        <f>IF($M121&gt;0,('Amounts Pivot Table'!E$484/$M121),0)</f>
        <v>8693.8128139057499</v>
      </c>
      <c r="E121" s="288">
        <f>SUM(B121:D121)</f>
        <v>15027.854828143423</v>
      </c>
      <c r="F121" s="359">
        <f t="shared" si="16"/>
        <v>4</v>
      </c>
      <c r="G121" s="289">
        <f t="shared" si="17"/>
        <v>0</v>
      </c>
      <c r="H121" s="289">
        <f t="shared" si="18"/>
        <v>8</v>
      </c>
      <c r="I121" s="289">
        <f t="shared" si="19"/>
        <v>9</v>
      </c>
      <c r="J121" s="288"/>
      <c r="L121" s="356"/>
      <c r="M121" s="448">
        <v>28621.250000000004</v>
      </c>
    </row>
    <row r="122" spans="1:13" ht="12.75" customHeight="1">
      <c r="A122" s="77" t="s">
        <v>790</v>
      </c>
      <c r="B122" s="288">
        <f>IF($M122&gt;0,('Amounts Pivot Table'!E$514/$M122),0)</f>
        <v>4813.6537730733262</v>
      </c>
      <c r="C122" s="288">
        <f>IF($M122&gt;0,('Amounts Pivot Table'!E$517/$M122),0)</f>
        <v>0</v>
      </c>
      <c r="D122" s="288">
        <f>IF($M122&gt;0,('Amounts Pivot Table'!E$523/$M122),0)</f>
        <v>6546.4095699969721</v>
      </c>
      <c r="E122" s="288">
        <f>SUM(B122:D122)</f>
        <v>11360.063343070298</v>
      </c>
      <c r="F122" s="359">
        <f t="shared" si="16"/>
        <v>8</v>
      </c>
      <c r="G122" s="289">
        <f t="shared" si="17"/>
        <v>0</v>
      </c>
      <c r="H122" s="289">
        <f t="shared" si="18"/>
        <v>12</v>
      </c>
      <c r="I122" s="289">
        <f t="shared" si="19"/>
        <v>13</v>
      </c>
      <c r="J122" s="288"/>
      <c r="K122" s="288"/>
      <c r="L122" s="356"/>
      <c r="M122" s="448">
        <v>167842.61666666667</v>
      </c>
    </row>
    <row r="123" spans="1:13" s="362" customFormat="1" ht="12.75" customHeight="1">
      <c r="A123" s="77" t="s">
        <v>791</v>
      </c>
      <c r="B123" s="288">
        <f>IF($M123&gt;0,('Amounts Pivot Table'!E$553/$M123),0)</f>
        <v>6078.2056002580484</v>
      </c>
      <c r="C123" s="288">
        <f>IF($M123&gt;0,('Amounts Pivot Table'!E$556/$M123),0)</f>
        <v>208.51052562670654</v>
      </c>
      <c r="D123" s="288">
        <f>IF($M123&gt;0,('Amounts Pivot Table'!E$562/$M123),0)</f>
        <v>10807.991562529487</v>
      </c>
      <c r="E123" s="288">
        <f>SUM(B123:D123)</f>
        <v>17094.707688414241</v>
      </c>
      <c r="F123" s="359">
        <f t="shared" si="16"/>
        <v>5</v>
      </c>
      <c r="G123" s="289">
        <f t="shared" si="17"/>
        <v>5</v>
      </c>
      <c r="H123" s="289">
        <f t="shared" si="18"/>
        <v>3</v>
      </c>
      <c r="I123" s="289">
        <f t="shared" si="19"/>
        <v>4</v>
      </c>
      <c r="J123" s="288"/>
      <c r="K123" s="288"/>
      <c r="L123" s="363"/>
      <c r="M123" s="448">
        <v>34179.674999999996</v>
      </c>
    </row>
    <row r="124" spans="1:13" ht="12.75" customHeight="1">
      <c r="A124" s="277" t="s">
        <v>792</v>
      </c>
      <c r="B124" s="296">
        <f>IF($M124&gt;0,('Amounts Pivot Table'!E$592/$M124),0)</f>
        <v>4302.3906480053629</v>
      </c>
      <c r="C124" s="296">
        <f>IF($M124&gt;0,('Amounts Pivot Table'!E$595/$M124),0)</f>
        <v>225.5982959489165</v>
      </c>
      <c r="D124" s="296">
        <f>IF($M124&gt;0,('Amounts Pivot Table'!E$601/$M124),0)</f>
        <v>10727.96285701154</v>
      </c>
      <c r="E124" s="364">
        <f>SUM(B124:D124)</f>
        <v>15255.95180096582</v>
      </c>
      <c r="F124" s="365">
        <f t="shared" si="16"/>
        <v>11</v>
      </c>
      <c r="G124" s="366">
        <f t="shared" si="17"/>
        <v>3</v>
      </c>
      <c r="H124" s="366">
        <f t="shared" si="18"/>
        <v>4</v>
      </c>
      <c r="I124" s="366">
        <f t="shared" si="19"/>
        <v>7</v>
      </c>
      <c r="J124" s="288"/>
      <c r="K124" s="288"/>
      <c r="L124" s="367"/>
      <c r="M124" s="448">
        <v>10516.116666666667</v>
      </c>
    </row>
    <row r="125" spans="1:13" ht="41.25" customHeight="1">
      <c r="A125" s="1244" t="s">
        <v>926</v>
      </c>
      <c r="B125" s="1245"/>
      <c r="C125" s="1245"/>
      <c r="D125" s="1245"/>
      <c r="E125" s="1245"/>
      <c r="F125" s="1245"/>
      <c r="G125" s="1245"/>
      <c r="H125" s="1245"/>
      <c r="I125" s="1245"/>
      <c r="J125" s="288"/>
      <c r="K125" s="288"/>
      <c r="L125" s="367"/>
      <c r="M125" s="449"/>
    </row>
    <row r="126" spans="1:13" s="362" customFormat="1" ht="20.25" customHeight="1">
      <c r="A126" s="1244" t="s">
        <v>927</v>
      </c>
      <c r="B126" s="1267"/>
      <c r="C126" s="1267"/>
      <c r="D126" s="1267"/>
      <c r="E126" s="1267"/>
      <c r="F126" s="1267"/>
      <c r="G126" s="1267"/>
      <c r="H126" s="1267"/>
      <c r="I126" s="1267"/>
      <c r="J126" s="369"/>
      <c r="L126" s="363"/>
      <c r="M126" s="412"/>
    </row>
    <row r="127" spans="1:13">
      <c r="A127" s="385" t="s">
        <v>930</v>
      </c>
      <c r="L127" s="367"/>
      <c r="M127" s="412"/>
    </row>
    <row r="128" spans="1:13" ht="14.25" customHeight="1">
      <c r="A128" s="368"/>
      <c r="B128" s="369"/>
      <c r="C128" s="369"/>
      <c r="D128" s="369"/>
      <c r="E128" s="369"/>
      <c r="F128" s="369"/>
      <c r="G128" s="369"/>
      <c r="H128" s="369"/>
      <c r="I128" s="370" t="s">
        <v>1814</v>
      </c>
      <c r="J128" s="369"/>
      <c r="K128" s="369"/>
      <c r="L128" s="367"/>
      <c r="M128" s="412"/>
    </row>
    <row r="129" spans="1:16" ht="18">
      <c r="A129" s="336" t="s">
        <v>934</v>
      </c>
      <c r="B129" s="336"/>
      <c r="C129" s="336"/>
      <c r="D129" s="336"/>
      <c r="E129" s="336"/>
      <c r="F129" s="336"/>
      <c r="G129" s="336"/>
      <c r="H129" s="336"/>
      <c r="I129" s="336"/>
      <c r="J129" s="355" t="s">
        <v>421</v>
      </c>
      <c r="K129" s="355"/>
      <c r="L129" s="367"/>
      <c r="M129" s="412"/>
    </row>
    <row r="130" spans="1:16" ht="12" customHeight="1">
      <c r="A130" s="336"/>
      <c r="B130" s="336"/>
      <c r="C130" s="336"/>
      <c r="D130" s="336"/>
      <c r="E130" s="336"/>
      <c r="F130" s="336"/>
      <c r="G130" s="336"/>
      <c r="H130" s="336"/>
      <c r="I130" s="336"/>
      <c r="J130" s="355"/>
      <c r="K130" s="355"/>
      <c r="L130" s="367"/>
      <c r="M130" s="412"/>
    </row>
    <row r="131" spans="1:16" ht="17.5">
      <c r="A131" s="1228" t="s">
        <v>920</v>
      </c>
      <c r="B131" s="1228"/>
      <c r="C131" s="1228"/>
      <c r="D131" s="1228"/>
      <c r="E131" s="1228"/>
      <c r="F131" s="1228"/>
      <c r="G131" s="1228"/>
      <c r="H131" s="1228"/>
      <c r="I131" s="1228"/>
      <c r="J131" s="355"/>
      <c r="K131" s="355"/>
      <c r="L131" s="344"/>
      <c r="M131" s="412"/>
    </row>
    <row r="132" spans="1:16" ht="15.5">
      <c r="A132" s="1228" t="s">
        <v>1753</v>
      </c>
      <c r="B132" s="1228"/>
      <c r="C132" s="1228"/>
      <c r="D132" s="1228"/>
      <c r="E132" s="1228"/>
      <c r="F132" s="1228"/>
      <c r="G132" s="1228"/>
      <c r="H132" s="1228"/>
      <c r="I132" s="1228"/>
      <c r="J132" s="341"/>
      <c r="K132" s="341"/>
      <c r="L132" s="344"/>
      <c r="M132" s="412"/>
    </row>
    <row r="133" spans="1:16" ht="12" customHeight="1">
      <c r="A133" s="341"/>
      <c r="B133" s="341"/>
      <c r="C133" s="341"/>
      <c r="D133" s="341"/>
      <c r="E133" s="341"/>
      <c r="F133" s="341"/>
      <c r="G133" s="373"/>
      <c r="H133" s="341"/>
      <c r="I133" s="341"/>
      <c r="J133" s="341"/>
      <c r="K133" s="341"/>
      <c r="L133" s="344"/>
      <c r="M133" s="441"/>
    </row>
    <row r="134" spans="1:16" ht="15.5">
      <c r="A134" s="346"/>
      <c r="B134" s="443" t="s">
        <v>922</v>
      </c>
      <c r="C134" s="444"/>
      <c r="D134" s="444"/>
      <c r="E134" s="444"/>
      <c r="F134" s="445" t="s">
        <v>923</v>
      </c>
      <c r="G134" s="446"/>
      <c r="H134" s="446"/>
      <c r="I134" s="446"/>
      <c r="L134" s="389"/>
      <c r="M134" s="447" t="s">
        <v>1768</v>
      </c>
    </row>
    <row r="135" spans="1:16" s="53" customFormat="1" ht="46">
      <c r="A135" s="243"/>
      <c r="B135" s="420" t="s">
        <v>6</v>
      </c>
      <c r="C135" s="421" t="s">
        <v>7</v>
      </c>
      <c r="D135" s="421" t="s">
        <v>960</v>
      </c>
      <c r="E135" s="421" t="s">
        <v>768</v>
      </c>
      <c r="F135" s="422" t="s">
        <v>6</v>
      </c>
      <c r="G135" s="421" t="s">
        <v>7</v>
      </c>
      <c r="H135" s="421" t="s">
        <v>960</v>
      </c>
      <c r="I135" s="421" t="s">
        <v>768</v>
      </c>
      <c r="L135" s="350"/>
      <c r="M135" s="442" t="s">
        <v>932</v>
      </c>
    </row>
    <row r="136" spans="1:16" ht="14.5">
      <c r="A136" s="77" t="s">
        <v>925</v>
      </c>
      <c r="B136" s="352">
        <f>IF($M136&gt;0,('Amounts Pivot Table'!F$631/$M136),0)</f>
        <v>5546.7052254882055</v>
      </c>
      <c r="C136" s="352">
        <f>IF($M136&gt;0,('Amounts Pivot Table'!F$634/$M136),0)</f>
        <v>113.57119309854511</v>
      </c>
      <c r="D136" s="352">
        <f>IF($M136&gt;0,('Amounts Pivot Table'!F$640/$M136),0)</f>
        <v>7708.3556128428399</v>
      </c>
      <c r="E136" s="352">
        <f>SUM(B136:D136)</f>
        <v>13368.632031429592</v>
      </c>
      <c r="F136" s="353"/>
      <c r="G136" s="354"/>
      <c r="H136" s="354"/>
      <c r="I136" s="354"/>
      <c r="J136" s="352"/>
      <c r="L136" s="356"/>
      <c r="M136" s="448">
        <v>179388.26250000001</v>
      </c>
    </row>
    <row r="137" spans="1:16" ht="9.75" customHeight="1">
      <c r="B137" s="352"/>
      <c r="C137" s="352"/>
      <c r="D137" s="352"/>
      <c r="E137" s="352"/>
      <c r="F137" s="353"/>
      <c r="G137" s="354"/>
      <c r="H137" s="354"/>
      <c r="I137" s="354"/>
      <c r="J137" s="352"/>
      <c r="L137" s="356"/>
      <c r="M137" s="448"/>
    </row>
    <row r="138" spans="1:16" ht="12.75" customHeight="1">
      <c r="A138" s="77" t="s">
        <v>777</v>
      </c>
      <c r="B138" s="288">
        <f>IF($M138&gt;0,('Amounts Pivot Table'!F$7/$M138),0)</f>
        <v>7546.1765971147124</v>
      </c>
      <c r="C138" s="288">
        <f>IF($M138&gt;0,('Amounts Pivot Table'!F$10/$M138),0)</f>
        <v>102.63774985957173</v>
      </c>
      <c r="D138" s="288">
        <f>IF($M138&gt;0,('Amounts Pivot Table'!F$16/$M138),0)</f>
        <v>9030.9507747530515</v>
      </c>
      <c r="E138" s="288">
        <f>SUM(B138:D138)</f>
        <v>16679.765121727338</v>
      </c>
      <c r="F138" s="359">
        <f>IF(B138&gt;0,RANK(B138,$B$138:$B$156),)</f>
        <v>5</v>
      </c>
      <c r="G138" s="289">
        <f>IF(C138&gt;0,RANK(C138,$C$138:$C$156),)</f>
        <v>4</v>
      </c>
      <c r="H138" s="289">
        <f>IF(D138&gt;0,RANK(D138,$D$138:$D$156),)</f>
        <v>6</v>
      </c>
      <c r="I138" s="289">
        <f>IF(E138&gt;0,RANK(E138,$E$138:$E$156),)</f>
        <v>5</v>
      </c>
      <c r="J138" s="288"/>
      <c r="L138" s="356"/>
      <c r="M138" s="448">
        <v>9123.875</v>
      </c>
    </row>
    <row r="139" spans="1:16" ht="12.75" customHeight="1">
      <c r="A139" s="77" t="s">
        <v>778</v>
      </c>
      <c r="B139" s="288">
        <f>IF($M139&gt;0,('Amounts Pivot Table'!F$46/$M139),0)</f>
        <v>5783.3097332954603</v>
      </c>
      <c r="C139" s="288">
        <f>IF($M139&gt;0,('Amounts Pivot Table'!F$49/$M139),0)</f>
        <v>461.1142064229976</v>
      </c>
      <c r="D139" s="288">
        <f>IF($M139&gt;0,('Amounts Pivot Table'!F$55/$M139),0)</f>
        <v>9642.0298620165249</v>
      </c>
      <c r="E139" s="288">
        <f>SUM(B139:D139)</f>
        <v>15886.453801734984</v>
      </c>
      <c r="F139" s="359">
        <f t="shared" ref="F139:F156" si="20">IF(B139&gt;0,RANK(B139,$B$138:$B$156),)</f>
        <v>8</v>
      </c>
      <c r="G139" s="289">
        <f t="shared" ref="G139:G156" si="21">IF(C139&gt;0,RANK(C139,$C$138:$C$156),)</f>
        <v>3</v>
      </c>
      <c r="H139" s="289">
        <f t="shared" ref="H139:H156" si="22">IF(D139&gt;0,RANK(D139,$D$138:$D$156),)</f>
        <v>4</v>
      </c>
      <c r="I139" s="289">
        <f t="shared" ref="I139:I156" si="23">IF(E139&gt;0,RANK(E139,$E$138:$E$156),)</f>
        <v>6</v>
      </c>
      <c r="J139" s="288"/>
      <c r="L139" s="356"/>
      <c r="M139" s="448">
        <v>9446.7833333333328</v>
      </c>
    </row>
    <row r="140" spans="1:16" ht="12.75" customHeight="1">
      <c r="A140" s="77" t="s">
        <v>779</v>
      </c>
      <c r="B140" s="288">
        <f>IF($M140&gt;0,('Amounts Pivot Table'!F$85/$M140),0)</f>
        <v>0</v>
      </c>
      <c r="C140" s="288">
        <f>IF($M140&gt;0,('Amounts Pivot Table'!F$88/$M140),0)</f>
        <v>0</v>
      </c>
      <c r="D140" s="288">
        <f>IF($M140&gt;0,('Amounts Pivot Table'!F$94/$M140),0)</f>
        <v>0</v>
      </c>
      <c r="E140" s="288">
        <f>SUM(B140:D140)</f>
        <v>0</v>
      </c>
      <c r="F140" s="359">
        <f>IF(B140&gt;0,RANK(B140,$B$138:$B$156),)</f>
        <v>0</v>
      </c>
      <c r="G140" s="289">
        <f>IF(C140&gt;0,RANK(C140,$C$138:$C$156),)</f>
        <v>0</v>
      </c>
      <c r="H140" s="289">
        <f>IF(D140&gt;0,RANK(D140,$D$138:$D$156),)</f>
        <v>0</v>
      </c>
      <c r="I140" s="289">
        <f>IF(E140&gt;0,RANK(E140,$E$138:$E$156),)</f>
        <v>0</v>
      </c>
      <c r="J140" s="288"/>
      <c r="L140" s="356"/>
      <c r="M140" s="448">
        <v>0</v>
      </c>
      <c r="N140" s="439"/>
      <c r="O140" s="439"/>
      <c r="P140" s="439"/>
    </row>
    <row r="141" spans="1:16" ht="12.75" customHeight="1">
      <c r="A141" s="77" t="s">
        <v>780</v>
      </c>
      <c r="B141" s="288">
        <f>IF($M141&gt;0,('Amounts Pivot Table'!F$124/$M141),0)</f>
        <v>0</v>
      </c>
      <c r="C141" s="288">
        <f>IF($M141&gt;0,('Amounts Pivot Table'!F$127/$M141),0)</f>
        <v>0</v>
      </c>
      <c r="D141" s="288">
        <f>IF($M141&gt;0,('Amounts Pivot Table'!F$133/$M141),0)</f>
        <v>0</v>
      </c>
      <c r="E141" s="288">
        <f>SUM(B141:D141)</f>
        <v>0</v>
      </c>
      <c r="F141" s="359">
        <f t="shared" si="20"/>
        <v>0</v>
      </c>
      <c r="G141" s="289">
        <f t="shared" si="21"/>
        <v>0</v>
      </c>
      <c r="H141" s="289">
        <f t="shared" si="22"/>
        <v>0</v>
      </c>
      <c r="I141" s="289">
        <f t="shared" si="23"/>
        <v>0</v>
      </c>
      <c r="J141" s="288"/>
      <c r="L141" s="356"/>
      <c r="M141" s="448">
        <v>0</v>
      </c>
    </row>
    <row r="142" spans="1:16" ht="9.75" customHeight="1">
      <c r="B142" s="288"/>
      <c r="C142" s="288"/>
      <c r="D142" s="288"/>
      <c r="E142" s="288"/>
      <c r="F142" s="359"/>
      <c r="G142" s="289"/>
      <c r="H142" s="289"/>
      <c r="I142" s="289"/>
      <c r="J142" s="288"/>
      <c r="L142" s="356"/>
      <c r="M142" s="448"/>
    </row>
    <row r="143" spans="1:16" ht="12.75" customHeight="1">
      <c r="A143" s="77" t="s">
        <v>781</v>
      </c>
      <c r="B143" s="288">
        <f>IF($M143&gt;0,('Amounts Pivot Table'!F$163/$M143),0)</f>
        <v>5090.4600326756345</v>
      </c>
      <c r="C143" s="288">
        <f>IF($M143&gt;0,('Amounts Pivot Table'!F$166/$M143),0)</f>
        <v>0</v>
      </c>
      <c r="D143" s="288">
        <f>IF($M143&gt;0,('Amounts Pivot Table'!F$172/$M143),0)</f>
        <v>5616.7819609905509</v>
      </c>
      <c r="E143" s="288">
        <f>SUM(B143:D143)</f>
        <v>10707.241993666186</v>
      </c>
      <c r="F143" s="359">
        <f t="shared" si="20"/>
        <v>9</v>
      </c>
      <c r="G143" s="289">
        <f t="shared" si="21"/>
        <v>0</v>
      </c>
      <c r="H143" s="289">
        <f t="shared" si="22"/>
        <v>11</v>
      </c>
      <c r="I143" s="289">
        <f t="shared" si="23"/>
        <v>11</v>
      </c>
      <c r="J143" s="288"/>
      <c r="L143" s="356"/>
      <c r="M143" s="448">
        <v>50832.983333333337</v>
      </c>
    </row>
    <row r="144" spans="1:16" ht="12.75" customHeight="1">
      <c r="A144" s="77" t="s">
        <v>782</v>
      </c>
      <c r="B144" s="288">
        <f>IF($M144&gt;0,('Amounts Pivot Table'!F$202/$M144),0)</f>
        <v>9906.9713780273232</v>
      </c>
      <c r="C144" s="288">
        <f>IF($M144&gt;0,('Amounts Pivot Table'!F$205/$M144),0)</f>
        <v>4736.2682793166105</v>
      </c>
      <c r="D144" s="288">
        <f>IF($M144&gt;0,('Amounts Pivot Table'!F$211/$M144),0)</f>
        <v>10251.039024718539</v>
      </c>
      <c r="E144" s="288">
        <f>SUM(B144:D144)</f>
        <v>24894.278682062471</v>
      </c>
      <c r="F144" s="359">
        <f t="shared" si="20"/>
        <v>2</v>
      </c>
      <c r="G144" s="289">
        <f t="shared" si="21"/>
        <v>1</v>
      </c>
      <c r="H144" s="289">
        <f t="shared" si="22"/>
        <v>2</v>
      </c>
      <c r="I144" s="289">
        <f t="shared" si="23"/>
        <v>1</v>
      </c>
      <c r="J144" s="288"/>
      <c r="L144" s="356"/>
      <c r="M144" s="448">
        <v>1733.5166666666667</v>
      </c>
    </row>
    <row r="145" spans="1:17" ht="12.75" customHeight="1">
      <c r="A145" s="77" t="s">
        <v>813</v>
      </c>
      <c r="B145" s="288">
        <f>IF($M145&gt;0,('Amounts Pivot Table'!F$241/$M145),0)</f>
        <v>1866.9981993060742</v>
      </c>
      <c r="C145" s="288">
        <f>IF($M145&gt;0,('Amounts Pivot Table'!F$244/$M145),0)</f>
        <v>0</v>
      </c>
      <c r="D145" s="288">
        <f>IF($M145&gt;0,('Amounts Pivot Table'!F$250/$M145),0)</f>
        <v>7161.5221949643319</v>
      </c>
      <c r="E145" s="288">
        <f>SUM(B145:D145)</f>
        <v>9028.5203942704065</v>
      </c>
      <c r="F145" s="359">
        <f t="shared" si="20"/>
        <v>11</v>
      </c>
      <c r="G145" s="289">
        <f t="shared" si="21"/>
        <v>0</v>
      </c>
      <c r="H145" s="289">
        <f t="shared" si="22"/>
        <v>9</v>
      </c>
      <c r="I145" s="289">
        <f t="shared" si="23"/>
        <v>12</v>
      </c>
      <c r="J145" s="288"/>
      <c r="L145" s="356"/>
      <c r="M145" s="448">
        <v>26563.833333333332</v>
      </c>
    </row>
    <row r="146" spans="1:17" ht="12.75" customHeight="1">
      <c r="A146" s="77" t="s">
        <v>784</v>
      </c>
      <c r="B146" s="288">
        <f>IF($M146&gt;0,('Amounts Pivot Table'!F$280/$M146),0)</f>
        <v>9680.9105637635548</v>
      </c>
      <c r="C146" s="288">
        <f>IF($M146&gt;0,('Amounts Pivot Table'!F$283/$M146),0)</f>
        <v>0</v>
      </c>
      <c r="D146" s="288">
        <f>IF($M146&gt;0,('Amounts Pivot Table'!F$289/$M146),0)</f>
        <v>8651.585279151388</v>
      </c>
      <c r="E146" s="288">
        <f>SUM(B146:D146)</f>
        <v>18332.495842914941</v>
      </c>
      <c r="F146" s="359">
        <f t="shared" si="20"/>
        <v>4</v>
      </c>
      <c r="G146" s="289">
        <f t="shared" si="21"/>
        <v>0</v>
      </c>
      <c r="H146" s="289">
        <f t="shared" si="22"/>
        <v>7</v>
      </c>
      <c r="I146" s="289">
        <f t="shared" si="23"/>
        <v>4</v>
      </c>
      <c r="J146" s="288"/>
      <c r="L146" s="356"/>
      <c r="M146" s="448">
        <v>20494.629166666666</v>
      </c>
    </row>
    <row r="147" spans="1:17" ht="9.75" customHeight="1">
      <c r="B147" s="288"/>
      <c r="C147" s="288"/>
      <c r="D147" s="288"/>
      <c r="E147" s="288"/>
      <c r="F147" s="359"/>
      <c r="G147" s="289"/>
      <c r="H147" s="289"/>
      <c r="I147" s="289"/>
      <c r="J147" s="288"/>
      <c r="L147" s="356"/>
      <c r="M147" s="448"/>
    </row>
    <row r="148" spans="1:17" ht="12.75" customHeight="1">
      <c r="A148" s="77" t="s">
        <v>785</v>
      </c>
      <c r="B148" s="288">
        <f>IF($M148&gt;0,('Amounts Pivot Table'!F$319/$M148),0)</f>
        <v>7469.9472149644707</v>
      </c>
      <c r="C148" s="288">
        <f>IF($M148&gt;0,('Amounts Pivot Table'!F$322/$M148),0)</f>
        <v>612.90250930434968</v>
      </c>
      <c r="D148" s="288">
        <f>IF($M148&gt;0,('Amounts Pivot Table'!F$328/$M148),0)</f>
        <v>7687.568020882778</v>
      </c>
      <c r="E148" s="288">
        <f>SUM(B148:D148)</f>
        <v>15770.417745151599</v>
      </c>
      <c r="F148" s="359">
        <f t="shared" si="20"/>
        <v>6</v>
      </c>
      <c r="G148" s="289">
        <f t="shared" si="21"/>
        <v>2</v>
      </c>
      <c r="H148" s="289">
        <f t="shared" si="22"/>
        <v>8</v>
      </c>
      <c r="I148" s="289">
        <f t="shared" si="23"/>
        <v>7</v>
      </c>
      <c r="J148" s="288"/>
      <c r="L148" s="356"/>
      <c r="M148" s="448">
        <v>10234.908333333335</v>
      </c>
    </row>
    <row r="149" spans="1:17" ht="12.75" customHeight="1">
      <c r="A149" s="77" t="s">
        <v>786</v>
      </c>
      <c r="B149" s="288">
        <f>IF($M149&gt;0,('Amounts Pivot Table'!F$358/$M149),0)</f>
        <v>9863.0935882141821</v>
      </c>
      <c r="C149" s="288">
        <f>IF($M149&gt;0,('Amounts Pivot Table'!F$361/$M149),0)</f>
        <v>0</v>
      </c>
      <c r="D149" s="288">
        <f>IF($M149&gt;0,('Amounts Pivot Table'!F$367/$M149),0)</f>
        <v>3880.2405055382242</v>
      </c>
      <c r="E149" s="288">
        <f>SUM(B149:D149)</f>
        <v>13743.334093752406</v>
      </c>
      <c r="F149" s="359">
        <f t="shared" si="20"/>
        <v>3</v>
      </c>
      <c r="G149" s="289">
        <f t="shared" si="21"/>
        <v>0</v>
      </c>
      <c r="H149" s="289">
        <f t="shared" si="22"/>
        <v>12</v>
      </c>
      <c r="I149" s="289">
        <f t="shared" si="23"/>
        <v>9</v>
      </c>
      <c r="J149" s="288"/>
      <c r="L149" s="356"/>
      <c r="M149" s="448">
        <v>5735.1416666666664</v>
      </c>
      <c r="Q149" s="450"/>
    </row>
    <row r="150" spans="1:17" ht="12.75" customHeight="1">
      <c r="A150" s="77" t="s">
        <v>787</v>
      </c>
      <c r="B150" s="288">
        <f>IF($M150&gt;0,('Amounts Pivot Table'!F$397/$M150),0)</f>
        <v>0</v>
      </c>
      <c r="C150" s="288">
        <f>IF($M150&gt;0,('Amounts Pivot Table'!F$400/$M150),0)</f>
        <v>0</v>
      </c>
      <c r="D150" s="288">
        <f>IF($M150&gt;0,('Amounts Pivot Table'!F$406/$M150),0)</f>
        <v>0</v>
      </c>
      <c r="E150" s="288">
        <f>SUM(B150:D150)</f>
        <v>0</v>
      </c>
      <c r="F150" s="359">
        <f t="shared" si="20"/>
        <v>0</v>
      </c>
      <c r="G150" s="289">
        <f t="shared" si="21"/>
        <v>0</v>
      </c>
      <c r="H150" s="289">
        <f t="shared" si="22"/>
        <v>0</v>
      </c>
      <c r="I150" s="289">
        <f t="shared" si="23"/>
        <v>0</v>
      </c>
      <c r="J150" s="288"/>
      <c r="L150" s="356"/>
      <c r="M150" s="448">
        <v>0</v>
      </c>
      <c r="Q150" s="450"/>
    </row>
    <row r="151" spans="1:17" ht="12.75" customHeight="1">
      <c r="A151" s="77" t="s">
        <v>788</v>
      </c>
      <c r="B151" s="288">
        <f>IF($M151&gt;0,('Amounts Pivot Table'!F$436/$M151),0)</f>
        <v>1652.4331761892947</v>
      </c>
      <c r="C151" s="288">
        <f>IF($M151&gt;0,('Amounts Pivot Table'!F$439/$M151),0)</f>
        <v>59.893984165294484</v>
      </c>
      <c r="D151" s="288">
        <f>IF($M151&gt;0,('Amounts Pivot Table'!F$445/$M151),0)</f>
        <v>17033.335488738012</v>
      </c>
      <c r="E151" s="288">
        <f>SUM(B151:D151)</f>
        <v>18745.662649092603</v>
      </c>
      <c r="F151" s="359">
        <f>IF(B151&gt;0,RANK(B151,$B$138:$B$156),)</f>
        <v>12</v>
      </c>
      <c r="G151" s="289">
        <f t="shared" si="21"/>
        <v>5</v>
      </c>
      <c r="H151" s="289">
        <f t="shared" si="22"/>
        <v>1</v>
      </c>
      <c r="I151" s="289">
        <f t="shared" si="23"/>
        <v>3</v>
      </c>
      <c r="J151" s="288"/>
      <c r="L151" s="356"/>
      <c r="M151" s="448">
        <v>9974.9249999999993</v>
      </c>
      <c r="Q151" s="450"/>
    </row>
    <row r="152" spans="1:17" ht="9.75" customHeight="1">
      <c r="B152" s="288"/>
      <c r="C152" s="288"/>
      <c r="D152" s="288"/>
      <c r="E152" s="288"/>
      <c r="F152" s="359"/>
      <c r="G152" s="289"/>
      <c r="H152" s="289"/>
      <c r="I152" s="289"/>
      <c r="J152" s="288"/>
      <c r="L152" s="356"/>
      <c r="M152" s="448"/>
    </row>
    <row r="153" spans="1:17" ht="12.75" customHeight="1">
      <c r="A153" s="77" t="s">
        <v>789</v>
      </c>
      <c r="B153" s="288">
        <f>IF($M153&gt;0,('Amounts Pivot Table'!F$475/$M153),0)</f>
        <v>6162.6336099249638</v>
      </c>
      <c r="C153" s="288">
        <f>IF($M153&gt;0,('Amounts Pivot Table'!F$478/$M153),0)</f>
        <v>0</v>
      </c>
      <c r="D153" s="288">
        <f>IF($M153&gt;0,('Amounts Pivot Table'!F$484/$M153),0)</f>
        <v>9349.1022802855059</v>
      </c>
      <c r="E153" s="288">
        <f>SUM(B153:D153)</f>
        <v>15511.73589021047</v>
      </c>
      <c r="F153" s="359">
        <f t="shared" si="20"/>
        <v>7</v>
      </c>
      <c r="G153" s="289">
        <f t="shared" si="21"/>
        <v>0</v>
      </c>
      <c r="H153" s="289">
        <f t="shared" si="22"/>
        <v>5</v>
      </c>
      <c r="I153" s="289">
        <f t="shared" si="23"/>
        <v>8</v>
      </c>
      <c r="J153" s="288"/>
      <c r="L153" s="390"/>
      <c r="M153" s="448">
        <v>5876.0916666666672</v>
      </c>
    </row>
    <row r="154" spans="1:17" s="362" customFormat="1" ht="12.75" customHeight="1">
      <c r="A154" s="77" t="s">
        <v>790</v>
      </c>
      <c r="B154" s="288">
        <f>IF($M154&gt;0,('Amounts Pivot Table'!F$514/$M154),0)</f>
        <v>4311.6199570973376</v>
      </c>
      <c r="C154" s="288">
        <f>IF($M154&gt;0,('Amounts Pivot Table'!F$517/$M154),0)</f>
        <v>0</v>
      </c>
      <c r="D154" s="288">
        <f>IF($M154&gt;0,('Amounts Pivot Table'!F$523/$M154),0)</f>
        <v>6669.4709125946838</v>
      </c>
      <c r="E154" s="288">
        <f>SUM(B154:D154)</f>
        <v>10981.090869692021</v>
      </c>
      <c r="F154" s="359">
        <f t="shared" si="20"/>
        <v>10</v>
      </c>
      <c r="G154" s="289">
        <f t="shared" si="21"/>
        <v>0</v>
      </c>
      <c r="H154" s="289">
        <f t="shared" si="22"/>
        <v>10</v>
      </c>
      <c r="I154" s="289">
        <f t="shared" si="23"/>
        <v>10</v>
      </c>
      <c r="J154" s="288"/>
      <c r="K154" s="288"/>
      <c r="L154" s="390"/>
      <c r="M154" s="448">
        <v>24458.466666666667</v>
      </c>
    </row>
    <row r="155" spans="1:17" ht="12.75" customHeight="1">
      <c r="A155" s="77" t="s">
        <v>791</v>
      </c>
      <c r="B155" s="288">
        <f>IF($M155&gt;0,('Amounts Pivot Table'!F$553/$M155),0)</f>
        <v>11483.590055853982</v>
      </c>
      <c r="C155" s="288">
        <f>IF($M155&gt;0,('Amounts Pivot Table'!F$556/$M155),0)</f>
        <v>0</v>
      </c>
      <c r="D155" s="288">
        <f>IF($M155&gt;0,('Amounts Pivot Table'!F$562/$M155),0)</f>
        <v>10088.46089831115</v>
      </c>
      <c r="E155" s="288">
        <f>SUM(B155:D155)</f>
        <v>21572.050954165134</v>
      </c>
      <c r="F155" s="359">
        <f t="shared" si="20"/>
        <v>1</v>
      </c>
      <c r="G155" s="289">
        <f t="shared" si="21"/>
        <v>0</v>
      </c>
      <c r="H155" s="289">
        <f t="shared" si="22"/>
        <v>3</v>
      </c>
      <c r="I155" s="289">
        <f t="shared" si="23"/>
        <v>2</v>
      </c>
      <c r="J155" s="288"/>
      <c r="K155" s="288"/>
      <c r="L155" s="390"/>
      <c r="M155" s="448">
        <v>4913.1083333333336</v>
      </c>
    </row>
    <row r="156" spans="1:17" ht="13.5" customHeight="1">
      <c r="A156" s="277" t="s">
        <v>792</v>
      </c>
      <c r="B156" s="296">
        <f>IF($M156&gt;0,('Amounts Pivot Table'!F$592/$M156),0)</f>
        <v>0</v>
      </c>
      <c r="C156" s="296">
        <f>IF($M156&gt;0,('Amounts Pivot Table'!F$595/$M156),0)</f>
        <v>0</v>
      </c>
      <c r="D156" s="296">
        <f>IF($M156&gt;0,('Amounts Pivot Table'!F$601/$M156),0)</f>
        <v>0</v>
      </c>
      <c r="E156" s="364">
        <f>SUM(B156:D156)</f>
        <v>0</v>
      </c>
      <c r="F156" s="365">
        <f t="shared" si="20"/>
        <v>0</v>
      </c>
      <c r="G156" s="366">
        <f t="shared" si="21"/>
        <v>0</v>
      </c>
      <c r="H156" s="366">
        <f t="shared" si="22"/>
        <v>0</v>
      </c>
      <c r="I156" s="366">
        <f t="shared" si="23"/>
        <v>0</v>
      </c>
      <c r="J156" s="288"/>
      <c r="K156" s="288"/>
      <c r="L156" s="390"/>
      <c r="M156" s="448">
        <v>0</v>
      </c>
    </row>
    <row r="157" spans="1:17" s="362" customFormat="1" ht="40.5" customHeight="1">
      <c r="A157" s="1244" t="s">
        <v>926</v>
      </c>
      <c r="B157" s="1245"/>
      <c r="C157" s="1245"/>
      <c r="D157" s="1245"/>
      <c r="E157" s="1245"/>
      <c r="F157" s="1245"/>
      <c r="G157" s="1245"/>
      <c r="H157" s="1245"/>
      <c r="I157" s="1245"/>
      <c r="J157" s="288"/>
      <c r="K157" s="288"/>
      <c r="L157" s="363"/>
      <c r="M157" s="449"/>
    </row>
    <row r="158" spans="1:17" s="362" customFormat="1" ht="17.25" customHeight="1">
      <c r="A158" s="1244" t="s">
        <v>927</v>
      </c>
      <c r="B158" s="1267"/>
      <c r="C158" s="1267"/>
      <c r="D158" s="1267"/>
      <c r="E158" s="1267"/>
      <c r="F158" s="1267"/>
      <c r="G158" s="1267"/>
      <c r="H158" s="1267"/>
      <c r="I158" s="1267"/>
      <c r="J158" s="369"/>
      <c r="L158" s="363"/>
      <c r="M158" s="412"/>
    </row>
    <row r="159" spans="1:17" ht="15" customHeight="1">
      <c r="A159" s="1244" t="s">
        <v>930</v>
      </c>
      <c r="B159" s="1245"/>
      <c r="C159" s="1245"/>
      <c r="D159" s="1245"/>
      <c r="E159" s="1245"/>
      <c r="F159" s="1245"/>
      <c r="G159" s="1245"/>
      <c r="H159" s="1245"/>
      <c r="I159" s="1245"/>
      <c r="L159" s="367"/>
      <c r="M159" s="412"/>
    </row>
    <row r="160" spans="1:17">
      <c r="A160" s="368"/>
      <c r="B160" s="369"/>
      <c r="C160" s="369"/>
      <c r="D160" s="369"/>
      <c r="E160" s="369"/>
      <c r="F160" s="369"/>
      <c r="G160" s="369"/>
      <c r="H160" s="369"/>
      <c r="I160" s="370" t="s">
        <v>1814</v>
      </c>
      <c r="J160" s="369"/>
      <c r="K160" s="369"/>
      <c r="L160" s="367"/>
      <c r="M160" s="412"/>
    </row>
    <row r="161" spans="1:13" ht="18">
      <c r="A161" s="336" t="s">
        <v>935</v>
      </c>
      <c r="B161" s="336"/>
      <c r="C161" s="336"/>
      <c r="D161" s="336"/>
      <c r="E161" s="336"/>
      <c r="F161" s="336"/>
      <c r="G161" s="336"/>
      <c r="H161" s="336"/>
      <c r="I161" s="336"/>
      <c r="J161" s="355" t="s">
        <v>421</v>
      </c>
      <c r="K161" s="355"/>
      <c r="L161" s="367"/>
      <c r="M161" s="412"/>
    </row>
    <row r="162" spans="1:13" ht="15.75" customHeight="1">
      <c r="A162" s="336"/>
      <c r="B162" s="336"/>
      <c r="C162" s="336"/>
      <c r="D162" s="336"/>
      <c r="E162" s="336"/>
      <c r="F162" s="336"/>
      <c r="G162" s="336"/>
      <c r="H162" s="336"/>
      <c r="I162" s="336"/>
      <c r="J162" s="355"/>
      <c r="K162" s="355"/>
      <c r="L162" s="367"/>
      <c r="M162" s="412"/>
    </row>
    <row r="163" spans="1:13" ht="17.5">
      <c r="A163" s="1228" t="s">
        <v>920</v>
      </c>
      <c r="B163" s="1228"/>
      <c r="C163" s="1228"/>
      <c r="D163" s="1228"/>
      <c r="E163" s="1228"/>
      <c r="F163" s="1228"/>
      <c r="G163" s="1228"/>
      <c r="H163" s="1228"/>
      <c r="I163" s="1228"/>
      <c r="J163" s="355"/>
      <c r="K163" s="355"/>
      <c r="L163" s="344"/>
      <c r="M163" s="412"/>
    </row>
    <row r="164" spans="1:13" ht="16.5" customHeight="1">
      <c r="A164" s="1228" t="s">
        <v>1754</v>
      </c>
      <c r="B164" s="1228"/>
      <c r="C164" s="1228"/>
      <c r="D164" s="1228"/>
      <c r="E164" s="1228"/>
      <c r="F164" s="1228"/>
      <c r="G164" s="1228"/>
      <c r="H164" s="1228"/>
      <c r="I164" s="1228"/>
      <c r="J164" s="341"/>
      <c r="K164" s="341"/>
      <c r="L164" s="344"/>
      <c r="M164" s="412"/>
    </row>
    <row r="165" spans="1:13" s="376" customFormat="1" ht="8">
      <c r="A165" s="391"/>
      <c r="B165" s="391"/>
      <c r="C165" s="391"/>
      <c r="D165" s="391"/>
      <c r="E165" s="391"/>
      <c r="F165" s="391"/>
      <c r="G165" s="392"/>
      <c r="H165" s="391"/>
      <c r="I165" s="391"/>
      <c r="J165" s="391"/>
      <c r="K165" s="391"/>
      <c r="L165" s="393"/>
      <c r="M165" s="451"/>
    </row>
    <row r="166" spans="1:13" ht="15.5">
      <c r="A166" s="346"/>
      <c r="B166" s="443" t="s">
        <v>922</v>
      </c>
      <c r="C166" s="444"/>
      <c r="D166" s="444"/>
      <c r="E166" s="444"/>
      <c r="F166" s="445" t="s">
        <v>923</v>
      </c>
      <c r="G166" s="446"/>
      <c r="H166" s="446"/>
      <c r="I166" s="446"/>
      <c r="L166" s="389"/>
      <c r="M166" s="447" t="s">
        <v>1769</v>
      </c>
    </row>
    <row r="167" spans="1:13" s="53" customFormat="1" ht="46">
      <c r="A167" s="243"/>
      <c r="B167" s="420" t="s">
        <v>6</v>
      </c>
      <c r="C167" s="421" t="s">
        <v>7</v>
      </c>
      <c r="D167" s="421" t="s">
        <v>960</v>
      </c>
      <c r="E167" s="421" t="s">
        <v>768</v>
      </c>
      <c r="F167" s="422" t="s">
        <v>6</v>
      </c>
      <c r="G167" s="421" t="s">
        <v>7</v>
      </c>
      <c r="H167" s="421" t="s">
        <v>960</v>
      </c>
      <c r="I167" s="421" t="s">
        <v>768</v>
      </c>
      <c r="L167" s="350"/>
      <c r="M167" s="442" t="s">
        <v>932</v>
      </c>
    </row>
    <row r="168" spans="1:13" ht="14.5">
      <c r="A168" s="77" t="s">
        <v>925</v>
      </c>
      <c r="B168" s="352">
        <f>IF($M168&gt;0,('Amounts Pivot Table'!G$631/$M168),0)</f>
        <v>8355.9252315224603</v>
      </c>
      <c r="C168" s="352">
        <f>IF($M168&gt;0,('Amounts Pivot Table'!G$634/$M168),0)</f>
        <v>155.11322954623756</v>
      </c>
      <c r="D168" s="352">
        <f>IF($M168&gt;0,('Amounts Pivot Table'!G$640/$M168),0)</f>
        <v>7550.5083606858161</v>
      </c>
      <c r="E168" s="352">
        <f>SUM(B168:D168)</f>
        <v>16061.546821754513</v>
      </c>
      <c r="F168" s="353"/>
      <c r="G168" s="354"/>
      <c r="H168" s="354"/>
      <c r="I168" s="354"/>
      <c r="L168" s="356"/>
      <c r="M168" s="448">
        <v>62088.108333333337</v>
      </c>
    </row>
    <row r="169" spans="1:13" ht="9.75" customHeight="1">
      <c r="B169" s="352"/>
      <c r="C169" s="352"/>
      <c r="D169" s="352"/>
      <c r="E169" s="352"/>
      <c r="F169" s="353"/>
      <c r="G169" s="354"/>
      <c r="H169" s="354"/>
      <c r="I169" s="354"/>
      <c r="L169" s="356"/>
      <c r="M169" s="448"/>
    </row>
    <row r="170" spans="1:13" ht="12.75" customHeight="1">
      <c r="A170" s="77" t="s">
        <v>777</v>
      </c>
      <c r="B170" s="288">
        <f>IF($M170&gt;0,('Amounts Pivot Table'!G$7/$M170),0)</f>
        <v>9717.7379421734349</v>
      </c>
      <c r="C170" s="288">
        <f>IF($M170&gt;0,('Amounts Pivot Table'!G$10/$M170),0)</f>
        <v>104.37173915353472</v>
      </c>
      <c r="D170" s="288">
        <f>IF($M170&gt;0,('Amounts Pivot Table'!G$16/$M170),0)</f>
        <v>15672.070896513615</v>
      </c>
      <c r="E170" s="288">
        <f>SUM(B170:D170)</f>
        <v>25494.180577840583</v>
      </c>
      <c r="F170" s="359">
        <f>IF(B170&gt;0,RANK(B170,$B$170:$B$188),)</f>
        <v>3</v>
      </c>
      <c r="G170" s="289">
        <f>IF(C170&gt;0,RANK(C170,$C$170:$C$188),)</f>
        <v>2</v>
      </c>
      <c r="H170" s="289">
        <f>IF(D170&gt;0,RANK(D170,$D$170:$D$188),)</f>
        <v>1</v>
      </c>
      <c r="I170" s="289">
        <f>IF(E170&gt;0,RANK(E170,$E$170:$E$188),)</f>
        <v>2</v>
      </c>
      <c r="L170" s="356"/>
      <c r="M170" s="448">
        <v>2352.7250000000004</v>
      </c>
    </row>
    <row r="171" spans="1:13" ht="12.75" customHeight="1">
      <c r="A171" s="77" t="s">
        <v>778</v>
      </c>
      <c r="B171" s="288">
        <f>IF($M171&gt;0,('Amounts Pivot Table'!G$46/$M171),0)</f>
        <v>0</v>
      </c>
      <c r="C171" s="288">
        <f>IF($M171&gt;0,('Amounts Pivot Table'!G$49/$M171),0)</f>
        <v>0</v>
      </c>
      <c r="D171" s="288">
        <f>IF($M171&gt;0,('Amounts Pivot Table'!G$55/$M171),0)</f>
        <v>0</v>
      </c>
      <c r="E171" s="288">
        <f>SUM(B171:D171)</f>
        <v>0</v>
      </c>
      <c r="F171" s="359">
        <f t="shared" ref="F171:F188" si="24">IF(B171&gt;0,RANK(B171,$B$170:$B$188),)</f>
        <v>0</v>
      </c>
      <c r="G171" s="289">
        <f t="shared" ref="G171:G188" si="25">IF(C171&gt;0,RANK(C171,$C$170:$C$188),)</f>
        <v>0</v>
      </c>
      <c r="H171" s="289">
        <f t="shared" ref="H171:H188" si="26">IF(D171&gt;0,RANK(D171,$D$170:$D$188),)</f>
        <v>0</v>
      </c>
      <c r="I171" s="289">
        <f t="shared" ref="I171:I188" si="27">IF(E171&gt;0,RANK(E171,$E$170:$E$188),)</f>
        <v>0</v>
      </c>
      <c r="L171" s="356"/>
      <c r="M171" s="448">
        <v>0</v>
      </c>
    </row>
    <row r="172" spans="1:13" ht="12.75" customHeight="1">
      <c r="A172" s="77" t="s">
        <v>779</v>
      </c>
      <c r="B172" s="288">
        <f>IF($M172&gt;0,('Amounts Pivot Table'!G$85/$M172),0)</f>
        <v>0</v>
      </c>
      <c r="C172" s="288">
        <f>IF($M172&gt;0,('Amounts Pivot Table'!G$88/$M172),0)</f>
        <v>0</v>
      </c>
      <c r="D172" s="288">
        <f>IF($M172&gt;0,('Amounts Pivot Table'!G$94/$M172),0)</f>
        <v>0</v>
      </c>
      <c r="E172" s="288">
        <f>SUM(B172:D172)</f>
        <v>0</v>
      </c>
      <c r="F172" s="359">
        <f t="shared" si="24"/>
        <v>0</v>
      </c>
      <c r="G172" s="289">
        <f t="shared" si="25"/>
        <v>0</v>
      </c>
      <c r="H172" s="289">
        <f t="shared" si="26"/>
        <v>0</v>
      </c>
      <c r="I172" s="289">
        <f t="shared" si="27"/>
        <v>0</v>
      </c>
      <c r="L172" s="356"/>
      <c r="M172" s="448">
        <v>0</v>
      </c>
    </row>
    <row r="173" spans="1:13" ht="12.75" customHeight="1">
      <c r="A173" s="77" t="s">
        <v>780</v>
      </c>
      <c r="B173" s="288">
        <f>IF($M173&gt;0,('Amounts Pivot Table'!G$124/$M173),0)</f>
        <v>0</v>
      </c>
      <c r="C173" s="288">
        <f>IF($M173&gt;0,('Amounts Pivot Table'!G$127/$M173),0)</f>
        <v>0</v>
      </c>
      <c r="D173" s="288">
        <f>IF($M173&gt;0,('Amounts Pivot Table'!G$133/$M173),0)</f>
        <v>0</v>
      </c>
      <c r="E173" s="288">
        <f>SUM(B173:D173)</f>
        <v>0</v>
      </c>
      <c r="F173" s="359">
        <f t="shared" si="24"/>
        <v>0</v>
      </c>
      <c r="G173" s="289">
        <f t="shared" si="25"/>
        <v>0</v>
      </c>
      <c r="H173" s="289">
        <f t="shared" si="26"/>
        <v>0</v>
      </c>
      <c r="I173" s="289">
        <f t="shared" si="27"/>
        <v>0</v>
      </c>
      <c r="L173" s="356"/>
      <c r="M173" s="448">
        <v>0</v>
      </c>
    </row>
    <row r="174" spans="1:13" ht="12.75" customHeight="1">
      <c r="B174" s="288"/>
      <c r="C174" s="288"/>
      <c r="D174" s="288"/>
      <c r="E174" s="288"/>
      <c r="F174" s="359"/>
      <c r="G174" s="289"/>
      <c r="H174" s="289"/>
      <c r="I174" s="289"/>
      <c r="L174" s="356"/>
      <c r="M174" s="448"/>
    </row>
    <row r="175" spans="1:13" ht="12.75" customHeight="1">
      <c r="A175" s="77" t="s">
        <v>781</v>
      </c>
      <c r="B175" s="288">
        <f>IF($M175&gt;0,('Amounts Pivot Table'!G$163/$M175),0)</f>
        <v>6350.1357221524468</v>
      </c>
      <c r="C175" s="288">
        <f>IF($M175&gt;0,('Amounts Pivot Table'!G$166/$M175),0)</f>
        <v>0</v>
      </c>
      <c r="D175" s="288">
        <f>IF($M175&gt;0,('Amounts Pivot Table'!G$172/$M175),0)</f>
        <v>4605.6774787643026</v>
      </c>
      <c r="E175" s="288">
        <f>SUM(B175:D175)</f>
        <v>10955.813200916749</v>
      </c>
      <c r="F175" s="359">
        <f t="shared" si="24"/>
        <v>7</v>
      </c>
      <c r="G175" s="289">
        <f t="shared" si="25"/>
        <v>0</v>
      </c>
      <c r="H175" s="289">
        <f t="shared" si="26"/>
        <v>8</v>
      </c>
      <c r="I175" s="289">
        <f t="shared" si="27"/>
        <v>9</v>
      </c>
      <c r="L175" s="356"/>
      <c r="M175" s="448">
        <v>12613.391666666668</v>
      </c>
    </row>
    <row r="176" spans="1:13" ht="12.75" customHeight="1">
      <c r="A176" s="77" t="s">
        <v>782</v>
      </c>
      <c r="B176" s="288">
        <f>IF($M176&gt;0,('Amounts Pivot Table'!G$202/$M176),0)</f>
        <v>0</v>
      </c>
      <c r="C176" s="288">
        <f>IF($M176&gt;0,('Amounts Pivot Table'!G$205/$M176),0)</f>
        <v>0</v>
      </c>
      <c r="D176" s="288">
        <f>IF($M176&gt;0,('Amounts Pivot Table'!G$211/$M176),0)</f>
        <v>0</v>
      </c>
      <c r="E176" s="288">
        <f>SUM(B176:D176)</f>
        <v>0</v>
      </c>
      <c r="F176" s="359">
        <f t="shared" si="24"/>
        <v>0</v>
      </c>
      <c r="G176" s="289">
        <f t="shared" si="25"/>
        <v>0</v>
      </c>
      <c r="H176" s="289">
        <f t="shared" si="26"/>
        <v>0</v>
      </c>
      <c r="I176" s="289">
        <f t="shared" si="27"/>
        <v>0</v>
      </c>
      <c r="L176" s="356"/>
      <c r="M176" s="448">
        <v>0</v>
      </c>
    </row>
    <row r="177" spans="1:13" ht="12.75" customHeight="1">
      <c r="A177" s="77" t="s">
        <v>813</v>
      </c>
      <c r="B177" s="288">
        <f>IF($M177&gt;0,('Amounts Pivot Table'!G$241/$M177),0)</f>
        <v>5156.203771226169</v>
      </c>
      <c r="C177" s="288">
        <f>IF($M177&gt;0,('Amounts Pivot Table'!G$244/$M177),0)</f>
        <v>0</v>
      </c>
      <c r="D177" s="288">
        <f>IF($M177&gt;0,('Amounts Pivot Table'!G$250/$M177),0)</f>
        <v>8898.2753739228792</v>
      </c>
      <c r="E177" s="288">
        <f>SUM(B177:D177)</f>
        <v>14054.479145149049</v>
      </c>
      <c r="F177" s="359">
        <f t="shared" si="24"/>
        <v>8</v>
      </c>
      <c r="G177" s="289">
        <f t="shared" si="25"/>
        <v>0</v>
      </c>
      <c r="H177" s="289">
        <f t="shared" si="26"/>
        <v>5</v>
      </c>
      <c r="I177" s="289">
        <f t="shared" si="27"/>
        <v>7</v>
      </c>
      <c r="L177" s="356"/>
      <c r="M177" s="448">
        <v>1679.825</v>
      </c>
    </row>
    <row r="178" spans="1:13" ht="12.75" customHeight="1">
      <c r="A178" s="77" t="s">
        <v>784</v>
      </c>
      <c r="B178" s="288">
        <f>IF($M178&gt;0,('Amounts Pivot Table'!G$280/$M178),0)</f>
        <v>24525.271670415921</v>
      </c>
      <c r="C178" s="288">
        <f>IF($M178&gt;0,('Amounts Pivot Table'!G$283/$M178),0)</f>
        <v>0</v>
      </c>
      <c r="D178" s="288">
        <f>IF($M178&gt;0,('Amounts Pivot Table'!G$289/$M178),0)</f>
        <v>6404.3904040984553</v>
      </c>
      <c r="E178" s="288">
        <f>SUM(B178:D178)</f>
        <v>30929.662074514377</v>
      </c>
      <c r="F178" s="359">
        <f t="shared" si="24"/>
        <v>1</v>
      </c>
      <c r="G178" s="289">
        <f t="shared" si="25"/>
        <v>0</v>
      </c>
      <c r="H178" s="289">
        <f t="shared" si="26"/>
        <v>7</v>
      </c>
      <c r="I178" s="289">
        <f t="shared" si="27"/>
        <v>1</v>
      </c>
      <c r="L178" s="356"/>
      <c r="M178" s="448">
        <v>2030.0333333333333</v>
      </c>
    </row>
    <row r="179" spans="1:13" ht="9.75" customHeight="1">
      <c r="B179" s="288"/>
      <c r="C179" s="288"/>
      <c r="D179" s="288"/>
      <c r="E179" s="288"/>
      <c r="F179" s="359"/>
      <c r="G179" s="289"/>
      <c r="H179" s="289"/>
      <c r="I179" s="289"/>
      <c r="L179" s="356"/>
      <c r="M179" s="448"/>
    </row>
    <row r="180" spans="1:13" ht="12.75" customHeight="1">
      <c r="A180" s="77" t="s">
        <v>785</v>
      </c>
      <c r="B180" s="288">
        <f>IF($M180&gt;0,('Amounts Pivot Table'!G$319/$M180),0)</f>
        <v>0</v>
      </c>
      <c r="C180" s="288">
        <f>IF($M180&gt;0,('Amounts Pivot Table'!G$322/$M180),0)</f>
        <v>0</v>
      </c>
      <c r="D180" s="288">
        <f>IF($M180&gt;0,('Amounts Pivot Table'!G$328/$M180),0)</f>
        <v>0</v>
      </c>
      <c r="E180" s="288">
        <f>SUM(B180:D180)</f>
        <v>0</v>
      </c>
      <c r="F180" s="359">
        <f t="shared" si="24"/>
        <v>0</v>
      </c>
      <c r="G180" s="289">
        <f t="shared" si="25"/>
        <v>0</v>
      </c>
      <c r="H180" s="289">
        <f t="shared" si="26"/>
        <v>0</v>
      </c>
      <c r="I180" s="289">
        <f t="shared" si="27"/>
        <v>0</v>
      </c>
      <c r="L180" s="356"/>
      <c r="M180" s="448">
        <v>0</v>
      </c>
    </row>
    <row r="181" spans="1:13" ht="12.75" customHeight="1">
      <c r="A181" s="77" t="s">
        <v>786</v>
      </c>
      <c r="B181" s="288">
        <f>IF($M181&gt;0,('Amounts Pivot Table'!G$358/$M181),0)</f>
        <v>12145.293417281031</v>
      </c>
      <c r="C181" s="288">
        <f>IF($M181&gt;0,('Amounts Pivot Table'!G$361/$M181),0)</f>
        <v>0</v>
      </c>
      <c r="D181" s="288">
        <f>IF($M181&gt;0,('Amounts Pivot Table'!G$367/$M181),0)</f>
        <v>3252.1540503463116</v>
      </c>
      <c r="E181" s="288">
        <f>SUM(B181:D181)</f>
        <v>15397.447467627342</v>
      </c>
      <c r="F181" s="359">
        <f t="shared" si="24"/>
        <v>2</v>
      </c>
      <c r="G181" s="289">
        <f t="shared" si="25"/>
        <v>0</v>
      </c>
      <c r="H181" s="289">
        <f t="shared" si="26"/>
        <v>9</v>
      </c>
      <c r="I181" s="289">
        <f t="shared" si="27"/>
        <v>6</v>
      </c>
      <c r="L181" s="356"/>
      <c r="M181" s="448">
        <v>11954.533333333335</v>
      </c>
    </row>
    <row r="182" spans="1:13" ht="12.75" customHeight="1">
      <c r="A182" s="77" t="s">
        <v>787</v>
      </c>
      <c r="B182" s="288">
        <f>IF($M182&gt;0,('Amounts Pivot Table'!G$397/$M182),0)</f>
        <v>0</v>
      </c>
      <c r="C182" s="288">
        <f>IF($M182&gt;0,('Amounts Pivot Table'!G$400/$M182),0)</f>
        <v>0</v>
      </c>
      <c r="D182" s="288">
        <f>IF($M182&gt;0,('Amounts Pivot Table'!G$406/$M182),0)</f>
        <v>0</v>
      </c>
      <c r="E182" s="288">
        <f>SUM(B182:D182)</f>
        <v>0</v>
      </c>
      <c r="F182" s="359">
        <f t="shared" si="24"/>
        <v>0</v>
      </c>
      <c r="G182" s="289">
        <f t="shared" si="25"/>
        <v>0</v>
      </c>
      <c r="H182" s="289">
        <f t="shared" si="26"/>
        <v>0</v>
      </c>
      <c r="I182" s="289">
        <f t="shared" si="27"/>
        <v>0</v>
      </c>
      <c r="L182" s="356"/>
      <c r="M182" s="448">
        <v>0</v>
      </c>
    </row>
    <row r="183" spans="1:13" ht="12.75" customHeight="1">
      <c r="A183" s="77" t="s">
        <v>788</v>
      </c>
      <c r="B183" s="288">
        <f>IF($M183&gt;0,('Amounts Pivot Table'!G$436/$M183),0)</f>
        <v>6514.3117291711751</v>
      </c>
      <c r="C183" s="288">
        <f>IF($M183&gt;0,('Amounts Pivot Table'!G$439/$M183),0)</f>
        <v>1427.2072677937558</v>
      </c>
      <c r="D183" s="288">
        <f>IF($M183&gt;0,('Amounts Pivot Table'!G$445/$M183),0)</f>
        <v>11135.596107625102</v>
      </c>
      <c r="E183" s="288">
        <f>SUM(B183:D183)</f>
        <v>19077.115104590033</v>
      </c>
      <c r="F183" s="359">
        <f t="shared" si="24"/>
        <v>6</v>
      </c>
      <c r="G183" s="289">
        <f t="shared" si="25"/>
        <v>1</v>
      </c>
      <c r="H183" s="289">
        <f t="shared" si="26"/>
        <v>2</v>
      </c>
      <c r="I183" s="289">
        <f t="shared" si="27"/>
        <v>3</v>
      </c>
      <c r="L183" s="356"/>
      <c r="M183" s="448">
        <v>5700.0333333333328</v>
      </c>
    </row>
    <row r="184" spans="1:13" ht="9.75" customHeight="1">
      <c r="B184" s="288"/>
      <c r="C184" s="288"/>
      <c r="D184" s="288"/>
      <c r="E184" s="288"/>
      <c r="F184" s="359"/>
      <c r="G184" s="289"/>
      <c r="H184" s="289"/>
      <c r="I184" s="289"/>
      <c r="L184" s="356"/>
      <c r="M184" s="448"/>
    </row>
    <row r="185" spans="1:13" ht="12.75" customHeight="1">
      <c r="A185" s="77" t="s">
        <v>789</v>
      </c>
      <c r="B185" s="288">
        <f>IF($M185&gt;0,('Amounts Pivot Table'!G$475/$M185),0)</f>
        <v>0</v>
      </c>
      <c r="C185" s="288">
        <f>IF($M185&gt;0,('Amounts Pivot Table'!G$478/$M185),0)</f>
        <v>0</v>
      </c>
      <c r="D185" s="288">
        <f>IF($M185&gt;0,('Amounts Pivot Table'!G$484/$M185),0)</f>
        <v>0</v>
      </c>
      <c r="E185" s="288">
        <f>SUM(B185:D185)</f>
        <v>0</v>
      </c>
      <c r="F185" s="359">
        <f t="shared" si="24"/>
        <v>0</v>
      </c>
      <c r="G185" s="289">
        <f t="shared" si="25"/>
        <v>0</v>
      </c>
      <c r="H185" s="289">
        <f t="shared" si="26"/>
        <v>0</v>
      </c>
      <c r="I185" s="289">
        <f t="shared" si="27"/>
        <v>0</v>
      </c>
      <c r="L185" s="356"/>
      <c r="M185" s="448">
        <v>0</v>
      </c>
    </row>
    <row r="186" spans="1:13" s="362" customFormat="1" ht="12.75" customHeight="1">
      <c r="A186" s="77" t="s">
        <v>790</v>
      </c>
      <c r="B186" s="288">
        <f>IF($M186&gt;0,('Amounts Pivot Table'!G$514/$M186),0)</f>
        <v>9565.9641069483823</v>
      </c>
      <c r="C186" s="288">
        <f>IF($M186&gt;0,('Amounts Pivot Table'!G$517/$M186),0)</f>
        <v>0</v>
      </c>
      <c r="D186" s="288">
        <f>IF($M186&gt;0,('Amounts Pivot Table'!G$523/$M186),0)</f>
        <v>7928.9340281596214</v>
      </c>
      <c r="E186" s="288">
        <f>SUM(B186:D186)</f>
        <v>17494.898135108004</v>
      </c>
      <c r="F186" s="359">
        <f t="shared" si="24"/>
        <v>4</v>
      </c>
      <c r="G186" s="289">
        <f t="shared" si="25"/>
        <v>0</v>
      </c>
      <c r="H186" s="289">
        <f t="shared" si="26"/>
        <v>6</v>
      </c>
      <c r="I186" s="289">
        <f t="shared" si="27"/>
        <v>5</v>
      </c>
      <c r="J186" s="77"/>
      <c r="K186" s="77"/>
      <c r="L186" s="363"/>
      <c r="M186" s="448">
        <v>2349.1083333333331</v>
      </c>
    </row>
    <row r="187" spans="1:13" ht="12.75" customHeight="1">
      <c r="A187" s="77" t="s">
        <v>791</v>
      </c>
      <c r="B187" s="288">
        <f>IF($M187&gt;0,('Amounts Pivot Table'!G$553/$M187),0)</f>
        <v>7782.2676595565645</v>
      </c>
      <c r="C187" s="288">
        <f>IF($M187&gt;0,('Amounts Pivot Table'!G$556/$M187),0)</f>
        <v>95.617286075445861</v>
      </c>
      <c r="D187" s="288">
        <f>IF($M187&gt;0,('Amounts Pivot Table'!G$562/$M187),0)</f>
        <v>10150.553295927852</v>
      </c>
      <c r="E187" s="288">
        <f>SUM(B187:D187)</f>
        <v>18028.438241559863</v>
      </c>
      <c r="F187" s="359">
        <f t="shared" si="24"/>
        <v>5</v>
      </c>
      <c r="G187" s="289">
        <f t="shared" si="25"/>
        <v>3</v>
      </c>
      <c r="H187" s="289">
        <f t="shared" si="26"/>
        <v>3</v>
      </c>
      <c r="I187" s="289">
        <f t="shared" si="27"/>
        <v>4</v>
      </c>
      <c r="J187" s="362"/>
      <c r="K187" s="362"/>
      <c r="L187" s="367"/>
      <c r="M187" s="448">
        <v>13072.95</v>
      </c>
    </row>
    <row r="188" spans="1:13" ht="15.75" customHeight="1">
      <c r="A188" s="277" t="s">
        <v>792</v>
      </c>
      <c r="B188" s="296">
        <f>IF($M188&gt;0,('Amounts Pivot Table'!G$592/$M188),0)</f>
        <v>4921.2138735314584</v>
      </c>
      <c r="C188" s="296">
        <f>IF($M188&gt;0,('Amounts Pivot Table'!G$595/$M188),0)</f>
        <v>0</v>
      </c>
      <c r="D188" s="296">
        <f>IF($M188&gt;0,('Amounts Pivot Table'!G$601/$M188),0)</f>
        <v>8921.4740123248248</v>
      </c>
      <c r="E188" s="364">
        <f>SUM(B188:D188)</f>
        <v>13842.687885856283</v>
      </c>
      <c r="F188" s="365">
        <f t="shared" si="24"/>
        <v>9</v>
      </c>
      <c r="G188" s="366">
        <f t="shared" si="25"/>
        <v>0</v>
      </c>
      <c r="H188" s="366">
        <f t="shared" si="26"/>
        <v>4</v>
      </c>
      <c r="I188" s="366">
        <f t="shared" si="27"/>
        <v>8</v>
      </c>
      <c r="J188" s="362"/>
      <c r="K188" s="362"/>
      <c r="L188" s="367"/>
      <c r="M188" s="448">
        <v>10335.508333333333</v>
      </c>
    </row>
    <row r="189" spans="1:13" s="362" customFormat="1" ht="36.75" customHeight="1">
      <c r="A189" s="1244" t="s">
        <v>926</v>
      </c>
      <c r="B189" s="1245"/>
      <c r="C189" s="1245"/>
      <c r="D189" s="1245"/>
      <c r="E189" s="1245"/>
      <c r="F189" s="1245"/>
      <c r="G189" s="1245"/>
      <c r="H189" s="1245"/>
      <c r="I189" s="1245"/>
      <c r="L189" s="363"/>
      <c r="M189" s="449"/>
    </row>
    <row r="190" spans="1:13" s="362" customFormat="1" ht="18">
      <c r="A190" s="1244" t="s">
        <v>927</v>
      </c>
      <c r="B190" s="1267"/>
      <c r="C190" s="1267"/>
      <c r="D190" s="1267"/>
      <c r="E190" s="1267"/>
      <c r="F190" s="1267"/>
      <c r="G190" s="1267"/>
      <c r="H190" s="1267"/>
      <c r="I190" s="1267"/>
      <c r="J190" s="369"/>
      <c r="L190" s="363"/>
      <c r="M190" s="412"/>
    </row>
    <row r="191" spans="1:13">
      <c r="A191" s="1244" t="s">
        <v>930</v>
      </c>
      <c r="B191" s="1245"/>
      <c r="C191" s="1245"/>
      <c r="D191" s="1245"/>
      <c r="E191" s="1245"/>
      <c r="F191" s="1245"/>
      <c r="G191" s="1245"/>
      <c r="H191" s="1245"/>
      <c r="I191" s="1245"/>
      <c r="J191" s="1245"/>
      <c r="K191" s="1245"/>
      <c r="L191" s="367"/>
      <c r="M191" s="412"/>
    </row>
    <row r="192" spans="1:13">
      <c r="A192" s="368"/>
      <c r="B192" s="369"/>
      <c r="C192" s="369"/>
      <c r="D192" s="369"/>
      <c r="E192" s="369"/>
      <c r="F192" s="369"/>
      <c r="G192" s="369"/>
      <c r="H192" s="369"/>
      <c r="I192" s="370" t="s">
        <v>1814</v>
      </c>
      <c r="J192" s="369"/>
      <c r="K192" s="369"/>
      <c r="L192" s="367"/>
      <c r="M192" s="412"/>
    </row>
    <row r="193" spans="1:13" ht="18">
      <c r="A193" s="336" t="s">
        <v>936</v>
      </c>
      <c r="B193" s="336"/>
      <c r="C193" s="336"/>
      <c r="D193" s="336"/>
      <c r="E193" s="336"/>
      <c r="F193" s="336"/>
      <c r="G193" s="336"/>
      <c r="H193" s="336"/>
      <c r="I193" s="336"/>
      <c r="J193" s="355" t="s">
        <v>421</v>
      </c>
      <c r="K193" s="355"/>
      <c r="L193" s="367"/>
      <c r="M193" s="412"/>
    </row>
    <row r="194" spans="1:13" ht="12" customHeight="1">
      <c r="A194" s="336"/>
      <c r="B194" s="336"/>
      <c r="C194" s="336"/>
      <c r="D194" s="336"/>
      <c r="E194" s="336"/>
      <c r="F194" s="336"/>
      <c r="G194" s="336"/>
      <c r="H194" s="336"/>
      <c r="I194" s="336"/>
      <c r="J194" s="355"/>
      <c r="K194" s="355"/>
      <c r="L194" s="367"/>
      <c r="M194" s="412"/>
    </row>
    <row r="195" spans="1:13" ht="17.5">
      <c r="A195" s="1228" t="s">
        <v>920</v>
      </c>
      <c r="B195" s="1228"/>
      <c r="C195" s="1228"/>
      <c r="D195" s="1228"/>
      <c r="E195" s="1228"/>
      <c r="F195" s="1228"/>
      <c r="G195" s="1228"/>
      <c r="H195" s="1228"/>
      <c r="I195" s="1228"/>
      <c r="J195" s="355"/>
      <c r="K195" s="355"/>
      <c r="L195" s="344"/>
      <c r="M195" s="412"/>
    </row>
    <row r="196" spans="1:13" ht="15.5">
      <c r="A196" s="1228" t="s">
        <v>1755</v>
      </c>
      <c r="B196" s="1228"/>
      <c r="C196" s="1228"/>
      <c r="D196" s="1228"/>
      <c r="E196" s="1228"/>
      <c r="F196" s="1228"/>
      <c r="G196" s="1228"/>
      <c r="H196" s="1228"/>
      <c r="I196" s="1228"/>
      <c r="J196" s="341"/>
      <c r="K196" s="341"/>
      <c r="L196" s="344"/>
      <c r="M196" s="412"/>
    </row>
    <row r="197" spans="1:13" ht="15.75" customHeight="1">
      <c r="A197" s="341"/>
      <c r="B197" s="341"/>
      <c r="C197" s="341"/>
      <c r="D197" s="341"/>
      <c r="E197" s="341"/>
      <c r="F197" s="341"/>
      <c r="G197" s="373"/>
      <c r="H197" s="341"/>
      <c r="I197" s="341"/>
      <c r="J197" s="341"/>
      <c r="K197" s="341"/>
      <c r="L197" s="344"/>
      <c r="M197" s="441"/>
    </row>
    <row r="198" spans="1:13" ht="15.5">
      <c r="A198" s="346"/>
      <c r="B198" s="443" t="s">
        <v>922</v>
      </c>
      <c r="C198" s="444"/>
      <c r="D198" s="444"/>
      <c r="E198" s="444"/>
      <c r="F198" s="445" t="s">
        <v>923</v>
      </c>
      <c r="G198" s="446"/>
      <c r="H198" s="446"/>
      <c r="I198" s="446"/>
      <c r="L198" s="389"/>
      <c r="M198" s="447" t="s">
        <v>1770</v>
      </c>
    </row>
    <row r="199" spans="1:13" s="53" customFormat="1" ht="46">
      <c r="A199" s="243"/>
      <c r="B199" s="420" t="s">
        <v>6</v>
      </c>
      <c r="C199" s="421" t="s">
        <v>7</v>
      </c>
      <c r="D199" s="421" t="s">
        <v>960</v>
      </c>
      <c r="E199" s="421" t="s">
        <v>768</v>
      </c>
      <c r="F199" s="422" t="s">
        <v>6</v>
      </c>
      <c r="G199" s="421" t="s">
        <v>7</v>
      </c>
      <c r="H199" s="421" t="s">
        <v>960</v>
      </c>
      <c r="I199" s="421" t="s">
        <v>768</v>
      </c>
      <c r="L199" s="350"/>
      <c r="M199" s="413" t="s">
        <v>932</v>
      </c>
    </row>
    <row r="200" spans="1:13" ht="14.5">
      <c r="A200" s="77" t="s">
        <v>925</v>
      </c>
      <c r="B200" s="352">
        <f>IF($M200&gt;0,('Amounts Pivot Table'!H$631/$M200),0)</f>
        <v>6315.9691026497894</v>
      </c>
      <c r="C200" s="352">
        <f>IF($M200&gt;0,('Amounts Pivot Table'!H$634/$M200),0)</f>
        <v>24.586140624316648</v>
      </c>
      <c r="D200" s="352">
        <f>IF($M200&gt;0,('Amounts Pivot Table'!H$640/$M200),0)</f>
        <v>7283.8895379215355</v>
      </c>
      <c r="E200" s="352">
        <f>SUM(B200:D200)</f>
        <v>13624.444781195642</v>
      </c>
      <c r="F200" s="353"/>
      <c r="G200" s="354"/>
      <c r="H200" s="354"/>
      <c r="I200" s="354"/>
      <c r="L200" s="356"/>
      <c r="M200" s="448">
        <v>62117.51666666667</v>
      </c>
    </row>
    <row r="201" spans="1:13" s="376" customFormat="1">
      <c r="B201" s="380"/>
      <c r="C201" s="380"/>
      <c r="D201" s="380"/>
      <c r="E201" s="380"/>
      <c r="F201" s="387"/>
      <c r="G201" s="388"/>
      <c r="H201" s="388"/>
      <c r="I201" s="388"/>
      <c r="L201" s="381"/>
      <c r="M201" s="448"/>
    </row>
    <row r="202" spans="1:13" ht="12.75" customHeight="1">
      <c r="A202" s="77" t="s">
        <v>777</v>
      </c>
      <c r="B202" s="288">
        <f>IF($M202&gt;0,('Amounts Pivot Table'!H$7/$M202),0)</f>
        <v>6817.316525266624</v>
      </c>
      <c r="C202" s="288">
        <f>IF($M202&gt;0,('Amounts Pivot Table'!H$10/$M202),0)</f>
        <v>233.56480774683212</v>
      </c>
      <c r="D202" s="288">
        <f>IF($M202&gt;0,('Amounts Pivot Table'!H$16/$M202),0)</f>
        <v>8264.2123399707743</v>
      </c>
      <c r="E202" s="288">
        <f>SUM(B202:D202)</f>
        <v>15315.093672984231</v>
      </c>
      <c r="F202" s="359">
        <f>IF(B202&gt;0,RANK(B202,$B$202:$B$220),)</f>
        <v>5</v>
      </c>
      <c r="G202" s="289">
        <f>IF(C202&gt;0,RANK(C202,$C$202:$C$220),)</f>
        <v>1</v>
      </c>
      <c r="H202" s="289">
        <f>IF(D202&gt;0,RANK(D202,$D$202:$D$220),)</f>
        <v>5</v>
      </c>
      <c r="I202" s="289">
        <f>IF(E202&gt;0,RANK(E202,$E$202:$E$220),)</f>
        <v>5</v>
      </c>
      <c r="L202" s="356"/>
      <c r="M202" s="448">
        <v>2292.5500000000002</v>
      </c>
    </row>
    <row r="203" spans="1:13" ht="12.75" customHeight="1">
      <c r="A203" s="77" t="s">
        <v>778</v>
      </c>
      <c r="B203" s="288">
        <f>IF($M203&gt;0,('Amounts Pivot Table'!H$46/$M203),0)</f>
        <v>7324.745879464519</v>
      </c>
      <c r="C203" s="288">
        <f>IF($M203&gt;0,('Amounts Pivot Table'!H$49/$M203),0)</f>
        <v>0</v>
      </c>
      <c r="D203" s="288">
        <f>IF($M203&gt;0,('Amounts Pivot Table'!H$55/$M203),0)</f>
        <v>8438.8522890570912</v>
      </c>
      <c r="E203" s="288">
        <f>SUM(B203:D203)</f>
        <v>15763.59816852161</v>
      </c>
      <c r="F203" s="359">
        <f>IF(B203&gt;0,RANK(B203,$B$202:$B$220),)</f>
        <v>4</v>
      </c>
      <c r="G203" s="289">
        <f t="shared" ref="G203:G220" si="28">IF(C203&gt;0,RANK(C203,$C$202:$C$220),)</f>
        <v>0</v>
      </c>
      <c r="H203" s="289">
        <f t="shared" ref="H203:H220" si="29">IF(D203&gt;0,RANK(D203,$D$202:$D$220),)</f>
        <v>4</v>
      </c>
      <c r="I203" s="289">
        <f t="shared" ref="I203:I220" si="30">IF(E203&gt;0,RANK(E203,$E$202:$E$220),)</f>
        <v>4</v>
      </c>
      <c r="L203" s="356"/>
      <c r="M203" s="448">
        <v>7161.791666666667</v>
      </c>
    </row>
    <row r="204" spans="1:13" ht="12.75" customHeight="1">
      <c r="A204" s="77" t="s">
        <v>779</v>
      </c>
      <c r="B204" s="288">
        <f>IF($M204&gt;0,('Amounts Pivot Table'!H$85/$M204),0)</f>
        <v>0</v>
      </c>
      <c r="C204" s="288">
        <f>IF($M204&gt;0,('Amounts Pivot Table'!H$88/$M204),0)</f>
        <v>0</v>
      </c>
      <c r="D204" s="288">
        <f>IF($M204&gt;0,('Amounts Pivot Table'!H$94/$M204),0)</f>
        <v>0</v>
      </c>
      <c r="E204" s="288">
        <f>SUM(B204:D204)</f>
        <v>0</v>
      </c>
      <c r="F204" s="359">
        <f>IF(B204&gt;0,RANK(B204,$B$202:$B$220),)</f>
        <v>0</v>
      </c>
      <c r="G204" s="289">
        <f t="shared" si="28"/>
        <v>0</v>
      </c>
      <c r="H204" s="289">
        <f t="shared" si="29"/>
        <v>0</v>
      </c>
      <c r="I204" s="289">
        <f t="shared" si="30"/>
        <v>0</v>
      </c>
      <c r="L204" s="356"/>
      <c r="M204" s="448">
        <v>0</v>
      </c>
    </row>
    <row r="205" spans="1:13" ht="12.75" customHeight="1">
      <c r="A205" s="77" t="s">
        <v>780</v>
      </c>
      <c r="B205" s="288">
        <f>IF($M205&gt;0,('Amounts Pivot Table'!H$124/$M205),0)</f>
        <v>0</v>
      </c>
      <c r="C205" s="288">
        <f>IF($M205&gt;0,('Amounts Pivot Table'!H$127/$M205),0)</f>
        <v>0</v>
      </c>
      <c r="D205" s="288">
        <f>IF($M205&gt;0,('Amounts Pivot Table'!H$133/$M205),0)</f>
        <v>0</v>
      </c>
      <c r="E205" s="288">
        <f>SUM(B205:D205)</f>
        <v>0</v>
      </c>
      <c r="F205" s="359">
        <f>IF(B205&gt;0,RANK(B205,$B$202:$B$220),)</f>
        <v>0</v>
      </c>
      <c r="G205" s="289">
        <f t="shared" si="28"/>
        <v>0</v>
      </c>
      <c r="H205" s="289">
        <f t="shared" si="29"/>
        <v>0</v>
      </c>
      <c r="I205" s="289">
        <f t="shared" si="30"/>
        <v>0</v>
      </c>
      <c r="L205" s="356"/>
      <c r="M205" s="448">
        <v>0</v>
      </c>
    </row>
    <row r="206" spans="1:13" s="376" customFormat="1">
      <c r="B206" s="380"/>
      <c r="C206" s="380"/>
      <c r="D206" s="380"/>
      <c r="E206" s="380"/>
      <c r="F206" s="387"/>
      <c r="G206" s="388"/>
      <c r="H206" s="388"/>
      <c r="I206" s="388"/>
      <c r="L206" s="381"/>
      <c r="M206" s="448"/>
    </row>
    <row r="207" spans="1:13" ht="12.75" customHeight="1">
      <c r="A207" s="77" t="s">
        <v>781</v>
      </c>
      <c r="B207" s="288">
        <f>IF($M207&gt;0,('Amounts Pivot Table'!H$163/$M207),0)</f>
        <v>5428.6305797890864</v>
      </c>
      <c r="C207" s="288">
        <f>IF($M207&gt;0,('Amounts Pivot Table'!H$166/$M207),0)</f>
        <v>0</v>
      </c>
      <c r="D207" s="288">
        <f>IF($M207&gt;0,('Amounts Pivot Table'!H$172/$M207),0)</f>
        <v>4053.1491445588404</v>
      </c>
      <c r="E207" s="288">
        <f>SUM(B207:D207)</f>
        <v>9481.7797243479272</v>
      </c>
      <c r="F207" s="359">
        <f t="shared" ref="F207:F220" si="31">IF(B207&gt;0,RANK(B207,$B$202:$B$220),)</f>
        <v>7</v>
      </c>
      <c r="G207" s="289">
        <f t="shared" si="28"/>
        <v>0</v>
      </c>
      <c r="H207" s="289">
        <f t="shared" si="29"/>
        <v>9</v>
      </c>
      <c r="I207" s="289">
        <f t="shared" si="30"/>
        <v>8</v>
      </c>
      <c r="L207" s="356"/>
      <c r="M207" s="448">
        <v>22397.8</v>
      </c>
    </row>
    <row r="208" spans="1:13" ht="12.75" customHeight="1">
      <c r="A208" s="77" t="s">
        <v>782</v>
      </c>
      <c r="B208" s="288">
        <f>IF($M208&gt;0,('Amounts Pivot Table'!H$202/$M208),0)</f>
        <v>0</v>
      </c>
      <c r="C208" s="288">
        <f>IF($M208&gt;0,('Amounts Pivot Table'!H$205/$M208),0)</f>
        <v>0</v>
      </c>
      <c r="D208" s="288">
        <f>IF($M208&gt;0,('Amounts Pivot Table'!H$211/$M208),0)</f>
        <v>0</v>
      </c>
      <c r="E208" s="288">
        <f>SUM(B208:D208)</f>
        <v>0</v>
      </c>
      <c r="F208" s="359">
        <f t="shared" si="31"/>
        <v>0</v>
      </c>
      <c r="G208" s="289">
        <f t="shared" si="28"/>
        <v>0</v>
      </c>
      <c r="H208" s="289">
        <f t="shared" si="29"/>
        <v>0</v>
      </c>
      <c r="I208" s="289">
        <f t="shared" si="30"/>
        <v>0</v>
      </c>
      <c r="L208" s="356"/>
      <c r="M208" s="448">
        <v>0</v>
      </c>
    </row>
    <row r="209" spans="1:13" ht="12.75" customHeight="1">
      <c r="A209" s="77" t="s">
        <v>813</v>
      </c>
      <c r="B209" s="288">
        <f>IF($M209&gt;0,('Amounts Pivot Table'!H$241/$M209),0)</f>
        <v>1003.1737753771652</v>
      </c>
      <c r="C209" s="288">
        <f>IF($M209&gt;0,('Amounts Pivot Table'!H$244/$M209),0)</f>
        <v>0</v>
      </c>
      <c r="D209" s="288">
        <f>IF($M209&gt;0,('Amounts Pivot Table'!H$250/$M209),0)</f>
        <v>6416.1396908176566</v>
      </c>
      <c r="E209" s="288">
        <f>SUM(B209:D209)</f>
        <v>7419.3134661948216</v>
      </c>
      <c r="F209" s="359">
        <f t="shared" si="31"/>
        <v>9</v>
      </c>
      <c r="G209" s="289">
        <f t="shared" si="28"/>
        <v>0</v>
      </c>
      <c r="H209" s="289">
        <f t="shared" si="29"/>
        <v>7</v>
      </c>
      <c r="I209" s="289">
        <f t="shared" si="30"/>
        <v>9</v>
      </c>
      <c r="L209" s="356"/>
      <c r="M209" s="448">
        <v>2684.5</v>
      </c>
    </row>
    <row r="210" spans="1:13" ht="12.75" customHeight="1">
      <c r="A210" s="77" t="s">
        <v>784</v>
      </c>
      <c r="B210" s="288">
        <f>IF($M210&gt;0,('Amounts Pivot Table'!H$280/$M210),0)</f>
        <v>17222.389697565901</v>
      </c>
      <c r="C210" s="288">
        <f>IF($M210&gt;0,('Amounts Pivot Table'!H$283/$M210),0)</f>
        <v>0</v>
      </c>
      <c r="D210" s="288">
        <f>IF($M210&gt;0,('Amounts Pivot Table'!H$289/$M210),0)</f>
        <v>14138.523338821933</v>
      </c>
      <c r="E210" s="288">
        <f>SUM(B210:D210)</f>
        <v>31360.913036387836</v>
      </c>
      <c r="F210" s="359">
        <f t="shared" si="31"/>
        <v>1</v>
      </c>
      <c r="G210" s="289">
        <f t="shared" si="28"/>
        <v>0</v>
      </c>
      <c r="H210" s="289">
        <f t="shared" si="29"/>
        <v>1</v>
      </c>
      <c r="I210" s="289">
        <f t="shared" si="30"/>
        <v>1</v>
      </c>
      <c r="L210" s="356"/>
      <c r="M210" s="448">
        <v>1584.0916666666667</v>
      </c>
    </row>
    <row r="211" spans="1:13" s="376" customFormat="1">
      <c r="B211" s="380"/>
      <c r="C211" s="380"/>
      <c r="D211" s="380"/>
      <c r="E211" s="380"/>
      <c r="F211" s="387"/>
      <c r="G211" s="388"/>
      <c r="H211" s="388"/>
      <c r="I211" s="388"/>
      <c r="L211" s="381"/>
      <c r="M211" s="448"/>
    </row>
    <row r="212" spans="1:13" ht="12.75" customHeight="1">
      <c r="A212" s="77" t="s">
        <v>785</v>
      </c>
      <c r="B212" s="288">
        <f>IF($M212&gt;0,('Amounts Pivot Table'!H$319/$M212),0)</f>
        <v>0</v>
      </c>
      <c r="C212" s="288">
        <f>IF($M212&gt;0,('Amounts Pivot Table'!H$322/$M212),0)</f>
        <v>0</v>
      </c>
      <c r="D212" s="288">
        <f>IF($M212&gt;0,('Amounts Pivot Table'!H$328/$M212),0)</f>
        <v>0</v>
      </c>
      <c r="E212" s="288">
        <f>SUM(B212:D212)</f>
        <v>0</v>
      </c>
      <c r="F212" s="359">
        <f t="shared" si="31"/>
        <v>0</v>
      </c>
      <c r="G212" s="289">
        <f t="shared" si="28"/>
        <v>0</v>
      </c>
      <c r="H212" s="289">
        <f t="shared" si="29"/>
        <v>0</v>
      </c>
      <c r="I212" s="289">
        <f t="shared" si="30"/>
        <v>0</v>
      </c>
      <c r="L212" s="356"/>
      <c r="M212" s="448">
        <v>0</v>
      </c>
    </row>
    <row r="213" spans="1:13" ht="12.75" customHeight="1">
      <c r="A213" s="77" t="s">
        <v>786</v>
      </c>
      <c r="B213" s="288">
        <f>IF($M213&gt;0,('Amounts Pivot Table'!H$358/$M213),0)</f>
        <v>15226.875935083583</v>
      </c>
      <c r="C213" s="288">
        <f>IF($M213&gt;0,('Amounts Pivot Table'!H$361/$M213),0)</f>
        <v>0</v>
      </c>
      <c r="D213" s="288">
        <f>IF($M213&gt;0,('Amounts Pivot Table'!H$367/$M213),0)</f>
        <v>4675.4688809221961</v>
      </c>
      <c r="E213" s="288">
        <f>SUM(B213:D213)</f>
        <v>19902.344816005778</v>
      </c>
      <c r="F213" s="359">
        <f t="shared" si="31"/>
        <v>2</v>
      </c>
      <c r="G213" s="289">
        <f t="shared" si="28"/>
        <v>0</v>
      </c>
      <c r="H213" s="289">
        <f t="shared" si="29"/>
        <v>8</v>
      </c>
      <c r="I213" s="289">
        <f t="shared" si="30"/>
        <v>3</v>
      </c>
      <c r="L213" s="356"/>
      <c r="M213" s="448">
        <v>4962.7916666666661</v>
      </c>
    </row>
    <row r="214" spans="1:13" ht="12.75" customHeight="1">
      <c r="A214" s="77" t="s">
        <v>787</v>
      </c>
      <c r="B214" s="288">
        <f>IF($M214&gt;0,('Amounts Pivot Table'!H$397/$M214),0)</f>
        <v>0</v>
      </c>
      <c r="C214" s="288">
        <f>IF($M214&gt;0,('Amounts Pivot Table'!H$400/$M214),0)</f>
        <v>0</v>
      </c>
      <c r="D214" s="288">
        <f>IF($M214&gt;0,('Amounts Pivot Table'!H$406/$M214),0)</f>
        <v>0</v>
      </c>
      <c r="E214" s="288">
        <f>SUM(B214:D214)</f>
        <v>0</v>
      </c>
      <c r="F214" s="359">
        <f t="shared" si="31"/>
        <v>0</v>
      </c>
      <c r="G214" s="289">
        <f t="shared" si="28"/>
        <v>0</v>
      </c>
      <c r="H214" s="289">
        <f t="shared" si="29"/>
        <v>0</v>
      </c>
      <c r="I214" s="289">
        <f t="shared" si="30"/>
        <v>0</v>
      </c>
      <c r="L214" s="356"/>
      <c r="M214" s="448">
        <v>0</v>
      </c>
    </row>
    <row r="215" spans="1:13" ht="12.75" customHeight="1">
      <c r="A215" s="77" t="s">
        <v>788</v>
      </c>
      <c r="B215" s="288">
        <f>IF($M215&gt;0,('Amounts Pivot Table'!H$436/$M215),0)</f>
        <v>3084.1585273495712</v>
      </c>
      <c r="C215" s="288">
        <f>IF($M215&gt;0,('Amounts Pivot Table'!H$439/$M215),0)</f>
        <v>72.687391591136731</v>
      </c>
      <c r="D215" s="288">
        <f>IF($M215&gt;0,('Amounts Pivot Table'!H$445/$M215),0)</f>
        <v>11474.731536901765</v>
      </c>
      <c r="E215" s="288">
        <f>SUM(B215:D215)</f>
        <v>14631.577455842473</v>
      </c>
      <c r="F215" s="359">
        <f t="shared" si="31"/>
        <v>8</v>
      </c>
      <c r="G215" s="289">
        <f t="shared" si="28"/>
        <v>2</v>
      </c>
      <c r="H215" s="289">
        <f t="shared" si="29"/>
        <v>2</v>
      </c>
      <c r="I215" s="289">
        <f t="shared" si="30"/>
        <v>7</v>
      </c>
      <c r="L215" s="356"/>
      <c r="M215" s="448">
        <v>13644.333333333334</v>
      </c>
    </row>
    <row r="216" spans="1:13" s="376" customFormat="1">
      <c r="B216" s="380"/>
      <c r="C216" s="380"/>
      <c r="D216" s="380"/>
      <c r="E216" s="380"/>
      <c r="F216" s="387"/>
      <c r="G216" s="388"/>
      <c r="H216" s="388"/>
      <c r="I216" s="388"/>
      <c r="L216" s="381"/>
      <c r="M216" s="448"/>
    </row>
    <row r="217" spans="1:13" ht="12.75" customHeight="1">
      <c r="A217" s="77" t="s">
        <v>789</v>
      </c>
      <c r="B217" s="288">
        <f>IF($M217&gt;0,('Amounts Pivot Table'!H$475/$M217),0)</f>
        <v>0</v>
      </c>
      <c r="C217" s="288">
        <f>IF($M217&gt;0,('Amounts Pivot Table'!H$478/$M217),0)</f>
        <v>0</v>
      </c>
      <c r="D217" s="288">
        <f>IF($M217&gt;0,('Amounts Pivot Table'!H$484/$M217),0)</f>
        <v>0</v>
      </c>
      <c r="E217" s="288">
        <f>SUM(B217:D217)</f>
        <v>0</v>
      </c>
      <c r="F217" s="359">
        <f t="shared" si="31"/>
        <v>0</v>
      </c>
      <c r="G217" s="289">
        <f t="shared" si="28"/>
        <v>0</v>
      </c>
      <c r="H217" s="289">
        <f t="shared" si="29"/>
        <v>0</v>
      </c>
      <c r="I217" s="289">
        <f t="shared" si="30"/>
        <v>0</v>
      </c>
      <c r="L217" s="356"/>
      <c r="M217" s="448">
        <v>0</v>
      </c>
    </row>
    <row r="218" spans="1:13" s="362" customFormat="1" ht="12.75" customHeight="1">
      <c r="A218" s="77" t="s">
        <v>790</v>
      </c>
      <c r="B218" s="288">
        <f>IF($M218&gt;0,('Amounts Pivot Table'!H$514/$M218),0)</f>
        <v>0</v>
      </c>
      <c r="C218" s="288">
        <f>IF($M218&gt;0,('Amounts Pivot Table'!H$517/$M218),0)</f>
        <v>0</v>
      </c>
      <c r="D218" s="288">
        <f>IF($M218&gt;0,('Amounts Pivot Table'!H$523/$M218),0)</f>
        <v>0</v>
      </c>
      <c r="E218" s="288">
        <f>SUM(B218:D218)</f>
        <v>0</v>
      </c>
      <c r="F218" s="359">
        <f t="shared" si="31"/>
        <v>0</v>
      </c>
      <c r="G218" s="289">
        <f t="shared" si="28"/>
        <v>0</v>
      </c>
      <c r="H218" s="289">
        <f t="shared" si="29"/>
        <v>0</v>
      </c>
      <c r="I218" s="289">
        <f t="shared" si="30"/>
        <v>0</v>
      </c>
      <c r="J218" s="77"/>
      <c r="K218" s="77"/>
      <c r="L218" s="363"/>
      <c r="M218" s="448">
        <v>0</v>
      </c>
    </row>
    <row r="219" spans="1:13" ht="12.75" customHeight="1">
      <c r="A219" s="77" t="s">
        <v>791</v>
      </c>
      <c r="B219" s="288">
        <f>IF($M219&gt;0,('Amounts Pivot Table'!H$553/$M219),0)</f>
        <v>13020.987320224353</v>
      </c>
      <c r="C219" s="288">
        <f>IF($M219&gt;0,('Amounts Pivot Table'!H$556/$M219),0)</f>
        <v>0</v>
      </c>
      <c r="D219" s="288">
        <f>IF($M219&gt;0,('Amounts Pivot Table'!H$562/$M219),0)</f>
        <v>7219.3966914733419</v>
      </c>
      <c r="E219" s="288">
        <f>SUM(B219:D219)</f>
        <v>20240.384011697693</v>
      </c>
      <c r="F219" s="359">
        <f t="shared" si="31"/>
        <v>3</v>
      </c>
      <c r="G219" s="289">
        <f t="shared" si="28"/>
        <v>0</v>
      </c>
      <c r="H219" s="289">
        <f t="shared" si="29"/>
        <v>6</v>
      </c>
      <c r="I219" s="289">
        <f t="shared" si="30"/>
        <v>2</v>
      </c>
      <c r="L219" s="367"/>
      <c r="M219" s="448">
        <v>1527.3666666666666</v>
      </c>
    </row>
    <row r="220" spans="1:13" ht="15" customHeight="1">
      <c r="A220" s="277" t="s">
        <v>792</v>
      </c>
      <c r="B220" s="296">
        <f>IF($M220&gt;0,('Amounts Pivot Table'!H$592/$M220),0)</f>
        <v>5994.8919293507251</v>
      </c>
      <c r="C220" s="296">
        <f>IF($M220&gt;0,('Amounts Pivot Table'!H$595/$M220),0)</f>
        <v>0</v>
      </c>
      <c r="D220" s="296">
        <f>IF($M220&gt;0,('Amounts Pivot Table'!H$601/$M220),0)</f>
        <v>8849.1219730622997</v>
      </c>
      <c r="E220" s="364">
        <f>SUM(B220:D220)</f>
        <v>14844.013902413026</v>
      </c>
      <c r="F220" s="365">
        <f t="shared" si="31"/>
        <v>6</v>
      </c>
      <c r="G220" s="366">
        <f t="shared" si="28"/>
        <v>0</v>
      </c>
      <c r="H220" s="366">
        <f t="shared" si="29"/>
        <v>3</v>
      </c>
      <c r="I220" s="366">
        <f t="shared" si="30"/>
        <v>6</v>
      </c>
      <c r="L220" s="367"/>
      <c r="M220" s="448">
        <v>5862.2916666666652</v>
      </c>
    </row>
    <row r="221" spans="1:13" s="362" customFormat="1" ht="36" customHeight="1">
      <c r="A221" s="1244" t="s">
        <v>926</v>
      </c>
      <c r="B221" s="1245"/>
      <c r="C221" s="1245"/>
      <c r="D221" s="1245"/>
      <c r="E221" s="1245"/>
      <c r="F221" s="1245"/>
      <c r="G221" s="1245"/>
      <c r="H221" s="1245"/>
      <c r="I221" s="1245"/>
      <c r="J221" s="77"/>
      <c r="K221" s="77"/>
      <c r="L221" s="363"/>
      <c r="M221" s="449"/>
    </row>
    <row r="222" spans="1:13" s="362" customFormat="1" ht="18">
      <c r="A222" s="1244" t="s">
        <v>927</v>
      </c>
      <c r="B222" s="1267"/>
      <c r="C222" s="1267"/>
      <c r="D222" s="1267"/>
      <c r="E222" s="1267"/>
      <c r="F222" s="1267"/>
      <c r="G222" s="1267"/>
      <c r="H222" s="1267"/>
      <c r="I222" s="1267"/>
      <c r="J222" s="369"/>
      <c r="L222" s="363"/>
      <c r="M222" s="412"/>
    </row>
    <row r="223" spans="1:13">
      <c r="A223" s="385" t="s">
        <v>930</v>
      </c>
      <c r="L223" s="367"/>
      <c r="M223" s="412"/>
    </row>
    <row r="224" spans="1:13">
      <c r="A224" s="368"/>
      <c r="B224" s="369"/>
      <c r="C224" s="369"/>
      <c r="D224" s="369"/>
      <c r="E224" s="369"/>
      <c r="F224" s="369"/>
      <c r="G224" s="369"/>
      <c r="H224" s="369"/>
      <c r="I224" s="370" t="s">
        <v>1814</v>
      </c>
      <c r="J224" s="369"/>
      <c r="K224" s="369"/>
      <c r="L224" s="367"/>
      <c r="M224" s="412"/>
    </row>
    <row r="225" spans="1:30" ht="18">
      <c r="A225" s="336" t="s">
        <v>937</v>
      </c>
      <c r="B225" s="336"/>
      <c r="C225" s="336"/>
      <c r="D225" s="336"/>
      <c r="E225" s="336"/>
      <c r="F225" s="336"/>
      <c r="G225" s="336"/>
      <c r="H225" s="336"/>
      <c r="I225" s="336"/>
      <c r="J225" s="355"/>
      <c r="K225" s="336"/>
      <c r="L225" s="367"/>
      <c r="M225" s="412"/>
    </row>
    <row r="226" spans="1:30" ht="18">
      <c r="A226" s="336"/>
      <c r="B226" s="336"/>
      <c r="C226" s="336"/>
      <c r="D226" s="336"/>
      <c r="E226" s="336"/>
      <c r="F226" s="336"/>
      <c r="G226" s="336"/>
      <c r="H226" s="336"/>
      <c r="I226" s="336"/>
      <c r="J226" s="355"/>
      <c r="K226" s="336"/>
      <c r="L226" s="367"/>
      <c r="M226" s="412"/>
    </row>
    <row r="227" spans="1:30" ht="17.5">
      <c r="A227" s="1228" t="s">
        <v>920</v>
      </c>
      <c r="B227" s="1228"/>
      <c r="C227" s="1228"/>
      <c r="D227" s="1228"/>
      <c r="E227" s="1228"/>
      <c r="F227" s="1228"/>
      <c r="G227" s="1228"/>
      <c r="H227" s="1228"/>
      <c r="I227" s="1228"/>
      <c r="J227" s="1228"/>
      <c r="K227" s="1228"/>
      <c r="L227" s="344"/>
      <c r="M227" s="412"/>
    </row>
    <row r="228" spans="1:30" ht="15.5">
      <c r="A228" s="1228" t="s">
        <v>1756</v>
      </c>
      <c r="B228" s="1228"/>
      <c r="C228" s="1228"/>
      <c r="D228" s="1228"/>
      <c r="E228" s="1228"/>
      <c r="F228" s="1228"/>
      <c r="G228" s="1228"/>
      <c r="H228" s="1228"/>
      <c r="I228" s="1228"/>
      <c r="J228" s="1228"/>
      <c r="K228" s="1228"/>
      <c r="L228" s="344"/>
      <c r="M228" s="412"/>
    </row>
    <row r="229" spans="1:30" ht="6.75" customHeight="1">
      <c r="A229" s="341"/>
      <c r="B229" s="341"/>
      <c r="C229" s="341"/>
      <c r="D229" s="341"/>
      <c r="E229" s="341"/>
      <c r="F229" s="341"/>
      <c r="G229" s="373"/>
      <c r="H229" s="341"/>
      <c r="I229" s="341"/>
      <c r="J229" s="341"/>
      <c r="K229" s="341"/>
      <c r="L229" s="344"/>
      <c r="M229" s="412"/>
    </row>
    <row r="230" spans="1:30" ht="15" customHeight="1">
      <c r="A230" s="346"/>
      <c r="B230" s="1268" t="s">
        <v>922</v>
      </c>
      <c r="C230" s="1269"/>
      <c r="D230" s="1269"/>
      <c r="E230" s="1269"/>
      <c r="F230" s="1269"/>
      <c r="G230" s="445" t="s">
        <v>923</v>
      </c>
      <c r="H230" s="446"/>
      <c r="I230" s="446"/>
      <c r="J230" s="446"/>
      <c r="K230" s="446"/>
      <c r="L230" s="389"/>
      <c r="M230" s="412" t="s">
        <v>964</v>
      </c>
      <c r="O230" s="418" t="s">
        <v>957</v>
      </c>
      <c r="P230" s="418"/>
      <c r="Q230" s="419"/>
      <c r="R230" s="418" t="s">
        <v>958</v>
      </c>
      <c r="S230" s="418"/>
      <c r="T230" s="419"/>
      <c r="U230" s="418" t="s">
        <v>965</v>
      </c>
      <c r="V230" s="418"/>
      <c r="W230" s="419"/>
      <c r="Y230" s="415" t="s">
        <v>966</v>
      </c>
    </row>
    <row r="231" spans="1:30" s="53" customFormat="1" ht="46">
      <c r="A231" s="243"/>
      <c r="B231" s="420" t="s">
        <v>6</v>
      </c>
      <c r="C231" s="421" t="s">
        <v>7</v>
      </c>
      <c r="D231" s="421" t="s">
        <v>8</v>
      </c>
      <c r="E231" s="421" t="s">
        <v>960</v>
      </c>
      <c r="F231" s="421" t="s">
        <v>768</v>
      </c>
      <c r="G231" s="422" t="s">
        <v>6</v>
      </c>
      <c r="H231" s="421" t="s">
        <v>7</v>
      </c>
      <c r="I231" s="421" t="s">
        <v>8</v>
      </c>
      <c r="J231" s="421" t="s">
        <v>960</v>
      </c>
      <c r="K231" s="421" t="s">
        <v>768</v>
      </c>
      <c r="L231" s="350"/>
      <c r="M231" s="442" t="s">
        <v>961</v>
      </c>
      <c r="N231" s="452" t="s">
        <v>921</v>
      </c>
      <c r="O231" s="425" t="s">
        <v>967</v>
      </c>
      <c r="P231" s="426" t="s">
        <v>962</v>
      </c>
      <c r="Q231" s="426" t="s">
        <v>768</v>
      </c>
      <c r="R231" s="425" t="s">
        <v>967</v>
      </c>
      <c r="S231" s="426" t="s">
        <v>962</v>
      </c>
      <c r="T231" s="426" t="s">
        <v>768</v>
      </c>
      <c r="U231" s="425" t="s">
        <v>967</v>
      </c>
      <c r="V231" s="426" t="s">
        <v>962</v>
      </c>
      <c r="W231" s="426" t="s">
        <v>768</v>
      </c>
      <c r="Y231" s="453"/>
      <c r="Z231" s="244" t="s">
        <v>6</v>
      </c>
      <c r="AA231" s="245" t="s">
        <v>7</v>
      </c>
      <c r="AB231" s="245" t="s">
        <v>8</v>
      </c>
      <c r="AC231" s="245" t="s">
        <v>924</v>
      </c>
      <c r="AD231" s="245" t="s">
        <v>768</v>
      </c>
    </row>
    <row r="232" spans="1:30" ht="14.5">
      <c r="A232" s="77" t="s">
        <v>925</v>
      </c>
      <c r="B232" s="352">
        <f>IF($M232&gt;0,('Amounts Pivot Table'!O$631/$M232),0)</f>
        <v>4029.2981557205062</v>
      </c>
      <c r="C232" s="352">
        <f>IF($M232&gt;0,('Amounts Pivot Table'!O$634/$M232),0)</f>
        <v>128.84458417101564</v>
      </c>
      <c r="D232" s="352">
        <f>IF($M232&gt;0,('Amounts Pivot Table'!O$637/$M232),0)</f>
        <v>2112.2342590237859</v>
      </c>
      <c r="E232" s="352">
        <f>IF($M232&gt;0,('Amounts Pivot Table'!O$640/$M232),0)</f>
        <v>3133.9474765278151</v>
      </c>
      <c r="F232" s="352">
        <f>SUM(B232:E232)</f>
        <v>9404.3244754431234</v>
      </c>
      <c r="G232" s="353"/>
      <c r="H232" s="354"/>
      <c r="I232" s="354"/>
      <c r="J232" s="354"/>
      <c r="K232" s="354"/>
      <c r="L232" s="356"/>
      <c r="M232" s="448">
        <v>1407453.4305555557</v>
      </c>
      <c r="N232" s="428">
        <v>1474349.4577777777</v>
      </c>
      <c r="O232" s="454">
        <f>+B232+C232+D232</f>
        <v>6270.3769989153079</v>
      </c>
      <c r="P232" s="455">
        <f>+E232</f>
        <v>3133.9474765278151</v>
      </c>
      <c r="Q232" s="456">
        <f>+F232</f>
        <v>9404.3244754431234</v>
      </c>
      <c r="R232" s="431">
        <f>IF($N232&gt;0,(('Amounts Pivot Table'!O$630+'Amounts Pivot Table'!O$633++'Amounts Pivot Table'!O$636)/$N232),0)</f>
        <v>5811.1315374303049</v>
      </c>
      <c r="S232" s="432">
        <f>IF($N232&gt;0,('Amounts Pivot Table'!O$639/$N232),0)</f>
        <v>3119.0584940501426</v>
      </c>
      <c r="T232" s="432">
        <f>+S232+R232</f>
        <v>8930.1900314804479</v>
      </c>
      <c r="U232" s="457">
        <f>(O232-R232)/R232</f>
        <v>7.9028577915839504E-2</v>
      </c>
      <c r="V232" s="458">
        <f>(P232-S232)/S232</f>
        <v>4.7735502575775397E-3</v>
      </c>
      <c r="W232" s="459">
        <f>(Q232-T232)/T232</f>
        <v>5.3093432759131719E-2</v>
      </c>
      <c r="Y232" s="77" t="s">
        <v>925</v>
      </c>
      <c r="Z232" s="77">
        <f>B232*$M232</f>
        <v>5671049512</v>
      </c>
      <c r="AA232" s="77">
        <f>C232*$M232</f>
        <v>181342752.00000003</v>
      </c>
      <c r="AB232" s="77">
        <f>D232*$M232</f>
        <v>2972871353.9999995</v>
      </c>
      <c r="AC232" s="77">
        <f>E232*$M232</f>
        <v>4410885127.0200005</v>
      </c>
      <c r="AD232" s="77">
        <f>F232*$M232</f>
        <v>13236148745.02</v>
      </c>
    </row>
    <row r="233" spans="1:30" ht="12.75" customHeight="1">
      <c r="B233" s="352"/>
      <c r="C233" s="352"/>
      <c r="D233" s="352"/>
      <c r="E233" s="352"/>
      <c r="F233" s="352"/>
      <c r="G233" s="353"/>
      <c r="H233" s="354"/>
      <c r="I233" s="354"/>
      <c r="J233" s="354"/>
      <c r="K233" s="354"/>
      <c r="L233" s="356"/>
      <c r="M233" s="448" t="s">
        <v>421</v>
      </c>
      <c r="N233" s="428" t="s">
        <v>421</v>
      </c>
      <c r="O233" s="454">
        <f t="shared" ref="O233:O252" si="32">+B233+C233+D233</f>
        <v>0</v>
      </c>
      <c r="P233" s="455">
        <f t="shared" ref="P233:Q252" si="33">+E233</f>
        <v>0</v>
      </c>
      <c r="Q233" s="456">
        <f t="shared" si="33"/>
        <v>0</v>
      </c>
      <c r="R233" s="429"/>
      <c r="S233" s="430"/>
      <c r="T233" s="432">
        <f t="shared" ref="T233:T252" si="34">+S233+R233</f>
        <v>0</v>
      </c>
      <c r="U233" s="460"/>
      <c r="V233" s="461"/>
      <c r="W233" s="462"/>
    </row>
    <row r="234" spans="1:30" ht="12.75" customHeight="1">
      <c r="A234" s="77" t="s">
        <v>777</v>
      </c>
      <c r="B234" s="288">
        <f>IF($M234&gt;0,('Amounts Pivot Table'!O$7/$M234),0)</f>
        <v>5983.985284973689</v>
      </c>
      <c r="C234" s="288">
        <f>IF($M234&gt;0,('Amounts Pivot Table'!O$10/$M234),0)</f>
        <v>0</v>
      </c>
      <c r="D234" s="288">
        <f>IF($M234&gt;0,('Amounts Pivot Table'!O$13/$M234),0)</f>
        <v>22.805431981012365</v>
      </c>
      <c r="E234" s="288">
        <f>IF($M234&gt;0,('Amounts Pivot Table'!O$16/$M234),0)</f>
        <v>4588.5259894211385</v>
      </c>
      <c r="F234" s="288">
        <f t="shared" ref="F234:F252" si="35">SUM(B234:E234)</f>
        <v>10595.316706375841</v>
      </c>
      <c r="G234" s="359">
        <f>IF(B234&gt;0,RANK(B234,$B$234:$B$252),)</f>
        <v>4</v>
      </c>
      <c r="H234" s="289">
        <f>IF(C234&gt;0,RANK(C234,$C$234:$C$252),)</f>
        <v>0</v>
      </c>
      <c r="I234" s="289">
        <f>IF(D234&gt;0,RANK(D234,$D$234:$D$252),)</f>
        <v>7</v>
      </c>
      <c r="J234" s="289">
        <f>IF(E234&gt;0,RANK(E234,$E$234:$E$252),)</f>
        <v>9</v>
      </c>
      <c r="K234" s="289">
        <f>IF(F234&gt;0,RANK(F234,$F$234:$F$252),)</f>
        <v>6</v>
      </c>
      <c r="L234" s="356"/>
      <c r="M234" s="448">
        <v>51303.566666666666</v>
      </c>
      <c r="N234" s="428">
        <v>55877.9</v>
      </c>
      <c r="O234" s="454">
        <f t="shared" si="32"/>
        <v>6006.7907169547016</v>
      </c>
      <c r="P234" s="455">
        <f t="shared" si="33"/>
        <v>4588.5259894211385</v>
      </c>
      <c r="Q234" s="456">
        <f t="shared" si="33"/>
        <v>10595.316706375841</v>
      </c>
      <c r="R234" s="437">
        <f>IF($N234&gt;0,(('Amounts Pivot Table'!O$6+'Amounts Pivot Table'!O$9++'Amounts Pivot Table'!O$12)/$N234),0)</f>
        <v>5478.8674055395777</v>
      </c>
      <c r="S234" s="432">
        <f>IF($N234&gt;0,('Amounts Pivot Table'!O$15/$N234),0)</f>
        <v>4353.4842039518308</v>
      </c>
      <c r="T234" s="432">
        <f t="shared" si="34"/>
        <v>9832.3516094914085</v>
      </c>
      <c r="U234" s="463">
        <f t="shared" ref="U234:V252" si="36">(O234-R234)/R234</f>
        <v>9.6356285403320904E-2</v>
      </c>
      <c r="V234" s="458">
        <f>(P234-S234)/S234</f>
        <v>5.3989350703501124E-2</v>
      </c>
      <c r="W234" s="459">
        <f t="shared" ref="W234:W252" si="37">(Q234-T234)/T234</f>
        <v>7.7597417910474614E-2</v>
      </c>
      <c r="Y234" s="77" t="s">
        <v>777</v>
      </c>
      <c r="Z234" s="77">
        <f t="shared" ref="Z234:AD252" si="38">B234*$M234</f>
        <v>306999788</v>
      </c>
      <c r="AA234" s="77">
        <f t="shared" si="38"/>
        <v>0</v>
      </c>
      <c r="AB234" s="77">
        <f t="shared" si="38"/>
        <v>1170000</v>
      </c>
      <c r="AC234" s="77">
        <f t="shared" si="38"/>
        <v>235407749</v>
      </c>
      <c r="AD234" s="77">
        <f t="shared" si="38"/>
        <v>543577537</v>
      </c>
    </row>
    <row r="235" spans="1:30" ht="12.75" customHeight="1">
      <c r="A235" s="77" t="s">
        <v>778</v>
      </c>
      <c r="B235" s="288">
        <f>IF($M235&gt;0,('Amounts Pivot Table'!O$46/$M235),0)</f>
        <v>6195.5755141113523</v>
      </c>
      <c r="C235" s="288">
        <f>IF($M235&gt;0,('Amounts Pivot Table'!O$49/$M235),0)</f>
        <v>75.188328005606934</v>
      </c>
      <c r="D235" s="288">
        <f>IF($M235&gt;0,('Amounts Pivot Table'!O$52/$M235),0)</f>
        <v>1135.4863501940204</v>
      </c>
      <c r="E235" s="288">
        <f>IF($M235&gt;0,('Amounts Pivot Table'!O$55/$M235),0)</f>
        <v>4458.3827073967077</v>
      </c>
      <c r="F235" s="288">
        <f t="shared" si="35"/>
        <v>11864.632899707687</v>
      </c>
      <c r="G235" s="359">
        <f>IF(B235&gt;0,RANK(B235,$B$234:$B$252),)</f>
        <v>2</v>
      </c>
      <c r="H235" s="289">
        <f>IF(C235&gt;0,RANK(C235,$C$234:$C$252),)</f>
        <v>3</v>
      </c>
      <c r="I235" s="289">
        <f>IF(D235&gt;0,RANK(D235,$D$234:$D$252),)</f>
        <v>5</v>
      </c>
      <c r="J235" s="289">
        <f>IF(E235&gt;0,RANK(E235,$E$234:$E$252),)</f>
        <v>10</v>
      </c>
      <c r="K235" s="289">
        <f>IF(F235&gt;0,RANK(F235,$F$234:$F$252),)</f>
        <v>3</v>
      </c>
      <c r="L235" s="356"/>
      <c r="M235" s="448">
        <v>29249.5</v>
      </c>
      <c r="N235" s="428">
        <v>30953.76666666667</v>
      </c>
      <c r="O235" s="454">
        <f t="shared" si="32"/>
        <v>7406.2501923109794</v>
      </c>
      <c r="P235" s="455">
        <f t="shared" si="33"/>
        <v>4458.3827073967077</v>
      </c>
      <c r="Q235" s="456">
        <f t="shared" si="33"/>
        <v>11864.632899707687</v>
      </c>
      <c r="R235" s="437">
        <f>IF($N235&gt;0,(('Amounts Pivot Table'!O$45+'Amounts Pivot Table'!O$48++'Amounts Pivot Table'!O$51)/$N235),0)</f>
        <v>6854.0736668558366</v>
      </c>
      <c r="S235" s="432">
        <f>IF($N235&gt;0,('Amounts Pivot Table'!O$54/$N235),0)</f>
        <v>4465.5261664439322</v>
      </c>
      <c r="T235" s="432">
        <f t="shared" si="34"/>
        <v>11319.59983329977</v>
      </c>
      <c r="U235" s="463">
        <f t="shared" si="36"/>
        <v>8.05618019726424E-2</v>
      </c>
      <c r="V235" s="458">
        <f t="shared" si="36"/>
        <v>-1.599690334568816E-3</v>
      </c>
      <c r="W235" s="459">
        <f t="shared" si="37"/>
        <v>4.8149499490657804E-2</v>
      </c>
      <c r="Y235" s="77" t="s">
        <v>778</v>
      </c>
      <c r="Z235" s="77">
        <f t="shared" si="38"/>
        <v>181217486</v>
      </c>
      <c r="AA235" s="77">
        <f t="shared" si="38"/>
        <v>2199221</v>
      </c>
      <c r="AB235" s="77">
        <f t="shared" si="38"/>
        <v>33212408</v>
      </c>
      <c r="AC235" s="77">
        <f t="shared" si="38"/>
        <v>130405465</v>
      </c>
      <c r="AD235" s="77">
        <f t="shared" si="38"/>
        <v>347034580</v>
      </c>
    </row>
    <row r="236" spans="1:30" ht="12.75" customHeight="1">
      <c r="A236" s="77" t="s">
        <v>779</v>
      </c>
      <c r="B236" s="288">
        <f>IF($M236&gt;0,('Amounts Pivot Table'!O$85/$M236),0)</f>
        <v>8923.7838293567147</v>
      </c>
      <c r="C236" s="288">
        <f>IF($M236&gt;0,('Amounts Pivot Table'!O$88/$M236),0)</f>
        <v>0</v>
      </c>
      <c r="D236" s="288">
        <f>IF($M236&gt;0,('Amounts Pivot Table'!O$91/$M236),0)</f>
        <v>0</v>
      </c>
      <c r="E236" s="288">
        <f>IF($M236&gt;0,('Amounts Pivot Table'!O$94/$M236),0)</f>
        <v>5631.9630963421532</v>
      </c>
      <c r="F236" s="288">
        <f t="shared" si="35"/>
        <v>14555.746925698868</v>
      </c>
      <c r="G236" s="359">
        <f>IF(B236&gt;0,RANK(B236,$B$234:$B$252),)</f>
        <v>1</v>
      </c>
      <c r="H236" s="289">
        <f>IF(C236&gt;0,RANK(C236,$C$234:$C$252),)</f>
        <v>0</v>
      </c>
      <c r="I236" s="289">
        <f>IF(D236&gt;0,RANK(D236,$D$234:$D$252),)</f>
        <v>0</v>
      </c>
      <c r="J236" s="289">
        <f>IF(E236&gt;0,RANK(E236,$E$234:$E$252),)</f>
        <v>2</v>
      </c>
      <c r="K236" s="289">
        <f>IF(F236&gt;0,RANK(F236,$F$234:$F$252),)</f>
        <v>1</v>
      </c>
      <c r="L236" s="356"/>
      <c r="M236" s="448">
        <v>8302.7000000000007</v>
      </c>
      <c r="N236" s="428">
        <v>8659.5666666666675</v>
      </c>
      <c r="O236" s="454">
        <f t="shared" si="32"/>
        <v>8923.7838293567147</v>
      </c>
      <c r="P236" s="455">
        <f t="shared" si="33"/>
        <v>5631.9630963421532</v>
      </c>
      <c r="Q236" s="456">
        <f t="shared" si="33"/>
        <v>14555.746925698868</v>
      </c>
      <c r="R236" s="437">
        <f>IF($N236&gt;0,(('Amounts Pivot Table'!O$84+'Amounts Pivot Table'!O$87++'Amounts Pivot Table'!O$90)/$N236),0)</f>
        <v>8333.8350263870016</v>
      </c>
      <c r="S236" s="432">
        <f>IF($N236&gt;0,('Amounts Pivot Table'!O$93/$N236),0)</f>
        <v>5890.4679602905453</v>
      </c>
      <c r="T236" s="432">
        <f t="shared" si="34"/>
        <v>14224.302986677547</v>
      </c>
      <c r="U236" s="463">
        <f t="shared" si="36"/>
        <v>7.0789594598619721E-2</v>
      </c>
      <c r="V236" s="458">
        <f t="shared" si="36"/>
        <v>-4.388528478400236E-2</v>
      </c>
      <c r="W236" s="459">
        <f t="shared" si="37"/>
        <v>2.3301242903202412E-2</v>
      </c>
      <c r="Y236" s="77" t="s">
        <v>779</v>
      </c>
      <c r="Z236" s="77">
        <f t="shared" si="38"/>
        <v>74091500</v>
      </c>
      <c r="AA236" s="77">
        <f t="shared" si="38"/>
        <v>0</v>
      </c>
      <c r="AB236" s="77">
        <f t="shared" si="38"/>
        <v>0</v>
      </c>
      <c r="AC236" s="77">
        <f t="shared" si="38"/>
        <v>46760500</v>
      </c>
      <c r="AD236" s="77">
        <f t="shared" si="38"/>
        <v>120852000</v>
      </c>
    </row>
    <row r="237" spans="1:30" ht="12.75" customHeight="1">
      <c r="A237" s="77" t="s">
        <v>780</v>
      </c>
      <c r="B237" s="288">
        <f>IF($M237&gt;0,('Amounts Pivot Table'!O$124/$M237),0)</f>
        <v>4114.8006057420544</v>
      </c>
      <c r="C237" s="288">
        <f>IF($M237&gt;0,('Amounts Pivot Table'!O$127/$M237),0)</f>
        <v>0</v>
      </c>
      <c r="D237" s="288">
        <f>IF($M237&gt;0,('Amounts Pivot Table'!O$130/$M237),0)</f>
        <v>0</v>
      </c>
      <c r="E237" s="288">
        <f>IF($M237&gt;0,('Amounts Pivot Table'!O$133/$M237),0)</f>
        <v>2343.7838734831503</v>
      </c>
      <c r="F237" s="288">
        <f t="shared" si="35"/>
        <v>6458.5844792252046</v>
      </c>
      <c r="G237" s="359">
        <f>IF(B237&gt;0,RANK(B237,$B$234:$B$252),)</f>
        <v>9</v>
      </c>
      <c r="H237" s="289">
        <f>IF(C237&gt;0,RANK(C237,$C$234:$C$252),)</f>
        <v>0</v>
      </c>
      <c r="I237" s="289">
        <f>IF(D237&gt;0,RANK(D237,$D$234:$D$252),)</f>
        <v>0</v>
      </c>
      <c r="J237" s="289">
        <f>IF(E237&gt;0,RANK(E237,$E$234:$E$252),)</f>
        <v>12</v>
      </c>
      <c r="K237" s="289">
        <f>IF(F237&gt;0,RANK(F237,$F$234:$F$252),)</f>
        <v>14</v>
      </c>
      <c r="L237" s="356"/>
      <c r="M237" s="448">
        <v>306797.25555555557</v>
      </c>
      <c r="N237" s="428">
        <v>320467.47888888884</v>
      </c>
      <c r="O237" s="454">
        <f t="shared" si="32"/>
        <v>4114.8006057420544</v>
      </c>
      <c r="P237" s="455">
        <f t="shared" si="33"/>
        <v>2343.7838734831503</v>
      </c>
      <c r="Q237" s="456">
        <f t="shared" si="33"/>
        <v>6458.5844792252046</v>
      </c>
      <c r="R237" s="437">
        <f>IF($N237&gt;0,(('Amounts Pivot Table'!O$123+'Amounts Pivot Table'!O$126++'Amounts Pivot Table'!O$129)/$N237),0)</f>
        <v>3868.0526563813478</v>
      </c>
      <c r="S237" s="432">
        <f>IF($N237&gt;0,('Amounts Pivot Table'!O$132/$N237),0)</f>
        <v>2415.6512906834014</v>
      </c>
      <c r="T237" s="432">
        <f t="shared" si="34"/>
        <v>6283.7039470647487</v>
      </c>
      <c r="U237" s="463">
        <f t="shared" si="36"/>
        <v>6.37912591374971E-2</v>
      </c>
      <c r="V237" s="458">
        <f t="shared" si="36"/>
        <v>-2.9750741540149783E-2</v>
      </c>
      <c r="W237" s="459">
        <f t="shared" si="37"/>
        <v>2.7830803875180388E-2</v>
      </c>
      <c r="Y237" s="77" t="s">
        <v>780</v>
      </c>
      <c r="Z237" s="77">
        <f t="shared" si="38"/>
        <v>1262409533</v>
      </c>
      <c r="AA237" s="77">
        <f t="shared" si="38"/>
        <v>0</v>
      </c>
      <c r="AB237" s="77">
        <f t="shared" si="38"/>
        <v>0</v>
      </c>
      <c r="AC237" s="77">
        <f t="shared" si="38"/>
        <v>719066460</v>
      </c>
      <c r="AD237" s="77">
        <f t="shared" si="38"/>
        <v>1981475993</v>
      </c>
    </row>
    <row r="238" spans="1:30" ht="12.75" customHeight="1">
      <c r="B238" s="288"/>
      <c r="C238" s="288"/>
      <c r="D238" s="288"/>
      <c r="E238" s="288"/>
      <c r="F238" s="288"/>
      <c r="G238" s="359"/>
      <c r="H238" s="289"/>
      <c r="I238" s="289"/>
      <c r="J238" s="289"/>
      <c r="K238" s="289"/>
      <c r="L238" s="356"/>
      <c r="M238" s="448"/>
      <c r="N238" s="428"/>
      <c r="O238" s="454"/>
      <c r="P238" s="455"/>
      <c r="Q238" s="456"/>
      <c r="R238" s="437"/>
      <c r="S238" s="432"/>
      <c r="T238" s="432"/>
      <c r="U238" s="463"/>
      <c r="V238" s="458"/>
      <c r="W238" s="459"/>
    </row>
    <row r="239" spans="1:30" ht="12.75" customHeight="1">
      <c r="A239" s="77" t="s">
        <v>781</v>
      </c>
      <c r="B239" s="288">
        <f>IF($M239&gt;0,('Amounts Pivot Table'!O$163/$M239),0)</f>
        <v>5441.3706925501838</v>
      </c>
      <c r="C239" s="288">
        <f>IF($M239&gt;0,('Amounts Pivot Table'!O$166/$M239),0)</f>
        <v>0</v>
      </c>
      <c r="D239" s="288">
        <f>IF($M239&gt;0,('Amounts Pivot Table'!O$169/$M239),0)</f>
        <v>0</v>
      </c>
      <c r="E239" s="288">
        <f>IF($M239&gt;0,('Amounts Pivot Table'!O$172/$M239),0)</f>
        <v>3221.3834992579432</v>
      </c>
      <c r="F239" s="288">
        <f t="shared" si="35"/>
        <v>8662.7541918081261</v>
      </c>
      <c r="G239" s="359">
        <f>IF(B239&gt;0,RANK(B239,$B$234:$B$252),)</f>
        <v>6</v>
      </c>
      <c r="H239" s="289">
        <f>IF(C239&gt;0,RANK(C239,$C$234:$C$252),)</f>
        <v>0</v>
      </c>
      <c r="I239" s="289">
        <f>IF(D239&gt;0,RANK(D239,$D$234:$D$252),)</f>
        <v>0</v>
      </c>
      <c r="J239" s="289">
        <f>IF(E239&gt;0,RANK(E239,$E$234:$E$252),)</f>
        <v>11</v>
      </c>
      <c r="K239" s="289">
        <f>IF(F239&gt;0,RANK(F239,$F$234:$F$252),)</f>
        <v>12</v>
      </c>
      <c r="L239" s="356"/>
      <c r="M239" s="448">
        <v>9231.1</v>
      </c>
      <c r="N239" s="428">
        <v>10092.666666666666</v>
      </c>
      <c r="O239" s="454">
        <f t="shared" si="32"/>
        <v>5441.3706925501838</v>
      </c>
      <c r="P239" s="455">
        <f t="shared" si="33"/>
        <v>3221.3834992579432</v>
      </c>
      <c r="Q239" s="456">
        <f t="shared" si="33"/>
        <v>8662.7541918081261</v>
      </c>
      <c r="R239" s="437">
        <f>IF($N239&gt;0,(('Amounts Pivot Table'!O$162+'Amounts Pivot Table'!O$165+'Amounts Pivot Table'!O$168)/$N239),0)</f>
        <v>5221.1437016976024</v>
      </c>
      <c r="S239" s="432">
        <f>IF($N239&gt;0,('Amounts Pivot Table'!O$171/$N239),0)</f>
        <v>3590.1652622366078</v>
      </c>
      <c r="T239" s="432">
        <f t="shared" si="34"/>
        <v>8811.3089639342106</v>
      </c>
      <c r="U239" s="463">
        <f t="shared" si="36"/>
        <v>4.2179837107524307E-2</v>
      </c>
      <c r="V239" s="458">
        <f t="shared" si="36"/>
        <v>-0.10271999644632521</v>
      </c>
      <c r="W239" s="459">
        <f t="shared" si="37"/>
        <v>-1.6859557726796079E-2</v>
      </c>
      <c r="Y239" s="77" t="s">
        <v>781</v>
      </c>
      <c r="Z239" s="77">
        <f t="shared" si="38"/>
        <v>50229837</v>
      </c>
      <c r="AA239" s="77">
        <f t="shared" si="38"/>
        <v>0</v>
      </c>
      <c r="AB239" s="77">
        <f t="shared" si="38"/>
        <v>0</v>
      </c>
      <c r="AC239" s="77">
        <f t="shared" si="38"/>
        <v>29736913.219999999</v>
      </c>
      <c r="AD239" s="77">
        <f t="shared" si="38"/>
        <v>79966750.219999999</v>
      </c>
    </row>
    <row r="240" spans="1:30" ht="12.75" customHeight="1">
      <c r="A240" s="77" t="s">
        <v>782</v>
      </c>
      <c r="B240" s="288">
        <f>IF($M240&gt;0,('Amounts Pivot Table'!O$202/$M240),0)</f>
        <v>3217.5215079062091</v>
      </c>
      <c r="C240" s="288">
        <f>IF($M240&gt;0,('Amounts Pivot Table'!O$205/$M240),0)</f>
        <v>0</v>
      </c>
      <c r="D240" s="288">
        <f>IF($M240&gt;0,('Amounts Pivot Table'!O$208/$M240),0)</f>
        <v>0</v>
      </c>
      <c r="E240" s="288">
        <f>IF($M240&gt;0,('Amounts Pivot Table'!O$211/$M240),0)</f>
        <v>5523.0438681381129</v>
      </c>
      <c r="F240" s="288">
        <f t="shared" si="35"/>
        <v>8740.565376044322</v>
      </c>
      <c r="G240" s="359">
        <f>IF(B240&gt;0,RANK(B240,$B$234:$B$252),)</f>
        <v>11</v>
      </c>
      <c r="H240" s="289">
        <f>IF(C240&gt;0,RANK(C240,$C$234:$C$252),)</f>
        <v>0</v>
      </c>
      <c r="I240" s="289">
        <f>IF(D240&gt;0,RANK(D240,$D$234:$D$252),)</f>
        <v>0</v>
      </c>
      <c r="J240" s="289">
        <f>IF(E240&gt;0,RANK(E240,$E$234:$E$252),)</f>
        <v>3</v>
      </c>
      <c r="K240" s="289">
        <f>IF(F240&gt;0,RANK(F240,$F$234:$F$252),)</f>
        <v>11</v>
      </c>
      <c r="L240" s="356"/>
      <c r="M240" s="448">
        <v>37544.333333333328</v>
      </c>
      <c r="N240" s="428">
        <v>39175.613333333335</v>
      </c>
      <c r="O240" s="454">
        <f t="shared" si="32"/>
        <v>3217.5215079062091</v>
      </c>
      <c r="P240" s="455">
        <f t="shared" si="33"/>
        <v>5523.0438681381129</v>
      </c>
      <c r="Q240" s="456">
        <f t="shared" si="33"/>
        <v>8740.565376044322</v>
      </c>
      <c r="R240" s="437">
        <f>IF($N240&gt;0,(('Amounts Pivot Table'!O$201+'Amounts Pivot Table'!O$204++'Amounts Pivot Table'!O$207)/$N240),0)</f>
        <v>3178.81685579226</v>
      </c>
      <c r="S240" s="432">
        <f>IF($N240&gt;0,('Amounts Pivot Table'!O$210/$N240),0)</f>
        <v>5321.3206447140074</v>
      </c>
      <c r="T240" s="432">
        <f t="shared" si="34"/>
        <v>8500.1375005062673</v>
      </c>
      <c r="U240" s="463">
        <f t="shared" si="36"/>
        <v>1.2175804354196657E-2</v>
      </c>
      <c r="V240" s="458">
        <f t="shared" si="36"/>
        <v>3.7908488680246981E-2</v>
      </c>
      <c r="W240" s="459">
        <f t="shared" si="37"/>
        <v>2.8285174860257823E-2</v>
      </c>
      <c r="Y240" s="77" t="s">
        <v>782</v>
      </c>
      <c r="Z240" s="77">
        <f t="shared" si="38"/>
        <v>120799700</v>
      </c>
      <c r="AA240" s="77">
        <f t="shared" si="38"/>
        <v>0</v>
      </c>
      <c r="AB240" s="77">
        <f t="shared" si="38"/>
        <v>0</v>
      </c>
      <c r="AC240" s="77">
        <f t="shared" si="38"/>
        <v>207359000</v>
      </c>
      <c r="AD240" s="77">
        <f t="shared" si="38"/>
        <v>328158700</v>
      </c>
    </row>
    <row r="241" spans="1:30" ht="12.75" customHeight="1">
      <c r="A241" s="77" t="s">
        <v>813</v>
      </c>
      <c r="B241" s="288">
        <f>IF($M241&gt;0,('Amounts Pivot Table'!O$241/$M241),0)</f>
        <v>2346.8824509754404</v>
      </c>
      <c r="C241" s="288">
        <f>IF($M241&gt;0,('Amounts Pivot Table'!O$244/$M241),0)</f>
        <v>0</v>
      </c>
      <c r="D241" s="288">
        <f>IF($M241&gt;0,('Amounts Pivot Table'!O$247/$M241),0)</f>
        <v>0</v>
      </c>
      <c r="E241" s="288">
        <f>IF($M241&gt;0,('Amounts Pivot Table'!O$250/$M241),0)</f>
        <v>4659.0165321418699</v>
      </c>
      <c r="F241" s="288">
        <f t="shared" si="35"/>
        <v>7005.8989831173103</v>
      </c>
      <c r="G241" s="359">
        <f>IF(B241&gt;0,RANK(B241,$B$234:$B$252),)</f>
        <v>14</v>
      </c>
      <c r="H241" s="289">
        <f>IF(C241&gt;0,RANK(C241,$C$234:$C$252),)</f>
        <v>0</v>
      </c>
      <c r="I241" s="289">
        <f>IF(D241&gt;0,RANK(D241,$D$234:$D$252),)</f>
        <v>0</v>
      </c>
      <c r="J241" s="289">
        <f>IF(E241&gt;0,RANK(E241,$E$234:$E$252),)</f>
        <v>8</v>
      </c>
      <c r="K241" s="289">
        <f>IF(F241&gt;0,RANK(F241,$F$234:$F$252),)</f>
        <v>13</v>
      </c>
      <c r="L241" s="356"/>
      <c r="M241" s="448">
        <v>33661.700000000004</v>
      </c>
      <c r="N241" s="428">
        <v>34753.283333333333</v>
      </c>
      <c r="O241" s="454">
        <f t="shared" si="32"/>
        <v>2346.8824509754404</v>
      </c>
      <c r="P241" s="455">
        <f t="shared" si="33"/>
        <v>4659.0165321418699</v>
      </c>
      <c r="Q241" s="456">
        <f t="shared" si="33"/>
        <v>7005.8989831173103</v>
      </c>
      <c r="R241" s="437">
        <f>IF($N241&gt;0,(('Amounts Pivot Table'!O$240+'Amounts Pivot Table'!O$243++'Amounts Pivot Table'!O$247)/$N241),0)</f>
        <v>2836.5012034834117</v>
      </c>
      <c r="S241" s="432">
        <f>IF($N241&gt;0,('Amounts Pivot Table'!O$249/$N241),0)</f>
        <v>4479.1191156519026</v>
      </c>
      <c r="T241" s="432">
        <f t="shared" si="34"/>
        <v>7315.6203191353143</v>
      </c>
      <c r="U241" s="463">
        <f t="shared" si="36"/>
        <v>-0.17261362410376804</v>
      </c>
      <c r="V241" s="458">
        <f t="shared" si="36"/>
        <v>4.0163570524688892E-2</v>
      </c>
      <c r="W241" s="459">
        <f t="shared" si="37"/>
        <v>-4.2336988868581983E-2</v>
      </c>
      <c r="Y241" s="77" t="s">
        <v>813</v>
      </c>
      <c r="Z241" s="77">
        <f t="shared" si="38"/>
        <v>79000053</v>
      </c>
      <c r="AA241" s="77">
        <f t="shared" si="38"/>
        <v>0</v>
      </c>
      <c r="AB241" s="77">
        <f t="shared" si="38"/>
        <v>0</v>
      </c>
      <c r="AC241" s="77">
        <f t="shared" si="38"/>
        <v>156830416.80000001</v>
      </c>
      <c r="AD241" s="77">
        <f t="shared" si="38"/>
        <v>235830469.79999998</v>
      </c>
    </row>
    <row r="242" spans="1:30" ht="12.75" customHeight="1">
      <c r="A242" s="77" t="s">
        <v>784</v>
      </c>
      <c r="B242" s="288">
        <f>IF($M242&gt;0,('Amounts Pivot Table'!O$280/$M242),0)</f>
        <v>3631.7475199570817</v>
      </c>
      <c r="C242" s="288">
        <f>IF($M242&gt;0,('Amounts Pivot Table'!O$283/$M242),0)</f>
        <v>0</v>
      </c>
      <c r="D242" s="288">
        <f>IF($M242&gt;0,('Amounts Pivot Table'!O$286/$M242),0)</f>
        <v>5492.4521990854228</v>
      </c>
      <c r="E242" s="288">
        <f>IF($M242&gt;0,('Amounts Pivot Table'!O$289/$M242),0)</f>
        <v>4841.2359993595273</v>
      </c>
      <c r="F242" s="288">
        <f t="shared" si="35"/>
        <v>13965.435718402032</v>
      </c>
      <c r="G242" s="359">
        <f>IF(B242&gt;0,RANK(B242,$B$234:$B$252),)</f>
        <v>10</v>
      </c>
      <c r="H242" s="289">
        <f>IF(C242&gt;0,RANK(C242,$C$234:$C$252),)</f>
        <v>0</v>
      </c>
      <c r="I242" s="289">
        <f>IF(D242&gt;0,RANK(D242,$D$234:$D$252),)</f>
        <v>1</v>
      </c>
      <c r="J242" s="289">
        <f>IF(E242&gt;0,RANK(E242,$E$234:$E$252),)</f>
        <v>6</v>
      </c>
      <c r="K242" s="289">
        <f>IF(F242&gt;0,RANK(F242,$F$234:$F$252),)</f>
        <v>2</v>
      </c>
      <c r="L242" s="356"/>
      <c r="M242" s="448">
        <v>82699.34166666666</v>
      </c>
      <c r="N242" s="428">
        <v>83680.583333333328</v>
      </c>
      <c r="O242" s="454">
        <f t="shared" si="32"/>
        <v>9124.1997190425045</v>
      </c>
      <c r="P242" s="455">
        <f t="shared" si="33"/>
        <v>4841.2359993595273</v>
      </c>
      <c r="Q242" s="456">
        <f t="shared" si="33"/>
        <v>13965.435718402032</v>
      </c>
      <c r="R242" s="437">
        <f>IF($N242&gt;0,(('Amounts Pivot Table'!O$279+'Amounts Pivot Table'!O$282++'Amounts Pivot Table'!O$285)/$N242),0)</f>
        <v>8932.9678549484306</v>
      </c>
      <c r="S242" s="432">
        <f>IF($N242&gt;0,('Amounts Pivot Table'!O$288/$N242),0)</f>
        <v>4966.3450521676177</v>
      </c>
      <c r="T242" s="432">
        <f t="shared" si="34"/>
        <v>13899.312907116047</v>
      </c>
      <c r="U242" s="463">
        <f t="shared" si="36"/>
        <v>2.1407427766365544E-2</v>
      </c>
      <c r="V242" s="458">
        <f t="shared" si="36"/>
        <v>-2.5191373433363258E-2</v>
      </c>
      <c r="W242" s="459">
        <f t="shared" si="37"/>
        <v>4.7572719405526483E-3</v>
      </c>
      <c r="Y242" s="77" t="s">
        <v>784</v>
      </c>
      <c r="Z242" s="77">
        <f t="shared" si="38"/>
        <v>300343129</v>
      </c>
      <c r="AA242" s="77">
        <f t="shared" si="38"/>
        <v>0</v>
      </c>
      <c r="AB242" s="77">
        <f t="shared" si="38"/>
        <v>454222181</v>
      </c>
      <c r="AC242" s="77">
        <f t="shared" si="38"/>
        <v>400367029.99999994</v>
      </c>
      <c r="AD242" s="77">
        <f t="shared" si="38"/>
        <v>1154932340</v>
      </c>
    </row>
    <row r="243" spans="1:30" ht="12.75" customHeight="1">
      <c r="B243" s="288"/>
      <c r="C243" s="288"/>
      <c r="D243" s="288"/>
      <c r="E243" s="288"/>
      <c r="F243" s="288"/>
      <c r="G243" s="359"/>
      <c r="H243" s="289"/>
      <c r="I243" s="289"/>
      <c r="J243" s="289"/>
      <c r="K243" s="289"/>
      <c r="L243" s="356"/>
      <c r="M243" s="448"/>
      <c r="N243" s="428"/>
      <c r="O243" s="454"/>
      <c r="P243" s="455"/>
      <c r="Q243" s="456"/>
      <c r="R243" s="437"/>
      <c r="S243" s="432"/>
      <c r="T243" s="432"/>
      <c r="U243" s="463"/>
      <c r="V243" s="458"/>
      <c r="W243" s="459"/>
    </row>
    <row r="244" spans="1:30" ht="12.75" customHeight="1">
      <c r="A244" s="77" t="s">
        <v>785</v>
      </c>
      <c r="B244" s="288">
        <f>IF($M244&gt;0,('Amounts Pivot Table'!O$319/$M244),0)</f>
        <v>0</v>
      </c>
      <c r="C244" s="288">
        <f>IF($M244&gt;0,('Amounts Pivot Table'!O$322/$M244),0)</f>
        <v>0</v>
      </c>
      <c r="D244" s="288">
        <f>IF($M244&gt;0,('Amounts Pivot Table'!O$325/$M244),0)</f>
        <v>0</v>
      </c>
      <c r="E244" s="288">
        <f>IF($M244&gt;0,('Amounts Pivot Table'!O$328/$M244),0)</f>
        <v>0</v>
      </c>
      <c r="F244" s="288">
        <f t="shared" si="35"/>
        <v>0</v>
      </c>
      <c r="G244" s="359">
        <f>IF(B244&gt;0,RANK(B244,$B$234:$B$252),)</f>
        <v>0</v>
      </c>
      <c r="H244" s="289">
        <f>IF(C244&gt;0,RANK(C244,$C$234:$C$252),)</f>
        <v>0</v>
      </c>
      <c r="I244" s="289">
        <f>IF(D244&gt;0,RANK(D244,$D$234:$D$252),)</f>
        <v>0</v>
      </c>
      <c r="J244" s="289">
        <f>IF(E244&gt;0,RANK(E244,$E$234:$E$252),)</f>
        <v>0</v>
      </c>
      <c r="K244" s="289">
        <f>IF(F244&gt;0,RANK(F244,$F$234:$F$252),)</f>
        <v>0</v>
      </c>
      <c r="L244" s="356"/>
      <c r="M244" s="448">
        <v>0</v>
      </c>
      <c r="N244" s="428">
        <v>0</v>
      </c>
      <c r="O244" s="454">
        <f t="shared" si="32"/>
        <v>0</v>
      </c>
      <c r="P244" s="455">
        <f t="shared" si="33"/>
        <v>0</v>
      </c>
      <c r="Q244" s="456">
        <f t="shared" si="33"/>
        <v>0</v>
      </c>
      <c r="R244" s="437">
        <f>IF($N244&gt;0,(('Amounts Pivot Table'!O$318+'Amounts Pivot Table'!O$321++'Amounts Pivot Table'!O$324)/$N244),0)</f>
        <v>0</v>
      </c>
      <c r="S244" s="432">
        <f>IF($N244&gt;0,('Amounts Pivot Table'!O$327/$N244),0)</f>
        <v>0</v>
      </c>
      <c r="T244" s="432">
        <f t="shared" si="34"/>
        <v>0</v>
      </c>
      <c r="U244" s="463" t="e">
        <f t="shared" si="36"/>
        <v>#DIV/0!</v>
      </c>
      <c r="V244" s="458" t="e">
        <f t="shared" si="36"/>
        <v>#DIV/0!</v>
      </c>
      <c r="W244" s="459" t="e">
        <f t="shared" si="37"/>
        <v>#DIV/0!</v>
      </c>
      <c r="Y244" s="77" t="s">
        <v>785</v>
      </c>
      <c r="Z244" s="77">
        <f t="shared" si="38"/>
        <v>0</v>
      </c>
      <c r="AA244" s="77">
        <f t="shared" si="38"/>
        <v>0</v>
      </c>
      <c r="AB244" s="77">
        <f t="shared" si="38"/>
        <v>0</v>
      </c>
      <c r="AC244" s="77">
        <f t="shared" si="38"/>
        <v>0</v>
      </c>
      <c r="AD244" s="77">
        <f t="shared" si="38"/>
        <v>0</v>
      </c>
    </row>
    <row r="245" spans="1:30" ht="12.75" customHeight="1">
      <c r="A245" s="77" t="s">
        <v>786</v>
      </c>
      <c r="B245" s="288">
        <f>IF($M245&gt;0,('Amounts Pivot Table'!O$358/$M245),0)</f>
        <v>5546.8660025553772</v>
      </c>
      <c r="C245" s="288">
        <f>IF($M245&gt;0,('Amounts Pivot Table'!O$361/$M245),0)</f>
        <v>887.96001151875259</v>
      </c>
      <c r="D245" s="288">
        <f>IF($M245&gt;0,('Amounts Pivot Table'!O$364/$M245),0)</f>
        <v>1631.5426911994573</v>
      </c>
      <c r="E245" s="288">
        <f>IF($M245&gt;0,('Amounts Pivot Table'!O$367/$M245),0)</f>
        <v>1816.0551507192313</v>
      </c>
      <c r="F245" s="288">
        <f t="shared" si="35"/>
        <v>9882.4238559928181</v>
      </c>
      <c r="G245" s="359">
        <f>IF(B245&gt;0,RANK(B245,$B$234:$B$252),)</f>
        <v>5</v>
      </c>
      <c r="H245" s="289">
        <f>IF(C245&gt;0,RANK(C245,$C$234:$C$252),)</f>
        <v>1</v>
      </c>
      <c r="I245" s="289">
        <f>IF(D245&gt;0,RANK(D245,$D$234:$D$252),)</f>
        <v>3</v>
      </c>
      <c r="J245" s="289">
        <f>IF(E245&gt;0,RANK(E245,$E$234:$E$252),)</f>
        <v>14</v>
      </c>
      <c r="K245" s="289">
        <f>IF(F245&gt;0,RANK(F245,$F$234:$F$252),)</f>
        <v>9</v>
      </c>
      <c r="L245" s="356"/>
      <c r="M245" s="448">
        <v>173510.29888888891</v>
      </c>
      <c r="N245" s="428">
        <v>182868.41333333333</v>
      </c>
      <c r="O245" s="454">
        <f t="shared" si="32"/>
        <v>8066.3687052735868</v>
      </c>
      <c r="P245" s="455">
        <f t="shared" si="33"/>
        <v>1816.0551507192313</v>
      </c>
      <c r="Q245" s="456">
        <f t="shared" si="33"/>
        <v>9882.4238559928181</v>
      </c>
      <c r="R245" s="437">
        <f>IF($N245&gt;0,(('Amounts Pivot Table'!O$357+'Amounts Pivot Table'!O$360+'Amounts Pivot Table'!O$363)/$N245),0)</f>
        <v>7314.2284040159739</v>
      </c>
      <c r="S245" s="432">
        <f>IF($N245&gt;0,('Amounts Pivot Table'!O$366/$N245),0)</f>
        <v>1686.8114967330607</v>
      </c>
      <c r="T245" s="432">
        <f t="shared" si="34"/>
        <v>9001.0399007490341</v>
      </c>
      <c r="U245" s="463">
        <f t="shared" si="36"/>
        <v>0.10283248754504855</v>
      </c>
      <c r="V245" s="458">
        <f t="shared" si="36"/>
        <v>7.6620093138138876E-2</v>
      </c>
      <c r="W245" s="459">
        <f t="shared" si="37"/>
        <v>9.7920236435174376E-2</v>
      </c>
      <c r="Y245" s="77" t="s">
        <v>786</v>
      </c>
      <c r="Z245" s="77">
        <f t="shared" si="38"/>
        <v>962438377.99999988</v>
      </c>
      <c r="AA245" s="77">
        <f t="shared" si="38"/>
        <v>154070207</v>
      </c>
      <c r="AB245" s="77">
        <f t="shared" si="38"/>
        <v>283089460</v>
      </c>
      <c r="AC245" s="77">
        <f t="shared" si="38"/>
        <v>315104272</v>
      </c>
      <c r="AD245" s="77">
        <f t="shared" si="38"/>
        <v>1714702317</v>
      </c>
    </row>
    <row r="246" spans="1:30" ht="12.75" customHeight="1">
      <c r="A246" s="77" t="s">
        <v>787</v>
      </c>
      <c r="B246" s="288">
        <f>IF($M246&gt;0,('Amounts Pivot Table'!O$397/$M246),0)</f>
        <v>0</v>
      </c>
      <c r="C246" s="288">
        <f>IF($M246&gt;0,('Amounts Pivot Table'!O$400/$M246),0)</f>
        <v>0</v>
      </c>
      <c r="D246" s="288">
        <f>IF($M246&gt;0,('Amounts Pivot Table'!O$403/$M246),0)</f>
        <v>0</v>
      </c>
      <c r="E246" s="288">
        <f>IF($M246&gt;0,('Amounts Pivot Table'!O$406/$M246),0)</f>
        <v>0</v>
      </c>
      <c r="F246" s="288">
        <f t="shared" si="35"/>
        <v>0</v>
      </c>
      <c r="G246" s="359">
        <f>IF(B246&gt;0,RANK(B246,$B$234:$B$252),)</f>
        <v>0</v>
      </c>
      <c r="H246" s="289">
        <f>IF(C246&gt;0,RANK(C246,$C$234:$C$252),)</f>
        <v>0</v>
      </c>
      <c r="I246" s="289">
        <f>IF(D246&gt;0,RANK(D246,$D$234:$D$252),)</f>
        <v>0</v>
      </c>
      <c r="J246" s="289">
        <f>IF(E246&gt;0,RANK(E246,$E$234:$E$252),)</f>
        <v>0</v>
      </c>
      <c r="K246" s="289">
        <f>IF(F246&gt;0,RANK(F246,$F$234:$F$252),)</f>
        <v>0</v>
      </c>
      <c r="L246" s="356"/>
      <c r="M246" s="448">
        <v>0</v>
      </c>
      <c r="N246" s="428">
        <v>0</v>
      </c>
      <c r="O246" s="454">
        <f t="shared" si="32"/>
        <v>0</v>
      </c>
      <c r="P246" s="455">
        <f t="shared" si="33"/>
        <v>0</v>
      </c>
      <c r="Q246" s="456">
        <f t="shared" si="33"/>
        <v>0</v>
      </c>
      <c r="R246" s="437">
        <f>IF($N246&gt;0,(('Amounts Pivot Table'!O$396+'Amounts Pivot Table'!O$399++'Amounts Pivot Table'!O$402)/$N246),0)</f>
        <v>0</v>
      </c>
      <c r="S246" s="432">
        <f>IF($N246&gt;0,('Amounts Pivot Table'!O$405/$N246),0)</f>
        <v>0</v>
      </c>
      <c r="T246" s="432">
        <f t="shared" si="34"/>
        <v>0</v>
      </c>
      <c r="U246" s="463" t="e">
        <f t="shared" si="36"/>
        <v>#DIV/0!</v>
      </c>
      <c r="V246" s="458" t="e">
        <f t="shared" si="36"/>
        <v>#DIV/0!</v>
      </c>
      <c r="W246" s="459" t="e">
        <f t="shared" si="37"/>
        <v>#DIV/0!</v>
      </c>
      <c r="Y246" s="77" t="s">
        <v>787</v>
      </c>
      <c r="Z246" s="77">
        <f t="shared" si="38"/>
        <v>0</v>
      </c>
      <c r="AA246" s="77">
        <f t="shared" si="38"/>
        <v>0</v>
      </c>
      <c r="AB246" s="77">
        <f t="shared" si="38"/>
        <v>0</v>
      </c>
      <c r="AC246" s="77">
        <f t="shared" si="38"/>
        <v>0</v>
      </c>
      <c r="AD246" s="77">
        <f t="shared" si="38"/>
        <v>0</v>
      </c>
    </row>
    <row r="247" spans="1:30" ht="12.75" customHeight="1">
      <c r="A247" s="77" t="s">
        <v>788</v>
      </c>
      <c r="B247" s="288">
        <f>IF($M247&gt;0,('Amounts Pivot Table'!O$436/$M247),0)</f>
        <v>2715.933737397319</v>
      </c>
      <c r="C247" s="288">
        <f>IF($M247&gt;0,('Amounts Pivot Table'!O$439/$M247),0)</f>
        <v>447.97604917375725</v>
      </c>
      <c r="D247" s="288">
        <f>IF($M247&gt;0,('Amounts Pivot Table'!O$442/$M247),0)</f>
        <v>1511.0466932720788</v>
      </c>
      <c r="E247" s="288">
        <f>IF($M247&gt;0,('Amounts Pivot Table'!O$445/$M247),0)</f>
        <v>6645.625609326863</v>
      </c>
      <c r="F247" s="288">
        <f t="shared" si="35"/>
        <v>11320.582089170017</v>
      </c>
      <c r="G247" s="359">
        <f>IF(B247&gt;0,RANK(B247,$B$234:$B$252),)</f>
        <v>13</v>
      </c>
      <c r="H247" s="289">
        <f>IF(C247&gt;0,RANK(C247,$C$234:$C$252),)</f>
        <v>2</v>
      </c>
      <c r="I247" s="289">
        <f>IF(D247&gt;0,RANK(D247,$D$234:$D$252),)</f>
        <v>4</v>
      </c>
      <c r="J247" s="289">
        <f>IF(E247&gt;0,RANK(E247,$E$234:$E$252),)</f>
        <v>1</v>
      </c>
      <c r="K247" s="289">
        <f>IF(F247&gt;0,RANK(F247,$F$234:$F$252),)</f>
        <v>5</v>
      </c>
      <c r="L247" s="356"/>
      <c r="M247" s="448">
        <v>55970.23333333333</v>
      </c>
      <c r="N247" s="428">
        <v>57626.733333333337</v>
      </c>
      <c r="O247" s="454">
        <f t="shared" si="32"/>
        <v>4674.9564798431547</v>
      </c>
      <c r="P247" s="455">
        <f t="shared" si="33"/>
        <v>6645.625609326863</v>
      </c>
      <c r="Q247" s="456">
        <f t="shared" si="33"/>
        <v>11320.582089170017</v>
      </c>
      <c r="R247" s="437">
        <f>IF($N247&gt;0,(('Amounts Pivot Table'!O$435+'Amounts Pivot Table'!O$438++'Amounts Pivot Table'!O$441)/$N247),0)</f>
        <v>4521.8418766290179</v>
      </c>
      <c r="S247" s="432">
        <f>IF($N247&gt;0,('Amounts Pivot Table'!O$444/$N247),0)</f>
        <v>6994.8312299499876</v>
      </c>
      <c r="T247" s="432">
        <f t="shared" si="34"/>
        <v>11516.673106579005</v>
      </c>
      <c r="U247" s="463">
        <f t="shared" si="36"/>
        <v>3.3861113986648754E-2</v>
      </c>
      <c r="V247" s="458">
        <f t="shared" si="36"/>
        <v>-4.9923380442392938E-2</v>
      </c>
      <c r="W247" s="459">
        <f t="shared" si="37"/>
        <v>-1.7026706896540192E-2</v>
      </c>
      <c r="Y247" s="77" t="s">
        <v>788</v>
      </c>
      <c r="Z247" s="77">
        <f t="shared" si="38"/>
        <v>152011445</v>
      </c>
      <c r="AA247" s="77">
        <f t="shared" si="38"/>
        <v>25073324</v>
      </c>
      <c r="AB247" s="77">
        <f t="shared" si="38"/>
        <v>84573636</v>
      </c>
      <c r="AC247" s="77">
        <f t="shared" si="38"/>
        <v>371957216</v>
      </c>
      <c r="AD247" s="77">
        <f t="shared" si="38"/>
        <v>633615621</v>
      </c>
    </row>
    <row r="248" spans="1:30" ht="12.75" customHeight="1">
      <c r="B248" s="288"/>
      <c r="C248" s="288"/>
      <c r="D248" s="288"/>
      <c r="E248" s="288"/>
      <c r="F248" s="288"/>
      <c r="G248" s="359"/>
      <c r="H248" s="289"/>
      <c r="I248" s="289"/>
      <c r="J248" s="289"/>
      <c r="K248" s="289"/>
      <c r="L248" s="356"/>
      <c r="M248" s="448"/>
      <c r="N248" s="428"/>
      <c r="O248" s="454"/>
      <c r="P248" s="455"/>
      <c r="Q248" s="456"/>
      <c r="R248" s="437"/>
      <c r="S248" s="432"/>
      <c r="T248" s="432"/>
      <c r="U248" s="463"/>
      <c r="V248" s="458"/>
      <c r="W248" s="459"/>
    </row>
    <row r="249" spans="1:30" ht="12.75" customHeight="1">
      <c r="A249" s="77" t="s">
        <v>789</v>
      </c>
      <c r="B249" s="288">
        <f>IF($M249&gt;0,('Amounts Pivot Table'!O$475/$M249),0)</f>
        <v>5435.2689441673201</v>
      </c>
      <c r="C249" s="288">
        <f>IF($M249&gt;0,('Amounts Pivot Table'!O$478/$M249),0)</f>
        <v>0</v>
      </c>
      <c r="D249" s="288">
        <f>IF($M249&gt;0,('Amounts Pivot Table'!O$481/$M249),0)</f>
        <v>0</v>
      </c>
      <c r="E249" s="288">
        <f>IF($M249&gt;0,('Amounts Pivot Table'!O$484/$M249),0)</f>
        <v>4786.7989013574206</v>
      </c>
      <c r="F249" s="288">
        <f t="shared" si="35"/>
        <v>10222.06784552474</v>
      </c>
      <c r="G249" s="359">
        <f>IF(B249&gt;0,RANK(B249,$B$234:$B$252),)</f>
        <v>7</v>
      </c>
      <c r="H249" s="289">
        <f>IF(C249&gt;0,RANK(C249,$C$234:$C$252),)</f>
        <v>0</v>
      </c>
      <c r="I249" s="289">
        <f>IF(D249&gt;0,RANK(D249,$D$234:$D$252),)</f>
        <v>0</v>
      </c>
      <c r="J249" s="289">
        <f>IF(E249&gt;0,RANK(E249,$E$234:$E$252),)</f>
        <v>7</v>
      </c>
      <c r="K249" s="289">
        <f>IF(F249&gt;0,RANK(F249,$F$234:$F$252),)</f>
        <v>7</v>
      </c>
      <c r="L249" s="356"/>
      <c r="M249" s="448">
        <v>55614.083333333328</v>
      </c>
      <c r="N249" s="428">
        <v>58630.900000000009</v>
      </c>
      <c r="O249" s="454">
        <f t="shared" si="32"/>
        <v>5435.2689441673201</v>
      </c>
      <c r="P249" s="455">
        <f t="shared" si="33"/>
        <v>4786.7989013574206</v>
      </c>
      <c r="Q249" s="456">
        <f t="shared" si="33"/>
        <v>10222.06784552474</v>
      </c>
      <c r="R249" s="437">
        <f>IF($N249&gt;0,(('Amounts Pivot Table'!O$474+'Amounts Pivot Table'!O$477++'Amounts Pivot Table'!O$481)/$N249),0)</f>
        <v>5060.8757498179284</v>
      </c>
      <c r="S249" s="432">
        <f>IF($N249&gt;0,('Amounts Pivot Table'!O$483/$N249),0)</f>
        <v>5003.8336610899705</v>
      </c>
      <c r="T249" s="432">
        <f t="shared" si="34"/>
        <v>10064.709410907899</v>
      </c>
      <c r="U249" s="463">
        <f t="shared" si="36"/>
        <v>7.3977946279922199E-2</v>
      </c>
      <c r="V249" s="458">
        <f t="shared" si="36"/>
        <v>-4.3373695936422048E-2</v>
      </c>
      <c r="W249" s="459">
        <f t="shared" si="37"/>
        <v>1.5634672417496671E-2</v>
      </c>
      <c r="Y249" s="77" t="s">
        <v>789</v>
      </c>
      <c r="Z249" s="77">
        <f t="shared" si="38"/>
        <v>302277500</v>
      </c>
      <c r="AA249" s="77">
        <f t="shared" si="38"/>
        <v>0</v>
      </c>
      <c r="AB249" s="77">
        <f t="shared" si="38"/>
        <v>0</v>
      </c>
      <c r="AC249" s="77">
        <f t="shared" si="38"/>
        <v>266213433</v>
      </c>
      <c r="AD249" s="77">
        <f t="shared" si="38"/>
        <v>568490933</v>
      </c>
    </row>
    <row r="250" spans="1:30" s="362" customFormat="1" ht="12.75" customHeight="1">
      <c r="A250" s="77" t="s">
        <v>790</v>
      </c>
      <c r="B250" s="288">
        <f>IF($M250&gt;0,('Amounts Pivot Table'!O$514/$M250),0)</f>
        <v>3002.9940776566</v>
      </c>
      <c r="C250" s="288">
        <f>IF($M250&gt;0,('Amounts Pivot Table'!O$517/$M250),0)</f>
        <v>0</v>
      </c>
      <c r="D250" s="288">
        <f>IF($M250&gt;0,('Amounts Pivot Table'!O$520/$M250),0)</f>
        <v>4607.1924833566218</v>
      </c>
      <c r="E250" s="288">
        <f>IF($M250&gt;0,('Amounts Pivot Table'!O$523/$M250),0)</f>
        <v>2119.9254191408527</v>
      </c>
      <c r="F250" s="288">
        <f t="shared" si="35"/>
        <v>9730.1119801540735</v>
      </c>
      <c r="G250" s="359">
        <f>IF(B250&gt;0,RANK(B250,$B$234:$B$252),)</f>
        <v>12</v>
      </c>
      <c r="H250" s="289">
        <f>IF(C250&gt;0,RANK(C250,$C$234:$C$252),)</f>
        <v>0</v>
      </c>
      <c r="I250" s="289">
        <f>IF(D250&gt;0,RANK(D250,$D$234:$D$252),)</f>
        <v>2</v>
      </c>
      <c r="J250" s="289">
        <f>IF(E250&gt;0,RANK(E250,$E$234:$E$252),)</f>
        <v>13</v>
      </c>
      <c r="K250" s="289">
        <f>IF(F250&gt;0,RANK(F250,$F$234:$F$252),)</f>
        <v>10</v>
      </c>
      <c r="L250" s="363"/>
      <c r="M250" s="448">
        <v>457343.73777777789</v>
      </c>
      <c r="N250" s="428">
        <v>480475.34222222219</v>
      </c>
      <c r="O250" s="454">
        <f t="shared" si="32"/>
        <v>7610.1865610132218</v>
      </c>
      <c r="P250" s="455">
        <f t="shared" si="33"/>
        <v>2119.9254191408527</v>
      </c>
      <c r="Q250" s="456">
        <f t="shared" si="33"/>
        <v>9730.1119801540735</v>
      </c>
      <c r="R250" s="437">
        <f>IF($N250&gt;0,(('Amounts Pivot Table'!O$513+'Amounts Pivot Table'!O$516++'Amounts Pivot Table'!O$519)/$N250),0)</f>
        <v>6973.7067869141301</v>
      </c>
      <c r="S250" s="432">
        <f>IF($N250&gt;0,('Amounts Pivot Table'!O$522/$N250),0)</f>
        <v>2117.7636406768734</v>
      </c>
      <c r="T250" s="432">
        <f t="shared" si="34"/>
        <v>9091.4704275910044</v>
      </c>
      <c r="U250" s="463">
        <f t="shared" si="36"/>
        <v>9.126850232553789E-2</v>
      </c>
      <c r="V250" s="458">
        <f t="shared" si="36"/>
        <v>1.0207836334787464E-3</v>
      </c>
      <c r="W250" s="459">
        <f t="shared" si="37"/>
        <v>7.0246233285311585E-2</v>
      </c>
      <c r="Y250" s="77" t="s">
        <v>790</v>
      </c>
      <c r="Z250" s="77">
        <f t="shared" si="38"/>
        <v>1373400536</v>
      </c>
      <c r="AA250" s="77">
        <f t="shared" si="38"/>
        <v>0</v>
      </c>
      <c r="AB250" s="77">
        <f t="shared" si="38"/>
        <v>2107070631.0000002</v>
      </c>
      <c r="AC250" s="77">
        <f t="shared" si="38"/>
        <v>969534615</v>
      </c>
      <c r="AD250" s="77">
        <f t="shared" si="38"/>
        <v>4450005782</v>
      </c>
    </row>
    <row r="251" spans="1:30" ht="12.75" customHeight="1">
      <c r="A251" s="77" t="s">
        <v>791</v>
      </c>
      <c r="B251" s="288">
        <f>IF($M251&gt;0,('Amounts Pivot Table'!O$553/$M251),0)</f>
        <v>4600.639292358981</v>
      </c>
      <c r="C251" s="288">
        <f>IF($M251&gt;0,('Amounts Pivot Table'!O$556/$M251),0)</f>
        <v>0</v>
      </c>
      <c r="D251" s="288">
        <f>IF($M251&gt;0,('Amounts Pivot Table'!O$559/$M251),0)</f>
        <v>100.31876397841465</v>
      </c>
      <c r="E251" s="288">
        <f>IF($M251&gt;0,('Amounts Pivot Table'!O$562/$M251),0)</f>
        <v>5271.319109843329</v>
      </c>
      <c r="F251" s="288">
        <f t="shared" si="35"/>
        <v>9972.2771661807237</v>
      </c>
      <c r="G251" s="359">
        <f>IF(B251&gt;0,RANK(B251,$B$234:$B$252),)</f>
        <v>8</v>
      </c>
      <c r="H251" s="289">
        <f>IF(C251&gt;0,RANK(C251,$C$234:$C$252),)</f>
        <v>0</v>
      </c>
      <c r="I251" s="289">
        <f>IF(D251&gt;0,RANK(D251,$D$234:$D$252),)</f>
        <v>6</v>
      </c>
      <c r="J251" s="289">
        <f>IF(E251&gt;0,RANK(E251,$E$234:$E$252),)</f>
        <v>5</v>
      </c>
      <c r="K251" s="289">
        <f>IF(F251&gt;0,RANK(F251,$F$234:$F$252),)</f>
        <v>8</v>
      </c>
      <c r="L251" s="367"/>
      <c r="M251" s="448">
        <v>95027.466666666674</v>
      </c>
      <c r="N251" s="428">
        <v>98927.833333333328</v>
      </c>
      <c r="O251" s="454">
        <f t="shared" si="32"/>
        <v>4700.9580563373956</v>
      </c>
      <c r="P251" s="455">
        <f t="shared" si="33"/>
        <v>5271.319109843329</v>
      </c>
      <c r="Q251" s="456">
        <f t="shared" si="33"/>
        <v>9972.2771661807237</v>
      </c>
      <c r="R251" s="437">
        <f>IF($N251&gt;0,(('Amounts Pivot Table'!O$552+'Amounts Pivot Table'!O$555++'Amounts Pivot Table'!O$558)/$N251),0)</f>
        <v>4044.1236283592016</v>
      </c>
      <c r="S251" s="432">
        <f>IF($N251&gt;0,('Amounts Pivot Table'!O$561/$N251),0)</f>
        <v>4989.6462791900494</v>
      </c>
      <c r="T251" s="432">
        <f t="shared" si="34"/>
        <v>9033.769907549251</v>
      </c>
      <c r="U251" s="463">
        <f t="shared" si="36"/>
        <v>0.16241700015602334</v>
      </c>
      <c r="V251" s="458">
        <f t="shared" si="36"/>
        <v>5.6451462667410253E-2</v>
      </c>
      <c r="W251" s="459">
        <f t="shared" si="37"/>
        <v>0.10388877160211822</v>
      </c>
      <c r="Y251" s="77" t="s">
        <v>791</v>
      </c>
      <c r="Z251" s="77">
        <f t="shared" si="38"/>
        <v>437187097</v>
      </c>
      <c r="AA251" s="77">
        <f t="shared" si="38"/>
        <v>0</v>
      </c>
      <c r="AB251" s="77">
        <f t="shared" si="38"/>
        <v>9533038</v>
      </c>
      <c r="AC251" s="77">
        <f t="shared" si="38"/>
        <v>500920101</v>
      </c>
      <c r="AD251" s="77">
        <f t="shared" si="38"/>
        <v>947640235.99999988</v>
      </c>
    </row>
    <row r="252" spans="1:30" ht="13.5" customHeight="1">
      <c r="A252" s="277" t="s">
        <v>792</v>
      </c>
      <c r="B252" s="296">
        <f>IF($M252&gt;0,('Amounts Pivot Table'!O$592/$M252),0)</f>
        <v>6129.9192066282594</v>
      </c>
      <c r="C252" s="296">
        <f>IF($M252&gt;0,('Amounts Pivot Table'!O$595/$M252),0)</f>
        <v>0</v>
      </c>
      <c r="D252" s="296">
        <f>IF($M252&gt;0,('Amounts Pivot Table'!O$598/$M252),0)</f>
        <v>0</v>
      </c>
      <c r="E252" s="296">
        <f>IF($M252&gt;0,('Amounts Pivot Table'!O$601/$M252),0)</f>
        <v>5467.1670287316256</v>
      </c>
      <c r="F252" s="364">
        <f t="shared" si="35"/>
        <v>11597.086235359886</v>
      </c>
      <c r="G252" s="365">
        <f>IF(B252&gt;0,RANK(B252,$B$234:$B$252),)</f>
        <v>3</v>
      </c>
      <c r="H252" s="366">
        <f>IF(C252&gt;0,RANK(C252,$C$234:$C$252),)</f>
        <v>0</v>
      </c>
      <c r="I252" s="366">
        <f>IF(D252&gt;0,RANK(D252,$D$234:$D$252),)</f>
        <v>0</v>
      </c>
      <c r="J252" s="366">
        <f>IF(E252&gt;0,RANK(E252,$E$234:$E$252),)</f>
        <v>4</v>
      </c>
      <c r="K252" s="366">
        <f>IF(F252&gt;0,RANK(F252,$F$234:$F$252),)</f>
        <v>4</v>
      </c>
      <c r="L252" s="367"/>
      <c r="M252" s="448">
        <v>11198.113333333333</v>
      </c>
      <c r="N252" s="428">
        <v>12159.376666666667</v>
      </c>
      <c r="O252" s="454">
        <f t="shared" si="32"/>
        <v>6129.9192066282594</v>
      </c>
      <c r="P252" s="455">
        <f t="shared" si="33"/>
        <v>5467.1670287316256</v>
      </c>
      <c r="Q252" s="456">
        <f t="shared" si="33"/>
        <v>11597.086235359886</v>
      </c>
      <c r="R252" s="437">
        <f>IF($N252&gt;0,(('Amounts Pivot Table'!O$591+'Amounts Pivot Table'!O$594++'Amounts Pivot Table'!O$597)/$N252),0)</f>
        <v>5645.3165225300745</v>
      </c>
      <c r="S252" s="432">
        <f>IF($N252&gt;0,('Amounts Pivot Table'!O$600/$N252),0)</f>
        <v>4927.4672248824154</v>
      </c>
      <c r="T252" s="432">
        <f t="shared" si="34"/>
        <v>10572.78374741249</v>
      </c>
      <c r="U252" s="463">
        <f t="shared" si="36"/>
        <v>8.5841543545728316E-2</v>
      </c>
      <c r="V252" s="458">
        <f t="shared" si="36"/>
        <v>0.10952884701573821</v>
      </c>
      <c r="W252" s="459">
        <f t="shared" si="37"/>
        <v>9.688105918160643E-2</v>
      </c>
      <c r="Y252" s="277" t="s">
        <v>792</v>
      </c>
      <c r="Z252" s="277">
        <f t="shared" si="38"/>
        <v>68643530</v>
      </c>
      <c r="AA252" s="277">
        <f t="shared" si="38"/>
        <v>0</v>
      </c>
      <c r="AB252" s="277">
        <f t="shared" si="38"/>
        <v>0</v>
      </c>
      <c r="AC252" s="277">
        <f t="shared" si="38"/>
        <v>61221956</v>
      </c>
      <c r="AD252" s="277">
        <f t="shared" si="38"/>
        <v>129865486</v>
      </c>
    </row>
    <row r="253" spans="1:30" s="362" customFormat="1" ht="34.5" customHeight="1">
      <c r="A253" s="1244" t="s">
        <v>926</v>
      </c>
      <c r="B253" s="1270"/>
      <c r="C253" s="1270"/>
      <c r="D253" s="1270"/>
      <c r="E253" s="1270"/>
      <c r="F253" s="1270"/>
      <c r="G253" s="1270"/>
      <c r="H253" s="1270"/>
      <c r="I253" s="1270"/>
      <c r="J253" s="1270"/>
      <c r="K253" s="1270"/>
      <c r="L253" s="363"/>
      <c r="M253" s="412"/>
      <c r="U253" s="77"/>
    </row>
    <row r="254" spans="1:30" s="397" customFormat="1" ht="14.25" customHeight="1">
      <c r="A254" s="1244" t="s">
        <v>927</v>
      </c>
      <c r="B254" s="1270"/>
      <c r="C254" s="1270"/>
      <c r="D254" s="1270"/>
      <c r="E254" s="1270"/>
      <c r="F254" s="1270"/>
      <c r="G254" s="1270"/>
      <c r="H254" s="1270"/>
      <c r="I254" s="1270"/>
      <c r="J254" s="1270"/>
      <c r="K254" s="1270"/>
      <c r="L254" s="347"/>
      <c r="M254" s="412"/>
    </row>
    <row r="255" spans="1:30" ht="13.5" customHeight="1">
      <c r="A255" s="1244" t="s">
        <v>930</v>
      </c>
      <c r="B255" s="1245"/>
      <c r="C255" s="1245"/>
      <c r="D255" s="1245"/>
      <c r="E255" s="1245"/>
      <c r="F255" s="1245"/>
      <c r="G255" s="1245"/>
      <c r="H255" s="1245"/>
      <c r="I255" s="1245"/>
      <c r="J255" s="1245"/>
      <c r="K255" s="1245"/>
      <c r="L255" s="367"/>
      <c r="M255" s="449"/>
    </row>
    <row r="256" spans="1:30" ht="13">
      <c r="A256" s="368"/>
      <c r="B256" s="369"/>
      <c r="C256" s="369"/>
      <c r="D256" s="369"/>
      <c r="E256" s="369"/>
      <c r="F256" s="369"/>
      <c r="G256" s="369"/>
      <c r="H256" s="369"/>
      <c r="I256" s="369"/>
      <c r="J256" s="369"/>
      <c r="K256" s="370" t="s">
        <v>1814</v>
      </c>
      <c r="L256" s="367"/>
      <c r="M256" s="449"/>
    </row>
    <row r="257" spans="1:13" ht="18">
      <c r="A257" s="336" t="s">
        <v>938</v>
      </c>
      <c r="B257" s="336"/>
      <c r="C257" s="336"/>
      <c r="D257" s="336"/>
      <c r="E257" s="336"/>
      <c r="F257" s="336"/>
      <c r="G257" s="336"/>
      <c r="H257" s="336"/>
      <c r="I257" s="336"/>
      <c r="J257" s="355"/>
      <c r="K257" s="336"/>
      <c r="L257" s="367"/>
      <c r="M257" s="449"/>
    </row>
    <row r="258" spans="1:13" ht="15" customHeight="1">
      <c r="A258" s="336"/>
      <c r="B258" s="336"/>
      <c r="C258" s="336"/>
      <c r="D258" s="336"/>
      <c r="E258" s="336"/>
      <c r="F258" s="336"/>
      <c r="G258" s="336"/>
      <c r="H258" s="336"/>
      <c r="I258" s="336"/>
      <c r="J258" s="355"/>
      <c r="K258" s="336"/>
      <c r="L258" s="367"/>
      <c r="M258" s="449"/>
    </row>
    <row r="259" spans="1:13" ht="17.5">
      <c r="A259" s="1228" t="s">
        <v>920</v>
      </c>
      <c r="B259" s="1228"/>
      <c r="C259" s="1228"/>
      <c r="D259" s="1228"/>
      <c r="E259" s="1228"/>
      <c r="F259" s="1228"/>
      <c r="G259" s="1228"/>
      <c r="H259" s="1228"/>
      <c r="I259" s="1228"/>
      <c r="J259" s="1228"/>
      <c r="K259" s="1228"/>
      <c r="L259" s="344"/>
      <c r="M259" s="449"/>
    </row>
    <row r="260" spans="1:13" ht="15.5">
      <c r="A260" s="1228" t="s">
        <v>1757</v>
      </c>
      <c r="B260" s="1228"/>
      <c r="C260" s="1228"/>
      <c r="D260" s="1228"/>
      <c r="E260" s="1228"/>
      <c r="F260" s="1228"/>
      <c r="G260" s="1228"/>
      <c r="H260" s="1228"/>
      <c r="I260" s="1228"/>
      <c r="J260" s="1228"/>
      <c r="K260" s="1228"/>
      <c r="L260" s="344"/>
      <c r="M260" s="412"/>
    </row>
    <row r="261" spans="1:13" ht="9.75" customHeight="1">
      <c r="A261" s="341"/>
      <c r="B261" s="341"/>
      <c r="C261" s="341"/>
      <c r="D261" s="341"/>
      <c r="E261" s="341"/>
      <c r="F261" s="341"/>
      <c r="G261" s="373"/>
      <c r="H261" s="341"/>
      <c r="I261" s="341"/>
      <c r="J261" s="341"/>
      <c r="K261" s="341"/>
      <c r="L261" s="344"/>
      <c r="M261" s="412"/>
    </row>
    <row r="262" spans="1:13" s="399" customFormat="1" ht="13.5" customHeight="1">
      <c r="A262" s="398"/>
      <c r="B262" s="1268" t="s">
        <v>922</v>
      </c>
      <c r="C262" s="1269"/>
      <c r="D262" s="1269"/>
      <c r="E262" s="1269"/>
      <c r="F262" s="1269"/>
      <c r="G262" s="445" t="s">
        <v>923</v>
      </c>
      <c r="H262" s="446"/>
      <c r="I262" s="446"/>
      <c r="J262" s="446"/>
      <c r="K262" s="446"/>
      <c r="L262" s="389"/>
      <c r="M262" s="447" t="s">
        <v>1771</v>
      </c>
    </row>
    <row r="263" spans="1:13" s="53" customFormat="1" ht="46">
      <c r="A263" s="243"/>
      <c r="B263" s="420" t="s">
        <v>6</v>
      </c>
      <c r="C263" s="421" t="s">
        <v>7</v>
      </c>
      <c r="D263" s="421" t="s">
        <v>8</v>
      </c>
      <c r="E263" s="421" t="s">
        <v>960</v>
      </c>
      <c r="F263" s="421" t="s">
        <v>768</v>
      </c>
      <c r="G263" s="422" t="s">
        <v>6</v>
      </c>
      <c r="H263" s="421" t="s">
        <v>7</v>
      </c>
      <c r="I263" s="421" t="s">
        <v>8</v>
      </c>
      <c r="J263" s="421" t="s">
        <v>960</v>
      </c>
      <c r="K263" s="421" t="s">
        <v>768</v>
      </c>
      <c r="L263" s="350"/>
      <c r="M263" s="442" t="s">
        <v>932</v>
      </c>
    </row>
    <row r="264" spans="1:13" ht="14.5">
      <c r="A264" s="77" t="s">
        <v>925</v>
      </c>
      <c r="B264" s="352">
        <f>IF($M264&gt;0,('Amounts Pivot Table'!J$631/$M264),0)</f>
        <v>4086.3845536970412</v>
      </c>
      <c r="C264" s="352">
        <f>IF($M264&gt;0,('Amounts Pivot Table'!J$634/$M264),0)</f>
        <v>0</v>
      </c>
      <c r="D264" s="352">
        <f>IF($M264&gt;0,('Amounts Pivot Table'!J$637/$M264),0)</f>
        <v>356.15607837007303</v>
      </c>
      <c r="E264" s="352">
        <f>IF($M264&gt;0,('Amounts Pivot Table'!J$640/$M264),0)</f>
        <v>2347.7330319465809</v>
      </c>
      <c r="F264" s="352">
        <f>SUM(B264:E264)</f>
        <v>6790.2736640136955</v>
      </c>
      <c r="G264" s="353"/>
      <c r="H264" s="354"/>
      <c r="I264" s="354"/>
      <c r="J264" s="354"/>
      <c r="K264" s="354"/>
      <c r="L264" s="356"/>
      <c r="M264" s="448">
        <v>312875.21333333338</v>
      </c>
    </row>
    <row r="265" spans="1:13" ht="12.75" customHeight="1">
      <c r="B265" s="352"/>
      <c r="C265" s="352"/>
      <c r="D265" s="352"/>
      <c r="E265" s="352"/>
      <c r="F265" s="352"/>
      <c r="G265" s="353"/>
      <c r="H265" s="354"/>
      <c r="I265" s="354"/>
      <c r="J265" s="354"/>
      <c r="K265" s="354"/>
      <c r="L265" s="356"/>
      <c r="M265" s="448"/>
    </row>
    <row r="266" spans="1:13" ht="12.75" customHeight="1">
      <c r="A266" s="77" t="s">
        <v>777</v>
      </c>
      <c r="B266" s="288">
        <f>IF($M266&gt;0,('Amounts Pivot Table'!J$7/$M266),0)</f>
        <v>0</v>
      </c>
      <c r="C266" s="288">
        <f>IF($M266&gt;0,('Amounts Pivot Table'!J$10/$M266),0)</f>
        <v>0</v>
      </c>
      <c r="D266" s="288">
        <f>IF($M266&gt;0,('Amounts Pivot Table'!J$13/$M266),0)</f>
        <v>0</v>
      </c>
      <c r="E266" s="288">
        <f>IF($M266&gt;0,('Amounts Pivot Table'!J$16/$M266),0)</f>
        <v>0</v>
      </c>
      <c r="F266" s="288">
        <f t="shared" ref="F266:F284" si="39">SUM(B266:E266)</f>
        <v>0</v>
      </c>
      <c r="G266" s="359">
        <f>IF(B266&gt;0,RANK(B266,$B$266:$B$284),)</f>
        <v>0</v>
      </c>
      <c r="H266" s="289">
        <f>IF(C266&gt;0,RANK(C266,$C$266:$C$284),)</f>
        <v>0</v>
      </c>
      <c r="I266" s="289">
        <f>IF(D266&gt;0,RANK(D266,$D$266:$D$284),)</f>
        <v>0</v>
      </c>
      <c r="J266" s="289">
        <f>IF(E266&gt;0,RANK(E266,$E$266:$E$284),)</f>
        <v>0</v>
      </c>
      <c r="K266" s="289">
        <f>IF(F266&gt;0,RANK(F266,$F$266:$F$284),)</f>
        <v>0</v>
      </c>
      <c r="L266" s="356"/>
      <c r="M266" s="448">
        <v>0</v>
      </c>
    </row>
    <row r="267" spans="1:13" ht="12.75" customHeight="1">
      <c r="A267" s="77" t="s">
        <v>778</v>
      </c>
      <c r="B267" s="288">
        <f>IF($M267&gt;0,('Amounts Pivot Table'!J$46/$M267),0)</f>
        <v>0</v>
      </c>
      <c r="C267" s="288">
        <f>IF($M267&gt;0,('Amounts Pivot Table'!J$49/$M267),0)</f>
        <v>0</v>
      </c>
      <c r="D267" s="288">
        <f>IF($M267&gt;0,('Amounts Pivot Table'!J$52/$M267),0)</f>
        <v>0</v>
      </c>
      <c r="E267" s="288">
        <f>IF($M267&gt;0,('Amounts Pivot Table'!J$55/$M267),0)</f>
        <v>0</v>
      </c>
      <c r="F267" s="288">
        <f t="shared" si="39"/>
        <v>0</v>
      </c>
      <c r="G267" s="359">
        <f>IF(B267&gt;0,RANK(B267,$B$266:$B$284),)</f>
        <v>0</v>
      </c>
      <c r="H267" s="289">
        <f>IF(C267&gt;0,RANK(C267,$C$266:$C$284),)</f>
        <v>0</v>
      </c>
      <c r="I267" s="289">
        <f>IF(D267&gt;0,RANK(D267,$D$266:$D$284),)</f>
        <v>0</v>
      </c>
      <c r="J267" s="289">
        <f>IF(E267&gt;0,RANK(E267,$E$266:$E$284),)</f>
        <v>0</v>
      </c>
      <c r="K267" s="289">
        <f>IF(F267&gt;0,RANK(F267,$F$266:$F$284),)</f>
        <v>0</v>
      </c>
      <c r="L267" s="356"/>
      <c r="M267" s="448">
        <v>0</v>
      </c>
    </row>
    <row r="268" spans="1:13" ht="12.75" customHeight="1">
      <c r="A268" s="77" t="s">
        <v>779</v>
      </c>
      <c r="B268" s="288">
        <f>IF($M268&gt;0,('Amounts Pivot Table'!J$85/$M268),0)</f>
        <v>0</v>
      </c>
      <c r="C268" s="288">
        <f>IF($M268&gt;0,('Amounts Pivot Table'!J$88/$M268),0)</f>
        <v>0</v>
      </c>
      <c r="D268" s="288">
        <f>IF($M268&gt;0,('Amounts Pivot Table'!J$91/$M268),0)</f>
        <v>0</v>
      </c>
      <c r="E268" s="288">
        <f>IF($M268&gt;0,('Amounts Pivot Table'!J$94/$M268),0)</f>
        <v>0</v>
      </c>
      <c r="F268" s="288">
        <f t="shared" si="39"/>
        <v>0</v>
      </c>
      <c r="G268" s="359">
        <f>IF(B268&gt;0,RANK(B268,$B$266:$B$284),)</f>
        <v>0</v>
      </c>
      <c r="H268" s="289">
        <f>IF(C268&gt;0,RANK(C268,$C$266:$C$284),)</f>
        <v>0</v>
      </c>
      <c r="I268" s="289">
        <f>IF(D268&gt;0,RANK(D268,$D$266:$D$284),)</f>
        <v>0</v>
      </c>
      <c r="J268" s="289">
        <f>IF(E268&gt;0,RANK(E268,$E$266:$E$284),)</f>
        <v>0</v>
      </c>
      <c r="K268" s="289">
        <f>IF(F268&gt;0,RANK(F268,$F$266:$F$284),)</f>
        <v>0</v>
      </c>
      <c r="L268" s="356"/>
      <c r="M268" s="448">
        <v>0</v>
      </c>
    </row>
    <row r="269" spans="1:13" ht="12.75" customHeight="1">
      <c r="A269" s="77" t="s">
        <v>780</v>
      </c>
      <c r="B269" s="288">
        <f>IF($M269&gt;0,('Amounts Pivot Table'!J$124/$M269),0)</f>
        <v>4142.4463432938082</v>
      </c>
      <c r="C269" s="288">
        <f>IF($M269&gt;0,('Amounts Pivot Table'!J$127/$M269),0)</f>
        <v>0</v>
      </c>
      <c r="D269" s="288">
        <f>IF($M269&gt;0,('Amounts Pivot Table'!J$130/$M269),0)</f>
        <v>0</v>
      </c>
      <c r="E269" s="288">
        <f>IF($M269&gt;0,('Amounts Pivot Table'!J$133/$M269),0)</f>
        <v>2360.5668529797426</v>
      </c>
      <c r="F269" s="288">
        <f t="shared" si="39"/>
        <v>6503.0131962735504</v>
      </c>
      <c r="G269" s="359">
        <f>IF(B269&gt;0,RANK(B269,$B$266:$B$284),)</f>
        <v>3</v>
      </c>
      <c r="H269" s="289">
        <f>IF(C269&gt;0,RANK(C269,$C$266:$C$284),)</f>
        <v>0</v>
      </c>
      <c r="I269" s="289">
        <f>IF(D269&gt;0,RANK(D269,$D$266:$D$284),)</f>
        <v>0</v>
      </c>
      <c r="J269" s="289">
        <f>IF(E269&gt;0,RANK(E269,$E$266:$E$284),)</f>
        <v>3</v>
      </c>
      <c r="K269" s="289">
        <f>IF(F269&gt;0,RANK(F269,$F$266:$F$284),)</f>
        <v>4</v>
      </c>
      <c r="L269" s="356"/>
      <c r="M269" s="448">
        <v>275621.4966666667</v>
      </c>
    </row>
    <row r="270" spans="1:13" ht="12.75" customHeight="1">
      <c r="B270" s="288"/>
      <c r="C270" s="288"/>
      <c r="D270" s="288"/>
      <c r="E270" s="288"/>
      <c r="F270" s="288"/>
      <c r="G270" s="359"/>
      <c r="H270" s="289"/>
      <c r="I270" s="289"/>
      <c r="J270" s="289"/>
      <c r="K270" s="289"/>
      <c r="L270" s="356"/>
      <c r="M270" s="448"/>
    </row>
    <row r="271" spans="1:13" ht="12.75" customHeight="1">
      <c r="A271" s="77" t="s">
        <v>781</v>
      </c>
      <c r="B271" s="288">
        <f>IF($M271&gt;0,('Amounts Pivot Table'!J$163/$M271),0)</f>
        <v>5441.3706925501838</v>
      </c>
      <c r="C271" s="288">
        <f>IF($M271&gt;0,('Amounts Pivot Table'!J$166/$M271),0)</f>
        <v>0</v>
      </c>
      <c r="D271" s="288">
        <f>IF($M271&gt;0,('Amounts Pivot Table'!J$169/$M271),0)</f>
        <v>0</v>
      </c>
      <c r="E271" s="288">
        <f>IF($M271&gt;0,('Amounts Pivot Table'!J$172/$M271),0)</f>
        <v>3221.3834992579432</v>
      </c>
      <c r="F271" s="288">
        <f t="shared" si="39"/>
        <v>8662.7541918081261</v>
      </c>
      <c r="G271" s="359">
        <f>IF(B271&gt;0,RANK(B271,$B$266:$B$284),)</f>
        <v>1</v>
      </c>
      <c r="H271" s="289">
        <f>IF(C271&gt;0,RANK(C271,$C$266:$C$284),)</f>
        <v>0</v>
      </c>
      <c r="I271" s="289">
        <f>IF(D271&gt;0,RANK(D271,$D$266:$D$284),)</f>
        <v>0</v>
      </c>
      <c r="J271" s="289">
        <f>IF(E271&gt;0,RANK(E271,$E$266:$E$284),)</f>
        <v>2</v>
      </c>
      <c r="K271" s="289">
        <f>IF(F271&gt;0,RANK(F271,$F$266:$F$284),)</f>
        <v>3</v>
      </c>
      <c r="L271" s="356"/>
      <c r="M271" s="448">
        <v>9231.1</v>
      </c>
    </row>
    <row r="272" spans="1:13" ht="12.75" customHeight="1">
      <c r="A272" s="77" t="s">
        <v>782</v>
      </c>
      <c r="B272" s="288">
        <f>IF($M272&gt;0,('Amounts Pivot Table'!J$202/$M272),0)</f>
        <v>0</v>
      </c>
      <c r="C272" s="288">
        <f>IF($M272&gt;0,('Amounts Pivot Table'!J$205/$M272),0)</f>
        <v>0</v>
      </c>
      <c r="D272" s="288">
        <f>IF($M272&gt;0,('Amounts Pivot Table'!J$208/$M272),0)</f>
        <v>0</v>
      </c>
      <c r="E272" s="288">
        <f>IF($M272&gt;0,('Amounts Pivot Table'!J$211/$M272),0)</f>
        <v>0</v>
      </c>
      <c r="F272" s="288">
        <f t="shared" si="39"/>
        <v>0</v>
      </c>
      <c r="G272" s="359">
        <f>IF(B272&gt;0,RANK(B272,$B$266:$B$284),)</f>
        <v>0</v>
      </c>
      <c r="H272" s="289">
        <f>IF(C272&gt;0,RANK(C272,$C$266:$C$284),)</f>
        <v>0</v>
      </c>
      <c r="I272" s="289">
        <f>IF(D272&gt;0,RANK(D272,$D$266:$D$284),)</f>
        <v>0</v>
      </c>
      <c r="J272" s="289">
        <f>IF(E272&gt;0,RANK(E272,$E$266:$E$284),)</f>
        <v>0</v>
      </c>
      <c r="K272" s="289">
        <f>IF(F272&gt;0,RANK(F272,$F$266:$F$284),)</f>
        <v>0</v>
      </c>
      <c r="L272" s="356"/>
      <c r="M272" s="448">
        <v>0</v>
      </c>
    </row>
    <row r="273" spans="1:13" ht="12.75" customHeight="1">
      <c r="A273" s="77" t="s">
        <v>813</v>
      </c>
      <c r="B273" s="288">
        <f>IF($M273&gt;0,('Amounts Pivot Table'!J$241/$M273),0)</f>
        <v>0</v>
      </c>
      <c r="C273" s="288">
        <f>IF($M273&gt;0,('Amounts Pivot Table'!J$244/$M273),0)</f>
        <v>0</v>
      </c>
      <c r="D273" s="288">
        <f>IF($M273&gt;0,('Amounts Pivot Table'!J$247/$M273),0)</f>
        <v>0</v>
      </c>
      <c r="E273" s="288">
        <f>IF($M273&gt;0,('Amounts Pivot Table'!J$250/$M273),0)</f>
        <v>0</v>
      </c>
      <c r="F273" s="288">
        <f t="shared" si="39"/>
        <v>0</v>
      </c>
      <c r="G273" s="359">
        <f>IF(B273&gt;0,RANK(B273,$B$266:$B$284),)</f>
        <v>0</v>
      </c>
      <c r="H273" s="289">
        <f>IF(C273&gt;0,RANK(C273,$C$266:$C$284),)</f>
        <v>0</v>
      </c>
      <c r="I273" s="289">
        <f>IF(D273&gt;0,RANK(D273,$D$266:$D$284),)</f>
        <v>0</v>
      </c>
      <c r="J273" s="289">
        <f>IF(E273&gt;0,RANK(E273,$E$266:$E$284),)</f>
        <v>0</v>
      </c>
      <c r="K273" s="289">
        <f>IF(F273&gt;0,RANK(F273,$F$266:$F$284),)</f>
        <v>0</v>
      </c>
      <c r="L273" s="356"/>
      <c r="M273" s="448">
        <v>0</v>
      </c>
    </row>
    <row r="274" spans="1:13" ht="12.75" customHeight="1">
      <c r="A274" s="77" t="s">
        <v>784</v>
      </c>
      <c r="B274" s="288">
        <f>IF($M274&gt;0,('Amounts Pivot Table'!J$280/$M274),0)</f>
        <v>0</v>
      </c>
      <c r="C274" s="288">
        <f>IF($M274&gt;0,('Amounts Pivot Table'!J$283/$M274),0)</f>
        <v>0</v>
      </c>
      <c r="D274" s="288">
        <f>IF($M274&gt;0,('Amounts Pivot Table'!J$286/$M274),0)</f>
        <v>0</v>
      </c>
      <c r="E274" s="288">
        <f>IF($M274&gt;0,('Amounts Pivot Table'!J$289/$M274),0)</f>
        <v>0</v>
      </c>
      <c r="F274" s="288">
        <f t="shared" si="39"/>
        <v>0</v>
      </c>
      <c r="G274" s="359">
        <f>IF(B274&gt;0,RANK(B274,$B$266:$B$284),)</f>
        <v>0</v>
      </c>
      <c r="H274" s="289">
        <f>IF(C274&gt;0,RANK(C274,$C$266:$C$284),)</f>
        <v>0</v>
      </c>
      <c r="I274" s="289">
        <f>IF(D274&gt;0,RANK(D274,$D$266:$D$284),)</f>
        <v>0</v>
      </c>
      <c r="J274" s="289">
        <f>IF(E274&gt;0,RANK(E274,$E$266:$E$284),)</f>
        <v>0</v>
      </c>
      <c r="K274" s="289">
        <f>IF(F274&gt;0,RANK(F274,$F$266:$F$284),)</f>
        <v>0</v>
      </c>
      <c r="L274" s="356"/>
      <c r="M274" s="448">
        <v>0</v>
      </c>
    </row>
    <row r="275" spans="1:13" ht="12.75" customHeight="1">
      <c r="B275" s="288"/>
      <c r="C275" s="288"/>
      <c r="D275" s="288"/>
      <c r="E275" s="288"/>
      <c r="F275" s="288"/>
      <c r="G275" s="359"/>
      <c r="H275" s="289"/>
      <c r="I275" s="289"/>
      <c r="J275" s="289"/>
      <c r="K275" s="289"/>
      <c r="L275" s="356"/>
      <c r="M275" s="448"/>
    </row>
    <row r="276" spans="1:13" ht="12.75" customHeight="1">
      <c r="A276" s="77" t="s">
        <v>785</v>
      </c>
      <c r="B276" s="288">
        <f>IF($M276&gt;0,('Amounts Pivot Table'!J$319/$M276),0)</f>
        <v>0</v>
      </c>
      <c r="C276" s="288">
        <f>IF($M276&gt;0,('Amounts Pivot Table'!J$322/$M276),0)</f>
        <v>0</v>
      </c>
      <c r="D276" s="288">
        <f>IF($M276&gt;0,('Amounts Pivot Table'!J$325/$M276),0)</f>
        <v>0</v>
      </c>
      <c r="E276" s="288">
        <f>IF($M276&gt;0,('Amounts Pivot Table'!J$328/$M276),0)</f>
        <v>0</v>
      </c>
      <c r="F276" s="288">
        <f t="shared" si="39"/>
        <v>0</v>
      </c>
      <c r="G276" s="359">
        <f>IF(B276&gt;0,RANK(B276,$B$266:$B$284),)</f>
        <v>0</v>
      </c>
      <c r="H276" s="289">
        <f>IF(C276&gt;0,RANK(C276,$C$266:$C$284),)</f>
        <v>0</v>
      </c>
      <c r="I276" s="289">
        <f>IF(D276&gt;0,RANK(D276,$D$266:$D$284),)</f>
        <v>0</v>
      </c>
      <c r="J276" s="289">
        <f>IF(E276&gt;0,RANK(E276,$E$266:$E$284),)</f>
        <v>0</v>
      </c>
      <c r="K276" s="289">
        <f>IF(F276&gt;0,RANK(F276,$F$266:$F$284),)</f>
        <v>0</v>
      </c>
      <c r="L276" s="356"/>
      <c r="M276" s="448">
        <v>0</v>
      </c>
    </row>
    <row r="277" spans="1:13" ht="12.75" customHeight="1">
      <c r="A277" s="77" t="s">
        <v>786</v>
      </c>
      <c r="B277" s="288">
        <f>IF($M277&gt;0,('Amounts Pivot Table'!J$358/$M277),0)</f>
        <v>0</v>
      </c>
      <c r="C277" s="288">
        <f>IF($M277&gt;0,('Amounts Pivot Table'!J$361/$M277),0)</f>
        <v>0</v>
      </c>
      <c r="D277" s="288">
        <f>IF($M277&gt;0,('Amounts Pivot Table'!J$364/$M277),0)</f>
        <v>0</v>
      </c>
      <c r="E277" s="288">
        <f>IF($M277&gt;0,('Amounts Pivot Table'!J$367/$M277),0)</f>
        <v>0</v>
      </c>
      <c r="F277" s="288">
        <f t="shared" si="39"/>
        <v>0</v>
      </c>
      <c r="G277" s="359">
        <f>IF(B277&gt;0,RANK(B277,$B$266:$B$284),)</f>
        <v>0</v>
      </c>
      <c r="H277" s="289">
        <f>IF(C277&gt;0,RANK(C277,$C$266:$C$284),)</f>
        <v>0</v>
      </c>
      <c r="I277" s="289">
        <f>IF(D277&gt;0,RANK(D277,$D$266:$D$284),)</f>
        <v>0</v>
      </c>
      <c r="J277" s="289">
        <f>IF(E277&gt;0,RANK(E277,$E$266:$E$284),)</f>
        <v>0</v>
      </c>
      <c r="K277" s="289">
        <f>IF(F277&gt;0,RANK(F277,$F$266:$F$284),)</f>
        <v>0</v>
      </c>
      <c r="L277" s="356"/>
      <c r="M277" s="448">
        <v>0</v>
      </c>
    </row>
    <row r="278" spans="1:13" ht="12.75" customHeight="1">
      <c r="A278" s="77" t="s">
        <v>787</v>
      </c>
      <c r="B278" s="288">
        <f>IF($M278&gt;0,('Amounts Pivot Table'!J$397/$M278),0)</f>
        <v>0</v>
      </c>
      <c r="C278" s="288">
        <f>IF($M278&gt;0,('Amounts Pivot Table'!J$400/$M278),0)</f>
        <v>0</v>
      </c>
      <c r="D278" s="288">
        <f>IF($M278&gt;0,('Amounts Pivot Table'!J$403/$M278),0)</f>
        <v>0</v>
      </c>
      <c r="E278" s="288">
        <f>IF($M278&gt;0,('Amounts Pivot Table'!J$406/$M278),0)</f>
        <v>0</v>
      </c>
      <c r="F278" s="288">
        <f t="shared" si="39"/>
        <v>0</v>
      </c>
      <c r="G278" s="359">
        <f>IF(B278&gt;0,RANK(B278,$B$266:$B$284),)</f>
        <v>0</v>
      </c>
      <c r="H278" s="289">
        <f>IF(C278&gt;0,RANK(C278,$C$266:$C$284),)</f>
        <v>0</v>
      </c>
      <c r="I278" s="289">
        <f>IF(D278&gt;0,RANK(D278,$D$266:$D$284),)</f>
        <v>0</v>
      </c>
      <c r="J278" s="289">
        <f>IF(E278&gt;0,RANK(E278,$E$266:$E$284),)</f>
        <v>0</v>
      </c>
      <c r="K278" s="289">
        <f>IF(F278&gt;0,RANK(F278,$F$266:$F$284),)</f>
        <v>0</v>
      </c>
      <c r="L278" s="356"/>
      <c r="M278" s="448">
        <v>0</v>
      </c>
    </row>
    <row r="279" spans="1:13" ht="12.75" customHeight="1">
      <c r="A279" s="77" t="s">
        <v>788</v>
      </c>
      <c r="B279" s="288">
        <f>IF($M279&gt;0,('Amounts Pivot Table'!J$436/$M279),0)</f>
        <v>0</v>
      </c>
      <c r="C279" s="288">
        <f>IF($M279&gt;0,('Amounts Pivot Table'!J$439/$M279),0)</f>
        <v>0</v>
      </c>
      <c r="D279" s="288">
        <f>IF($M279&gt;0,('Amounts Pivot Table'!J$442/$M279),0)</f>
        <v>0</v>
      </c>
      <c r="E279" s="288">
        <f>IF($M279&gt;0,('Amounts Pivot Table'!J$445/$M279),0)</f>
        <v>0</v>
      </c>
      <c r="F279" s="288">
        <f t="shared" si="39"/>
        <v>0</v>
      </c>
      <c r="G279" s="359">
        <f>IF(B279&gt;0,RANK(B279,$B$266:$B$284),)</f>
        <v>0</v>
      </c>
      <c r="H279" s="289">
        <f>IF(C279&gt;0,RANK(C279,$C$266:$C$284),)</f>
        <v>0</v>
      </c>
      <c r="I279" s="289">
        <f>IF(D279&gt;0,RANK(D279,$D$266:$D$284),)</f>
        <v>0</v>
      </c>
      <c r="J279" s="289">
        <f>IF(E279&gt;0,RANK(E279,$E$266:$E$284),)</f>
        <v>0</v>
      </c>
      <c r="K279" s="289">
        <f>IF(F279&gt;0,RANK(F279,$F$266:$F$284),)</f>
        <v>0</v>
      </c>
      <c r="L279" s="356"/>
      <c r="M279" s="448">
        <v>0</v>
      </c>
    </row>
    <row r="280" spans="1:13" ht="12.75" customHeight="1">
      <c r="B280" s="288"/>
      <c r="C280" s="288"/>
      <c r="D280" s="288"/>
      <c r="E280" s="288"/>
      <c r="F280" s="288"/>
      <c r="G280" s="359"/>
      <c r="H280" s="289"/>
      <c r="I280" s="289"/>
      <c r="J280" s="289"/>
      <c r="K280" s="289"/>
      <c r="L280" s="356"/>
      <c r="M280" s="448"/>
    </row>
    <row r="281" spans="1:13" ht="12.75" customHeight="1">
      <c r="A281" s="77" t="s">
        <v>789</v>
      </c>
      <c r="B281" s="288">
        <f>IF($M281&gt;0,('Amounts Pivot Table'!J$475/$M281),0)</f>
        <v>0</v>
      </c>
      <c r="C281" s="288">
        <f>IF($M281&gt;0,('Amounts Pivot Table'!J$478/$M281),0)</f>
        <v>0</v>
      </c>
      <c r="D281" s="288">
        <f>IF($M281&gt;0,('Amounts Pivot Table'!J$481/$M281),0)</f>
        <v>0</v>
      </c>
      <c r="E281" s="288">
        <f>IF($M281&gt;0,('Amounts Pivot Table'!J$484/$M281),0)</f>
        <v>0</v>
      </c>
      <c r="F281" s="288">
        <f t="shared" si="39"/>
        <v>0</v>
      </c>
      <c r="G281" s="359">
        <f>IF(B281&gt;0,RANK(B281,$B$266:$B$284),)</f>
        <v>0</v>
      </c>
      <c r="H281" s="289">
        <f>IF(C281&gt;0,RANK(C281,$C$266:$C$284),)</f>
        <v>0</v>
      </c>
      <c r="I281" s="289">
        <f>IF(D281&gt;0,RANK(D281,$D$266:$D$284),)</f>
        <v>0</v>
      </c>
      <c r="J281" s="289">
        <f>IF(E281&gt;0,RANK(E281,$E$266:$E$284),)</f>
        <v>0</v>
      </c>
      <c r="K281" s="289">
        <f>IF(F281&gt;0,RANK(F281,$F$266:$F$284),)</f>
        <v>0</v>
      </c>
      <c r="L281" s="356"/>
      <c r="M281" s="448">
        <v>0</v>
      </c>
    </row>
    <row r="282" spans="1:13" s="362" customFormat="1" ht="12.75" customHeight="1">
      <c r="A282" s="77" t="s">
        <v>790</v>
      </c>
      <c r="B282" s="288">
        <f>IF($M282&gt;0,('Amounts Pivot Table'!J$514/$M282),0)</f>
        <v>2850.0112658332641</v>
      </c>
      <c r="C282" s="288">
        <f>IF($M282&gt;0,('Amounts Pivot Table'!J$517/$M282),0)</f>
        <v>0</v>
      </c>
      <c r="D282" s="288">
        <f>IF($M282&gt;0,('Amounts Pivot Table'!J$520/$M282),0)</f>
        <v>4428.144409305406</v>
      </c>
      <c r="E282" s="288">
        <f>IF($M282&gt;0,('Amounts Pivot Table'!J$523/$M282),0)</f>
        <v>1559.8032949747494</v>
      </c>
      <c r="F282" s="288">
        <f t="shared" si="39"/>
        <v>8837.9589701134209</v>
      </c>
      <c r="G282" s="359">
        <f>IF(B282&gt;0,RANK(B282,$B$266:$B$284),)</f>
        <v>4</v>
      </c>
      <c r="H282" s="289">
        <f>IF(C282&gt;0,RANK(C282,$C$266:$C$284),)</f>
        <v>0</v>
      </c>
      <c r="I282" s="289">
        <f>IF(D282&gt;0,RANK(D282,$D$266:$D$284),)</f>
        <v>1</v>
      </c>
      <c r="J282" s="289">
        <f>IF(E282&gt;0,RANK(E282,$E$266:$E$284),)</f>
        <v>4</v>
      </c>
      <c r="K282" s="289">
        <f>IF(F282&gt;0,RANK(F282,$F$266:$F$284),)</f>
        <v>2</v>
      </c>
      <c r="L282" s="363"/>
      <c r="M282" s="448">
        <v>25164.583333333336</v>
      </c>
    </row>
    <row r="283" spans="1:13" ht="12.75" customHeight="1">
      <c r="A283" s="77" t="s">
        <v>791</v>
      </c>
      <c r="B283" s="288">
        <f>IF($M283&gt;0,('Amounts Pivot Table'!J$553/$M283),0)</f>
        <v>0</v>
      </c>
      <c r="C283" s="288">
        <f>IF($M283&gt;0,('Amounts Pivot Table'!J$556/$M283),0)</f>
        <v>0</v>
      </c>
      <c r="D283" s="288">
        <f>IF($M283&gt;0,('Amounts Pivot Table'!J$559/$M283),0)</f>
        <v>0</v>
      </c>
      <c r="E283" s="288">
        <f>IF($M283&gt;0,('Amounts Pivot Table'!J$562/$M283),0)</f>
        <v>0</v>
      </c>
      <c r="F283" s="288">
        <f t="shared" si="39"/>
        <v>0</v>
      </c>
      <c r="G283" s="359">
        <f>IF(B283&gt;0,RANK(B283,$B$266:$B$284),)</f>
        <v>0</v>
      </c>
      <c r="H283" s="289">
        <f>IF(C283&gt;0,RANK(C283,$C$266:$C$284),)</f>
        <v>0</v>
      </c>
      <c r="I283" s="289">
        <f>IF(D283&gt;0,RANK(D283,$D$266:$D$284),)</f>
        <v>0</v>
      </c>
      <c r="J283" s="289">
        <f>IF(E283&gt;0,RANK(E283,$E$266:$E$284),)</f>
        <v>0</v>
      </c>
      <c r="K283" s="289">
        <f>IF(F283&gt;0,RANK(F283,$F$266:$F$284),)</f>
        <v>0</v>
      </c>
      <c r="L283" s="367"/>
      <c r="M283" s="448">
        <v>0</v>
      </c>
    </row>
    <row r="284" spans="1:13" ht="15.75" customHeight="1">
      <c r="A284" s="277" t="s">
        <v>792</v>
      </c>
      <c r="B284" s="296">
        <f>IF($M284&gt;0,('Amounts Pivot Table'!J$592/$M284),0)</f>
        <v>5189.5808306411172</v>
      </c>
      <c r="C284" s="296">
        <f>IF($M284&gt;0,('Amounts Pivot Table'!J$595/$M284),0)</f>
        <v>0</v>
      </c>
      <c r="D284" s="296">
        <f>IF($M284&gt;0,('Amounts Pivot Table'!J$598/$M284),0)</f>
        <v>0</v>
      </c>
      <c r="E284" s="296">
        <f>IF($M284&gt;0,('Amounts Pivot Table'!J$601/$M284),0)</f>
        <v>5225.8981117551693</v>
      </c>
      <c r="F284" s="364">
        <f t="shared" si="39"/>
        <v>10415.478942396287</v>
      </c>
      <c r="G284" s="365">
        <f>IF(B284&gt;0,RANK(B284,$B$266:$B$284),)</f>
        <v>2</v>
      </c>
      <c r="H284" s="366">
        <f>IF(C284&gt;0,RANK(C284,$C$266:$C$284),)</f>
        <v>0</v>
      </c>
      <c r="I284" s="366">
        <f>IF(D284&gt;0,RANK(D284,$D$266:$D$284),)</f>
        <v>0</v>
      </c>
      <c r="J284" s="366">
        <f>IF(E284&gt;0,RANK(E284,$E$266:$E$284),)</f>
        <v>1</v>
      </c>
      <c r="K284" s="366">
        <f>IF(F284&gt;0,RANK(F284,$F$266:$F$284),)</f>
        <v>1</v>
      </c>
      <c r="L284" s="367"/>
      <c r="M284" s="448">
        <v>2858.0333333333333</v>
      </c>
    </row>
    <row r="285" spans="1:13" s="362" customFormat="1" ht="34.5" customHeight="1">
      <c r="A285" s="1244" t="s">
        <v>926</v>
      </c>
      <c r="B285" s="1270"/>
      <c r="C285" s="1270"/>
      <c r="D285" s="1270"/>
      <c r="E285" s="1270"/>
      <c r="F285" s="1270"/>
      <c r="G285" s="1270"/>
      <c r="H285" s="1270"/>
      <c r="I285" s="1270"/>
      <c r="J285" s="1270"/>
      <c r="K285" s="1270"/>
      <c r="L285" s="363"/>
      <c r="M285" s="412"/>
    </row>
    <row r="286" spans="1:13" s="397" customFormat="1" ht="13.5" customHeight="1">
      <c r="A286" s="1244" t="s">
        <v>927</v>
      </c>
      <c r="B286" s="1270"/>
      <c r="C286" s="1270"/>
      <c r="D286" s="1270"/>
      <c r="E286" s="1270"/>
      <c r="F286" s="1270"/>
      <c r="G286" s="1270"/>
      <c r="H286" s="1270"/>
      <c r="I286" s="1270"/>
      <c r="J286" s="1270"/>
      <c r="K286" s="1270"/>
      <c r="L286" s="347"/>
      <c r="M286" s="464"/>
    </row>
    <row r="287" spans="1:13" ht="13.5" customHeight="1">
      <c r="A287" s="1244" t="s">
        <v>930</v>
      </c>
      <c r="B287" s="1245"/>
      <c r="C287" s="1245"/>
      <c r="D287" s="1245"/>
      <c r="E287" s="1245"/>
      <c r="F287" s="1245"/>
      <c r="G287" s="1245"/>
      <c r="H287" s="1245"/>
      <c r="I287" s="1245"/>
      <c r="J287" s="1245"/>
      <c r="K287" s="1245"/>
      <c r="L287" s="367"/>
      <c r="M287" s="449"/>
    </row>
    <row r="288" spans="1:13">
      <c r="A288" s="368"/>
      <c r="B288" s="369"/>
      <c r="C288" s="369"/>
      <c r="D288" s="369"/>
      <c r="E288" s="369"/>
      <c r="F288" s="369"/>
      <c r="G288" s="369"/>
      <c r="H288" s="369"/>
      <c r="I288" s="369"/>
      <c r="J288" s="369"/>
      <c r="K288" s="370" t="s">
        <v>1814</v>
      </c>
      <c r="L288" s="367"/>
      <c r="M288" s="465"/>
    </row>
    <row r="289" spans="1:13" ht="18">
      <c r="A289" s="336" t="s">
        <v>939</v>
      </c>
      <c r="B289" s="336"/>
      <c r="C289" s="336"/>
      <c r="D289" s="336"/>
      <c r="E289" s="336"/>
      <c r="F289" s="336"/>
      <c r="G289" s="336"/>
      <c r="H289" s="336"/>
      <c r="I289" s="336"/>
      <c r="J289" s="355"/>
      <c r="K289" s="336"/>
      <c r="L289" s="367"/>
      <c r="M289" s="412"/>
    </row>
    <row r="290" spans="1:13" ht="9.75" customHeight="1">
      <c r="A290" s="336"/>
      <c r="B290" s="336"/>
      <c r="C290" s="336"/>
      <c r="D290" s="336"/>
      <c r="E290" s="336"/>
      <c r="F290" s="336"/>
      <c r="G290" s="336"/>
      <c r="H290" s="336"/>
      <c r="I290" s="336"/>
      <c r="J290" s="355"/>
      <c r="K290" s="336"/>
      <c r="L290" s="367"/>
      <c r="M290" s="412"/>
    </row>
    <row r="291" spans="1:13" ht="17.5">
      <c r="A291" s="1228" t="s">
        <v>920</v>
      </c>
      <c r="B291" s="1228"/>
      <c r="C291" s="1228"/>
      <c r="D291" s="1228"/>
      <c r="E291" s="1228"/>
      <c r="F291" s="1228"/>
      <c r="G291" s="1228"/>
      <c r="H291" s="1228"/>
      <c r="I291" s="1228"/>
      <c r="J291" s="1228"/>
      <c r="K291" s="1228"/>
      <c r="L291" s="344"/>
      <c r="M291" s="412"/>
    </row>
    <row r="292" spans="1:13" ht="15.5">
      <c r="A292" s="1228" t="s">
        <v>1758</v>
      </c>
      <c r="B292" s="1228"/>
      <c r="C292" s="1228"/>
      <c r="D292" s="1228"/>
      <c r="E292" s="1228"/>
      <c r="F292" s="1228"/>
      <c r="G292" s="1228"/>
      <c r="H292" s="1228"/>
      <c r="I292" s="1228"/>
      <c r="J292" s="1228"/>
      <c r="K292" s="1228"/>
      <c r="L292" s="344"/>
      <c r="M292" s="441"/>
    </row>
    <row r="293" spans="1:13" ht="9" customHeight="1">
      <c r="A293" s="341"/>
      <c r="B293" s="341"/>
      <c r="C293" s="341"/>
      <c r="D293" s="341"/>
      <c r="E293" s="341"/>
      <c r="F293" s="341"/>
      <c r="G293" s="373"/>
      <c r="H293" s="341"/>
      <c r="I293" s="341"/>
      <c r="J293" s="341"/>
      <c r="K293" s="341"/>
      <c r="L293" s="344"/>
      <c r="M293" s="412"/>
    </row>
    <row r="294" spans="1:13" ht="16.5" customHeight="1">
      <c r="A294" s="346"/>
      <c r="B294" s="1268" t="s">
        <v>922</v>
      </c>
      <c r="C294" s="1269"/>
      <c r="D294" s="1269"/>
      <c r="E294" s="1269"/>
      <c r="F294" s="1269"/>
      <c r="G294" s="445" t="s">
        <v>923</v>
      </c>
      <c r="H294" s="446"/>
      <c r="I294" s="446"/>
      <c r="J294" s="446"/>
      <c r="K294" s="446"/>
      <c r="L294" s="389"/>
      <c r="M294" s="447" t="s">
        <v>1772</v>
      </c>
    </row>
    <row r="295" spans="1:13" s="53" customFormat="1" ht="46">
      <c r="A295" s="243"/>
      <c r="B295" s="420" t="s">
        <v>6</v>
      </c>
      <c r="C295" s="421" t="s">
        <v>7</v>
      </c>
      <c r="D295" s="421" t="s">
        <v>8</v>
      </c>
      <c r="E295" s="421" t="s">
        <v>960</v>
      </c>
      <c r="F295" s="421" t="s">
        <v>768</v>
      </c>
      <c r="G295" s="422" t="s">
        <v>6</v>
      </c>
      <c r="H295" s="421" t="s">
        <v>7</v>
      </c>
      <c r="I295" s="421" t="s">
        <v>8</v>
      </c>
      <c r="J295" s="421" t="s">
        <v>960</v>
      </c>
      <c r="K295" s="421" t="s">
        <v>768</v>
      </c>
      <c r="L295" s="350"/>
      <c r="M295" s="412" t="s">
        <v>932</v>
      </c>
    </row>
    <row r="296" spans="1:13" ht="14.5">
      <c r="A296" s="77" t="s">
        <v>925</v>
      </c>
      <c r="B296" s="352">
        <f>IF($M296&gt;0,('Amounts Pivot Table'!K$631/$M296),0)</f>
        <v>2984.9713820756465</v>
      </c>
      <c r="C296" s="352">
        <f>IF($M296&gt;0,('Amounts Pivot Table'!K$634/$M296),0)</f>
        <v>96.835258245853765</v>
      </c>
      <c r="D296" s="352">
        <f>IF($M296&gt;0,('Amounts Pivot Table'!K$637/$M296),0)</f>
        <v>3221.5648889744007</v>
      </c>
      <c r="E296" s="352">
        <f>IF($M296&gt;0,('Amounts Pivot Table'!K$640/$M296),0)</f>
        <v>2645.2938783495756</v>
      </c>
      <c r="F296" s="352">
        <f>SUM(B296:E296)</f>
        <v>8948.6654076454761</v>
      </c>
      <c r="G296" s="353"/>
      <c r="H296" s="354"/>
      <c r="I296" s="354"/>
      <c r="J296" s="354"/>
      <c r="K296" s="354"/>
      <c r="L296" s="356"/>
      <c r="M296" s="448">
        <v>652186.82888888894</v>
      </c>
    </row>
    <row r="297" spans="1:13" s="376" customFormat="1" ht="9.75" customHeight="1">
      <c r="B297" s="380"/>
      <c r="C297" s="380"/>
      <c r="D297" s="380"/>
      <c r="E297" s="380"/>
      <c r="F297" s="380"/>
      <c r="G297" s="387"/>
      <c r="H297" s="388"/>
      <c r="I297" s="388"/>
      <c r="J297" s="388"/>
      <c r="K297" s="388"/>
      <c r="L297" s="381"/>
      <c r="M297" s="448" t="s">
        <v>421</v>
      </c>
    </row>
    <row r="298" spans="1:13" ht="12.75" customHeight="1">
      <c r="A298" s="77" t="s">
        <v>777</v>
      </c>
      <c r="B298" s="288">
        <f>IF($M298&gt;0,('Amounts Pivot Table'!K$7/$M298),0)</f>
        <v>5111.7238670596998</v>
      </c>
      <c r="C298" s="288">
        <f>IF($M298&gt;0,('Amounts Pivot Table'!K$10/$M298),0)</f>
        <v>0</v>
      </c>
      <c r="D298" s="288">
        <f>IF($M298&gt;0,('Amounts Pivot Table'!K$13/$M298),0)</f>
        <v>48.589290920281172</v>
      </c>
      <c r="E298" s="288">
        <f>IF($M298&gt;0,('Amounts Pivot Table'!K$16/$M298),0)</f>
        <v>4442.7491820802697</v>
      </c>
      <c r="F298" s="288">
        <f t="shared" ref="F298:F316" si="40">SUM(B298:E298)</f>
        <v>9603.0623400602508</v>
      </c>
      <c r="G298" s="359">
        <f>IF(B298&gt;0,RANK(B298,$B$298:$B$316),)</f>
        <v>3</v>
      </c>
      <c r="H298" s="289">
        <f>IF(C298&gt;0,RANK(C298,$C$298:$C$316),)</f>
        <v>0</v>
      </c>
      <c r="I298" s="289">
        <f>IF(D298&gt;0,RANK(D298,$D$298:$D$316),)</f>
        <v>6</v>
      </c>
      <c r="J298" s="289">
        <f>IF(E298&gt;0,RANK(E298,$E$298:$E$316),)</f>
        <v>7</v>
      </c>
      <c r="K298" s="289">
        <f>IF(F298&gt;0,RANK(F298,$F$298:$F$316),)</f>
        <v>6</v>
      </c>
      <c r="L298" s="356"/>
      <c r="M298" s="448">
        <v>16464.533333333333</v>
      </c>
    </row>
    <row r="299" spans="1:13" ht="12.75" customHeight="1">
      <c r="A299" s="77" t="s">
        <v>778</v>
      </c>
      <c r="B299" s="288">
        <f>IF($M299&gt;0,('Amounts Pivot Table'!K$46/$M299),0)</f>
        <v>2843.9566263008919</v>
      </c>
      <c r="C299" s="288">
        <f>IF($M299&gt;0,('Amounts Pivot Table'!K$49/$M299),0)</f>
        <v>0</v>
      </c>
      <c r="D299" s="288">
        <f>IF($M299&gt;0,('Amounts Pivot Table'!K$52/$M299),0)</f>
        <v>2550.5999531785387</v>
      </c>
      <c r="E299" s="288">
        <f>IF($M299&gt;0,('Amounts Pivot Table'!K$55/$M299),0)</f>
        <v>4931.3969821439978</v>
      </c>
      <c r="F299" s="288">
        <f t="shared" si="40"/>
        <v>10325.953561623428</v>
      </c>
      <c r="G299" s="359">
        <f>IF(B299&gt;0,RANK(B299,$B$298:$B$316),)</f>
        <v>6</v>
      </c>
      <c r="H299" s="289">
        <f>IF(C299&gt;0,RANK(C299,$C$298:$C$316),)</f>
        <v>0</v>
      </c>
      <c r="I299" s="289">
        <f>IF(D299&gt;0,RANK(D299,$D$298:$D$316),)</f>
        <v>3</v>
      </c>
      <c r="J299" s="289">
        <f>IF(E299&gt;0,RANK(E299,$E$298:$E$316),)</f>
        <v>4</v>
      </c>
      <c r="K299" s="289">
        <f>IF(F299&gt;0,RANK(F299,$F$298:$F$316),)</f>
        <v>3</v>
      </c>
      <c r="L299" s="356"/>
      <c r="M299" s="448">
        <v>4698.7</v>
      </c>
    </row>
    <row r="300" spans="1:13" ht="12.75" customHeight="1">
      <c r="A300" s="77" t="s">
        <v>779</v>
      </c>
      <c r="B300" s="288">
        <f>IF($M300&gt;0,('Amounts Pivot Table'!K$85/$M300),0)</f>
        <v>0</v>
      </c>
      <c r="C300" s="288">
        <f>IF($M300&gt;0,('Amounts Pivot Table'!K$88/$M300),0)</f>
        <v>0</v>
      </c>
      <c r="D300" s="288">
        <f>IF($M300&gt;0,('Amounts Pivot Table'!K$91/$M300),0)</f>
        <v>0</v>
      </c>
      <c r="E300" s="288">
        <f>IF($M300&gt;0,('Amounts Pivot Table'!K$94/$M300),0)</f>
        <v>0</v>
      </c>
      <c r="F300" s="288">
        <f t="shared" si="40"/>
        <v>0</v>
      </c>
      <c r="G300" s="359">
        <f>IF(B300&gt;0,RANK(B300,$B$298:$B$316),)</f>
        <v>0</v>
      </c>
      <c r="H300" s="289">
        <f>IF(C300&gt;0,RANK(C300,$C$298:$C$316),)</f>
        <v>0</v>
      </c>
      <c r="I300" s="289">
        <f>IF(D300&gt;0,RANK(D300,$D$298:$D$316),)</f>
        <v>0</v>
      </c>
      <c r="J300" s="289">
        <f>IF(E300&gt;0,RANK(E300,$E$298:$E$316),)</f>
        <v>0</v>
      </c>
      <c r="K300" s="289">
        <f>IF(F300&gt;0,RANK(F300,$F$298:$F$316),)</f>
        <v>0</v>
      </c>
      <c r="L300" s="356"/>
      <c r="M300" s="448">
        <v>0</v>
      </c>
    </row>
    <row r="301" spans="1:13" ht="12.75" customHeight="1">
      <c r="A301" s="77" t="s">
        <v>780</v>
      </c>
      <c r="B301" s="288">
        <f>IF($M301&gt;0,('Amounts Pivot Table'!K$124/$M301),0)</f>
        <v>3514.5563377301755</v>
      </c>
      <c r="C301" s="288">
        <f>IF($M301&gt;0,('Amounts Pivot Table'!K$127/$M301),0)</f>
        <v>0</v>
      </c>
      <c r="D301" s="288">
        <f>IF($M301&gt;0,('Amounts Pivot Table'!K$130/$M301),0)</f>
        <v>0</v>
      </c>
      <c r="E301" s="288">
        <f>IF($M301&gt;0,('Amounts Pivot Table'!K$133/$M301),0)</f>
        <v>2185.4133734400939</v>
      </c>
      <c r="F301" s="288">
        <f t="shared" si="40"/>
        <v>5699.9697111702699</v>
      </c>
      <c r="G301" s="359">
        <f>IF(B301&gt;0,RANK(B301,$B$298:$B$316),)</f>
        <v>4</v>
      </c>
      <c r="H301" s="289">
        <f>IF(C301&gt;0,RANK(C301,$C$298:$C$316),)</f>
        <v>0</v>
      </c>
      <c r="I301" s="289">
        <f>IF(D301&gt;0,RANK(D301,$D$298:$D$316),)</f>
        <v>0</v>
      </c>
      <c r="J301" s="289">
        <f>IF(E301&gt;0,RANK(E301,$E$298:$E$316),)</f>
        <v>8</v>
      </c>
      <c r="K301" s="289">
        <f>IF(F301&gt;0,RANK(F301,$F$298:$F$316),)</f>
        <v>10</v>
      </c>
      <c r="L301" s="356"/>
      <c r="M301" s="448">
        <v>29592.867777777781</v>
      </c>
    </row>
    <row r="302" spans="1:13" ht="8.25" customHeight="1">
      <c r="B302" s="288"/>
      <c r="C302" s="288"/>
      <c r="D302" s="288"/>
      <c r="E302" s="288"/>
      <c r="F302" s="288"/>
      <c r="G302" s="359"/>
      <c r="H302" s="289"/>
      <c r="I302" s="289"/>
      <c r="J302" s="289"/>
      <c r="K302" s="289"/>
      <c r="L302" s="356"/>
      <c r="M302" s="448"/>
    </row>
    <row r="303" spans="1:13" ht="12.75" customHeight="1">
      <c r="A303" s="77" t="s">
        <v>781</v>
      </c>
      <c r="B303" s="288">
        <f>IF($M303&gt;0,('Amounts Pivot Table'!K$163/$M303),0)</f>
        <v>0</v>
      </c>
      <c r="C303" s="288">
        <f>IF($M303&gt;0,('Amounts Pivot Table'!K$166/$M303),0)</f>
        <v>0</v>
      </c>
      <c r="D303" s="288">
        <f>IF($M303&gt;0,('Amounts Pivot Table'!K$169/$M303),0)</f>
        <v>0</v>
      </c>
      <c r="E303" s="288">
        <f>IF($M303&gt;0,('Amounts Pivot Table'!K$172/$M303),0)</f>
        <v>0</v>
      </c>
      <c r="F303" s="288">
        <f t="shared" si="40"/>
        <v>0</v>
      </c>
      <c r="G303" s="359">
        <f>IF(B303&gt;0,RANK(B303,$B$298:$B$316),)</f>
        <v>0</v>
      </c>
      <c r="H303" s="289">
        <f>IF(C303&gt;0,RANK(C303,$C$298:$C$316),)</f>
        <v>0</v>
      </c>
      <c r="I303" s="289">
        <f>IF(D303&gt;0,RANK(D303,$D$298:$D$316),)</f>
        <v>0</v>
      </c>
      <c r="J303" s="289">
        <f>IF(E303&gt;0,RANK(E303,$E$298:$E$316),)</f>
        <v>0</v>
      </c>
      <c r="K303" s="289">
        <f>IF(F303&gt;0,RANK(F303,$F$298:$F$316),)</f>
        <v>0</v>
      </c>
      <c r="L303" s="356"/>
      <c r="M303" s="448">
        <v>0</v>
      </c>
    </row>
    <row r="304" spans="1:13" ht="12.75" customHeight="1">
      <c r="A304" s="77" t="s">
        <v>782</v>
      </c>
      <c r="B304" s="288">
        <f>IF($M304&gt;0,('Amounts Pivot Table'!K$202/$M304),0)</f>
        <v>2363.0112798886344</v>
      </c>
      <c r="C304" s="288">
        <f>IF($M304&gt;0,('Amounts Pivot Table'!K$205/$M304),0)</f>
        <v>0</v>
      </c>
      <c r="D304" s="288">
        <f>IF($M304&gt;0,('Amounts Pivot Table'!K$208/$M304),0)</f>
        <v>0</v>
      </c>
      <c r="E304" s="288">
        <f>IF($M304&gt;0,('Amounts Pivot Table'!K$211/$M304),0)</f>
        <v>5545.3140353750414</v>
      </c>
      <c r="F304" s="288">
        <f t="shared" si="40"/>
        <v>7908.3253152636753</v>
      </c>
      <c r="G304" s="359">
        <f>IF(B304&gt;0,RANK(B304,$B$298:$B$316),)</f>
        <v>10</v>
      </c>
      <c r="H304" s="289">
        <f>IF(C304&gt;0,RANK(C304,$C$298:$C$316),)</f>
        <v>0</v>
      </c>
      <c r="I304" s="289">
        <f>IF(D304&gt;0,RANK(D304,$D$298:$D$316),)</f>
        <v>0</v>
      </c>
      <c r="J304" s="289">
        <f>IF(E304&gt;0,RANK(E304,$E$298:$E$316),)</f>
        <v>2</v>
      </c>
      <c r="K304" s="289">
        <f>IF(F304&gt;0,RANK(F304,$F$298:$F$316),)</f>
        <v>8</v>
      </c>
      <c r="L304" s="356"/>
      <c r="M304" s="448">
        <v>13026.133333333333</v>
      </c>
    </row>
    <row r="305" spans="1:13" ht="12.75" customHeight="1">
      <c r="A305" s="77" t="s">
        <v>813</v>
      </c>
      <c r="B305" s="288">
        <f>IF($M305&gt;0,('Amounts Pivot Table'!K$241/$M305),0)</f>
        <v>2462.5345458346401</v>
      </c>
      <c r="C305" s="288">
        <f>IF($M305&gt;0,('Amounts Pivot Table'!K$244/$M305),0)</f>
        <v>0</v>
      </c>
      <c r="D305" s="288">
        <f>IF($M305&gt;0,('Amounts Pivot Table'!K$247/$M305),0)</f>
        <v>0</v>
      </c>
      <c r="E305" s="288">
        <f>IF($M305&gt;0,('Amounts Pivot Table'!K$250/$M305),0)</f>
        <v>4965.4651754294273</v>
      </c>
      <c r="F305" s="288">
        <f t="shared" si="40"/>
        <v>7427.9997212640674</v>
      </c>
      <c r="G305" s="359">
        <f>IF(B305&gt;0,RANK(B305,$B$298:$B$316),)</f>
        <v>8</v>
      </c>
      <c r="H305" s="289">
        <f>IF(C305&gt;0,RANK(C305,$C$298:$C$316),)</f>
        <v>0</v>
      </c>
      <c r="I305" s="289">
        <f>IF(D305&gt;0,RANK(D305,$D$298:$D$316),)</f>
        <v>0</v>
      </c>
      <c r="J305" s="289">
        <f>IF(E305&gt;0,RANK(E305,$E$298:$E$316),)</f>
        <v>3</v>
      </c>
      <c r="K305" s="289">
        <f>IF(F305&gt;0,RANK(F305,$F$298:$F$316),)</f>
        <v>9</v>
      </c>
      <c r="L305" s="356"/>
      <c r="M305" s="448">
        <v>14350.5</v>
      </c>
    </row>
    <row r="306" spans="1:13" ht="12.75" customHeight="1">
      <c r="A306" s="77" t="s">
        <v>784</v>
      </c>
      <c r="B306" s="288">
        <f>IF($M306&gt;0,('Amounts Pivot Table'!K$280/$M306),0)</f>
        <v>2961.3018737414709</v>
      </c>
      <c r="C306" s="288">
        <f>IF($M306&gt;0,('Amounts Pivot Table'!K$283/$M306),0)</f>
        <v>0</v>
      </c>
      <c r="D306" s="288">
        <f>IF($M306&gt;0,('Amounts Pivot Table'!K$286/$M306),0)</f>
        <v>5720.8666392186242</v>
      </c>
      <c r="E306" s="288">
        <f>IF($M306&gt;0,('Amounts Pivot Table'!K$289/$M306),0)</f>
        <v>4510.1233426252638</v>
      </c>
      <c r="F306" s="288">
        <f t="shared" si="40"/>
        <v>13192.291855585359</v>
      </c>
      <c r="G306" s="359">
        <f>IF(B306&gt;0,RANK(B306,$B$298:$B$316),)</f>
        <v>5</v>
      </c>
      <c r="H306" s="289">
        <f>IF(C306&gt;0,RANK(C306,$C$298:$C$316),)</f>
        <v>0</v>
      </c>
      <c r="I306" s="289">
        <f>IF(D306&gt;0,RANK(D306,$D$298:$D$316),)</f>
        <v>1</v>
      </c>
      <c r="J306" s="289">
        <f>IF(E306&gt;0,RANK(E306,$E$298:$E$316),)</f>
        <v>6</v>
      </c>
      <c r="K306" s="289">
        <f>IF(F306&gt;0,RANK(F306,$F$298:$F$316),)</f>
        <v>1</v>
      </c>
      <c r="L306" s="356"/>
      <c r="M306" s="448">
        <v>58575.316666666666</v>
      </c>
    </row>
    <row r="307" spans="1:13" ht="7.5" customHeight="1">
      <c r="B307" s="288"/>
      <c r="C307" s="288"/>
      <c r="D307" s="288"/>
      <c r="E307" s="288"/>
      <c r="F307" s="288"/>
      <c r="G307" s="359"/>
      <c r="H307" s="289"/>
      <c r="I307" s="289"/>
      <c r="J307" s="289"/>
      <c r="K307" s="289"/>
      <c r="L307" s="356"/>
      <c r="M307" s="448"/>
    </row>
    <row r="308" spans="1:13" ht="12.75" customHeight="1">
      <c r="A308" s="77" t="s">
        <v>785</v>
      </c>
      <c r="B308" s="288">
        <f>IF($M308&gt;0,('Amounts Pivot Table'!K$319/$M308),0)</f>
        <v>0</v>
      </c>
      <c r="C308" s="288">
        <f>IF($M308&gt;0,('Amounts Pivot Table'!K$322/$M308),0)</f>
        <v>0</v>
      </c>
      <c r="D308" s="288">
        <f>IF($M308&gt;0,('Amounts Pivot Table'!K$325/$M308),0)</f>
        <v>0</v>
      </c>
      <c r="E308" s="288">
        <f>IF($M308&gt;0,('Amounts Pivot Table'!K$328/$M308),0)</f>
        <v>0</v>
      </c>
      <c r="F308" s="288">
        <f t="shared" si="40"/>
        <v>0</v>
      </c>
      <c r="G308" s="359">
        <f>IF(B308&gt;0,RANK(B308,$B$298:$B$316),)</f>
        <v>0</v>
      </c>
      <c r="H308" s="289">
        <f>IF(C308&gt;0,RANK(C308,$C$298:$C$316),)</f>
        <v>0</v>
      </c>
      <c r="I308" s="289">
        <f>IF(D308&gt;0,RANK(D308,$D$298:$D$316),)</f>
        <v>0</v>
      </c>
      <c r="J308" s="289">
        <f>IF(E308&gt;0,RANK(E308,$E$298:$E$316),)</f>
        <v>0</v>
      </c>
      <c r="K308" s="289">
        <f>IF(F308&gt;0,RANK(F308,$F$298:$F$316),)</f>
        <v>0</v>
      </c>
      <c r="L308" s="356"/>
      <c r="M308" s="448">
        <v>0</v>
      </c>
    </row>
    <row r="309" spans="1:13" ht="12.75" customHeight="1">
      <c r="A309" s="77" t="s">
        <v>786</v>
      </c>
      <c r="B309" s="288">
        <f>IF($M309&gt;0,('Amounts Pivot Table'!K$358/$M309),0)</f>
        <v>5114.9270497758262</v>
      </c>
      <c r="C309" s="288">
        <f>IF($M309&gt;0,('Amounts Pivot Table'!K$361/$M309),0)</f>
        <v>670.25365535098138</v>
      </c>
      <c r="D309" s="288">
        <f>IF($M309&gt;0,('Amounts Pivot Table'!K$364/$M309),0)</f>
        <v>1748.9770199185291</v>
      </c>
      <c r="E309" s="288">
        <f>IF($M309&gt;0,('Amounts Pivot Table'!K$367/$M309),0)</f>
        <v>1810.7410592904655</v>
      </c>
      <c r="F309" s="288">
        <f t="shared" si="40"/>
        <v>9344.8987843358027</v>
      </c>
      <c r="G309" s="359">
        <f>IF(B309&gt;0,RANK(B309,$B$298:$B$316),)</f>
        <v>2</v>
      </c>
      <c r="H309" s="289">
        <f>IF(C309&gt;0,RANK(C309,$C$298:$C$316),)</f>
        <v>1</v>
      </c>
      <c r="I309" s="289">
        <f>IF(D309&gt;0,RANK(D309,$D$298:$D$316),)</f>
        <v>4</v>
      </c>
      <c r="J309" s="289">
        <f>IF(E309&gt;0,RANK(E309,$E$298:$E$316),)</f>
        <v>10</v>
      </c>
      <c r="K309" s="289">
        <f>IF(F309&gt;0,RANK(F309,$F$298:$F$316),)</f>
        <v>7</v>
      </c>
      <c r="L309" s="356"/>
      <c r="M309" s="448">
        <v>78091.832222222234</v>
      </c>
    </row>
    <row r="310" spans="1:13" ht="12.75" customHeight="1">
      <c r="A310" s="77" t="s">
        <v>787</v>
      </c>
      <c r="B310" s="288">
        <f>IF($M310&gt;0,('Amounts Pivot Table'!K$397/$M310),0)</f>
        <v>0</v>
      </c>
      <c r="C310" s="288">
        <f>IF($M310&gt;0,('Amounts Pivot Table'!K$400/$M310),0)</f>
        <v>0</v>
      </c>
      <c r="D310" s="288">
        <f>IF($M310&gt;0,('Amounts Pivot Table'!K$403/$M310),0)</f>
        <v>0</v>
      </c>
      <c r="E310" s="288">
        <f>IF($M310&gt;0,('Amounts Pivot Table'!K$406/$M310),0)</f>
        <v>0</v>
      </c>
      <c r="F310" s="288">
        <f t="shared" si="40"/>
        <v>0</v>
      </c>
      <c r="G310" s="359">
        <f>IF(B310&gt;0,RANK(B310,$B$298:$B$316),)</f>
        <v>0</v>
      </c>
      <c r="H310" s="289">
        <f>IF(C310&gt;0,RANK(C310,$C$298:$C$316),)</f>
        <v>0</v>
      </c>
      <c r="I310" s="289">
        <f>IF(D310&gt;0,RANK(D310,$D$298:$D$316),)</f>
        <v>0</v>
      </c>
      <c r="J310" s="289">
        <f>IF(E310&gt;0,RANK(E310,$E$298:$E$316),)</f>
        <v>0</v>
      </c>
      <c r="K310" s="289">
        <f>IF(F310&gt;0,RANK(F310,$F$298:$F$316),)</f>
        <v>0</v>
      </c>
      <c r="L310" s="356"/>
      <c r="M310" s="448">
        <v>0</v>
      </c>
    </row>
    <row r="311" spans="1:13" ht="12.75" customHeight="1">
      <c r="A311" s="77" t="s">
        <v>788</v>
      </c>
      <c r="B311" s="288">
        <f>IF($M311&gt;0,('Amounts Pivot Table'!K$436/$M311),0)</f>
        <v>2449.5462012546718</v>
      </c>
      <c r="C311" s="288">
        <f>IF($M311&gt;0,('Amounts Pivot Table'!K$439/$M311),0)</f>
        <v>397.39892614193883</v>
      </c>
      <c r="D311" s="288">
        <f>IF($M311&gt;0,('Amounts Pivot Table'!K$442/$M311),0)</f>
        <v>1697.4702226730317</v>
      </c>
      <c r="E311" s="288">
        <f>IF($M311&gt;0,('Amounts Pivot Table'!K$445/$M311),0)</f>
        <v>6695.3440792641013</v>
      </c>
      <c r="F311" s="288">
        <f t="shared" si="40"/>
        <v>11239.759429333742</v>
      </c>
      <c r="G311" s="359">
        <f>IF(B311&gt;0,RANK(B311,$B$298:$B$316),)</f>
        <v>9</v>
      </c>
      <c r="H311" s="289">
        <f>IF(C311&gt;0,RANK(C311,$C$298:$C$316),)</f>
        <v>2</v>
      </c>
      <c r="I311" s="289">
        <f>IF(D311&gt;0,RANK(D311,$D$298:$D$316),)</f>
        <v>5</v>
      </c>
      <c r="J311" s="289">
        <f>IF(E311&gt;0,RANK(E311,$E$298:$E$316),)</f>
        <v>1</v>
      </c>
      <c r="K311" s="289">
        <f>IF(F311&gt;0,RANK(F311,$F$298:$F$316),)</f>
        <v>2</v>
      </c>
      <c r="L311" s="356"/>
      <c r="M311" s="448">
        <v>27210.300000000003</v>
      </c>
    </row>
    <row r="312" spans="1:13" ht="9.75" customHeight="1">
      <c r="B312" s="288"/>
      <c r="C312" s="288"/>
      <c r="D312" s="288"/>
      <c r="E312" s="288"/>
      <c r="F312" s="288"/>
      <c r="G312" s="359"/>
      <c r="H312" s="289"/>
      <c r="I312" s="289"/>
      <c r="J312" s="289"/>
      <c r="K312" s="289"/>
      <c r="L312" s="356"/>
      <c r="M312" s="448"/>
    </row>
    <row r="313" spans="1:13" ht="12.75" customHeight="1">
      <c r="A313" s="77" t="s">
        <v>789</v>
      </c>
      <c r="B313" s="288">
        <f>IF($M313&gt;0,('Amounts Pivot Table'!K$475/$M313),0)</f>
        <v>5349.4263433281067</v>
      </c>
      <c r="C313" s="288">
        <f>IF($M313&gt;0,('Amounts Pivot Table'!K$478/$M313),0)</f>
        <v>0</v>
      </c>
      <c r="D313" s="288">
        <f>IF($M313&gt;0,('Amounts Pivot Table'!K$481/$M313),0)</f>
        <v>0</v>
      </c>
      <c r="E313" s="288">
        <f>IF($M313&gt;0,('Amounts Pivot Table'!K$484/$M313),0)</f>
        <v>4848.4678025403164</v>
      </c>
      <c r="F313" s="288">
        <f t="shared" si="40"/>
        <v>10197.894145868424</v>
      </c>
      <c r="G313" s="359">
        <f>IF(B313&gt;0,RANK(B313,$B$298:$B$316),)</f>
        <v>1</v>
      </c>
      <c r="H313" s="289">
        <f>IF(C313&gt;0,RANK(C313,$C$298:$C$316),)</f>
        <v>0</v>
      </c>
      <c r="I313" s="289">
        <f>IF(D313&gt;0,RANK(D313,$D$298:$D$316),)</f>
        <v>0</v>
      </c>
      <c r="J313" s="289">
        <f>IF(E313&gt;0,RANK(E313,$E$298:$E$316),)</f>
        <v>5</v>
      </c>
      <c r="K313" s="289">
        <f>IF(F313&gt;0,RANK(F313,$F$298:$F$316),)</f>
        <v>4</v>
      </c>
      <c r="L313" s="356"/>
      <c r="M313" s="448">
        <v>28409.85</v>
      </c>
    </row>
    <row r="314" spans="1:13" s="362" customFormat="1" ht="12.75" customHeight="1">
      <c r="A314" s="77" t="s">
        <v>940</v>
      </c>
      <c r="B314" s="288">
        <f>IF($M314&gt;0,('Amounts Pivot Table'!K$514/$M314),0)</f>
        <v>2739.1129422546182</v>
      </c>
      <c r="C314" s="288">
        <f>IF($M314&gt;0,('Amounts Pivot Table'!K$517/$M314),0)</f>
        <v>0</v>
      </c>
      <c r="D314" s="288">
        <f>IF($M314&gt;0,('Amounts Pivot Table'!K$520/$M314),0)</f>
        <v>4846.3138180849246</v>
      </c>
      <c r="E314" s="288">
        <f>IF($M314&gt;0,('Amounts Pivot Table'!K$523/$M314),0)</f>
        <v>2145.4994161309587</v>
      </c>
      <c r="F314" s="288">
        <f t="shared" si="40"/>
        <v>9730.9261764705006</v>
      </c>
      <c r="G314" s="359">
        <f>IF(B314&gt;0,RANK(B314,$B$298:$B$316),)</f>
        <v>7</v>
      </c>
      <c r="H314" s="289">
        <f>IF(C314&gt;0,RANK(C314,$C$298:$C$316),)</f>
        <v>0</v>
      </c>
      <c r="I314" s="289">
        <f>IF(D314&gt;0,RANK(D314,$D$298:$D$316),)</f>
        <v>2</v>
      </c>
      <c r="J314" s="289">
        <f>IF(E314&gt;0,RANK(E314,$E$298:$E$316),)</f>
        <v>9</v>
      </c>
      <c r="K314" s="289">
        <f>IF(F314&gt;0,RANK(F314,$F$298:$F$316),)</f>
        <v>5</v>
      </c>
      <c r="L314" s="363"/>
      <c r="M314" s="448">
        <v>324041.4622222223</v>
      </c>
    </row>
    <row r="315" spans="1:13" ht="12.75" customHeight="1">
      <c r="A315" s="77" t="s">
        <v>791</v>
      </c>
      <c r="B315" s="288">
        <f>IF($M315&gt;0,('Amounts Pivot Table'!K$553/$M315),0)</f>
        <v>0</v>
      </c>
      <c r="C315" s="288">
        <f>IF($M315&gt;0,('Amounts Pivot Table'!K$556/$M315),0)</f>
        <v>0</v>
      </c>
      <c r="D315" s="288">
        <f>IF($M315&gt;0,('Amounts Pivot Table'!K$559/$M315),0)</f>
        <v>0</v>
      </c>
      <c r="E315" s="288">
        <f>IF($M315&gt;0,('Amounts Pivot Table'!K$562/$M315),0)</f>
        <v>0</v>
      </c>
      <c r="F315" s="288">
        <f t="shared" si="40"/>
        <v>0</v>
      </c>
      <c r="G315" s="359">
        <f>IF(B315&gt;0,RANK(B315,$B$298:$B$316),)</f>
        <v>0</v>
      </c>
      <c r="H315" s="289">
        <f>IF(C315&gt;0,RANK(C315,$C$298:$C$316),)</f>
        <v>0</v>
      </c>
      <c r="I315" s="289">
        <f>IF(D315&gt;0,RANK(D315,$D$298:$D$316),)</f>
        <v>0</v>
      </c>
      <c r="J315" s="289">
        <f>IF(E315&gt;0,RANK(E315,$E$298:$E$316),)</f>
        <v>0</v>
      </c>
      <c r="K315" s="289">
        <f>IF(F315&gt;0,RANK(F315,$F$298:$F$316),)</f>
        <v>0</v>
      </c>
      <c r="L315" s="367"/>
      <c r="M315" s="448">
        <v>57725.333333333336</v>
      </c>
    </row>
    <row r="316" spans="1:13" ht="15.75" customHeight="1">
      <c r="A316" s="277" t="s">
        <v>792</v>
      </c>
      <c r="B316" s="296">
        <f>IF($M316&gt;0,('Amounts Pivot Table'!K$592/$M316),0)</f>
        <v>0</v>
      </c>
      <c r="C316" s="296">
        <f>IF($M316&gt;0,('Amounts Pivot Table'!K$595/$M316),0)</f>
        <v>0</v>
      </c>
      <c r="D316" s="296">
        <f>IF($M316&gt;0,('Amounts Pivot Table'!K$598/$M316),0)</f>
        <v>0</v>
      </c>
      <c r="E316" s="296">
        <f>IF($M316&gt;0,('Amounts Pivot Table'!K$601/$M316),0)</f>
        <v>0</v>
      </c>
      <c r="F316" s="364">
        <f t="shared" si="40"/>
        <v>0</v>
      </c>
      <c r="G316" s="365">
        <f>IF(B316&gt;0,RANK(B316,$B$298:$B$316),)</f>
        <v>0</v>
      </c>
      <c r="H316" s="366">
        <f>IF(C316&gt;0,RANK(C316,$C$298:$C$316),)</f>
        <v>0</v>
      </c>
      <c r="I316" s="366">
        <f>IF(D316&gt;0,RANK(D316,$D$298:$D$316),)</f>
        <v>0</v>
      </c>
      <c r="J316" s="366">
        <f>IF(E316&gt;0,RANK(E316,$E$298:$E$316),)</f>
        <v>0</v>
      </c>
      <c r="K316" s="366">
        <f>IF(F316&gt;0,RANK(F316,$F$298:$F$316),)</f>
        <v>0</v>
      </c>
      <c r="L316" s="367"/>
      <c r="M316" s="448">
        <v>0</v>
      </c>
    </row>
    <row r="317" spans="1:13" s="362" customFormat="1" ht="18">
      <c r="A317" s="1271" t="s">
        <v>968</v>
      </c>
      <c r="B317" s="1271"/>
      <c r="C317" s="1271"/>
      <c r="D317" s="1271"/>
      <c r="E317" s="1271"/>
      <c r="F317" s="1271"/>
      <c r="G317" s="1271"/>
      <c r="H317" s="1271"/>
      <c r="I317" s="1271"/>
      <c r="J317" s="1271"/>
      <c r="K317" s="1271"/>
      <c r="L317" s="363"/>
      <c r="M317" s="449"/>
    </row>
    <row r="318" spans="1:13" s="362" customFormat="1" ht="32.25" customHeight="1">
      <c r="A318" s="1244" t="s">
        <v>926</v>
      </c>
      <c r="B318" s="1270"/>
      <c r="C318" s="1270"/>
      <c r="D318" s="1270"/>
      <c r="E318" s="1270"/>
      <c r="F318" s="1270"/>
      <c r="G318" s="1270"/>
      <c r="H318" s="1270"/>
      <c r="I318" s="1270"/>
      <c r="J318" s="1270"/>
      <c r="K318" s="1270"/>
      <c r="L318" s="363"/>
      <c r="M318" s="412"/>
    </row>
    <row r="319" spans="1:13" s="397" customFormat="1" ht="13.5" customHeight="1">
      <c r="A319" s="1244" t="s">
        <v>927</v>
      </c>
      <c r="B319" s="1270"/>
      <c r="C319" s="1270"/>
      <c r="D319" s="1270"/>
      <c r="E319" s="1270"/>
      <c r="F319" s="1270"/>
      <c r="G319" s="1270"/>
      <c r="H319" s="1270"/>
      <c r="I319" s="1270"/>
      <c r="J319" s="1270"/>
      <c r="K319" s="1270"/>
      <c r="L319" s="347"/>
      <c r="M319" s="464"/>
    </row>
    <row r="320" spans="1:13" ht="13.5" customHeight="1">
      <c r="A320" s="1244" t="s">
        <v>930</v>
      </c>
      <c r="B320" s="1245"/>
      <c r="C320" s="1245"/>
      <c r="D320" s="1245"/>
      <c r="E320" s="1245"/>
      <c r="F320" s="1245"/>
      <c r="G320" s="1245"/>
      <c r="H320" s="1245"/>
      <c r="I320" s="1245"/>
      <c r="J320" s="1245"/>
      <c r="K320" s="1245"/>
      <c r="L320" s="367"/>
      <c r="M320" s="449"/>
    </row>
    <row r="321" spans="1:13">
      <c r="A321" s="368"/>
      <c r="B321" s="369"/>
      <c r="C321" s="369"/>
      <c r="D321" s="369"/>
      <c r="E321" s="369"/>
      <c r="F321" s="369"/>
      <c r="G321" s="369"/>
      <c r="H321" s="369"/>
      <c r="I321" s="369"/>
      <c r="J321" s="369"/>
      <c r="K321" s="370" t="s">
        <v>1814</v>
      </c>
      <c r="L321" s="401"/>
      <c r="M321" s="412"/>
    </row>
    <row r="322" spans="1:13" ht="18">
      <c r="A322" s="336" t="s">
        <v>942</v>
      </c>
      <c r="B322" s="336"/>
      <c r="C322" s="336"/>
      <c r="D322" s="336"/>
      <c r="E322" s="336"/>
      <c r="F322" s="336"/>
      <c r="G322" s="336"/>
      <c r="H322" s="336"/>
      <c r="I322" s="336"/>
      <c r="J322" s="355"/>
      <c r="K322" s="336"/>
      <c r="L322" s="367"/>
      <c r="M322" s="412"/>
    </row>
    <row r="323" spans="1:13" ht="12.75" customHeight="1">
      <c r="A323" s="336"/>
      <c r="B323" s="336"/>
      <c r="C323" s="336"/>
      <c r="D323" s="336"/>
      <c r="E323" s="336"/>
      <c r="F323" s="336"/>
      <c r="G323" s="336"/>
      <c r="H323" s="336"/>
      <c r="I323" s="336"/>
      <c r="J323" s="355"/>
      <c r="K323" s="336"/>
      <c r="L323" s="367"/>
      <c r="M323" s="412"/>
    </row>
    <row r="324" spans="1:13" ht="17.5">
      <c r="A324" s="1228" t="s">
        <v>920</v>
      </c>
      <c r="B324" s="1228"/>
      <c r="C324" s="1228"/>
      <c r="D324" s="1228"/>
      <c r="E324" s="1228"/>
      <c r="F324" s="1228"/>
      <c r="G324" s="1228"/>
      <c r="H324" s="1228"/>
      <c r="I324" s="1228"/>
      <c r="J324" s="1228"/>
      <c r="K324" s="1228"/>
      <c r="L324" s="344"/>
      <c r="M324" s="412"/>
    </row>
    <row r="325" spans="1:13" ht="15.5">
      <c r="A325" s="1228" t="s">
        <v>1759</v>
      </c>
      <c r="B325" s="1228"/>
      <c r="C325" s="1228"/>
      <c r="D325" s="1228"/>
      <c r="E325" s="1228"/>
      <c r="F325" s="1228"/>
      <c r="G325" s="1228"/>
      <c r="H325" s="1228"/>
      <c r="I325" s="1228"/>
      <c r="J325" s="1228"/>
      <c r="K325" s="1228"/>
      <c r="L325" s="344"/>
      <c r="M325" s="441"/>
    </row>
    <row r="326" spans="1:13" ht="9" customHeight="1">
      <c r="A326" s="341"/>
      <c r="B326" s="341"/>
      <c r="C326" s="341"/>
      <c r="D326" s="341"/>
      <c r="E326" s="341"/>
      <c r="F326" s="341"/>
      <c r="G326" s="373"/>
      <c r="H326" s="341"/>
      <c r="I326" s="341"/>
      <c r="J326" s="341"/>
      <c r="K326" s="341"/>
      <c r="L326" s="344"/>
      <c r="M326" s="441"/>
    </row>
    <row r="327" spans="1:13" ht="14.25" customHeight="1">
      <c r="A327" s="346"/>
      <c r="B327" s="1268" t="s">
        <v>922</v>
      </c>
      <c r="C327" s="1269"/>
      <c r="D327" s="1269"/>
      <c r="E327" s="1269"/>
      <c r="F327" s="1269"/>
      <c r="G327" s="445" t="s">
        <v>923</v>
      </c>
      <c r="H327" s="446"/>
      <c r="I327" s="446"/>
      <c r="J327" s="446"/>
      <c r="K327" s="446"/>
      <c r="L327" s="389"/>
      <c r="M327" s="447" t="s">
        <v>1773</v>
      </c>
    </row>
    <row r="328" spans="1:13" s="403" customFormat="1" ht="48" customHeight="1">
      <c r="A328" s="243"/>
      <c r="B328" s="420" t="s">
        <v>6</v>
      </c>
      <c r="C328" s="421" t="s">
        <v>7</v>
      </c>
      <c r="D328" s="421" t="s">
        <v>8</v>
      </c>
      <c r="E328" s="421" t="s">
        <v>960</v>
      </c>
      <c r="F328" s="421" t="s">
        <v>768</v>
      </c>
      <c r="G328" s="422" t="s">
        <v>6</v>
      </c>
      <c r="H328" s="421" t="s">
        <v>7</v>
      </c>
      <c r="I328" s="421" t="s">
        <v>8</v>
      </c>
      <c r="J328" s="421" t="s">
        <v>960</v>
      </c>
      <c r="K328" s="421" t="s">
        <v>768</v>
      </c>
      <c r="L328" s="402"/>
      <c r="M328" s="442" t="s">
        <v>932</v>
      </c>
    </row>
    <row r="329" spans="1:13" ht="14.5">
      <c r="A329" s="77" t="s">
        <v>925</v>
      </c>
      <c r="B329" s="352">
        <f>IF($M329&gt;0,('Amounts Pivot Table'!L$631/$M329),0)</f>
        <v>4073.6706271460143</v>
      </c>
      <c r="C329" s="352">
        <f>IF($M329&gt;0,('Amounts Pivot Table'!L$634/$M329),0)</f>
        <v>236.23791803540831</v>
      </c>
      <c r="D329" s="352">
        <f>IF($M329&gt;0,('Amounts Pivot Table'!L$637/$M329),0)</f>
        <v>1343.8076518953078</v>
      </c>
      <c r="E329" s="352">
        <f>IF($M329&gt;0,('Amounts Pivot Table'!L$640/$M329),0)</f>
        <v>3157.1973398962646</v>
      </c>
      <c r="F329" s="352">
        <f>SUM(B329:E329)</f>
        <v>8810.9135369729956</v>
      </c>
      <c r="G329" s="353"/>
      <c r="H329" s="354"/>
      <c r="I329" s="354"/>
      <c r="J329" s="354"/>
      <c r="K329" s="354"/>
      <c r="L329" s="356"/>
      <c r="M329" s="448">
        <v>304485.87000000005</v>
      </c>
    </row>
    <row r="330" spans="1:13" ht="10.5" customHeight="1">
      <c r="B330" s="352"/>
      <c r="C330" s="352"/>
      <c r="D330" s="352"/>
      <c r="E330" s="352"/>
      <c r="F330" s="352"/>
      <c r="G330" s="353"/>
      <c r="H330" s="354"/>
      <c r="I330" s="354"/>
      <c r="J330" s="354"/>
      <c r="K330" s="354"/>
      <c r="L330" s="356"/>
      <c r="M330" s="448" t="s">
        <v>421</v>
      </c>
    </row>
    <row r="331" spans="1:13" ht="12.75" customHeight="1">
      <c r="A331" s="77" t="s">
        <v>777</v>
      </c>
      <c r="B331" s="288">
        <f>IF($M331&gt;0,('Amounts Pivot Table'!L$7/$M331),0)</f>
        <v>6332.943347796373</v>
      </c>
      <c r="C331" s="288">
        <f>IF($M331&gt;0,('Amounts Pivot Table'!L$10/$M331),0)</f>
        <v>0</v>
      </c>
      <c r="D331" s="288">
        <f>IF($M331&gt;0,('Amounts Pivot Table'!L$13/$M331),0)</f>
        <v>9.7347383143406585</v>
      </c>
      <c r="E331" s="288">
        <f>IF($M331&gt;0,('Amounts Pivot Table'!L$16/$M331),0)</f>
        <v>4610.5271857467533</v>
      </c>
      <c r="F331" s="288">
        <f t="shared" ref="F331:F349" si="41">SUM(B331:E331)</f>
        <v>10953.205271857467</v>
      </c>
      <c r="G331" s="359">
        <f>IF(B331&gt;0,RANK(B331,$B$331:$B$349),)</f>
        <v>2</v>
      </c>
      <c r="H331" s="289">
        <f>IF(C331&gt;0,RANK(C331,$C$331:$C$349),)</f>
        <v>0</v>
      </c>
      <c r="I331" s="289">
        <f>IF(D331&gt;0,RANK(D331,$D$331:$D$349),)</f>
        <v>6</v>
      </c>
      <c r="J331" s="289">
        <f>IF(E331&gt;0,RANK(E331,$E$331:$E$349),)</f>
        <v>7</v>
      </c>
      <c r="K331" s="289">
        <f>IF(F331&gt;0,RANK(F331,$F$331:$F$349),)</f>
        <v>4</v>
      </c>
      <c r="L331" s="356"/>
      <c r="M331" s="448">
        <v>25167.600000000002</v>
      </c>
    </row>
    <row r="332" spans="1:13" ht="12.75" customHeight="1">
      <c r="A332" s="77" t="s">
        <v>778</v>
      </c>
      <c r="B332" s="288">
        <f>IF($M332&gt;0,('Amounts Pivot Table'!L$46/$M332),0)</f>
        <v>5194.93009416113</v>
      </c>
      <c r="C332" s="288">
        <f>IF($M332&gt;0,('Amounts Pivot Table'!L$49/$M332),0)</f>
        <v>0</v>
      </c>
      <c r="D332" s="288">
        <f>IF($M332&gt;0,('Amounts Pivot Table'!L$52/$M332),0)</f>
        <v>378.34525014300175</v>
      </c>
      <c r="E332" s="288">
        <f>IF($M332&gt;0,('Amounts Pivot Table'!L$55/$M332),0)</f>
        <v>5135.3435891230702</v>
      </c>
      <c r="F332" s="288">
        <f t="shared" si="41"/>
        <v>10708.618933427202</v>
      </c>
      <c r="G332" s="359">
        <f>IF(B332&gt;0,RANK(B332,$B$331:$B$349),)</f>
        <v>5</v>
      </c>
      <c r="H332" s="289">
        <f>IF(C332&gt;0,RANK(C332,$C$331:$C$349),)</f>
        <v>0</v>
      </c>
      <c r="I332" s="289">
        <f>IF(D332&gt;0,RANK(D332,$D$331:$D$349),)</f>
        <v>5</v>
      </c>
      <c r="J332" s="289">
        <f>IF(E332&gt;0,RANK(E332,$E$331:$E$349),)</f>
        <v>5</v>
      </c>
      <c r="K332" s="289">
        <f>IF(F332&gt;0,RANK(F332,$F$331:$F$349),)</f>
        <v>5</v>
      </c>
      <c r="L332" s="356"/>
      <c r="M332" s="448">
        <v>6060.5333333333328</v>
      </c>
    </row>
    <row r="333" spans="1:13" ht="12.75" customHeight="1">
      <c r="A333" s="77" t="s">
        <v>779</v>
      </c>
      <c r="B333" s="288">
        <f>IF($M333&gt;0,('Amounts Pivot Table'!L$85/$M333),0)</f>
        <v>8923.7838293567147</v>
      </c>
      <c r="C333" s="288">
        <f>IF($M333&gt;0,('Amounts Pivot Table'!L$88/$M333),0)</f>
        <v>0</v>
      </c>
      <c r="D333" s="288">
        <f>IF($M333&gt;0,('Amounts Pivot Table'!L$91/$M333),0)</f>
        <v>0</v>
      </c>
      <c r="E333" s="288">
        <f>IF($M333&gt;0,('Amounts Pivot Table'!L$94/$M333),0)</f>
        <v>5631.9630963421532</v>
      </c>
      <c r="F333" s="288">
        <f t="shared" si="41"/>
        <v>14555.746925698868</v>
      </c>
      <c r="G333" s="359">
        <f>IF(B333&gt;0,RANK(B333,$B$331:$B$349),)</f>
        <v>1</v>
      </c>
      <c r="H333" s="289">
        <f>IF(C333&gt;0,RANK(C333,$C$331:$C$349),)</f>
        <v>0</v>
      </c>
      <c r="I333" s="289">
        <f>IF(D333&gt;0,RANK(D333,$D$331:$D$349),)</f>
        <v>0</v>
      </c>
      <c r="J333" s="289">
        <f>IF(E333&gt;0,RANK(E333,$E$331:$E$349),)</f>
        <v>2</v>
      </c>
      <c r="K333" s="289">
        <f>IF(F333&gt;0,RANK(F333,$F$331:$F$349),)</f>
        <v>2</v>
      </c>
      <c r="L333" s="356"/>
      <c r="M333" s="448">
        <v>8302.7000000000007</v>
      </c>
    </row>
    <row r="334" spans="1:13" ht="12.75" customHeight="1">
      <c r="A334" s="77" t="s">
        <v>780</v>
      </c>
      <c r="B334" s="288">
        <f>IF($M334&gt;0,('Amounts Pivot Table'!L$124/$M334),0)</f>
        <v>0</v>
      </c>
      <c r="C334" s="288">
        <f>IF($M334&gt;0,('Amounts Pivot Table'!L$127/$M334),0)</f>
        <v>0</v>
      </c>
      <c r="D334" s="288">
        <f>IF($M334&gt;0,('Amounts Pivot Table'!L$130/$M334),0)</f>
        <v>0</v>
      </c>
      <c r="E334" s="288">
        <f>IF($M334&gt;0,('Amounts Pivot Table'!L$133/$M334),0)</f>
        <v>0</v>
      </c>
      <c r="F334" s="288">
        <f t="shared" si="41"/>
        <v>0</v>
      </c>
      <c r="G334" s="359">
        <f>IF(B334&gt;0,RANK(B334,$B$331:$B$349),)</f>
        <v>0</v>
      </c>
      <c r="H334" s="289">
        <f>IF(C334&gt;0,RANK(C334,$C$331:$C$349),)</f>
        <v>0</v>
      </c>
      <c r="I334" s="289">
        <f>IF(D334&gt;0,RANK(D334,$D$331:$D$349),)</f>
        <v>0</v>
      </c>
      <c r="J334" s="289">
        <f>IF(E334&gt;0,RANK(E334,$E$331:$E$349),)</f>
        <v>0</v>
      </c>
      <c r="K334" s="289">
        <f>IF(F334&gt;0,RANK(F334,$F$331:$F$349),)</f>
        <v>0</v>
      </c>
      <c r="L334" s="356"/>
      <c r="M334" s="448">
        <v>0</v>
      </c>
    </row>
    <row r="335" spans="1:13" ht="10.5" customHeight="1">
      <c r="B335" s="288"/>
      <c r="C335" s="288"/>
      <c r="D335" s="288"/>
      <c r="E335" s="288"/>
      <c r="F335" s="288"/>
      <c r="G335" s="359"/>
      <c r="H335" s="289"/>
      <c r="I335" s="289"/>
      <c r="J335" s="289"/>
      <c r="K335" s="289"/>
      <c r="L335" s="356"/>
      <c r="M335" s="448"/>
    </row>
    <row r="336" spans="1:13" ht="12.75" customHeight="1">
      <c r="A336" s="77" t="s">
        <v>781</v>
      </c>
      <c r="B336" s="288">
        <f>IF($M336&gt;0,('Amounts Pivot Table'!L$163/$M336),0)</f>
        <v>0</v>
      </c>
      <c r="C336" s="288">
        <f>IF($M336&gt;0,('Amounts Pivot Table'!L$166/$M336),0)</f>
        <v>0</v>
      </c>
      <c r="D336" s="288">
        <f>IF($M336&gt;0,('Amounts Pivot Table'!L$169/$M336),0)</f>
        <v>0</v>
      </c>
      <c r="E336" s="288">
        <f>IF($M336&gt;0,('Amounts Pivot Table'!L$172/$M336),0)</f>
        <v>0</v>
      </c>
      <c r="F336" s="288">
        <f t="shared" si="41"/>
        <v>0</v>
      </c>
      <c r="G336" s="359">
        <f>IF(B336&gt;0,RANK(B336,$B$331:$B$349),)</f>
        <v>0</v>
      </c>
      <c r="H336" s="289">
        <f>IF(C336&gt;0,RANK(C336,$C$331:$C$349),)</f>
        <v>0</v>
      </c>
      <c r="I336" s="289">
        <f>IF(D336&gt;0,RANK(D336,$D$331:$D$349),)</f>
        <v>0</v>
      </c>
      <c r="J336" s="289">
        <f>IF(E336&gt;0,RANK(E336,$E$331:$E$349),)</f>
        <v>0</v>
      </c>
      <c r="K336" s="289">
        <f>IF(F336&gt;0,RANK(F336,$F$331:$F$349),)</f>
        <v>0</v>
      </c>
      <c r="L336" s="356"/>
      <c r="M336" s="448">
        <v>0</v>
      </c>
    </row>
    <row r="337" spans="1:13" ht="12.75" customHeight="1">
      <c r="A337" s="77" t="s">
        <v>782</v>
      </c>
      <c r="B337" s="288">
        <f>IF($M337&gt;0,('Amounts Pivot Table'!L$202/$M337),0)</f>
        <v>3245.1815646955033</v>
      </c>
      <c r="C337" s="288">
        <f>IF($M337&gt;0,('Amounts Pivot Table'!L$205/$M337),0)</f>
        <v>0</v>
      </c>
      <c r="D337" s="288">
        <f>IF($M337&gt;0,('Amounts Pivot Table'!L$208/$M337),0)</f>
        <v>0</v>
      </c>
      <c r="E337" s="288">
        <f>IF($M337&gt;0,('Amounts Pivot Table'!L$211/$M337),0)</f>
        <v>5494.3363663878317</v>
      </c>
      <c r="F337" s="288">
        <f t="shared" si="41"/>
        <v>8739.5179310833355</v>
      </c>
      <c r="G337" s="359">
        <f>IF(B337&gt;0,RANK(B337,$B$331:$B$349),)</f>
        <v>8</v>
      </c>
      <c r="H337" s="289">
        <f>IF(C337&gt;0,RANK(C337,$C$331:$C$349),)</f>
        <v>0</v>
      </c>
      <c r="I337" s="289">
        <f>IF(D337&gt;0,RANK(D337,$D$331:$D$349),)</f>
        <v>0</v>
      </c>
      <c r="J337" s="289">
        <f>IF(E337&gt;0,RANK(E337,$E$331:$E$349),)</f>
        <v>3</v>
      </c>
      <c r="K337" s="289">
        <f>IF(F337&gt;0,RANK(F337,$F$331:$F$349),)</f>
        <v>9</v>
      </c>
      <c r="L337" s="356"/>
      <c r="M337" s="448">
        <v>15528.9</v>
      </c>
    </row>
    <row r="338" spans="1:13" ht="12.75" customHeight="1">
      <c r="A338" s="77" t="s">
        <v>813</v>
      </c>
      <c r="B338" s="288">
        <f>IF($M338&gt;0,('Amounts Pivot Table'!L$241/$M338),0)</f>
        <v>2212.2347085569077</v>
      </c>
      <c r="C338" s="288">
        <f>IF($M338&gt;0,('Amounts Pivot Table'!L$244/$M338),0)</f>
        <v>0</v>
      </c>
      <c r="D338" s="288">
        <f>IF($M338&gt;0,('Amounts Pivot Table'!L$247/$M338),0)</f>
        <v>0</v>
      </c>
      <c r="E338" s="288">
        <f>IF($M338&gt;0,('Amounts Pivot Table'!L$250/$M338),0)</f>
        <v>4414.9901063706902</v>
      </c>
      <c r="F338" s="288">
        <f t="shared" si="41"/>
        <v>6627.2248149275983</v>
      </c>
      <c r="G338" s="359">
        <f>IF(B338&gt;0,RANK(B338,$B$331:$B$349),)</f>
        <v>11</v>
      </c>
      <c r="H338" s="289">
        <f>IF(C338&gt;0,RANK(C338,$C$331:$C$349),)</f>
        <v>0</v>
      </c>
      <c r="I338" s="289">
        <f>IF(D338&gt;0,RANK(D338,$D$331:$D$349),)</f>
        <v>0</v>
      </c>
      <c r="J338" s="289">
        <f>IF(E338&gt;0,RANK(E338,$E$331:$E$349),)</f>
        <v>9</v>
      </c>
      <c r="K338" s="289">
        <f>IF(F338&gt;0,RANK(F338,$F$331:$F$349),)</f>
        <v>11</v>
      </c>
      <c r="L338" s="356"/>
      <c r="M338" s="448">
        <v>15872.166666666668</v>
      </c>
    </row>
    <row r="339" spans="1:13" ht="12.75" customHeight="1">
      <c r="A339" s="77" t="s">
        <v>784</v>
      </c>
      <c r="B339" s="288">
        <f>IF($M339&gt;0,('Amounts Pivot Table'!L$280/$M339),0)</f>
        <v>5171.6042807736812</v>
      </c>
      <c r="C339" s="288">
        <f>IF($M339&gt;0,('Amounts Pivot Table'!L$283/$M339),0)</f>
        <v>0</v>
      </c>
      <c r="D339" s="288">
        <f>IF($M339&gt;0,('Amounts Pivot Table'!L$286/$M339),0)</f>
        <v>4377.890426067831</v>
      </c>
      <c r="E339" s="288">
        <f>IF($M339&gt;0,('Amounts Pivot Table'!L$289/$M339),0)</f>
        <v>5195.4755492506447</v>
      </c>
      <c r="F339" s="288">
        <f t="shared" si="41"/>
        <v>14744.970256092158</v>
      </c>
      <c r="G339" s="359">
        <f>IF(B339&gt;0,RANK(B339,$B$331:$B$349),)</f>
        <v>6</v>
      </c>
      <c r="H339" s="289">
        <f>IF(C339&gt;0,RANK(C339,$C$331:$C$349),)</f>
        <v>0</v>
      </c>
      <c r="I339" s="289">
        <f>IF(D339&gt;0,RANK(D339,$D$331:$D$349),)</f>
        <v>1</v>
      </c>
      <c r="J339" s="289">
        <f>IF(E339&gt;0,RANK(E339,$E$331:$E$349),)</f>
        <v>4</v>
      </c>
      <c r="K339" s="289">
        <f>IF(F339&gt;0,RANK(F339,$F$331:$F$349),)</f>
        <v>1</v>
      </c>
      <c r="L339" s="356"/>
      <c r="M339" s="448">
        <v>18163.383333333331</v>
      </c>
    </row>
    <row r="340" spans="1:13" ht="10.5" customHeight="1">
      <c r="B340" s="288"/>
      <c r="C340" s="288"/>
      <c r="D340" s="288"/>
      <c r="E340" s="288"/>
      <c r="F340" s="288"/>
      <c r="G340" s="359"/>
      <c r="H340" s="289"/>
      <c r="I340" s="289"/>
      <c r="J340" s="289"/>
      <c r="K340" s="289"/>
      <c r="L340" s="356"/>
      <c r="M340" s="448"/>
    </row>
    <row r="341" spans="1:13" ht="12.75" customHeight="1">
      <c r="A341" s="77" t="s">
        <v>785</v>
      </c>
      <c r="B341" s="288">
        <f>IF($M341&gt;0,('Amounts Pivot Table'!L$319/$M341),0)</f>
        <v>0</v>
      </c>
      <c r="C341" s="288">
        <f>IF($M341&gt;0,('Amounts Pivot Table'!L$322/$M341),0)</f>
        <v>0</v>
      </c>
      <c r="D341" s="288">
        <f>IF($M341&gt;0,('Amounts Pivot Table'!L$325/$M341),0)</f>
        <v>0</v>
      </c>
      <c r="E341" s="288">
        <f>IF($M341&gt;0,('Amounts Pivot Table'!L$328/$M341),0)</f>
        <v>0</v>
      </c>
      <c r="F341" s="288">
        <f t="shared" si="41"/>
        <v>0</v>
      </c>
      <c r="G341" s="359">
        <f>IF(B341&gt;0,RANK(B341,$B$331:$B$349),)</f>
        <v>0</v>
      </c>
      <c r="H341" s="289">
        <f>IF(C341&gt;0,RANK(C341,$C$331:$C$349),)</f>
        <v>0</v>
      </c>
      <c r="I341" s="289">
        <f>IF(D341&gt;0,RANK(D341,$D$331:$D$349),)</f>
        <v>0</v>
      </c>
      <c r="J341" s="289">
        <f>IF(E341&gt;0,RANK(E341,$E$331:$E$349),)</f>
        <v>0</v>
      </c>
      <c r="K341" s="289">
        <f>IF(F341&gt;0,RANK(F341,$F$331:$F$349),)</f>
        <v>0</v>
      </c>
      <c r="L341" s="356"/>
      <c r="M341" s="448">
        <v>0</v>
      </c>
    </row>
    <row r="342" spans="1:13" ht="12.75" customHeight="1">
      <c r="A342" s="77" t="s">
        <v>786</v>
      </c>
      <c r="B342" s="288">
        <f>IF($M342&gt;0,('Amounts Pivot Table'!L$358/$M342),0)</f>
        <v>5574.1900861969516</v>
      </c>
      <c r="C342" s="288">
        <f>IF($M342&gt;0,('Amounts Pivot Table'!L$361/$M342),0)</f>
        <v>973.45223355298083</v>
      </c>
      <c r="D342" s="288">
        <f>IF($M342&gt;0,('Amounts Pivot Table'!L$364/$M342),0)</f>
        <v>1431.211658402254</v>
      </c>
      <c r="E342" s="288">
        <f>IF($M342&gt;0,('Amounts Pivot Table'!L$367/$M342),0)</f>
        <v>1807.7636649636231</v>
      </c>
      <c r="F342" s="288">
        <f t="shared" si="41"/>
        <v>9786.6176431158092</v>
      </c>
      <c r="G342" s="359">
        <f>IF(B342&gt;0,RANK(B342,$B$331:$B$349),)</f>
        <v>3</v>
      </c>
      <c r="H342" s="289">
        <f>IF(C342&gt;0,RANK(C342,$C$331:$C$349),)</f>
        <v>1</v>
      </c>
      <c r="I342" s="289">
        <f>IF(D342&gt;0,RANK(D342,$D$331:$D$349),)</f>
        <v>4</v>
      </c>
      <c r="J342" s="289">
        <f>IF(E342&gt;0,RANK(E342,$E$331:$E$349),)</f>
        <v>11</v>
      </c>
      <c r="K342" s="289">
        <f>IF(F342&gt;0,RANK(F342,$F$331:$F$349),)</f>
        <v>7</v>
      </c>
      <c r="L342" s="356"/>
      <c r="M342" s="448">
        <v>64149.21333333334</v>
      </c>
    </row>
    <row r="343" spans="1:13" ht="12.75" customHeight="1">
      <c r="A343" s="77" t="s">
        <v>787</v>
      </c>
      <c r="B343" s="288">
        <f>IF($M343&gt;0,('Amounts Pivot Table'!L$397/$M343),0)</f>
        <v>0</v>
      </c>
      <c r="C343" s="288">
        <f>IF($M343&gt;0,('Amounts Pivot Table'!L$400/$M343),0)</f>
        <v>0</v>
      </c>
      <c r="D343" s="288">
        <f>IF($M343&gt;0,('Amounts Pivot Table'!L$403/$M343),0)</f>
        <v>0</v>
      </c>
      <c r="E343" s="288">
        <f>IF($M343&gt;0,('Amounts Pivot Table'!L$406/$M343),0)</f>
        <v>0</v>
      </c>
      <c r="F343" s="288">
        <f t="shared" si="41"/>
        <v>0</v>
      </c>
      <c r="G343" s="359">
        <f>IF(B343&gt;0,RANK(B343,$B$331:$B$349),)</f>
        <v>0</v>
      </c>
      <c r="H343" s="289">
        <f>IF(C343&gt;0,RANK(C343,$C$331:$C$349),)</f>
        <v>0</v>
      </c>
      <c r="I343" s="289">
        <f>IF(D343&gt;0,RANK(D343,$D$331:$D$349),)</f>
        <v>0</v>
      </c>
      <c r="J343" s="289">
        <f>IF(E343&gt;0,RANK(E343,$E$331:$E$349),)</f>
        <v>0</v>
      </c>
      <c r="K343" s="289">
        <f>IF(F343&gt;0,RANK(F343,$F$331:$F$349),)</f>
        <v>0</v>
      </c>
      <c r="L343" s="356"/>
      <c r="M343" s="448">
        <v>0</v>
      </c>
    </row>
    <row r="344" spans="1:13" ht="12.75" customHeight="1">
      <c r="A344" s="77" t="s">
        <v>788</v>
      </c>
      <c r="B344" s="288">
        <f>IF($M344&gt;0,('Amounts Pivot Table'!L$436/$M344),0)</f>
        <v>2725.8241225991692</v>
      </c>
      <c r="C344" s="288">
        <f>IF($M344&gt;0,('Amounts Pivot Table'!L$439/$M344),0)</f>
        <v>495.75479817690183</v>
      </c>
      <c r="D344" s="288">
        <f>IF($M344&gt;0,('Amounts Pivot Table'!L$442/$M344),0)</f>
        <v>1591.6023715607839</v>
      </c>
      <c r="E344" s="288">
        <f>IF($M344&gt;0,('Amounts Pivot Table'!L$445/$M344),0)</f>
        <v>6615.3339384774063</v>
      </c>
      <c r="F344" s="288">
        <f t="shared" si="41"/>
        <v>11428.515230814261</v>
      </c>
      <c r="G344" s="359">
        <f>IF(B344&gt;0,RANK(B344,$B$331:$B$349),)</f>
        <v>10</v>
      </c>
      <c r="H344" s="289">
        <f>IF(C344&gt;0,RANK(C344,$C$331:$C$349),)</f>
        <v>2</v>
      </c>
      <c r="I344" s="289">
        <f>IF(D344&gt;0,RANK(D344,$D$331:$D$349),)</f>
        <v>3</v>
      </c>
      <c r="J344" s="289">
        <f>IF(E344&gt;0,RANK(E344,$E$331:$E$349),)</f>
        <v>1</v>
      </c>
      <c r="K344" s="289">
        <f>IF(F344&gt;0,RANK(F344,$F$331:$F$349),)</f>
        <v>3</v>
      </c>
      <c r="L344" s="356"/>
      <c r="M344" s="448">
        <v>19132.266666666666</v>
      </c>
    </row>
    <row r="345" spans="1:13" ht="10.5" customHeight="1">
      <c r="B345" s="288"/>
      <c r="C345" s="288"/>
      <c r="D345" s="288"/>
      <c r="E345" s="288"/>
      <c r="F345" s="288"/>
      <c r="G345" s="359"/>
      <c r="H345" s="289"/>
      <c r="I345" s="289"/>
      <c r="J345" s="289"/>
      <c r="K345" s="289"/>
      <c r="L345" s="356"/>
      <c r="M345" s="448"/>
    </row>
    <row r="346" spans="1:13" ht="12.75" customHeight="1">
      <c r="A346" s="77" t="s">
        <v>789</v>
      </c>
      <c r="B346" s="288">
        <f>IF($M346&gt;0,('Amounts Pivot Table'!L$475/$M346),0)</f>
        <v>5463.8092672131925</v>
      </c>
      <c r="C346" s="288">
        <f>IF($M346&gt;0,('Amounts Pivot Table'!L$478/$M346),0)</f>
        <v>0</v>
      </c>
      <c r="D346" s="288">
        <f>IF($M346&gt;0,('Amounts Pivot Table'!L$481/$M346),0)</f>
        <v>0</v>
      </c>
      <c r="E346" s="288">
        <f>IF($M346&gt;0,('Amounts Pivot Table'!L$484/$M346),0)</f>
        <v>4704.0742203644322</v>
      </c>
      <c r="F346" s="288">
        <f t="shared" si="41"/>
        <v>10167.883487577625</v>
      </c>
      <c r="G346" s="359">
        <f>IF(B346&gt;0,RANK(B346,$B$331:$B$349),)</f>
        <v>4</v>
      </c>
      <c r="H346" s="289">
        <f>IF(C346&gt;0,RANK(C346,$C$331:$C$349),)</f>
        <v>0</v>
      </c>
      <c r="I346" s="289">
        <f>IF(D346&gt;0,RANK(D346,$D$331:$D$349),)</f>
        <v>0</v>
      </c>
      <c r="J346" s="289">
        <f>IF(E346&gt;0,RANK(E346,$E$331:$E$349),)</f>
        <v>6</v>
      </c>
      <c r="K346" s="289">
        <f>IF(F346&gt;0,RANK(F346,$F$331:$F$349),)</f>
        <v>6</v>
      </c>
      <c r="L346" s="356"/>
      <c r="M346" s="448">
        <v>25486.266666666663</v>
      </c>
    </row>
    <row r="347" spans="1:13" s="362" customFormat="1" ht="12.75" customHeight="1">
      <c r="A347" s="77" t="s">
        <v>940</v>
      </c>
      <c r="B347" s="288">
        <f>IF($M347&gt;0,('Amounts Pivot Table'!L$514/$M347),0)</f>
        <v>2937.0010104397365</v>
      </c>
      <c r="C347" s="288">
        <f>IF($M347&gt;0,('Amounts Pivot Table'!L$517/$M347),0)</f>
        <v>0</v>
      </c>
      <c r="D347" s="288">
        <f>IF($M347&gt;0,('Amounts Pivot Table'!L$520/$M347),0)</f>
        <v>2515.6990217515531</v>
      </c>
      <c r="E347" s="288">
        <f>IF($M347&gt;0,('Amounts Pivot Table'!L$523/$M347),0)</f>
        <v>1813.8558206797763</v>
      </c>
      <c r="F347" s="288">
        <f t="shared" si="41"/>
        <v>7266.5558528710653</v>
      </c>
      <c r="G347" s="359">
        <f>IF(B347&gt;0,RANK(B347,$B$331:$B$349),)</f>
        <v>9</v>
      </c>
      <c r="H347" s="289">
        <f>IF(C347&gt;0,RANK(C347,$C$331:$C$349),)</f>
        <v>0</v>
      </c>
      <c r="I347" s="289">
        <f>IF(D347&gt;0,RANK(D347,$D$331:$D$349),)</f>
        <v>2</v>
      </c>
      <c r="J347" s="289">
        <f>IF(E347&gt;0,RANK(E347,$E$331:$E$349),)</f>
        <v>10</v>
      </c>
      <c r="K347" s="289">
        <f>IF(F347&gt;0,RANK(F347,$F$331:$F$349),)</f>
        <v>10</v>
      </c>
      <c r="L347" s="363"/>
      <c r="M347" s="448">
        <v>81429.893333333341</v>
      </c>
    </row>
    <row r="348" spans="1:13" ht="12.75" customHeight="1">
      <c r="A348" s="77" t="s">
        <v>791</v>
      </c>
      <c r="B348" s="288">
        <f>IF($M348&gt;0,('Amounts Pivot Table'!L$553/$M348),0)</f>
        <v>0</v>
      </c>
      <c r="C348" s="288">
        <f>IF($M348&gt;0,('Amounts Pivot Table'!L$556/$M348),0)</f>
        <v>0</v>
      </c>
      <c r="D348" s="288">
        <f>IF($M348&gt;0,('Amounts Pivot Table'!L$559/$M348),0)</f>
        <v>0</v>
      </c>
      <c r="E348" s="288">
        <f>IF($M348&gt;0,('Amounts Pivot Table'!L$562/$M348),0)</f>
        <v>0</v>
      </c>
      <c r="F348" s="288">
        <f t="shared" si="41"/>
        <v>0</v>
      </c>
      <c r="G348" s="359">
        <f>IF(B348&gt;0,RANK(B348,$B$331:$B$349),)</f>
        <v>0</v>
      </c>
      <c r="H348" s="289">
        <f>IF(C348&gt;0,RANK(C348,$C$331:$C$349),)</f>
        <v>0</v>
      </c>
      <c r="I348" s="289">
        <f>IF(D348&gt;0,RANK(D348,$D$331:$D$349),)</f>
        <v>0</v>
      </c>
      <c r="J348" s="289">
        <f>IF(E348&gt;0,RANK(E348,$E$331:$E$349),)</f>
        <v>0</v>
      </c>
      <c r="K348" s="289">
        <f>IF(F348&gt;0,RANK(F348,$F$331:$F$349),)</f>
        <v>0</v>
      </c>
      <c r="L348" s="367"/>
      <c r="M348" s="448">
        <v>23497.866666666669</v>
      </c>
    </row>
    <row r="349" spans="1:13" ht="15" customHeight="1">
      <c r="A349" s="277" t="s">
        <v>792</v>
      </c>
      <c r="B349" s="296">
        <f>IF($M349&gt;0,('Amounts Pivot Table'!L$592/$M349),0)</f>
        <v>4619.7477405196223</v>
      </c>
      <c r="C349" s="296">
        <f>IF($M349&gt;0,('Amounts Pivot Table'!L$595/$M349),0)</f>
        <v>0</v>
      </c>
      <c r="D349" s="296">
        <f>IF($M349&gt;0,('Amounts Pivot Table'!L$598/$M349),0)</f>
        <v>0</v>
      </c>
      <c r="E349" s="296">
        <f>IF($M349&gt;0,('Amounts Pivot Table'!L$601/$M349),0)</f>
        <v>4433.0975529178568</v>
      </c>
      <c r="F349" s="364">
        <f t="shared" si="41"/>
        <v>9052.84529343748</v>
      </c>
      <c r="G349" s="365">
        <f>IF(B349&gt;0,RANK(B349,$B$331:$B$349),)</f>
        <v>7</v>
      </c>
      <c r="H349" s="366">
        <f>IF(C349&gt;0,RANK(C349,$C$331:$C$349),)</f>
        <v>0</v>
      </c>
      <c r="I349" s="366">
        <f>IF(D349&gt;0,RANK(D349,$D$331:$D$349),)</f>
        <v>0</v>
      </c>
      <c r="J349" s="366">
        <f>IF(E349&gt;0,RANK(E349,$E$331:$E$349),)</f>
        <v>8</v>
      </c>
      <c r="K349" s="366">
        <f>IF(F349&gt;0,RANK(F349,$F$331:$F$349),)</f>
        <v>8</v>
      </c>
      <c r="L349" s="367"/>
      <c r="M349" s="448">
        <v>1695.0799999999997</v>
      </c>
    </row>
    <row r="350" spans="1:13" s="362" customFormat="1" ht="24.75" customHeight="1">
      <c r="A350" s="1271" t="s">
        <v>968</v>
      </c>
      <c r="B350" s="1271"/>
      <c r="C350" s="1271"/>
      <c r="D350" s="1271"/>
      <c r="E350" s="1271"/>
      <c r="F350" s="1271"/>
      <c r="G350" s="1271"/>
      <c r="H350" s="1271"/>
      <c r="I350" s="1271"/>
      <c r="J350" s="1271"/>
      <c r="K350" s="1271"/>
      <c r="L350" s="363"/>
      <c r="M350" s="449"/>
    </row>
    <row r="351" spans="1:13" s="362" customFormat="1" ht="34.5" customHeight="1">
      <c r="A351" s="1244" t="s">
        <v>926</v>
      </c>
      <c r="B351" s="1270"/>
      <c r="C351" s="1270"/>
      <c r="D351" s="1270"/>
      <c r="E351" s="1270"/>
      <c r="F351" s="1270"/>
      <c r="G351" s="1270"/>
      <c r="H351" s="1270"/>
      <c r="I351" s="1270"/>
      <c r="J351" s="1270"/>
      <c r="K351" s="1270"/>
      <c r="L351" s="363"/>
      <c r="M351" s="412"/>
    </row>
    <row r="352" spans="1:13" s="397" customFormat="1" ht="13.5" customHeight="1">
      <c r="A352" s="1244" t="s">
        <v>927</v>
      </c>
      <c r="B352" s="1270"/>
      <c r="C352" s="1270"/>
      <c r="D352" s="1270"/>
      <c r="E352" s="1270"/>
      <c r="F352" s="1270"/>
      <c r="G352" s="1270"/>
      <c r="H352" s="1270"/>
      <c r="I352" s="1270"/>
      <c r="J352" s="1270"/>
      <c r="K352" s="1270"/>
      <c r="L352" s="347"/>
      <c r="M352" s="464"/>
    </row>
    <row r="353" spans="1:13" ht="13.5" customHeight="1">
      <c r="A353" s="1244" t="s">
        <v>930</v>
      </c>
      <c r="B353" s="1245"/>
      <c r="C353" s="1245"/>
      <c r="D353" s="1245"/>
      <c r="E353" s="1245"/>
      <c r="F353" s="1245"/>
      <c r="G353" s="1245"/>
      <c r="H353" s="1245"/>
      <c r="I353" s="1245"/>
      <c r="J353" s="1245"/>
      <c r="K353" s="1245"/>
      <c r="L353" s="367"/>
      <c r="M353" s="449"/>
    </row>
    <row r="354" spans="1:13">
      <c r="A354" s="368"/>
      <c r="B354" s="369"/>
      <c r="C354" s="369"/>
      <c r="D354" s="369"/>
      <c r="E354" s="369"/>
      <c r="F354" s="369"/>
      <c r="G354" s="369"/>
      <c r="H354" s="369"/>
      <c r="I354" s="369"/>
      <c r="J354" s="369"/>
      <c r="K354" s="370" t="s">
        <v>1814</v>
      </c>
      <c r="L354" s="401"/>
      <c r="M354" s="412"/>
    </row>
    <row r="355" spans="1:13" ht="18">
      <c r="A355" s="336" t="s">
        <v>943</v>
      </c>
      <c r="B355" s="336"/>
      <c r="C355" s="336"/>
      <c r="D355" s="336"/>
      <c r="E355" s="336"/>
      <c r="F355" s="336"/>
      <c r="G355" s="336"/>
      <c r="H355" s="336"/>
      <c r="I355" s="336"/>
      <c r="J355" s="355"/>
      <c r="K355" s="336"/>
      <c r="L355" s="367"/>
      <c r="M355" s="412"/>
    </row>
    <row r="356" spans="1:13" ht="12" customHeight="1">
      <c r="A356" s="336"/>
      <c r="B356" s="336"/>
      <c r="C356" s="336"/>
      <c r="D356" s="336"/>
      <c r="E356" s="336"/>
      <c r="F356" s="336"/>
      <c r="G356" s="336"/>
      <c r="H356" s="336"/>
      <c r="I356" s="336"/>
      <c r="J356" s="355"/>
      <c r="K356" s="336"/>
      <c r="L356" s="367"/>
      <c r="M356" s="412"/>
    </row>
    <row r="357" spans="1:13" ht="17.5">
      <c r="A357" s="1228" t="s">
        <v>920</v>
      </c>
      <c r="B357" s="1228"/>
      <c r="C357" s="1228"/>
      <c r="D357" s="1228"/>
      <c r="E357" s="1228"/>
      <c r="F357" s="1228"/>
      <c r="G357" s="1228"/>
      <c r="H357" s="1228"/>
      <c r="I357" s="1228"/>
      <c r="J357" s="1228"/>
      <c r="K357" s="1228"/>
      <c r="L357" s="344"/>
      <c r="M357" s="412"/>
    </row>
    <row r="358" spans="1:13" ht="15.5">
      <c r="A358" s="1228" t="s">
        <v>1760</v>
      </c>
      <c r="B358" s="1228"/>
      <c r="C358" s="1228"/>
      <c r="D358" s="1228"/>
      <c r="E358" s="1228"/>
      <c r="F358" s="1228"/>
      <c r="G358" s="1228"/>
      <c r="H358" s="1228"/>
      <c r="I358" s="1228"/>
      <c r="J358" s="1228"/>
      <c r="K358" s="1228"/>
      <c r="L358" s="344"/>
      <c r="M358" s="441"/>
    </row>
    <row r="359" spans="1:13" ht="8.25" customHeight="1">
      <c r="A359" s="341"/>
      <c r="B359" s="341"/>
      <c r="C359" s="341"/>
      <c r="D359" s="341"/>
      <c r="E359" s="341"/>
      <c r="F359" s="341"/>
      <c r="G359" s="373"/>
      <c r="H359" s="341"/>
      <c r="I359" s="341"/>
      <c r="J359" s="341"/>
      <c r="K359" s="341"/>
      <c r="L359" s="344"/>
      <c r="M359" s="412"/>
    </row>
    <row r="360" spans="1:13" ht="17.25" customHeight="1">
      <c r="A360" s="346"/>
      <c r="B360" s="1268" t="s">
        <v>922</v>
      </c>
      <c r="C360" s="1269"/>
      <c r="D360" s="1269"/>
      <c r="E360" s="1269"/>
      <c r="F360" s="1269"/>
      <c r="G360" s="445" t="s">
        <v>923</v>
      </c>
      <c r="H360" s="446"/>
      <c r="I360" s="446"/>
      <c r="J360" s="446"/>
      <c r="K360" s="446"/>
      <c r="L360" s="389"/>
      <c r="M360" s="447" t="s">
        <v>1774</v>
      </c>
    </row>
    <row r="361" spans="1:13" s="53" customFormat="1" ht="46">
      <c r="A361" s="243"/>
      <c r="B361" s="420" t="s">
        <v>6</v>
      </c>
      <c r="C361" s="421" t="s">
        <v>7</v>
      </c>
      <c r="D361" s="421" t="s">
        <v>8</v>
      </c>
      <c r="E361" s="421" t="s">
        <v>960</v>
      </c>
      <c r="F361" s="421" t="s">
        <v>768</v>
      </c>
      <c r="G361" s="422" t="s">
        <v>6</v>
      </c>
      <c r="H361" s="421" t="s">
        <v>7</v>
      </c>
      <c r="I361" s="421" t="s">
        <v>8</v>
      </c>
      <c r="J361" s="421" t="s">
        <v>960</v>
      </c>
      <c r="K361" s="421" t="s">
        <v>768</v>
      </c>
      <c r="L361" s="350"/>
      <c r="M361" s="442" t="s">
        <v>932</v>
      </c>
    </row>
    <row r="362" spans="1:13" ht="14.5">
      <c r="A362" s="77" t="s">
        <v>925</v>
      </c>
      <c r="B362" s="352">
        <f>IF($M362&gt;0,('Amounts Pivot Table'!M$631/$M362),0)</f>
        <v>4997.5958491677957</v>
      </c>
      <c r="C362" s="352">
        <f>IF($M362&gt;0,('Amounts Pivot Table'!M$634/$M362),0)</f>
        <v>335.42503997694746</v>
      </c>
      <c r="D362" s="352">
        <f>IF($M362&gt;0,('Amounts Pivot Table'!M$637/$M362),0)</f>
        <v>1118.235418449716</v>
      </c>
      <c r="E362" s="352">
        <f>IF($M362&gt;0,('Amounts Pivot Table'!M$640/$M362),0)</f>
        <v>3197.4914661077555</v>
      </c>
      <c r="F362" s="352">
        <f>SUM(B362:E362)</f>
        <v>9648.7477737022145</v>
      </c>
      <c r="G362" s="353"/>
      <c r="H362" s="354"/>
      <c r="I362" s="354"/>
      <c r="J362" s="354"/>
      <c r="K362" s="354"/>
      <c r="L362" s="356"/>
      <c r="M362" s="448">
        <v>137905.51833333334</v>
      </c>
    </row>
    <row r="363" spans="1:13" s="376" customFormat="1" ht="9" customHeight="1">
      <c r="B363" s="380"/>
      <c r="C363" s="380"/>
      <c r="D363" s="380"/>
      <c r="E363" s="380"/>
      <c r="F363" s="380"/>
      <c r="G363" s="387"/>
      <c r="H363" s="388"/>
      <c r="I363" s="388"/>
      <c r="J363" s="388"/>
      <c r="K363" s="388"/>
      <c r="L363" s="381"/>
      <c r="M363" s="448" t="s">
        <v>421</v>
      </c>
    </row>
    <row r="364" spans="1:13" ht="12.75" customHeight="1">
      <c r="A364" s="77" t="s">
        <v>777</v>
      </c>
      <c r="B364" s="288">
        <f>IF($M364&gt;0,('Amounts Pivot Table'!M$7/$M364),0)</f>
        <v>6560.8325894472719</v>
      </c>
      <c r="C364" s="288">
        <f>IF($M364&gt;0,('Amounts Pivot Table'!M$10/$M364),0)</f>
        <v>0</v>
      </c>
      <c r="D364" s="288">
        <f>IF($M364&gt;0,('Amounts Pivot Table'!M$13/$M364),0)</f>
        <v>12.924661287709853</v>
      </c>
      <c r="E364" s="288">
        <f>IF($M364&gt;0,('Amounts Pivot Table'!M$16/$M364),0)</f>
        <v>4779.4418269611879</v>
      </c>
      <c r="F364" s="288">
        <f t="shared" ref="F364:F382" si="42">SUM(B364:E364)</f>
        <v>11353.199077696168</v>
      </c>
      <c r="G364" s="359">
        <f>IF(B364&gt;0,RANK(B364,$B$364:$B$382),)</f>
        <v>5</v>
      </c>
      <c r="H364" s="289">
        <f>IF(C364&gt;0,RANK(C364,$C$364:$C$382),)</f>
        <v>0</v>
      </c>
      <c r="I364" s="289">
        <f>IF(D364&gt;0,RANK(D364,$D$364:$D$382),)</f>
        <v>6</v>
      </c>
      <c r="J364" s="289">
        <f>IF(E364&gt;0,RANK(E364,$E$364:$E$382),)</f>
        <v>6</v>
      </c>
      <c r="K364" s="289">
        <f>IF(F364&gt;0,RANK(F364,$F$364:$F$382),)</f>
        <v>7</v>
      </c>
      <c r="L364" s="356"/>
      <c r="M364" s="448">
        <v>9671.4333333333343</v>
      </c>
    </row>
    <row r="365" spans="1:13" ht="12.75" customHeight="1">
      <c r="A365" s="77" t="s">
        <v>778</v>
      </c>
      <c r="B365" s="288">
        <f>IF($M365&gt;0,('Amounts Pivot Table'!M$46/$M365),0)</f>
        <v>7375.2608579649113</v>
      </c>
      <c r="C365" s="288">
        <f>IF($M365&gt;0,('Amounts Pivot Table'!M$49/$M365),0)</f>
        <v>118.93938793022636</v>
      </c>
      <c r="D365" s="288">
        <f>IF($M365&gt;0,('Amounts Pivot Table'!M$52/$M365),0)</f>
        <v>1024.0485084044219</v>
      </c>
      <c r="E365" s="288">
        <f>IF($M365&gt;0,('Amounts Pivot Table'!M$55/$M365),0)</f>
        <v>4116.2948253856084</v>
      </c>
      <c r="F365" s="288">
        <f t="shared" si="42"/>
        <v>12634.543579685167</v>
      </c>
      <c r="G365" s="359">
        <f>IF(B365&gt;0,RANK(B365,$B$364:$B$382),)</f>
        <v>2</v>
      </c>
      <c r="H365" s="289">
        <f>IF(C365&gt;0,RANK(C365,$C$364:$C$382),)</f>
        <v>3</v>
      </c>
      <c r="I365" s="289">
        <f>IF(D365&gt;0,RANK(D365,$D$364:$D$382),)</f>
        <v>4</v>
      </c>
      <c r="J365" s="289">
        <f>IF(E365&gt;0,RANK(E365,$E$364:$E$382),)</f>
        <v>8</v>
      </c>
      <c r="K365" s="289">
        <f>IF(F365&gt;0,RANK(F365,$F$364:$F$382),)</f>
        <v>4</v>
      </c>
      <c r="L365" s="356"/>
      <c r="M365" s="448">
        <v>18490.266666666666</v>
      </c>
    </row>
    <row r="366" spans="1:13" ht="12.75" customHeight="1">
      <c r="A366" s="77" t="s">
        <v>779</v>
      </c>
      <c r="B366" s="288">
        <f>IF($M366&gt;0,('Amounts Pivot Table'!M$85/$M366),0)</f>
        <v>0</v>
      </c>
      <c r="C366" s="288">
        <f>IF($M366&gt;0,('Amounts Pivot Table'!M$88/$M366),0)</f>
        <v>0</v>
      </c>
      <c r="D366" s="288">
        <f>IF($M366&gt;0,('Amounts Pivot Table'!M$91/$M366),0)</f>
        <v>0</v>
      </c>
      <c r="E366" s="288">
        <f>IF($M366&gt;0,('Amounts Pivot Table'!M$94/$M366),0)</f>
        <v>0</v>
      </c>
      <c r="F366" s="288">
        <f t="shared" si="42"/>
        <v>0</v>
      </c>
      <c r="G366" s="359">
        <f>IF(B366&gt;0,RANK(B366,$B$364:$B$382),)</f>
        <v>0</v>
      </c>
      <c r="H366" s="289">
        <f>IF(C366&gt;0,RANK(C366,$C$364:$C$382),)</f>
        <v>0</v>
      </c>
      <c r="I366" s="289">
        <f>IF(D366&gt;0,RANK(D366,$D$364:$D$382),)</f>
        <v>0</v>
      </c>
      <c r="J366" s="289">
        <f>IF(E366&gt;0,RANK(E366,$E$364:$E$382),)</f>
        <v>0</v>
      </c>
      <c r="K366" s="289">
        <f>IF(F366&gt;0,RANK(F366,$F$364:$F$382),)</f>
        <v>0</v>
      </c>
      <c r="L366" s="356"/>
      <c r="M366" s="448">
        <v>0</v>
      </c>
    </row>
    <row r="367" spans="1:13" ht="12.75" customHeight="1">
      <c r="A367" s="77" t="s">
        <v>780</v>
      </c>
      <c r="B367" s="288">
        <f>IF($M367&gt;0,('Amounts Pivot Table'!M$124/$M367),0)</f>
        <v>10522.815424939738</v>
      </c>
      <c r="C367" s="288">
        <f>IF($M367&gt;0,('Amounts Pivot Table'!M$127/$M367),0)</f>
        <v>0</v>
      </c>
      <c r="D367" s="288">
        <f>IF($M367&gt;0,('Amounts Pivot Table'!M$130/$M367),0)</f>
        <v>0</v>
      </c>
      <c r="E367" s="288">
        <f>IF($M367&gt;0,('Amounts Pivot Table'!M$133/$M367),0)</f>
        <v>2382.2497792365871</v>
      </c>
      <c r="F367" s="288">
        <f t="shared" si="42"/>
        <v>12905.065204176324</v>
      </c>
      <c r="G367" s="359">
        <f>IF(B367&gt;0,RANK(B367,$B$364:$B$382),)</f>
        <v>1</v>
      </c>
      <c r="H367" s="289">
        <f>IF(C367&gt;0,RANK(C367,$C$364:$C$382),)</f>
        <v>0</v>
      </c>
      <c r="I367" s="289">
        <f>IF(D367&gt;0,RANK(D367,$D$364:$D$382),)</f>
        <v>0</v>
      </c>
      <c r="J367" s="289">
        <f>IF(E367&gt;0,RANK(E367,$E$364:$E$382),)</f>
        <v>9</v>
      </c>
      <c r="K367" s="289">
        <f>IF(F367&gt;0,RANK(F367,$F$364:$F$382),)</f>
        <v>2</v>
      </c>
      <c r="L367" s="356"/>
      <c r="M367" s="448">
        <v>1582.8911111111111</v>
      </c>
    </row>
    <row r="368" spans="1:13" s="376" customFormat="1" ht="9" customHeight="1">
      <c r="B368" s="380"/>
      <c r="C368" s="380"/>
      <c r="D368" s="380"/>
      <c r="E368" s="380"/>
      <c r="F368" s="380"/>
      <c r="G368" s="387"/>
      <c r="H368" s="388"/>
      <c r="I368" s="388"/>
      <c r="J368" s="388"/>
      <c r="K368" s="388"/>
      <c r="L368" s="381"/>
      <c r="M368" s="448"/>
    </row>
    <row r="369" spans="1:13" ht="12.75" customHeight="1">
      <c r="A369" s="77" t="s">
        <v>781</v>
      </c>
      <c r="B369" s="288">
        <f>IF($M369&gt;0,('Amounts Pivot Table'!M$163/$M369),0)</f>
        <v>0</v>
      </c>
      <c r="C369" s="288">
        <f>IF($M369&gt;0,('Amounts Pivot Table'!M$166/$M369),0)</f>
        <v>0</v>
      </c>
      <c r="D369" s="288">
        <f>IF($M369&gt;0,('Amounts Pivot Table'!M$169/$M369),0)</f>
        <v>0</v>
      </c>
      <c r="E369" s="288">
        <f>IF($M369&gt;0,('Amounts Pivot Table'!M$172/$M369),0)</f>
        <v>0</v>
      </c>
      <c r="F369" s="288">
        <f t="shared" si="42"/>
        <v>0</v>
      </c>
      <c r="G369" s="359">
        <f>IF(B369&gt;0,RANK(B369,$B$364:$B$382),)</f>
        <v>0</v>
      </c>
      <c r="H369" s="289">
        <f>IF(C369&gt;0,RANK(C369,$C$364:$C$382),)</f>
        <v>0</v>
      </c>
      <c r="I369" s="289">
        <f>IF(D369&gt;0,RANK(D369,$D$364:$D$382),)</f>
        <v>0</v>
      </c>
      <c r="J369" s="289">
        <f>IF(E369&gt;0,RANK(E369,$E$364:$E$382),)</f>
        <v>0</v>
      </c>
      <c r="K369" s="289">
        <f>IF(F369&gt;0,RANK(F369,$F$364:$F$382),)</f>
        <v>0</v>
      </c>
      <c r="L369" s="356"/>
      <c r="M369" s="448">
        <v>0</v>
      </c>
    </row>
    <row r="370" spans="1:13" ht="12.75" customHeight="1">
      <c r="A370" s="77" t="s">
        <v>782</v>
      </c>
      <c r="B370" s="288">
        <f>IF($M370&gt;0,('Amounts Pivot Table'!M$202/$M370),0)</f>
        <v>4407.9850488914599</v>
      </c>
      <c r="C370" s="288">
        <f>IF($M370&gt;0,('Amounts Pivot Table'!M$205/$M370),0)</f>
        <v>0</v>
      </c>
      <c r="D370" s="288">
        <f>IF($M370&gt;0,('Amounts Pivot Table'!M$208/$M370),0)</f>
        <v>0</v>
      </c>
      <c r="E370" s="288">
        <f>IF($M370&gt;0,('Amounts Pivot Table'!M$211/$M370),0)</f>
        <v>5540.3646557574011</v>
      </c>
      <c r="F370" s="288">
        <f t="shared" si="42"/>
        <v>9948.349704648861</v>
      </c>
      <c r="G370" s="359">
        <f>IF(B370&gt;0,RANK(B370,$B$364:$B$382),)</f>
        <v>8</v>
      </c>
      <c r="H370" s="289">
        <f>IF(C370&gt;0,RANK(C370,$C$364:$C$382),)</f>
        <v>0</v>
      </c>
      <c r="I370" s="289">
        <f>IF(D370&gt;0,RANK(D370,$D$364:$D$382),)</f>
        <v>0</v>
      </c>
      <c r="J370" s="289">
        <f>IF(E370&gt;0,RANK(E370,$E$364:$E$382),)</f>
        <v>4</v>
      </c>
      <c r="K370" s="289">
        <f>IF(F370&gt;0,RANK(F370,$F$364:$F$382),)</f>
        <v>9</v>
      </c>
      <c r="L370" s="356"/>
      <c r="M370" s="448">
        <v>8989.2999999999993</v>
      </c>
    </row>
    <row r="371" spans="1:13" ht="12.75" customHeight="1">
      <c r="A371" s="77" t="s">
        <v>813</v>
      </c>
      <c r="B371" s="288">
        <f>IF($M371&gt;0,('Amounts Pivot Table'!M$241/$M371),0)</f>
        <v>2485.7255430305026</v>
      </c>
      <c r="C371" s="288">
        <f>IF($M371&gt;0,('Amounts Pivot Table'!M$244/$M371),0)</f>
        <v>0</v>
      </c>
      <c r="D371" s="288">
        <f>IF($M371&gt;0,('Amounts Pivot Table'!M$247/$M371),0)</f>
        <v>0</v>
      </c>
      <c r="E371" s="288">
        <f>IF($M371&gt;0,('Amounts Pivot Table'!M$250/$M371),0)</f>
        <v>4506.5134582392338</v>
      </c>
      <c r="F371" s="288">
        <f t="shared" si="42"/>
        <v>6992.239001269736</v>
      </c>
      <c r="G371" s="359">
        <f>IF(B371&gt;0,RANK(B371,$B$364:$B$382),)</f>
        <v>11</v>
      </c>
      <c r="H371" s="289">
        <f>IF(C371&gt;0,RANK(C371,$C$364:$C$382),)</f>
        <v>0</v>
      </c>
      <c r="I371" s="289">
        <f>IF(D371&gt;0,RANK(D371,$D$364:$D$382),)</f>
        <v>0</v>
      </c>
      <c r="J371" s="289">
        <f>IF(E371&gt;0,RANK(E371,$E$364:$E$382),)</f>
        <v>7</v>
      </c>
      <c r="K371" s="289">
        <f>IF(F371&gt;0,RANK(F371,$F$364:$F$382),)</f>
        <v>10</v>
      </c>
      <c r="L371" s="356"/>
      <c r="M371" s="448">
        <v>3439.0333333333333</v>
      </c>
    </row>
    <row r="372" spans="1:13" ht="12.75" customHeight="1">
      <c r="A372" s="77" t="s">
        <v>784</v>
      </c>
      <c r="B372" s="288">
        <f>IF($M372&gt;0,('Amounts Pivot Table'!M$280/$M372),0)</f>
        <v>5527.9456210670833</v>
      </c>
      <c r="C372" s="288">
        <f>IF($M372&gt;0,('Amounts Pivot Table'!M$283/$M372),0)</f>
        <v>0</v>
      </c>
      <c r="D372" s="288">
        <f>IF($M372&gt;0,('Amounts Pivot Table'!M$286/$M372),0)</f>
        <v>6644.1343423596736</v>
      </c>
      <c r="E372" s="288">
        <f>IF($M372&gt;0,('Amounts Pivot Table'!M$289/$M372),0)</f>
        <v>7015.6394795303086</v>
      </c>
      <c r="F372" s="288">
        <f t="shared" si="42"/>
        <v>19187.719442957066</v>
      </c>
      <c r="G372" s="359">
        <f>IF(B372&gt;0,RANK(B372,$B$364:$B$382),)</f>
        <v>7</v>
      </c>
      <c r="H372" s="289">
        <f>IF(C372&gt;0,RANK(C372,$C$364:$C$382),)</f>
        <v>0</v>
      </c>
      <c r="I372" s="289">
        <f>IF(D372&gt;0,RANK(D372,$D$364:$D$382),)</f>
        <v>1</v>
      </c>
      <c r="J372" s="289">
        <f>IF(E372&gt;0,RANK(E372,$E$364:$E$382),)</f>
        <v>1</v>
      </c>
      <c r="K372" s="289">
        <f>IF(F372&gt;0,RANK(F372,$F$364:$F$382),)</f>
        <v>1</v>
      </c>
      <c r="L372" s="356"/>
      <c r="M372" s="448">
        <v>5960.6416666666664</v>
      </c>
    </row>
    <row r="373" spans="1:13" s="376" customFormat="1" ht="8.25" customHeight="1">
      <c r="B373" s="380"/>
      <c r="C373" s="380"/>
      <c r="D373" s="380"/>
      <c r="E373" s="380"/>
      <c r="F373" s="380"/>
      <c r="G373" s="387"/>
      <c r="H373" s="388"/>
      <c r="I373" s="388"/>
      <c r="J373" s="388"/>
      <c r="K373" s="388"/>
      <c r="L373" s="381"/>
      <c r="M373" s="448"/>
    </row>
    <row r="374" spans="1:13" ht="12.75" customHeight="1">
      <c r="A374" s="77" t="s">
        <v>785</v>
      </c>
      <c r="B374" s="288">
        <f>IF($M374&gt;0,('Amounts Pivot Table'!M$319/$M374),0)</f>
        <v>0</v>
      </c>
      <c r="C374" s="288">
        <f>IF($M374&gt;0,('Amounts Pivot Table'!M$322/$M374),0)</f>
        <v>0</v>
      </c>
      <c r="D374" s="288">
        <f>IF($M374&gt;0,('Amounts Pivot Table'!M$325/$M374),0)</f>
        <v>0</v>
      </c>
      <c r="E374" s="288">
        <f>IF($M374&gt;0,('Amounts Pivot Table'!M$328/$M374),0)</f>
        <v>0</v>
      </c>
      <c r="F374" s="288">
        <f t="shared" si="42"/>
        <v>0</v>
      </c>
      <c r="G374" s="359">
        <f>IF(B374&gt;0,RANK(B374,$B$364:$B$382),)</f>
        <v>0</v>
      </c>
      <c r="H374" s="289">
        <f>IF(C374&gt;0,RANK(C374,$C$364:$C$382),)</f>
        <v>0</v>
      </c>
      <c r="I374" s="289">
        <f>IF(D374&gt;0,RANK(D374,$D$364:$D$382),)</f>
        <v>0</v>
      </c>
      <c r="J374" s="289">
        <f>IF(E374&gt;0,RANK(E374,$E$364:$E$382),)</f>
        <v>0</v>
      </c>
      <c r="K374" s="289">
        <f>IF(F374&gt;0,RANK(F374,$F$364:$F$382),)</f>
        <v>0</v>
      </c>
      <c r="L374" s="356"/>
      <c r="M374" s="448">
        <v>0</v>
      </c>
    </row>
    <row r="375" spans="1:13" ht="12.75" customHeight="1">
      <c r="A375" s="77" t="s">
        <v>786</v>
      </c>
      <c r="B375" s="288">
        <f>IF($M375&gt;0,('Amounts Pivot Table'!M$358/$M375),0)</f>
        <v>6569.5346738905182</v>
      </c>
      <c r="C375" s="288">
        <f>IF($M375&gt;0,('Amounts Pivot Table'!M$361/$M375),0)</f>
        <v>1256.271634670735</v>
      </c>
      <c r="D375" s="288">
        <f>IF($M375&gt;0,('Amounts Pivot Table'!M$364/$M375),0)</f>
        <v>1749.2434954208479</v>
      </c>
      <c r="E375" s="288">
        <f>IF($M375&gt;0,('Amounts Pivot Table'!M$367/$M375),0)</f>
        <v>1846.3366356898405</v>
      </c>
      <c r="F375" s="288">
        <f t="shared" si="42"/>
        <v>11421.386439671942</v>
      </c>
      <c r="G375" s="359">
        <f>IF(B375&gt;0,RANK(B375,$B$364:$B$382),)</f>
        <v>4</v>
      </c>
      <c r="H375" s="289">
        <f>IF(C375&gt;0,RANK(C375,$C$364:$C$382),)</f>
        <v>1</v>
      </c>
      <c r="I375" s="289">
        <f>IF(D375&gt;0,RANK(D375,$D$364:$D$382),)</f>
        <v>2</v>
      </c>
      <c r="J375" s="289">
        <f>IF(E375&gt;0,RANK(E375,$E$364:$E$382),)</f>
        <v>10</v>
      </c>
      <c r="K375" s="289">
        <f>IF(F375&gt;0,RANK(F375,$F$364:$F$382),)</f>
        <v>6</v>
      </c>
      <c r="L375" s="356"/>
      <c r="M375" s="448">
        <v>31269.253333333334</v>
      </c>
    </row>
    <row r="376" spans="1:13" ht="12.75" customHeight="1">
      <c r="A376" s="77" t="s">
        <v>787</v>
      </c>
      <c r="B376" s="288">
        <f>IF($M376&gt;0,('Amounts Pivot Table'!M$397/$M376),0)</f>
        <v>0</v>
      </c>
      <c r="C376" s="288">
        <f>IF($M376&gt;0,('Amounts Pivot Table'!M$400/$M376),0)</f>
        <v>0</v>
      </c>
      <c r="D376" s="288">
        <f>IF($M376&gt;0,('Amounts Pivot Table'!M$403/$M376),0)</f>
        <v>0</v>
      </c>
      <c r="E376" s="288">
        <f>IF($M376&gt;0,('Amounts Pivot Table'!M$406/$M376),0)</f>
        <v>0</v>
      </c>
      <c r="F376" s="288">
        <f t="shared" si="42"/>
        <v>0</v>
      </c>
      <c r="G376" s="359">
        <f>IF(B376&gt;0,RANK(B376,$B$364:$B$382),)</f>
        <v>0</v>
      </c>
      <c r="H376" s="289">
        <f>IF(C376&gt;0,RANK(C376,$C$364:$C$382),)</f>
        <v>0</v>
      </c>
      <c r="I376" s="289">
        <f>IF(D376&gt;0,RANK(D376,$D$364:$D$382),)</f>
        <v>0</v>
      </c>
      <c r="J376" s="289">
        <f>IF(E376&gt;0,RANK(E376,$E$364:$E$382),)</f>
        <v>0</v>
      </c>
      <c r="K376" s="289">
        <f>IF(F376&gt;0,RANK(F376,$F$364:$F$382),)</f>
        <v>0</v>
      </c>
      <c r="L376" s="356"/>
      <c r="M376" s="448">
        <v>0</v>
      </c>
    </row>
    <row r="377" spans="1:13" ht="12.75" customHeight="1">
      <c r="A377" s="77" t="s">
        <v>788</v>
      </c>
      <c r="B377" s="288">
        <f>IF($M377&gt;0,('Amounts Pivot Table'!M$436/$M377),0)</f>
        <v>3449.1601287954854</v>
      </c>
      <c r="C377" s="288">
        <f>IF($M377&gt;0,('Amounts Pivot Table'!M$439/$M377),0)</f>
        <v>495.97344458678117</v>
      </c>
      <c r="D377" s="288">
        <f>IF($M377&gt;0,('Amounts Pivot Table'!M$442/$M377),0)</f>
        <v>824.08347470830597</v>
      </c>
      <c r="E377" s="288">
        <f>IF($M377&gt;0,('Amounts Pivot Table'!M$445/$M377),0)</f>
        <v>6565.3043658899705</v>
      </c>
      <c r="F377" s="288">
        <f t="shared" si="42"/>
        <v>11334.521413980543</v>
      </c>
      <c r="G377" s="359">
        <f>IF(B377&gt;0,RANK(B377,$B$364:$B$382),)</f>
        <v>9</v>
      </c>
      <c r="H377" s="289">
        <f>IF(C377&gt;0,RANK(C377,$C$364:$C$382),)</f>
        <v>2</v>
      </c>
      <c r="I377" s="289">
        <f>IF(D377&gt;0,RANK(D377,$D$364:$D$382),)</f>
        <v>5</v>
      </c>
      <c r="J377" s="289">
        <f>IF(E377&gt;0,RANK(E377,$E$364:$E$382),)</f>
        <v>2</v>
      </c>
      <c r="K377" s="289">
        <f>IF(F377&gt;0,RANK(F377,$F$364:$F$382),)</f>
        <v>8</v>
      </c>
      <c r="L377" s="356"/>
      <c r="M377" s="448">
        <v>9627.6666666666661</v>
      </c>
    </row>
    <row r="378" spans="1:13" s="376" customFormat="1" ht="7.5" customHeight="1">
      <c r="B378" s="380"/>
      <c r="C378" s="380"/>
      <c r="D378" s="380"/>
      <c r="E378" s="380"/>
      <c r="F378" s="380"/>
      <c r="G378" s="387"/>
      <c r="H378" s="388"/>
      <c r="I378" s="388"/>
      <c r="J378" s="388"/>
      <c r="K378" s="388"/>
      <c r="L378" s="381"/>
      <c r="M378" s="448"/>
    </row>
    <row r="379" spans="1:13" ht="12.75" customHeight="1">
      <c r="A379" s="77" t="s">
        <v>789</v>
      </c>
      <c r="B379" s="288">
        <f>IF($M379&gt;0,('Amounts Pivot Table'!M$475/$M379),0)</f>
        <v>6431.4402685345076</v>
      </c>
      <c r="C379" s="288">
        <f>IF($M379&gt;0,('Amounts Pivot Table'!M$478/$M379),0)</f>
        <v>0</v>
      </c>
      <c r="D379" s="288">
        <f>IF($M379&gt;0,('Amounts Pivot Table'!M$481/$M379),0)</f>
        <v>0</v>
      </c>
      <c r="E379" s="288">
        <f>IF($M379&gt;0,('Amounts Pivot Table'!M$484/$M379),0)</f>
        <v>4994.2179708570211</v>
      </c>
      <c r="F379" s="288">
        <f t="shared" si="42"/>
        <v>11425.658239391529</v>
      </c>
      <c r="G379" s="359">
        <f>IF(B379&gt;0,RANK(B379,$B$364:$B$382),)</f>
        <v>6</v>
      </c>
      <c r="H379" s="289">
        <f>IF(C379&gt;0,RANK(C379,$C$364:$C$382),)</f>
        <v>0</v>
      </c>
      <c r="I379" s="289">
        <f>IF(D379&gt;0,RANK(D379,$D$364:$D$382),)</f>
        <v>0</v>
      </c>
      <c r="J379" s="289">
        <f>IF(E379&gt;0,RANK(E379,$E$364:$E$382),)</f>
        <v>5</v>
      </c>
      <c r="K379" s="289">
        <f>IF(F379&gt;0,RANK(F379,$F$364:$F$382),)</f>
        <v>5</v>
      </c>
      <c r="L379" s="356"/>
      <c r="M379" s="448">
        <v>1717.9666666666667</v>
      </c>
    </row>
    <row r="380" spans="1:13" s="362" customFormat="1" ht="12.75" customHeight="1">
      <c r="A380" s="77" t="s">
        <v>940</v>
      </c>
      <c r="B380" s="288">
        <f>IF($M380&gt;0,('Amounts Pivot Table'!M$514/$M380),0)</f>
        <v>3236.3831014153625</v>
      </c>
      <c r="C380" s="288">
        <f>IF($M380&gt;0,('Amounts Pivot Table'!M$517/$M380),0)</f>
        <v>0</v>
      </c>
      <c r="D380" s="288">
        <f>IF($M380&gt;0,('Amounts Pivot Table'!M$520/$M380),0)</f>
        <v>1232.4513201907441</v>
      </c>
      <c r="E380" s="288">
        <f>IF($M380&gt;0,('Amounts Pivot Table'!M$523/$M380),0)</f>
        <v>1256.3405969766882</v>
      </c>
      <c r="F380" s="288">
        <f t="shared" si="42"/>
        <v>5725.175018582795</v>
      </c>
      <c r="G380" s="359">
        <f>IF(B380&gt;0,RANK(B380,$B$364:$B$382),)</f>
        <v>10</v>
      </c>
      <c r="H380" s="289">
        <f>IF(C380&gt;0,RANK(C380,$C$364:$C$382),)</f>
        <v>0</v>
      </c>
      <c r="I380" s="289">
        <f>IF(D380&gt;0,RANK(D380,$D$364:$D$382),)</f>
        <v>3</v>
      </c>
      <c r="J380" s="289">
        <f>IF(E380&gt;0,RANK(E380,$E$364:$E$382),)</f>
        <v>11</v>
      </c>
      <c r="K380" s="289">
        <f>IF(F380&gt;0,RANK(F380,$F$364:$F$382),)</f>
        <v>11</v>
      </c>
      <c r="L380" s="363"/>
      <c r="M380" s="448">
        <v>26707.79888888889</v>
      </c>
    </row>
    <row r="381" spans="1:13" ht="12.75" customHeight="1">
      <c r="A381" s="77" t="s">
        <v>944</v>
      </c>
      <c r="B381" s="288">
        <f>IF($M381&gt;0,('Amounts Pivot Table'!M$553/$M381),0)</f>
        <v>687.82458563535909</v>
      </c>
      <c r="C381" s="288">
        <f>IF($M381&gt;0,('Amounts Pivot Table'!M$556/$M381),0)</f>
        <v>0</v>
      </c>
      <c r="D381" s="288">
        <f>IF($M381&gt;0,('Amounts Pivot Table'!M$559/$M381),0)</f>
        <v>0</v>
      </c>
      <c r="E381" s="288">
        <f>IF($M381&gt;0,('Amounts Pivot Table'!M$562/$M381),0)</f>
        <v>425.79871440713981</v>
      </c>
      <c r="F381" s="288">
        <f>SUM(B381:E381)</f>
        <v>1113.6233000424988</v>
      </c>
      <c r="G381" s="359">
        <f>IF(B381&gt;0,RANK(B381,$B$364:$B$382),)</f>
        <v>12</v>
      </c>
      <c r="H381" s="289">
        <f>IF(C381&gt;0,RANK(C381,$C$364:$C$382),)</f>
        <v>0</v>
      </c>
      <c r="I381" s="289">
        <f>IF(D381&gt;0,RANK(D381,$D$364:$D$382),)</f>
        <v>0</v>
      </c>
      <c r="J381" s="289">
        <f>IF(E381&gt;0,RANK(E381,$E$364:$E$382),)</f>
        <v>12</v>
      </c>
      <c r="K381" s="289">
        <f>IF(F381&gt;0,RANK(F381,$F$364:$F$382),)</f>
        <v>12</v>
      </c>
      <c r="L381" s="367"/>
      <c r="M381" s="448">
        <v>13804.266666666666</v>
      </c>
    </row>
    <row r="382" spans="1:13" ht="13.5" customHeight="1">
      <c r="A382" s="277" t="s">
        <v>792</v>
      </c>
      <c r="B382" s="296">
        <f>IF($M382&gt;0,('Amounts Pivot Table'!M$592/$M382),0)</f>
        <v>6919.5926260346123</v>
      </c>
      <c r="C382" s="296">
        <f>IF($M382&gt;0,('Amounts Pivot Table'!M$595/$M382),0)</f>
        <v>0</v>
      </c>
      <c r="D382" s="296">
        <f>IF($M382&gt;0,('Amounts Pivot Table'!M$598/$M382),0)</f>
        <v>0</v>
      </c>
      <c r="E382" s="296">
        <f>IF($M382&gt;0,('Amounts Pivot Table'!M$601/$M382),0)</f>
        <v>5834.719337848006</v>
      </c>
      <c r="F382" s="364">
        <f t="shared" si="42"/>
        <v>12754.311963882617</v>
      </c>
      <c r="G382" s="365">
        <f>IF(B382&gt;0,RANK(B382,$B$364:$B$382),)</f>
        <v>3</v>
      </c>
      <c r="H382" s="366">
        <f>IF(C382&gt;0,RANK(C382,$C$364:$C$382),)</f>
        <v>0</v>
      </c>
      <c r="I382" s="366">
        <f>IF(D382&gt;0,RANK(D382,$D$364:$D$382),)</f>
        <v>0</v>
      </c>
      <c r="J382" s="366">
        <f>IF(E382&gt;0,RANK(E382,$E$364:$E$382),)</f>
        <v>3</v>
      </c>
      <c r="K382" s="366">
        <f>IF(F382&gt;0,RANK(F382,$F$364:$F$382),)</f>
        <v>3</v>
      </c>
      <c r="L382" s="367"/>
      <c r="M382" s="448">
        <v>6645</v>
      </c>
    </row>
    <row r="383" spans="1:13" s="362" customFormat="1" ht="15" customHeight="1">
      <c r="A383" s="1271" t="s">
        <v>968</v>
      </c>
      <c r="B383" s="1271"/>
      <c r="C383" s="1271"/>
      <c r="D383" s="1271"/>
      <c r="E383" s="1271"/>
      <c r="F383" s="1271"/>
      <c r="G383" s="1271"/>
      <c r="H383" s="1271"/>
      <c r="I383" s="1271"/>
      <c r="J383" s="1271"/>
      <c r="K383" s="1271"/>
      <c r="L383" s="363"/>
      <c r="M383" s="449"/>
    </row>
    <row r="384" spans="1:13" s="362" customFormat="1" ht="14.25" customHeight="1">
      <c r="A384" s="405" t="s">
        <v>945</v>
      </c>
      <c r="B384" s="396"/>
      <c r="C384" s="396"/>
      <c r="D384" s="396"/>
      <c r="E384" s="396"/>
      <c r="F384" s="396"/>
      <c r="G384" s="396"/>
      <c r="H384" s="396"/>
      <c r="I384" s="396"/>
      <c r="J384" s="396"/>
      <c r="K384" s="396"/>
      <c r="L384" s="363"/>
      <c r="M384" s="449"/>
    </row>
    <row r="385" spans="1:13" s="362" customFormat="1" ht="29.25" customHeight="1">
      <c r="A385" s="1244" t="s">
        <v>926</v>
      </c>
      <c r="B385" s="1270"/>
      <c r="C385" s="1270"/>
      <c r="D385" s="1270"/>
      <c r="E385" s="1270"/>
      <c r="F385" s="1270"/>
      <c r="G385" s="1270"/>
      <c r="H385" s="1270"/>
      <c r="I385" s="1270"/>
      <c r="J385" s="1270"/>
      <c r="K385" s="1270"/>
      <c r="L385" s="363"/>
      <c r="M385" s="412"/>
    </row>
    <row r="386" spans="1:13" s="397" customFormat="1" ht="13.5" customHeight="1">
      <c r="A386" s="1244" t="s">
        <v>927</v>
      </c>
      <c r="B386" s="1270"/>
      <c r="C386" s="1270"/>
      <c r="D386" s="1270"/>
      <c r="E386" s="1270"/>
      <c r="F386" s="1270"/>
      <c r="G386" s="1270"/>
      <c r="H386" s="1270"/>
      <c r="I386" s="1270"/>
      <c r="J386" s="1270"/>
      <c r="K386" s="1270"/>
      <c r="L386" s="347"/>
      <c r="M386" s="464"/>
    </row>
    <row r="387" spans="1:13" ht="13.5" customHeight="1">
      <c r="A387" s="1244" t="s">
        <v>930</v>
      </c>
      <c r="B387" s="1245"/>
      <c r="C387" s="1245"/>
      <c r="D387" s="1245"/>
      <c r="E387" s="1245"/>
      <c r="F387" s="1245"/>
      <c r="G387" s="1245"/>
      <c r="H387" s="1245"/>
      <c r="I387" s="1245"/>
      <c r="J387" s="1245"/>
      <c r="K387" s="1245"/>
      <c r="L387" s="367"/>
      <c r="M387" s="449"/>
    </row>
    <row r="388" spans="1:13">
      <c r="A388" s="368"/>
      <c r="B388" s="369"/>
      <c r="C388" s="369"/>
      <c r="D388" s="369"/>
      <c r="E388" s="369"/>
      <c r="F388" s="369"/>
      <c r="G388" s="369"/>
      <c r="H388" s="369"/>
      <c r="I388" s="369"/>
      <c r="J388" s="369"/>
      <c r="K388" s="370" t="s">
        <v>1814</v>
      </c>
      <c r="L388" s="367"/>
      <c r="M388" s="465"/>
    </row>
    <row r="389" spans="1:13" ht="18">
      <c r="A389" s="336" t="s">
        <v>946</v>
      </c>
      <c r="B389" s="336"/>
      <c r="C389" s="336"/>
      <c r="D389" s="336"/>
      <c r="E389" s="336"/>
      <c r="F389" s="336"/>
      <c r="G389" s="336"/>
      <c r="H389" s="336"/>
      <c r="I389" s="336"/>
      <c r="J389" s="355"/>
      <c r="K389" s="336"/>
    </row>
    <row r="390" spans="1:13" ht="12" customHeight="1">
      <c r="A390" s="336"/>
      <c r="B390" s="336"/>
      <c r="C390" s="336"/>
      <c r="D390" s="336"/>
      <c r="E390" s="336"/>
      <c r="F390" s="336"/>
      <c r="G390" s="336"/>
      <c r="H390" s="336"/>
      <c r="I390" s="336"/>
      <c r="J390" s="355"/>
      <c r="K390" s="336"/>
    </row>
    <row r="391" spans="1:13" ht="17.5">
      <c r="A391" s="1228" t="s">
        <v>920</v>
      </c>
      <c r="B391" s="1228"/>
      <c r="C391" s="1228"/>
      <c r="D391" s="1228"/>
      <c r="E391" s="1228"/>
      <c r="F391" s="1228"/>
      <c r="G391" s="1228"/>
      <c r="H391" s="1228"/>
      <c r="I391" s="1228"/>
      <c r="J391" s="1228"/>
      <c r="K391" s="1228"/>
      <c r="L391" s="344"/>
      <c r="M391" s="412"/>
    </row>
    <row r="392" spans="1:13" ht="15.5">
      <c r="A392" s="1228" t="s">
        <v>1761</v>
      </c>
      <c r="B392" s="1228"/>
      <c r="C392" s="1228"/>
      <c r="D392" s="1228"/>
      <c r="E392" s="1228"/>
      <c r="F392" s="1228"/>
      <c r="G392" s="1228"/>
      <c r="H392" s="1228"/>
      <c r="I392" s="1228"/>
      <c r="J392" s="1228"/>
      <c r="K392" s="1228"/>
      <c r="L392" s="344"/>
      <c r="M392" s="441"/>
    </row>
    <row r="393" spans="1:13" ht="10.5" customHeight="1">
      <c r="A393" s="341"/>
      <c r="B393" s="341"/>
      <c r="C393" s="341"/>
      <c r="D393" s="341"/>
      <c r="E393" s="341"/>
      <c r="F393" s="341"/>
      <c r="G393" s="373"/>
      <c r="H393" s="341"/>
      <c r="I393" s="341"/>
      <c r="J393" s="341"/>
      <c r="K393" s="341"/>
      <c r="L393" s="344"/>
      <c r="M393" s="412"/>
    </row>
    <row r="394" spans="1:13" ht="17.25" customHeight="1">
      <c r="A394" s="346"/>
      <c r="B394" s="1268" t="s">
        <v>922</v>
      </c>
      <c r="C394" s="1269"/>
      <c r="D394" s="1269"/>
      <c r="E394" s="1269"/>
      <c r="F394" s="1269"/>
      <c r="G394" s="445" t="s">
        <v>923</v>
      </c>
      <c r="H394" s="446"/>
      <c r="I394" s="446"/>
      <c r="J394" s="446"/>
      <c r="K394" s="446"/>
      <c r="L394" s="389"/>
      <c r="M394" s="447" t="s">
        <v>1775</v>
      </c>
    </row>
    <row r="395" spans="1:13" s="53" customFormat="1" ht="46">
      <c r="A395" s="243"/>
      <c r="B395" s="420" t="s">
        <v>6</v>
      </c>
      <c r="C395" s="421" t="s">
        <v>7</v>
      </c>
      <c r="D395" s="421" t="s">
        <v>8</v>
      </c>
      <c r="E395" s="421" t="s">
        <v>960</v>
      </c>
      <c r="F395" s="421" t="s">
        <v>768</v>
      </c>
      <c r="G395" s="422" t="s">
        <v>6</v>
      </c>
      <c r="H395" s="421" t="s">
        <v>7</v>
      </c>
      <c r="I395" s="421" t="s">
        <v>8</v>
      </c>
      <c r="J395" s="421" t="s">
        <v>960</v>
      </c>
      <c r="K395" s="421" t="s">
        <v>768</v>
      </c>
      <c r="L395" s="350"/>
      <c r="M395" s="442" t="s">
        <v>932</v>
      </c>
    </row>
    <row r="396" spans="1:13" ht="14.5">
      <c r="A396" s="77" t="s">
        <v>925</v>
      </c>
      <c r="B396" s="352">
        <f>IF($M396&gt;0,('Amounts Pivot Table'!N$631/$M396),0)</f>
        <v>3120.6297625367483</v>
      </c>
      <c r="C396" s="352">
        <f>IF($M396&gt;0,('Amounts Pivot Table'!N$634/$M396),0)</f>
        <v>0</v>
      </c>
      <c r="D396" s="352">
        <f>IF($M396&gt;0,('Amounts Pivot Table'!N$637/$M396),0)</f>
        <v>1190.9353692754503</v>
      </c>
      <c r="E396" s="352">
        <f>IF($M396&gt;0,('Amounts Pivot Table'!N$640/$M396),0)</f>
        <v>3317.9986948580326</v>
      </c>
      <c r="F396" s="352">
        <f>SUM(B396:E396)</f>
        <v>7629.5638266702308</v>
      </c>
      <c r="G396" s="353"/>
      <c r="H396" s="354"/>
      <c r="I396" s="354"/>
      <c r="J396" s="354"/>
      <c r="K396" s="354"/>
      <c r="L396" s="356"/>
      <c r="M396" s="448">
        <v>165412.4011111111</v>
      </c>
    </row>
    <row r="397" spans="1:13" s="376" customFormat="1" ht="9.75" customHeight="1">
      <c r="B397" s="380"/>
      <c r="C397" s="380"/>
      <c r="D397" s="380"/>
      <c r="E397" s="380"/>
      <c r="F397" s="380"/>
      <c r="G397" s="387"/>
      <c r="H397" s="388"/>
      <c r="I397" s="388"/>
      <c r="J397" s="388"/>
      <c r="K397" s="388"/>
      <c r="L397" s="381"/>
      <c r="M397" s="448"/>
    </row>
    <row r="398" spans="1:13" ht="12.75" customHeight="1">
      <c r="A398" s="77" t="s">
        <v>777</v>
      </c>
      <c r="B398" s="288">
        <f>IF($M398&gt;0,('Amounts Pivot Table'!N$7/$M398),0)</f>
        <v>0</v>
      </c>
      <c r="C398" s="288">
        <f>IF($M398&gt;0,('Amounts Pivot Table'!N$10/$M398),0)</f>
        <v>0</v>
      </c>
      <c r="D398" s="288">
        <f>IF($M398&gt;0,('Amounts Pivot Table'!N$13/$M398),0)</f>
        <v>0</v>
      </c>
      <c r="E398" s="288">
        <f>IF($M398&gt;0,('Amounts Pivot Table'!N$16/$M398),0)</f>
        <v>0</v>
      </c>
      <c r="F398" s="288">
        <f t="shared" ref="F398:F416" si="43">SUM(B398:E398)</f>
        <v>0</v>
      </c>
      <c r="G398" s="359">
        <f t="shared" ref="G398:G416" si="44">IF(B398&gt;0,RANK(B398,$B$398:$B$416),)</f>
        <v>0</v>
      </c>
      <c r="H398" s="289">
        <f t="shared" ref="H398:H416" si="45">IF(C398&gt;0,RANK(C398,$C$398:$C$416),)</f>
        <v>0</v>
      </c>
      <c r="I398" s="289">
        <f t="shared" ref="I398:I416" si="46">IF(D398&gt;0,RANK(D398,$D$398:$D$416),)</f>
        <v>0</v>
      </c>
      <c r="J398" s="289">
        <f t="shared" ref="J398:J416" si="47">IF(E398&gt;0,RANK(E398,$E$398:$E$416),)</f>
        <v>0</v>
      </c>
      <c r="K398" s="289">
        <f t="shared" ref="K398:K416" si="48">IF(F398&gt;0,RANK(F398,$F$398:$F$416),)</f>
        <v>0</v>
      </c>
      <c r="L398" s="356"/>
      <c r="M398" s="448"/>
    </row>
    <row r="399" spans="1:13" ht="12.75" customHeight="1">
      <c r="A399" s="77" t="s">
        <v>778</v>
      </c>
      <c r="B399" s="288">
        <f>IF($M399&gt;0,('Amounts Pivot Table'!N$46/$M399),0)</f>
        <v>0</v>
      </c>
      <c r="C399" s="288">
        <f>IF($M399&gt;0,('Amounts Pivot Table'!N$49/$M399),0)</f>
        <v>0</v>
      </c>
      <c r="D399" s="288">
        <f>IF($M399&gt;0,('Amounts Pivot Table'!N$52/$M399),0)</f>
        <v>0</v>
      </c>
      <c r="E399" s="288">
        <f>IF($M399&gt;0,('Amounts Pivot Table'!N$55/$M399),0)</f>
        <v>0</v>
      </c>
      <c r="F399" s="288">
        <f t="shared" si="43"/>
        <v>0</v>
      </c>
      <c r="G399" s="359">
        <f t="shared" si="44"/>
        <v>0</v>
      </c>
      <c r="H399" s="289">
        <f t="shared" si="45"/>
        <v>0</v>
      </c>
      <c r="I399" s="289">
        <f t="shared" si="46"/>
        <v>0</v>
      </c>
      <c r="J399" s="289">
        <f t="shared" si="47"/>
        <v>0</v>
      </c>
      <c r="K399" s="289">
        <f t="shared" si="48"/>
        <v>0</v>
      </c>
      <c r="L399" s="356"/>
      <c r="M399" s="448"/>
    </row>
    <row r="400" spans="1:13" ht="12.75" customHeight="1">
      <c r="A400" s="77" t="s">
        <v>779</v>
      </c>
      <c r="B400" s="288">
        <f>IF($M400&gt;0,('Amounts Pivot Table'!N$85/$M400),0)</f>
        <v>0</v>
      </c>
      <c r="C400" s="288">
        <f>IF($M400&gt;0,('Amounts Pivot Table'!N$88/$M400),0)</f>
        <v>0</v>
      </c>
      <c r="D400" s="288">
        <f>IF($M400&gt;0,('Amounts Pivot Table'!N$91/$M400),0)</f>
        <v>0</v>
      </c>
      <c r="E400" s="288">
        <f>IF($M400&gt;0,('Amounts Pivot Table'!N$94/$M400),0)</f>
        <v>0</v>
      </c>
      <c r="F400" s="288">
        <f t="shared" si="43"/>
        <v>0</v>
      </c>
      <c r="G400" s="359">
        <f t="shared" si="44"/>
        <v>0</v>
      </c>
      <c r="H400" s="289">
        <f t="shared" si="45"/>
        <v>0</v>
      </c>
      <c r="I400" s="289">
        <f t="shared" si="46"/>
        <v>0</v>
      </c>
      <c r="J400" s="289">
        <f t="shared" si="47"/>
        <v>0</v>
      </c>
      <c r="K400" s="289">
        <f t="shared" si="48"/>
        <v>0</v>
      </c>
      <c r="L400" s="356"/>
      <c r="M400" s="448"/>
    </row>
    <row r="401" spans="1:14" ht="12.75" customHeight="1">
      <c r="A401" s="77" t="s">
        <v>780</v>
      </c>
      <c r="B401" s="288">
        <f>IF($M401&gt;0,('Amounts Pivot Table'!N$124/$M401),0)</f>
        <v>0</v>
      </c>
      <c r="C401" s="288">
        <f>IF($M401&gt;0,('Amounts Pivot Table'!N$127/$M401),0)</f>
        <v>0</v>
      </c>
      <c r="D401" s="288">
        <f>IF($M401&gt;0,('Amounts Pivot Table'!N$130/$M401),0)</f>
        <v>0</v>
      </c>
      <c r="E401" s="288">
        <f>IF($M401&gt;0,('Amounts Pivot Table'!N$133/$M401),0)</f>
        <v>0</v>
      </c>
      <c r="F401" s="288">
        <f t="shared" si="43"/>
        <v>0</v>
      </c>
      <c r="G401" s="359">
        <f t="shared" si="44"/>
        <v>0</v>
      </c>
      <c r="H401" s="289">
        <f t="shared" si="45"/>
        <v>0</v>
      </c>
      <c r="I401" s="289">
        <f t="shared" si="46"/>
        <v>0</v>
      </c>
      <c r="J401" s="289">
        <f t="shared" si="47"/>
        <v>0</v>
      </c>
      <c r="K401" s="289">
        <f t="shared" si="48"/>
        <v>0</v>
      </c>
      <c r="L401" s="356"/>
      <c r="M401" s="448"/>
    </row>
    <row r="402" spans="1:14" s="376" customFormat="1">
      <c r="B402" s="380"/>
      <c r="C402" s="380"/>
      <c r="D402" s="380"/>
      <c r="E402" s="380"/>
      <c r="F402" s="380"/>
      <c r="G402" s="387"/>
      <c r="H402" s="388"/>
      <c r="I402" s="388"/>
      <c r="J402" s="388"/>
      <c r="K402" s="388"/>
      <c r="L402" s="381"/>
      <c r="M402" s="448"/>
    </row>
    <row r="403" spans="1:14" ht="12.75" customHeight="1">
      <c r="A403" s="77" t="s">
        <v>781</v>
      </c>
      <c r="B403" s="288">
        <f>IF($M403&gt;0,('Amounts Pivot Table'!N$163/$M403),0)</f>
        <v>0</v>
      </c>
      <c r="C403" s="288">
        <f>IF($M403&gt;0,('Amounts Pivot Table'!N$166/$M403),0)</f>
        <v>0</v>
      </c>
      <c r="D403" s="288">
        <f>IF($M403&gt;0,('Amounts Pivot Table'!N$169/$M403),0)</f>
        <v>0</v>
      </c>
      <c r="E403" s="288">
        <f>IF($M403&gt;0,('Amounts Pivot Table'!N$172/$M403),0)</f>
        <v>0</v>
      </c>
      <c r="F403" s="288">
        <f t="shared" si="43"/>
        <v>0</v>
      </c>
      <c r="G403" s="359">
        <f t="shared" si="44"/>
        <v>0</v>
      </c>
      <c r="H403" s="289">
        <f t="shared" si="45"/>
        <v>0</v>
      </c>
      <c r="I403" s="289">
        <f t="shared" si="46"/>
        <v>0</v>
      </c>
      <c r="J403" s="289">
        <f t="shared" si="47"/>
        <v>0</v>
      </c>
      <c r="K403" s="289">
        <f t="shared" si="48"/>
        <v>0</v>
      </c>
      <c r="L403" s="356"/>
      <c r="M403" s="448"/>
    </row>
    <row r="404" spans="1:14" ht="12.75" customHeight="1">
      <c r="A404" s="77" t="s">
        <v>782</v>
      </c>
      <c r="B404" s="288">
        <f>IF($M404&gt;0,('Amounts Pivot Table'!N$202/$M404),0)</f>
        <v>0</v>
      </c>
      <c r="C404" s="288">
        <f>IF($M404&gt;0,('Amounts Pivot Table'!N$205/$M404),0)</f>
        <v>0</v>
      </c>
      <c r="D404" s="288">
        <f>IF($M404&gt;0,('Amounts Pivot Table'!N$208/$M404),0)</f>
        <v>0</v>
      </c>
      <c r="E404" s="288">
        <f>IF($M404&gt;0,('Amounts Pivot Table'!N$211/$M404),0)</f>
        <v>0</v>
      </c>
      <c r="F404" s="288">
        <f t="shared" si="43"/>
        <v>0</v>
      </c>
      <c r="G404" s="359">
        <f t="shared" si="44"/>
        <v>0</v>
      </c>
      <c r="H404" s="289">
        <f t="shared" si="45"/>
        <v>0</v>
      </c>
      <c r="I404" s="289">
        <f t="shared" si="46"/>
        <v>0</v>
      </c>
      <c r="J404" s="289">
        <f t="shared" si="47"/>
        <v>0</v>
      </c>
      <c r="K404" s="289">
        <f t="shared" si="48"/>
        <v>0</v>
      </c>
      <c r="L404" s="356"/>
      <c r="M404" s="448"/>
    </row>
    <row r="405" spans="1:14" ht="12.75" customHeight="1">
      <c r="A405" s="77" t="s">
        <v>813</v>
      </c>
      <c r="B405" s="288">
        <f>IF($M405&gt;0,('Amounts Pivot Table'!N$241/$M405),0)</f>
        <v>0</v>
      </c>
      <c r="C405" s="288">
        <f>IF($M405&gt;0,('Amounts Pivot Table'!N$244/$M405),0)</f>
        <v>0</v>
      </c>
      <c r="D405" s="288">
        <f>IF($M405&gt;0,('Amounts Pivot Table'!N$247/$M405),0)</f>
        <v>0</v>
      </c>
      <c r="E405" s="288">
        <f>IF($M405&gt;0,('Amounts Pivot Table'!N$250/$M405),0)</f>
        <v>0</v>
      </c>
      <c r="F405" s="288">
        <f t="shared" si="43"/>
        <v>0</v>
      </c>
      <c r="G405" s="359">
        <f t="shared" si="44"/>
        <v>0</v>
      </c>
      <c r="H405" s="289">
        <f t="shared" si="45"/>
        <v>0</v>
      </c>
      <c r="I405" s="289">
        <f t="shared" si="46"/>
        <v>0</v>
      </c>
      <c r="J405" s="289">
        <f t="shared" si="47"/>
        <v>0</v>
      </c>
      <c r="K405" s="289">
        <f t="shared" si="48"/>
        <v>0</v>
      </c>
      <c r="L405" s="356"/>
      <c r="M405" s="448"/>
    </row>
    <row r="406" spans="1:14" ht="12.75" customHeight="1">
      <c r="A406" s="77" t="s">
        <v>784</v>
      </c>
      <c r="B406" s="288">
        <f>IF($M406&gt;0,('Amounts Pivot Table'!N$280/$M406),0)</f>
        <v>0</v>
      </c>
      <c r="C406" s="288">
        <f>IF($M406&gt;0,('Amounts Pivot Table'!N$283/$M406),0)</f>
        <v>0</v>
      </c>
      <c r="D406" s="288">
        <f>IF($M406&gt;0,('Amounts Pivot Table'!N$286/$M406),0)</f>
        <v>0</v>
      </c>
      <c r="E406" s="288">
        <f>IF($M406&gt;0,('Amounts Pivot Table'!N$289/$M406),0)</f>
        <v>0</v>
      </c>
      <c r="F406" s="288">
        <f t="shared" si="43"/>
        <v>0</v>
      </c>
      <c r="G406" s="359">
        <f t="shared" si="44"/>
        <v>0</v>
      </c>
      <c r="H406" s="289">
        <f t="shared" si="45"/>
        <v>0</v>
      </c>
      <c r="I406" s="289">
        <f t="shared" si="46"/>
        <v>0</v>
      </c>
      <c r="J406" s="289">
        <f t="shared" si="47"/>
        <v>0</v>
      </c>
      <c r="K406" s="289">
        <f t="shared" si="48"/>
        <v>0</v>
      </c>
      <c r="L406" s="356"/>
      <c r="M406" s="448"/>
    </row>
    <row r="407" spans="1:14" s="376" customFormat="1">
      <c r="B407" s="380"/>
      <c r="C407" s="380"/>
      <c r="D407" s="380"/>
      <c r="E407" s="380"/>
      <c r="F407" s="380"/>
      <c r="G407" s="387"/>
      <c r="H407" s="388"/>
      <c r="I407" s="388"/>
      <c r="J407" s="388"/>
      <c r="K407" s="388"/>
      <c r="L407" s="381"/>
      <c r="M407" s="448"/>
    </row>
    <row r="408" spans="1:14" ht="12.75" customHeight="1">
      <c r="A408" s="77" t="s">
        <v>785</v>
      </c>
      <c r="B408" s="288">
        <f>IF($M408&gt;0,('Amounts Pivot Table'!N$319/$M408),0)</f>
        <v>0</v>
      </c>
      <c r="C408" s="288">
        <f>IF($M408&gt;0,('Amounts Pivot Table'!N$322/$M408),0)</f>
        <v>0</v>
      </c>
      <c r="D408" s="288">
        <f>IF($M408&gt;0,('Amounts Pivot Table'!N$325/$M408),0)</f>
        <v>0</v>
      </c>
      <c r="E408" s="288">
        <f>IF($M408&gt;0,('Amounts Pivot Table'!N$328/$M408),0)</f>
        <v>0</v>
      </c>
      <c r="F408" s="288">
        <f t="shared" si="43"/>
        <v>0</v>
      </c>
      <c r="G408" s="359">
        <f t="shared" si="44"/>
        <v>0</v>
      </c>
      <c r="H408" s="289">
        <f t="shared" si="45"/>
        <v>0</v>
      </c>
      <c r="I408" s="289">
        <f t="shared" si="46"/>
        <v>0</v>
      </c>
      <c r="J408" s="289">
        <f t="shared" si="47"/>
        <v>0</v>
      </c>
      <c r="K408" s="289">
        <f t="shared" si="48"/>
        <v>0</v>
      </c>
      <c r="L408" s="356"/>
      <c r="M408" s="448"/>
    </row>
    <row r="409" spans="1:14" ht="12.75" customHeight="1">
      <c r="A409" s="77" t="s">
        <v>786</v>
      </c>
      <c r="B409" s="288">
        <f>IF($M409&gt;0,('Amounts Pivot Table'!N$358/$M409),0)</f>
        <v>0</v>
      </c>
      <c r="C409" s="288">
        <f>IF($M409&gt;0,('Amounts Pivot Table'!N$361/$M409),0)</f>
        <v>0</v>
      </c>
      <c r="D409" s="288">
        <f>IF($M409&gt;0,('Amounts Pivot Table'!N$364/$M409),0)</f>
        <v>0</v>
      </c>
      <c r="E409" s="288">
        <f>IF($M409&gt;0,('Amounts Pivot Table'!N$367/$M409),0)</f>
        <v>0</v>
      </c>
      <c r="F409" s="288">
        <f t="shared" si="43"/>
        <v>0</v>
      </c>
      <c r="G409" s="359">
        <f t="shared" si="44"/>
        <v>0</v>
      </c>
      <c r="H409" s="289">
        <f t="shared" si="45"/>
        <v>0</v>
      </c>
      <c r="I409" s="289">
        <f t="shared" si="46"/>
        <v>0</v>
      </c>
      <c r="J409" s="289">
        <f t="shared" si="47"/>
        <v>0</v>
      </c>
      <c r="K409" s="289">
        <f t="shared" si="48"/>
        <v>0</v>
      </c>
      <c r="L409" s="356"/>
      <c r="M409" s="448"/>
    </row>
    <row r="410" spans="1:14" ht="12.75" customHeight="1">
      <c r="A410" s="77" t="s">
        <v>787</v>
      </c>
      <c r="B410" s="288">
        <f>IF($M410&gt;0,('Amounts Pivot Table'!N$397/$M410),0)</f>
        <v>0</v>
      </c>
      <c r="C410" s="288">
        <f>IF($M410&gt;0,('Amounts Pivot Table'!N$400/$M410),0)</f>
        <v>0</v>
      </c>
      <c r="D410" s="288">
        <f>IF($M410&gt;0,('Amounts Pivot Table'!N$403/$M410),0)</f>
        <v>0</v>
      </c>
      <c r="E410" s="288">
        <f>IF($M410&gt;0,('Amounts Pivot Table'!N$406/$M410),0)</f>
        <v>0</v>
      </c>
      <c r="F410" s="288">
        <f t="shared" si="43"/>
        <v>0</v>
      </c>
      <c r="G410" s="359">
        <f t="shared" si="44"/>
        <v>0</v>
      </c>
      <c r="H410" s="289">
        <f t="shared" si="45"/>
        <v>0</v>
      </c>
      <c r="I410" s="289">
        <f t="shared" si="46"/>
        <v>0</v>
      </c>
      <c r="J410" s="289">
        <f t="shared" si="47"/>
        <v>0</v>
      </c>
      <c r="K410" s="289">
        <f t="shared" si="48"/>
        <v>0</v>
      </c>
      <c r="L410" s="356"/>
      <c r="M410" s="448"/>
    </row>
    <row r="411" spans="1:14" ht="12.75" customHeight="1">
      <c r="A411" s="77" t="s">
        <v>788</v>
      </c>
      <c r="B411" s="288">
        <f>IF($M411&gt;0,('Amounts Pivot Table'!N$436/$M411),0)</f>
        <v>0</v>
      </c>
      <c r="C411" s="288">
        <f>IF($M411&gt;0,('Amounts Pivot Table'!N$439/$M411),0)</f>
        <v>0</v>
      </c>
      <c r="D411" s="288">
        <f>IF($M411&gt;0,('Amounts Pivot Table'!N$442/$M411),0)</f>
        <v>0</v>
      </c>
      <c r="E411" s="288">
        <f>IF($M411&gt;0,('Amounts Pivot Table'!N$445/$M411),0)</f>
        <v>0</v>
      </c>
      <c r="F411" s="288">
        <f t="shared" si="43"/>
        <v>0</v>
      </c>
      <c r="G411" s="359">
        <f t="shared" si="44"/>
        <v>0</v>
      </c>
      <c r="H411" s="289">
        <f t="shared" si="45"/>
        <v>0</v>
      </c>
      <c r="I411" s="289">
        <f t="shared" si="46"/>
        <v>0</v>
      </c>
      <c r="J411" s="289">
        <f t="shared" si="47"/>
        <v>0</v>
      </c>
      <c r="K411" s="289">
        <f t="shared" si="48"/>
        <v>0</v>
      </c>
      <c r="L411" s="356"/>
      <c r="M411" s="448"/>
    </row>
    <row r="412" spans="1:14" s="376" customFormat="1">
      <c r="B412" s="380"/>
      <c r="C412" s="380"/>
      <c r="D412" s="380"/>
      <c r="E412" s="380"/>
      <c r="F412" s="380"/>
      <c r="G412" s="387"/>
      <c r="H412" s="388"/>
      <c r="I412" s="388"/>
      <c r="J412" s="388"/>
      <c r="K412" s="388"/>
      <c r="L412" s="381"/>
      <c r="M412" s="448"/>
    </row>
    <row r="413" spans="1:14" ht="12.75" customHeight="1">
      <c r="A413" s="77" t="s">
        <v>789</v>
      </c>
      <c r="B413" s="288">
        <f>IF($M413&gt;0,('Amounts Pivot Table'!N$475/$M413),0)</f>
        <v>0</v>
      </c>
      <c r="C413" s="288">
        <f>IF($M413&gt;0,('Amounts Pivot Table'!N$478/$M413),0)</f>
        <v>0</v>
      </c>
      <c r="D413" s="288">
        <f>IF($M413&gt;0,('Amounts Pivot Table'!N$481/$M413),0)</f>
        <v>0</v>
      </c>
      <c r="E413" s="288">
        <f>IF($M413&gt;0,('Amounts Pivot Table'!N$484/$M413),0)</f>
        <v>0</v>
      </c>
      <c r="F413" s="288">
        <f t="shared" si="43"/>
        <v>0</v>
      </c>
      <c r="G413" s="359">
        <f t="shared" si="44"/>
        <v>0</v>
      </c>
      <c r="H413" s="289">
        <f t="shared" si="45"/>
        <v>0</v>
      </c>
      <c r="I413" s="289">
        <f t="shared" si="46"/>
        <v>0</v>
      </c>
      <c r="J413" s="289">
        <f t="shared" si="47"/>
        <v>0</v>
      </c>
      <c r="K413" s="289">
        <f t="shared" si="48"/>
        <v>0</v>
      </c>
      <c r="L413" s="356"/>
      <c r="M413" s="448"/>
    </row>
    <row r="414" spans="1:14" s="362" customFormat="1" ht="12.75" customHeight="1">
      <c r="A414" s="77" t="s">
        <v>790</v>
      </c>
      <c r="B414" s="288">
        <f>IF($M414&gt;0,('Amounts Pivot Table'!N$514/$M414),0)</f>
        <v>1235.7872239601509</v>
      </c>
      <c r="C414" s="288">
        <f>IF($M414&gt;0,('Amounts Pivot Table'!N$517/$M414),0)</f>
        <v>0</v>
      </c>
      <c r="D414" s="288">
        <f>IF($M414&gt;0,('Amounts Pivot Table'!N$520/$M414),0)</f>
        <v>2617.7078819468429</v>
      </c>
      <c r="E414" s="288">
        <f>IF($M414&gt;0,('Amounts Pivot Table'!N$523/$M414),0)</f>
        <v>751.20045138791204</v>
      </c>
      <c r="F414" s="288">
        <f t="shared" si="43"/>
        <v>4604.6955572949055</v>
      </c>
      <c r="G414" s="359">
        <f t="shared" si="44"/>
        <v>2</v>
      </c>
      <c r="H414" s="289">
        <f t="shared" si="45"/>
        <v>0</v>
      </c>
      <c r="I414" s="289">
        <f t="shared" si="46"/>
        <v>1</v>
      </c>
      <c r="J414" s="289">
        <f t="shared" si="47"/>
        <v>2</v>
      </c>
      <c r="K414" s="289">
        <f t="shared" si="48"/>
        <v>2</v>
      </c>
      <c r="L414" s="363"/>
      <c r="M414" s="448">
        <v>71613.201111111121</v>
      </c>
      <c r="N414"/>
    </row>
    <row r="415" spans="1:14" ht="12.75" customHeight="1">
      <c r="A415" s="77" t="s">
        <v>791</v>
      </c>
      <c r="B415" s="288">
        <f>IF($M415&gt;0,('Amounts Pivot Table'!N$553/$M415),0)</f>
        <v>4559.6570439833176</v>
      </c>
      <c r="C415" s="288">
        <f>IF($M415&gt;0,('Amounts Pivot Table'!N$556/$M415),0)</f>
        <v>0</v>
      </c>
      <c r="D415" s="288">
        <f>IF($M415&gt;0,('Amounts Pivot Table'!N$559/$M415),0)</f>
        <v>101.63240198210646</v>
      </c>
      <c r="E415" s="288">
        <f>IF($M415&gt;0,('Amounts Pivot Table'!N$562/$M415),0)</f>
        <v>5277.6810676423684</v>
      </c>
      <c r="F415" s="288">
        <f t="shared" si="43"/>
        <v>9938.9705136077937</v>
      </c>
      <c r="G415" s="359">
        <f t="shared" si="44"/>
        <v>1</v>
      </c>
      <c r="H415" s="289">
        <f t="shared" si="45"/>
        <v>0</v>
      </c>
      <c r="I415" s="289">
        <f t="shared" si="46"/>
        <v>2</v>
      </c>
      <c r="J415" s="289">
        <f t="shared" si="47"/>
        <v>1</v>
      </c>
      <c r="K415" s="289">
        <f t="shared" si="48"/>
        <v>1</v>
      </c>
      <c r="L415" s="367"/>
      <c r="M415" s="448">
        <v>93799.2</v>
      </c>
    </row>
    <row r="416" spans="1:14" ht="13.5" customHeight="1">
      <c r="A416" s="277" t="s">
        <v>792</v>
      </c>
      <c r="B416" s="296">
        <f>IF($M416&gt;0,('Amounts Pivot Table'!N$592/$M416),0)</f>
        <v>0</v>
      </c>
      <c r="C416" s="296">
        <f>IF($M416&gt;0,('Amounts Pivot Table'!N$595/$M416),0)</f>
        <v>0</v>
      </c>
      <c r="D416" s="296">
        <f>IF($M416&gt;0,('Amounts Pivot Table'!N$598/$M416),0)</f>
        <v>0</v>
      </c>
      <c r="E416" s="296">
        <f>IF($M416&gt;0,('Amounts Pivot Table'!N$601/$M416),0)</f>
        <v>0</v>
      </c>
      <c r="F416" s="364">
        <f t="shared" si="43"/>
        <v>0</v>
      </c>
      <c r="G416" s="365">
        <f t="shared" si="44"/>
        <v>0</v>
      </c>
      <c r="H416" s="366">
        <f t="shared" si="45"/>
        <v>0</v>
      </c>
      <c r="I416" s="366">
        <f t="shared" si="46"/>
        <v>0</v>
      </c>
      <c r="J416" s="366">
        <f t="shared" si="47"/>
        <v>0</v>
      </c>
      <c r="K416" s="366">
        <f t="shared" si="48"/>
        <v>0</v>
      </c>
      <c r="L416" s="367"/>
      <c r="M416" s="448"/>
    </row>
    <row r="417" spans="1:30" s="362" customFormat="1" ht="17.25" customHeight="1">
      <c r="A417" s="1272" t="s">
        <v>948</v>
      </c>
      <c r="B417" s="1272"/>
      <c r="C417" s="1272"/>
      <c r="D417" s="1272"/>
      <c r="E417" s="1272"/>
      <c r="F417" s="1272"/>
      <c r="G417" s="1272"/>
      <c r="H417" s="1272"/>
      <c r="I417" s="1272"/>
      <c r="J417" s="1272"/>
      <c r="K417" s="1272"/>
      <c r="L417" s="363"/>
      <c r="M417" s="382"/>
    </row>
    <row r="418" spans="1:30" s="362" customFormat="1" ht="34.5" customHeight="1">
      <c r="A418" s="1244" t="s">
        <v>926</v>
      </c>
      <c r="B418" s="1270"/>
      <c r="C418" s="1270"/>
      <c r="D418" s="1270"/>
      <c r="E418" s="1270"/>
      <c r="F418" s="1270"/>
      <c r="G418" s="1270"/>
      <c r="H418" s="1270"/>
      <c r="I418" s="1270"/>
      <c r="J418" s="1270"/>
      <c r="K418" s="1270"/>
      <c r="L418" s="363"/>
      <c r="M418" s="412"/>
    </row>
    <row r="419" spans="1:30" s="397" customFormat="1" ht="13.5" customHeight="1">
      <c r="A419" s="1244" t="s">
        <v>927</v>
      </c>
      <c r="B419" s="1270"/>
      <c r="C419" s="1270"/>
      <c r="D419" s="1270"/>
      <c r="E419" s="1270"/>
      <c r="F419" s="1270"/>
      <c r="G419" s="1270"/>
      <c r="H419" s="1270"/>
      <c r="I419" s="1270"/>
      <c r="J419" s="1270"/>
      <c r="K419" s="1270"/>
      <c r="L419" s="347"/>
      <c r="M419" s="464"/>
    </row>
    <row r="420" spans="1:30" ht="13.5" customHeight="1">
      <c r="A420" s="1244" t="s">
        <v>930</v>
      </c>
      <c r="B420" s="1245"/>
      <c r="C420" s="1245"/>
      <c r="D420" s="1245"/>
      <c r="E420" s="1245"/>
      <c r="F420" s="1245"/>
      <c r="G420" s="1245"/>
      <c r="H420" s="1245"/>
      <c r="I420" s="1245"/>
      <c r="J420" s="1245"/>
      <c r="K420" s="1245"/>
      <c r="L420" s="367"/>
      <c r="M420" s="449"/>
    </row>
    <row r="421" spans="1:30">
      <c r="A421" s="368"/>
      <c r="B421" s="369"/>
      <c r="C421" s="369"/>
      <c r="D421" s="369"/>
      <c r="E421" s="369"/>
      <c r="F421" s="369"/>
      <c r="G421" s="369"/>
      <c r="H421" s="369"/>
      <c r="I421" s="369"/>
      <c r="J421" s="369"/>
      <c r="K421" s="370" t="s">
        <v>1814</v>
      </c>
      <c r="L421" s="367"/>
      <c r="M421" s="465"/>
    </row>
    <row r="422" spans="1:30" ht="18.75" customHeight="1">
      <c r="A422" s="336" t="s">
        <v>949</v>
      </c>
      <c r="B422" s="336"/>
      <c r="C422" s="336"/>
      <c r="D422" s="336"/>
      <c r="E422" s="336"/>
      <c r="F422" s="336"/>
      <c r="G422" s="336"/>
      <c r="H422" s="336"/>
      <c r="I422" s="336"/>
      <c r="J422" s="355"/>
      <c r="K422" s="336"/>
      <c r="L422" s="367"/>
      <c r="M422" s="412"/>
    </row>
    <row r="423" spans="1:30" ht="11.25" customHeight="1">
      <c r="A423" s="336"/>
      <c r="B423" s="336"/>
      <c r="C423" s="336"/>
      <c r="D423" s="336"/>
      <c r="E423" s="336"/>
      <c r="F423" s="336"/>
      <c r="G423" s="336"/>
      <c r="H423" s="336"/>
      <c r="I423" s="336"/>
      <c r="J423" s="355"/>
      <c r="K423" s="336"/>
      <c r="L423" s="367"/>
      <c r="M423" s="412"/>
    </row>
    <row r="424" spans="1:30" ht="17.5">
      <c r="A424" s="1228" t="s">
        <v>920</v>
      </c>
      <c r="B424" s="1228"/>
      <c r="C424" s="1228"/>
      <c r="D424" s="1228"/>
      <c r="E424" s="1228"/>
      <c r="F424" s="1228"/>
      <c r="G424" s="1228"/>
      <c r="H424" s="1228"/>
      <c r="I424" s="1228"/>
      <c r="J424" s="1228"/>
      <c r="K424" s="1228"/>
      <c r="L424" s="344"/>
      <c r="M424" s="412"/>
    </row>
    <row r="425" spans="1:30" ht="15.75" customHeight="1">
      <c r="A425" s="1228" t="s">
        <v>1762</v>
      </c>
      <c r="B425" s="1228"/>
      <c r="C425" s="1228"/>
      <c r="D425" s="1228"/>
      <c r="E425" s="1228"/>
      <c r="F425" s="1228"/>
      <c r="G425" s="1228"/>
      <c r="H425" s="1228"/>
      <c r="I425" s="1228"/>
      <c r="J425" s="1228"/>
      <c r="K425" s="1228"/>
      <c r="L425" s="406"/>
      <c r="M425" s="467"/>
    </row>
    <row r="426" spans="1:30" ht="15.75" customHeight="1">
      <c r="A426" s="341"/>
      <c r="B426" s="341"/>
      <c r="C426" s="341"/>
      <c r="D426" s="341"/>
      <c r="E426" s="341"/>
      <c r="F426" s="341"/>
      <c r="G426" s="373"/>
      <c r="H426" s="341"/>
      <c r="I426" s="341"/>
      <c r="J426" s="341"/>
      <c r="K426" s="341"/>
      <c r="L426" s="344"/>
      <c r="M426" s="412"/>
      <c r="O426" s="77" t="s">
        <v>954</v>
      </c>
      <c r="Y426" s="77" t="s">
        <v>969</v>
      </c>
    </row>
    <row r="427" spans="1:30" ht="12" customHeight="1">
      <c r="A427" s="346"/>
      <c r="B427" s="1268" t="s">
        <v>922</v>
      </c>
      <c r="C427" s="1269"/>
      <c r="D427" s="1269"/>
      <c r="E427" s="1269"/>
      <c r="F427" s="1269"/>
      <c r="G427" s="445" t="s">
        <v>923</v>
      </c>
      <c r="H427" s="446"/>
      <c r="I427" s="446"/>
      <c r="J427" s="446"/>
      <c r="K427" s="446"/>
      <c r="L427" s="389"/>
      <c r="M427" s="447" t="s">
        <v>1776</v>
      </c>
      <c r="O427" s="418" t="s">
        <v>957</v>
      </c>
      <c r="P427" s="418"/>
      <c r="Q427" s="419"/>
      <c r="R427" s="418" t="s">
        <v>958</v>
      </c>
      <c r="S427" s="418"/>
      <c r="T427" s="419"/>
      <c r="U427" s="418" t="s">
        <v>965</v>
      </c>
      <c r="V427" s="418"/>
      <c r="W427" s="419"/>
    </row>
    <row r="428" spans="1:30" s="53" customFormat="1" ht="46">
      <c r="A428" s="243"/>
      <c r="B428" s="420" t="s">
        <v>6</v>
      </c>
      <c r="C428" s="421" t="s">
        <v>7</v>
      </c>
      <c r="D428" s="421" t="s">
        <v>8</v>
      </c>
      <c r="E428" s="421" t="s">
        <v>960</v>
      </c>
      <c r="F428" s="421" t="s">
        <v>768</v>
      </c>
      <c r="G428" s="422" t="s">
        <v>6</v>
      </c>
      <c r="H428" s="421" t="s">
        <v>7</v>
      </c>
      <c r="I428" s="421" t="s">
        <v>8</v>
      </c>
      <c r="J428" s="421" t="s">
        <v>960</v>
      </c>
      <c r="K428" s="421" t="s">
        <v>768</v>
      </c>
      <c r="L428" s="350"/>
      <c r="M428" s="442" t="s">
        <v>961</v>
      </c>
      <c r="N428" s="452" t="s">
        <v>921</v>
      </c>
      <c r="O428" s="425" t="s">
        <v>967</v>
      </c>
      <c r="P428" s="426" t="s">
        <v>962</v>
      </c>
      <c r="Q428" s="426" t="s">
        <v>768</v>
      </c>
      <c r="R428" s="425" t="s">
        <v>967</v>
      </c>
      <c r="S428" s="426" t="s">
        <v>962</v>
      </c>
      <c r="T428" s="426" t="s">
        <v>768</v>
      </c>
      <c r="U428" s="425" t="s">
        <v>967</v>
      </c>
      <c r="V428" s="426" t="s">
        <v>962</v>
      </c>
      <c r="W428" s="426" t="s">
        <v>768</v>
      </c>
      <c r="Z428" s="246" t="s">
        <v>6</v>
      </c>
      <c r="AA428" s="245" t="s">
        <v>7</v>
      </c>
      <c r="AB428" s="245" t="s">
        <v>8</v>
      </c>
      <c r="AC428" s="245" t="s">
        <v>924</v>
      </c>
      <c r="AD428" s="245" t="s">
        <v>768</v>
      </c>
    </row>
    <row r="429" spans="1:30" ht="14.5">
      <c r="A429" s="77" t="s">
        <v>925</v>
      </c>
      <c r="B429" s="352">
        <f>IF(M429&gt;0,('Amounts Pivot Table'!S$631/M429),0)</f>
        <v>4572.2758836838984</v>
      </c>
      <c r="C429" s="352">
        <f>IF(M429&gt;0,('Amounts Pivot Table'!S$634/M429),0)</f>
        <v>0</v>
      </c>
      <c r="D429" s="407">
        <f>IF(M429&gt;0,('Amounts Pivot Table'!S$637/M429),0)</f>
        <v>0</v>
      </c>
      <c r="E429" s="352">
        <f>IF(M429&gt;0,('Amounts Pivot Table'!S$640/M429),0)</f>
        <v>3716.6397064552107</v>
      </c>
      <c r="F429" s="352">
        <f>SUM(B429:E429)</f>
        <v>8288.9155901391096</v>
      </c>
      <c r="G429" s="353"/>
      <c r="H429" s="354"/>
      <c r="I429" s="354"/>
      <c r="J429" s="354"/>
      <c r="K429" s="354"/>
      <c r="L429" s="356"/>
      <c r="M429" s="448">
        <v>115990.47666666668</v>
      </c>
      <c r="N429" s="428">
        <v>116713.54456666668</v>
      </c>
      <c r="O429" s="468">
        <f>+B429+C429+D429</f>
        <v>4572.2758836838984</v>
      </c>
      <c r="P429" s="469">
        <f>+E429</f>
        <v>3716.6397064552107</v>
      </c>
      <c r="Q429" s="456">
        <f>+F429</f>
        <v>8288.9155901391096</v>
      </c>
      <c r="R429" s="437">
        <f>IF($N429&gt;0,(('Amounts Pivot Table'!S$636+'Amounts Pivot Table'!S$630+'Amounts Pivot Table'!S$633)/$N429),0)</f>
        <v>4894.4930407258807</v>
      </c>
      <c r="S429" s="432">
        <f>IF($N429&gt;0,('Amounts Pivot Table'!S$639/$N429),0)</f>
        <v>3894.4765173365818</v>
      </c>
      <c r="T429" s="432">
        <f t="shared" ref="T429:T449" si="49">+S429+R429</f>
        <v>8788.969558062463</v>
      </c>
      <c r="U429" s="470">
        <f>(O429-R429)/R429</f>
        <v>-6.583259070160935E-2</v>
      </c>
      <c r="V429" s="471">
        <f>(P429-S429)/S429</f>
        <v>-4.5663854972475999E-2</v>
      </c>
      <c r="W429" s="459">
        <f>(Q429-T429)/T429</f>
        <v>-5.6895630895050092E-2</v>
      </c>
      <c r="Y429" s="77" t="s">
        <v>925</v>
      </c>
      <c r="Z429" s="77">
        <f>B429*$M429</f>
        <v>530340459.19999999</v>
      </c>
      <c r="AA429" s="77">
        <f>C429*$M429</f>
        <v>0</v>
      </c>
      <c r="AB429" s="77">
        <f>D429*$M429</f>
        <v>0</v>
      </c>
      <c r="AC429" s="77">
        <f>E429*$M429</f>
        <v>431094811.15000004</v>
      </c>
      <c r="AD429" s="77">
        <f>F429*$M429</f>
        <v>961435270.35000014</v>
      </c>
    </row>
    <row r="430" spans="1:30" ht="12.75" customHeight="1">
      <c r="B430" s="352"/>
      <c r="C430" s="352"/>
      <c r="D430" s="352"/>
      <c r="E430" s="352"/>
      <c r="F430" s="352"/>
      <c r="G430" s="353"/>
      <c r="H430" s="354"/>
      <c r="I430" s="354"/>
      <c r="J430" s="354"/>
      <c r="K430" s="354"/>
      <c r="L430" s="356"/>
      <c r="M430" s="448" t="s">
        <v>421</v>
      </c>
      <c r="N430" s="428" t="s">
        <v>421</v>
      </c>
      <c r="O430" s="468"/>
      <c r="P430" s="469"/>
      <c r="Q430" s="456"/>
      <c r="R430" s="429"/>
      <c r="S430" s="430"/>
      <c r="T430" s="432">
        <f t="shared" si="49"/>
        <v>0</v>
      </c>
      <c r="U430" s="472"/>
      <c r="V430" s="473"/>
      <c r="W430" s="462"/>
    </row>
    <row r="431" spans="1:30" ht="12.75" customHeight="1">
      <c r="A431" s="77" t="s">
        <v>777</v>
      </c>
      <c r="B431" s="288">
        <f>IF($M431&gt;0,('Amounts Pivot Table'!S$7/$M431),0)</f>
        <v>10553.551351490105</v>
      </c>
      <c r="C431" s="288">
        <f>IF($M431&gt;0,('Amounts Pivot Table'!S$10/$M431),0)</f>
        <v>0</v>
      </c>
      <c r="D431" s="288">
        <f>IF($M431&gt;0,('Amounts Pivot Table'!S$13/$M431),0)</f>
        <v>0</v>
      </c>
      <c r="E431" s="288">
        <f>IF($M431&gt;0,('Amounts Pivot Table'!S$16/$M431),0)</f>
        <v>5540.0166850630185</v>
      </c>
      <c r="F431" s="288">
        <f t="shared" ref="F431:F449" si="50">SUM(B431:E431)</f>
        <v>16093.568036553123</v>
      </c>
      <c r="G431" s="359">
        <f>IF(B431&gt;0,RANK(B431,$B$431:$B$449),)</f>
        <v>1</v>
      </c>
      <c r="H431" s="289">
        <f>IF(C431&gt;0,RANK(C431,$C$431:$C$449),)</f>
        <v>0</v>
      </c>
      <c r="I431" s="289">
        <f>IF(D431&gt;0,RANK(D431,$D$431:$D$449),)</f>
        <v>0</v>
      </c>
      <c r="J431" s="289">
        <f>IF(E431&gt;0,RANK(E431,$E$431:$E$449),)</f>
        <v>2</v>
      </c>
      <c r="K431" s="289">
        <f>IF(F431&gt;0,RANK(F431,$F$431:$F$449),)</f>
        <v>1</v>
      </c>
      <c r="L431" s="356"/>
      <c r="M431" s="448">
        <v>2597.1333333333332</v>
      </c>
      <c r="N431" s="428">
        <v>2981.7333333333336</v>
      </c>
      <c r="O431" s="468">
        <f t="shared" ref="O431:O449" si="51">+B431+C431+D431</f>
        <v>10553.551351490105</v>
      </c>
      <c r="P431" s="469">
        <f t="shared" ref="P431:Q449" si="52">+E431</f>
        <v>5540.0166850630185</v>
      </c>
      <c r="Q431" s="456">
        <f t="shared" si="52"/>
        <v>16093.568036553123</v>
      </c>
      <c r="R431" s="437">
        <f>IF($N431&gt;0,(('Amounts Pivot Table'!S$6+'Amounts Pivot Table'!S$9+'Amounts Pivot Table'!S$12)/$N431),0)</f>
        <v>9150.4420247730613</v>
      </c>
      <c r="S431" s="432">
        <f>IF($N431&gt;0,('Amounts Pivot Table'!S$15/$N431),0)</f>
        <v>4943.7100344318733</v>
      </c>
      <c r="T431" s="432">
        <f t="shared" si="49"/>
        <v>14094.152059204935</v>
      </c>
      <c r="U431" s="474">
        <f t="shared" ref="U431:W449" si="53">(O431-R431)/R431</f>
        <v>0.15333787405224741</v>
      </c>
      <c r="V431" s="471">
        <f t="shared" si="53"/>
        <v>0.12061926093520819</v>
      </c>
      <c r="W431" s="459">
        <f t="shared" si="53"/>
        <v>0.14186138825161626</v>
      </c>
      <c r="Y431" s="77" t="s">
        <v>777</v>
      </c>
      <c r="Z431" s="77">
        <f t="shared" ref="Z431:AD449" si="54">B431*$M431</f>
        <v>27408980</v>
      </c>
      <c r="AA431" s="77">
        <f t="shared" si="54"/>
        <v>0</v>
      </c>
      <c r="AB431" s="77">
        <f t="shared" si="54"/>
        <v>0</v>
      </c>
      <c r="AC431" s="77">
        <f t="shared" si="54"/>
        <v>14388162</v>
      </c>
      <c r="AD431" s="77">
        <f t="shared" si="54"/>
        <v>41797142</v>
      </c>
    </row>
    <row r="432" spans="1:30" ht="12.75" customHeight="1">
      <c r="A432" s="77" t="s">
        <v>778</v>
      </c>
      <c r="B432" s="288">
        <f>IF($M432&gt;0,('Amounts Pivot Table'!S$46/$M432),0)</f>
        <v>0</v>
      </c>
      <c r="C432" s="288">
        <f>IF($M432&gt;0,('Amounts Pivot Table'!S$49/$M432),0)</f>
        <v>0</v>
      </c>
      <c r="D432" s="288">
        <f>IF($M432&gt;0,('Amounts Pivot Table'!S$52/$M432),0)</f>
        <v>0</v>
      </c>
      <c r="E432" s="288">
        <f>IF($M432&gt;0,('Amounts Pivot Table'!S$55/$M432),0)</f>
        <v>0</v>
      </c>
      <c r="F432" s="288">
        <f t="shared" si="50"/>
        <v>0</v>
      </c>
      <c r="G432" s="359">
        <f>IF(B432&gt;0,RANK(B432,$B$431:$B$449),)</f>
        <v>0</v>
      </c>
      <c r="H432" s="289">
        <f>IF(C432&gt;0,RANK(C432,$C$431:$C$449),)</f>
        <v>0</v>
      </c>
      <c r="I432" s="289">
        <f>IF(D432&gt;0,RANK(D432,$D$431:$D$449),)</f>
        <v>0</v>
      </c>
      <c r="J432" s="289">
        <f>IF(E432&gt;0,RANK(E432,$E$431:$E$449),)</f>
        <v>0</v>
      </c>
      <c r="K432" s="289">
        <f>IF(F432&gt;0,RANK(F432,$F$431:$F$449),)</f>
        <v>0</v>
      </c>
      <c r="L432" s="356"/>
      <c r="M432" s="448">
        <v>0</v>
      </c>
      <c r="N432" s="428">
        <v>0</v>
      </c>
      <c r="O432" s="468">
        <f t="shared" si="51"/>
        <v>0</v>
      </c>
      <c r="P432" s="469">
        <f t="shared" si="52"/>
        <v>0</v>
      </c>
      <c r="Q432" s="456">
        <f t="shared" si="52"/>
        <v>0</v>
      </c>
      <c r="R432" s="437">
        <f>IF($N432&gt;0,(('Amounts Pivot Table'!S$45+'Amounts Pivot Table'!S$48++'Amounts Pivot Table'!S$51)/$N432),0)</f>
        <v>0</v>
      </c>
      <c r="S432" s="432">
        <f>IF($N432&gt;0,('Amounts Pivot Table'!S$54/$N432),0)</f>
        <v>0</v>
      </c>
      <c r="T432" s="432">
        <f t="shared" si="49"/>
        <v>0</v>
      </c>
      <c r="U432" s="474" t="e">
        <f t="shared" si="53"/>
        <v>#DIV/0!</v>
      </c>
      <c r="V432" s="471" t="e">
        <f t="shared" si="53"/>
        <v>#DIV/0!</v>
      </c>
      <c r="W432" s="459" t="e">
        <f t="shared" si="53"/>
        <v>#DIV/0!</v>
      </c>
      <c r="Y432" s="77" t="s">
        <v>778</v>
      </c>
      <c r="Z432" s="77">
        <f t="shared" si="54"/>
        <v>0</v>
      </c>
      <c r="AA432" s="77">
        <f t="shared" si="54"/>
        <v>0</v>
      </c>
      <c r="AB432" s="77">
        <f t="shared" si="54"/>
        <v>0</v>
      </c>
      <c r="AC432" s="77">
        <f t="shared" si="54"/>
        <v>0</v>
      </c>
      <c r="AD432" s="77">
        <f t="shared" si="54"/>
        <v>0</v>
      </c>
    </row>
    <row r="433" spans="1:30" ht="12.75" customHeight="1">
      <c r="A433" s="77" t="s">
        <v>779</v>
      </c>
      <c r="B433" s="288">
        <f>IF($M433&gt;0,('Amounts Pivot Table'!S$85/$M433),0)</f>
        <v>0</v>
      </c>
      <c r="C433" s="288">
        <f>IF($M433&gt;0,('Amounts Pivot Table'!S$88/$M433),0)</f>
        <v>0</v>
      </c>
      <c r="D433" s="288">
        <f>IF($M433&gt;0,('Amounts Pivot Table'!S$91/$M433),0)</f>
        <v>0</v>
      </c>
      <c r="E433" s="288">
        <f>IF($M433&gt;0,('Amounts Pivot Table'!S$94/$M433),0)</f>
        <v>0</v>
      </c>
      <c r="F433" s="288">
        <f t="shared" si="50"/>
        <v>0</v>
      </c>
      <c r="G433" s="359">
        <f>IF(B433&gt;0,RANK(B433,$B$431:$B$449),)</f>
        <v>0</v>
      </c>
      <c r="H433" s="289">
        <f>IF(C433&gt;0,RANK(C433,$C$431:$C$449),)</f>
        <v>0</v>
      </c>
      <c r="I433" s="289">
        <f>IF(D433&gt;0,RANK(D433,$D$431:$D$449),)</f>
        <v>0</v>
      </c>
      <c r="J433" s="289">
        <f>IF(E433&gt;0,RANK(E433,$E$431:$E$449),)</f>
        <v>0</v>
      </c>
      <c r="K433" s="289">
        <f>IF(F433&gt;0,RANK(F433,$F$431:$F$449),)</f>
        <v>0</v>
      </c>
      <c r="L433" s="356"/>
      <c r="M433" s="448">
        <v>0</v>
      </c>
      <c r="N433" s="428">
        <v>0</v>
      </c>
      <c r="O433" s="468">
        <f t="shared" si="51"/>
        <v>0</v>
      </c>
      <c r="P433" s="469">
        <f t="shared" si="52"/>
        <v>0</v>
      </c>
      <c r="Q433" s="456">
        <f t="shared" si="52"/>
        <v>0</v>
      </c>
      <c r="R433" s="437">
        <f>IF($N433&gt;0,(('Amounts Pivot Table'!S$84+'Amounts Pivot Table'!S$87++'Amounts Pivot Table'!S$90)/$N433),0)</f>
        <v>0</v>
      </c>
      <c r="S433" s="432">
        <f>IF($N433&gt;0,('Amounts Pivot Table'!S$93/$N433),0)</f>
        <v>0</v>
      </c>
      <c r="T433" s="432">
        <f t="shared" si="49"/>
        <v>0</v>
      </c>
      <c r="U433" s="474" t="e">
        <f t="shared" si="53"/>
        <v>#DIV/0!</v>
      </c>
      <c r="V433" s="471" t="e">
        <f t="shared" si="53"/>
        <v>#DIV/0!</v>
      </c>
      <c r="W433" s="459" t="e">
        <f t="shared" si="53"/>
        <v>#DIV/0!</v>
      </c>
      <c r="Y433" s="77" t="s">
        <v>779</v>
      </c>
      <c r="Z433" s="77">
        <f t="shared" si="54"/>
        <v>0</v>
      </c>
      <c r="AA433" s="77">
        <f t="shared" si="54"/>
        <v>0</v>
      </c>
      <c r="AB433" s="77">
        <f t="shared" si="54"/>
        <v>0</v>
      </c>
      <c r="AC433" s="77">
        <f t="shared" si="54"/>
        <v>0</v>
      </c>
      <c r="AD433" s="77">
        <f t="shared" si="54"/>
        <v>0</v>
      </c>
    </row>
    <row r="434" spans="1:30" ht="12.75" customHeight="1">
      <c r="A434" s="77" t="s">
        <v>780</v>
      </c>
      <c r="B434" s="288">
        <f>IF($M434&gt;0,('Amounts Pivot Table'!S$124/$M434),0)</f>
        <v>0</v>
      </c>
      <c r="C434" s="288">
        <f>IF($M434&gt;0,('Amounts Pivot Table'!S$127/$M434),0)</f>
        <v>0</v>
      </c>
      <c r="D434" s="288">
        <f>IF($M434&gt;0,('Amounts Pivot Table'!S$130/$M434),0)</f>
        <v>0</v>
      </c>
      <c r="E434" s="288">
        <f>IF($M434&gt;0,('Amounts Pivot Table'!S$133/$M434),0)</f>
        <v>0</v>
      </c>
      <c r="F434" s="288">
        <f t="shared" si="50"/>
        <v>0</v>
      </c>
      <c r="G434" s="359">
        <f>IF(B434&gt;0,RANK(B434,$B$431:$B$449),)</f>
        <v>0</v>
      </c>
      <c r="H434" s="289">
        <f>IF(C434&gt;0,RANK(C434,$C$431:$C$449),)</f>
        <v>0</v>
      </c>
      <c r="I434" s="289">
        <f>IF(D434&gt;0,RANK(D434,$D$431:$D$449),)</f>
        <v>0</v>
      </c>
      <c r="J434" s="289">
        <f>IF(E434&gt;0,RANK(E434,$E$431:$E$449),)</f>
        <v>0</v>
      </c>
      <c r="K434" s="289">
        <f>IF(F434&gt;0,RANK(F434,$F$431:$F$449),)</f>
        <v>0</v>
      </c>
      <c r="L434" s="356"/>
      <c r="M434" s="448">
        <v>0</v>
      </c>
      <c r="N434" s="428">
        <v>0</v>
      </c>
      <c r="O434" s="468">
        <f t="shared" si="51"/>
        <v>0</v>
      </c>
      <c r="P434" s="469">
        <f t="shared" si="52"/>
        <v>0</v>
      </c>
      <c r="Q434" s="456">
        <f t="shared" si="52"/>
        <v>0</v>
      </c>
      <c r="R434" s="437">
        <f>IF($N434&gt;0,(('Amounts Pivot Table'!S$123+'Amounts Pivot Table'!S$126++'Amounts Pivot Table'!S$129)/$N434),0)</f>
        <v>0</v>
      </c>
      <c r="S434" s="432">
        <f>IF($N434&gt;0,('Amounts Pivot Table'!S$132/$N434),0)</f>
        <v>0</v>
      </c>
      <c r="T434" s="432">
        <f t="shared" si="49"/>
        <v>0</v>
      </c>
      <c r="U434" s="474" t="e">
        <f t="shared" si="53"/>
        <v>#DIV/0!</v>
      </c>
      <c r="V434" s="471" t="e">
        <f t="shared" si="53"/>
        <v>#DIV/0!</v>
      </c>
      <c r="W434" s="459" t="e">
        <f t="shared" si="53"/>
        <v>#DIV/0!</v>
      </c>
      <c r="Y434" s="77" t="s">
        <v>780</v>
      </c>
      <c r="Z434" s="77">
        <f t="shared" si="54"/>
        <v>0</v>
      </c>
      <c r="AA434" s="77">
        <f t="shared" si="54"/>
        <v>0</v>
      </c>
      <c r="AB434" s="77">
        <f t="shared" si="54"/>
        <v>0</v>
      </c>
      <c r="AC434" s="77">
        <f t="shared" si="54"/>
        <v>0</v>
      </c>
      <c r="AD434" s="77">
        <f t="shared" si="54"/>
        <v>0</v>
      </c>
    </row>
    <row r="435" spans="1:30" ht="12.75" customHeight="1">
      <c r="B435" s="288"/>
      <c r="C435" s="288"/>
      <c r="D435" s="288"/>
      <c r="E435" s="288"/>
      <c r="F435" s="288"/>
      <c r="G435" s="359"/>
      <c r="H435" s="289"/>
      <c r="I435" s="289"/>
      <c r="J435" s="289"/>
      <c r="K435" s="289"/>
      <c r="L435" s="356"/>
      <c r="M435" s="448"/>
      <c r="N435" s="428"/>
      <c r="O435" s="468"/>
      <c r="P435" s="469"/>
      <c r="Q435" s="456"/>
      <c r="R435" s="437"/>
      <c r="S435" s="432"/>
      <c r="T435" s="432"/>
      <c r="U435" s="474"/>
      <c r="V435" s="471"/>
      <c r="W435" s="459"/>
    </row>
    <row r="436" spans="1:30" ht="12.75" customHeight="1">
      <c r="A436" s="77" t="s">
        <v>781</v>
      </c>
      <c r="B436" s="288">
        <f>IF($M436&gt;0,('Amounts Pivot Table'!S$163/$M436),0)</f>
        <v>4398.3036526056785</v>
      </c>
      <c r="C436" s="288">
        <f>IF($M436&gt;0,('Amounts Pivot Table'!S$166/$M436),0)</f>
        <v>0</v>
      </c>
      <c r="D436" s="288">
        <f>IF($M436&gt;0,('Amounts Pivot Table'!S$169/$M436),0)</f>
        <v>0</v>
      </c>
      <c r="E436" s="288">
        <f>IF($M436&gt;0,('Amounts Pivot Table'!S$172/$M436),0)</f>
        <v>4416.8792590667254</v>
      </c>
      <c r="F436" s="288">
        <f t="shared" si="50"/>
        <v>8815.1829116724039</v>
      </c>
      <c r="G436" s="359">
        <f>IF(B436&gt;0,RANK(B436,$B$431:$B$449),)</f>
        <v>3</v>
      </c>
      <c r="H436" s="289">
        <f>IF(C436&gt;0,RANK(C436,$C$431:$C$449),)</f>
        <v>0</v>
      </c>
      <c r="I436" s="289">
        <f>IF(D436&gt;0,RANK(D436,$D$431:$D$449),)</f>
        <v>0</v>
      </c>
      <c r="J436" s="289">
        <f>IF(E436&gt;0,RANK(E436,$E$431:$E$449),)</f>
        <v>3</v>
      </c>
      <c r="K436" s="361">
        <f>IF(F436&gt;0,RANK(F436,$F$431:$F$449),)</f>
        <v>4</v>
      </c>
      <c r="L436" s="356"/>
      <c r="M436" s="448">
        <v>65212.350000000013</v>
      </c>
      <c r="N436" s="428">
        <v>67961.233333333337</v>
      </c>
      <c r="O436" s="468">
        <f t="shared" si="51"/>
        <v>4398.3036526056785</v>
      </c>
      <c r="P436" s="469">
        <f t="shared" si="52"/>
        <v>4416.8792590667254</v>
      </c>
      <c r="Q436" s="456">
        <f t="shared" si="52"/>
        <v>8815.1829116724039</v>
      </c>
      <c r="R436" s="437">
        <f>IF($N436&gt;0,(('Amounts Pivot Table'!S$162+'Amounts Pivot Table'!S$165+'Amounts Pivot Table'!S$168)/$N436),0)</f>
        <v>4572.2370939903485</v>
      </c>
      <c r="S436" s="432">
        <f>IF($N436&gt;0,('Amounts Pivot Table'!S$171/$N436),0)</f>
        <v>4607.659782071838</v>
      </c>
      <c r="T436" s="432">
        <f t="shared" si="49"/>
        <v>9179.8968760621865</v>
      </c>
      <c r="U436" s="474">
        <f t="shared" si="53"/>
        <v>-3.804121217013974E-2</v>
      </c>
      <c r="V436" s="471">
        <f t="shared" si="53"/>
        <v>-4.1405080242128467E-2</v>
      </c>
      <c r="W436" s="459">
        <f t="shared" si="53"/>
        <v>-3.9729636325308106E-2</v>
      </c>
      <c r="Y436" s="77" t="s">
        <v>781</v>
      </c>
      <c r="Z436" s="77">
        <f t="shared" si="54"/>
        <v>286823717.19999999</v>
      </c>
      <c r="AA436" s="77">
        <f t="shared" si="54"/>
        <v>0</v>
      </c>
      <c r="AB436" s="77">
        <f t="shared" si="54"/>
        <v>0</v>
      </c>
      <c r="AC436" s="77">
        <f t="shared" si="54"/>
        <v>288035076.15000004</v>
      </c>
      <c r="AD436" s="77">
        <f t="shared" si="54"/>
        <v>574858793.35000002</v>
      </c>
    </row>
    <row r="437" spans="1:30" ht="12.75" customHeight="1">
      <c r="A437" s="77" t="s">
        <v>782</v>
      </c>
      <c r="B437" s="288">
        <f>IF($M437&gt;0,('Amounts Pivot Table'!S$202/$M437),0)</f>
        <v>2975.8565278631936</v>
      </c>
      <c r="C437" s="288">
        <f>IF($M437&gt;0,('Amounts Pivot Table'!S$205/$M437),0)</f>
        <v>0</v>
      </c>
      <c r="D437" s="288">
        <f>IF($M437&gt;0,('Amounts Pivot Table'!S$208/$M437),0)</f>
        <v>0</v>
      </c>
      <c r="E437" s="288">
        <f>IF($M437&gt;0,('Amounts Pivot Table'!S$211/$M437),0)</f>
        <v>5930.9222925387348</v>
      </c>
      <c r="F437" s="288">
        <f t="shared" si="50"/>
        <v>8906.7788204019289</v>
      </c>
      <c r="G437" s="359">
        <f>IF(B437&gt;0,RANK(B437,$B$431:$B$449),)</f>
        <v>6</v>
      </c>
      <c r="H437" s="289">
        <f>IF(C437&gt;0,RANK(C437,$C$431:$C$449),)</f>
        <v>0</v>
      </c>
      <c r="I437" s="289">
        <f>IF(D437&gt;0,RANK(D437,$D$431:$D$449),)</f>
        <v>0</v>
      </c>
      <c r="J437" s="289">
        <f>IF(E437&gt;0,RANK(E437,$E$431:$E$449),)</f>
        <v>1</v>
      </c>
      <c r="K437" s="289">
        <f>IF(F437&gt;0,RANK(F437,$F$431:$F$449),)</f>
        <v>3</v>
      </c>
      <c r="L437" s="356"/>
      <c r="M437" s="448">
        <v>5040.7</v>
      </c>
      <c r="N437" s="428">
        <v>5150.6966666666667</v>
      </c>
      <c r="O437" s="468">
        <f t="shared" si="51"/>
        <v>2975.8565278631936</v>
      </c>
      <c r="P437" s="469">
        <f t="shared" si="52"/>
        <v>5930.9222925387348</v>
      </c>
      <c r="Q437" s="456">
        <f t="shared" si="52"/>
        <v>8906.7788204019289</v>
      </c>
      <c r="R437" s="437">
        <f>IF($N437&gt;0,(('Amounts Pivot Table'!S$201+'Amounts Pivot Table'!S$204+'Amounts Pivot Table'!S$207)/$N437),0)</f>
        <v>2954.5711939291059</v>
      </c>
      <c r="S437" s="432">
        <f>IF($N437&gt;0,('Amounts Pivot Table'!S$210/$N437),0)</f>
        <v>5274.568035780273</v>
      </c>
      <c r="T437" s="432">
        <f t="shared" si="49"/>
        <v>8229.1392297093789</v>
      </c>
      <c r="U437" s="474">
        <f t="shared" si="53"/>
        <v>7.2042041084755927E-3</v>
      </c>
      <c r="V437" s="471">
        <f t="shared" si="53"/>
        <v>0.12443753731226002</v>
      </c>
      <c r="W437" s="459">
        <f t="shared" si="53"/>
        <v>8.2346351395549494E-2</v>
      </c>
      <c r="Y437" s="77" t="s">
        <v>782</v>
      </c>
      <c r="Z437" s="77">
        <f t="shared" si="54"/>
        <v>15000400</v>
      </c>
      <c r="AA437" s="77">
        <f t="shared" si="54"/>
        <v>0</v>
      </c>
      <c r="AB437" s="77">
        <f t="shared" si="54"/>
        <v>0</v>
      </c>
      <c r="AC437" s="77">
        <f t="shared" si="54"/>
        <v>29896000</v>
      </c>
      <c r="AD437" s="77">
        <f t="shared" si="54"/>
        <v>44896400</v>
      </c>
    </row>
    <row r="438" spans="1:30" ht="12.75" customHeight="1">
      <c r="A438" s="77" t="s">
        <v>813</v>
      </c>
      <c r="B438" s="288">
        <f>IF($M438&gt;0,('Amounts Pivot Table'!S$241/$M438),0)</f>
        <v>3307.7265576603309</v>
      </c>
      <c r="C438" s="288">
        <f>IF($M438&gt;0,('Amounts Pivot Table'!S$244/$M438),0)</f>
        <v>0</v>
      </c>
      <c r="D438" s="288">
        <f>IF($M438&gt;0,('Amounts Pivot Table'!S$247/$M438),0)</f>
        <v>0</v>
      </c>
      <c r="E438" s="288">
        <f>IF($M438&gt;0,('Amounts Pivot Table'!S$250/$M438),0)</f>
        <v>4360.7153337028467</v>
      </c>
      <c r="F438" s="288">
        <f t="shared" si="50"/>
        <v>7668.441891363178</v>
      </c>
      <c r="G438" s="359">
        <f>IF(B438&gt;0,RANK(B438,$B$431:$B$449),)</f>
        <v>5</v>
      </c>
      <c r="H438" s="289">
        <f>IF(C438&gt;0,RANK(C438,$C$431:$C$449),)</f>
        <v>0</v>
      </c>
      <c r="I438" s="289">
        <f>IF(D438&gt;0,RANK(D438,$D$431:$D$449),)</f>
        <v>0</v>
      </c>
      <c r="J438" s="289">
        <f>IF(E438&gt;0,RANK(E438,$E$431:$E$449),)</f>
        <v>4</v>
      </c>
      <c r="K438" s="289">
        <f>IF(F438&gt;0,RANK(F438,$F$431:$F$449),)</f>
        <v>5</v>
      </c>
      <c r="L438" s="356"/>
      <c r="M438" s="448">
        <v>8178.9333333333325</v>
      </c>
      <c r="N438" s="428">
        <v>8711.15</v>
      </c>
      <c r="O438" s="468">
        <f t="shared" si="51"/>
        <v>3307.7265576603309</v>
      </c>
      <c r="P438" s="469">
        <f t="shared" si="52"/>
        <v>4360.7153337028467</v>
      </c>
      <c r="Q438" s="456">
        <f t="shared" si="52"/>
        <v>7668.441891363178</v>
      </c>
      <c r="R438" s="437">
        <f>IF($N438&gt;0,(('Amounts Pivot Table'!S$240+'Amounts Pivot Table'!S$243+'Amounts Pivot Table'!S$246)/$N438),0)</f>
        <v>3646.4473691762855</v>
      </c>
      <c r="S438" s="432">
        <f>IF($N438&gt;0,('Amounts Pivot Table'!S$249/$N438),0)</f>
        <v>3993.9599249238049</v>
      </c>
      <c r="T438" s="432">
        <f t="shared" si="49"/>
        <v>7640.4072941000904</v>
      </c>
      <c r="U438" s="474">
        <f t="shared" si="53"/>
        <v>-9.2890634972326511E-2</v>
      </c>
      <c r="V438" s="471">
        <f t="shared" si="53"/>
        <v>9.182751346360557E-2</v>
      </c>
      <c r="W438" s="459">
        <f t="shared" si="53"/>
        <v>3.6692542928615638E-3</v>
      </c>
      <c r="Y438" s="77" t="s">
        <v>813</v>
      </c>
      <c r="Z438" s="77">
        <f t="shared" si="54"/>
        <v>27053675</v>
      </c>
      <c r="AA438" s="77">
        <f t="shared" si="54"/>
        <v>0</v>
      </c>
      <c r="AB438" s="77">
        <f t="shared" si="54"/>
        <v>0</v>
      </c>
      <c r="AC438" s="77">
        <f t="shared" si="54"/>
        <v>35666000</v>
      </c>
      <c r="AD438" s="77">
        <f t="shared" si="54"/>
        <v>62719675</v>
      </c>
    </row>
    <row r="439" spans="1:30" ht="12.75" customHeight="1">
      <c r="A439" s="77" t="s">
        <v>784</v>
      </c>
      <c r="B439" s="288">
        <f>IF($M439&gt;0,('Amounts Pivot Table'!S$280/$M439),0)</f>
        <v>0</v>
      </c>
      <c r="C439" s="288">
        <f>IF($M439&gt;0,('Amounts Pivot Table'!S$283/$M439),0)</f>
        <v>0</v>
      </c>
      <c r="D439" s="288">
        <f>IF($M439&gt;0,('Amounts Pivot Table'!S$286/$M439),0)</f>
        <v>0</v>
      </c>
      <c r="E439" s="288">
        <f>IF($M439&gt;0,('Amounts Pivot Table'!S$289/$M439),0)</f>
        <v>0</v>
      </c>
      <c r="F439" s="288">
        <f t="shared" si="50"/>
        <v>0</v>
      </c>
      <c r="G439" s="359">
        <f>IF(B439&gt;0,RANK(B439,$B$431:$B$449),)</f>
        <v>0</v>
      </c>
      <c r="H439" s="289">
        <f>IF(C439&gt;0,RANK(C439,$C$431:$C$449),)</f>
        <v>0</v>
      </c>
      <c r="I439" s="289">
        <f>IF(D439&gt;0,RANK(D439,$D$431:$D$449),)</f>
        <v>0</v>
      </c>
      <c r="J439" s="289">
        <f>IF(E439&gt;0,RANK(E439,$E$431:$E$449),)</f>
        <v>0</v>
      </c>
      <c r="K439" s="289">
        <f>IF(F439&gt;0,RANK(F439,$F$431:$F$449),)</f>
        <v>0</v>
      </c>
      <c r="L439" s="356"/>
      <c r="M439" s="448">
        <v>0</v>
      </c>
      <c r="N439" s="428">
        <v>0</v>
      </c>
      <c r="O439" s="468">
        <f t="shared" si="51"/>
        <v>0</v>
      </c>
      <c r="P439" s="469">
        <f t="shared" si="52"/>
        <v>0</v>
      </c>
      <c r="Q439" s="456">
        <f t="shared" si="52"/>
        <v>0</v>
      </c>
      <c r="R439" s="437">
        <f>IF($N439&gt;0,(('Amounts Pivot Table'!S$279+'Amounts Pivot Table'!S$282+'Amounts Pivot Table'!S$285)/$N439),0)</f>
        <v>0</v>
      </c>
      <c r="S439" s="432">
        <f>IF($N439&gt;0,('Amounts Pivot Table'!S$288/$N439),0)</f>
        <v>0</v>
      </c>
      <c r="T439" s="432">
        <f t="shared" si="49"/>
        <v>0</v>
      </c>
      <c r="U439" s="474" t="e">
        <f t="shared" si="53"/>
        <v>#DIV/0!</v>
      </c>
      <c r="V439" s="471" t="e">
        <f t="shared" si="53"/>
        <v>#DIV/0!</v>
      </c>
      <c r="W439" s="459" t="e">
        <f t="shared" si="53"/>
        <v>#DIV/0!</v>
      </c>
      <c r="Y439" s="77" t="s">
        <v>784</v>
      </c>
      <c r="Z439" s="77">
        <f t="shared" si="54"/>
        <v>0</v>
      </c>
      <c r="AA439" s="77">
        <f t="shared" si="54"/>
        <v>0</v>
      </c>
      <c r="AB439" s="77">
        <f t="shared" si="54"/>
        <v>0</v>
      </c>
      <c r="AC439" s="77">
        <f t="shared" si="54"/>
        <v>0</v>
      </c>
      <c r="AD439" s="77">
        <f t="shared" si="54"/>
        <v>0</v>
      </c>
    </row>
    <row r="440" spans="1:30" ht="12.75" customHeight="1">
      <c r="B440" s="288"/>
      <c r="C440" s="288"/>
      <c r="D440" s="288"/>
      <c r="E440" s="288"/>
      <c r="F440" s="288"/>
      <c r="G440" s="359"/>
      <c r="H440" s="289"/>
      <c r="I440" s="289"/>
      <c r="J440" s="289"/>
      <c r="K440" s="289"/>
      <c r="L440" s="356"/>
      <c r="M440" s="448"/>
      <c r="N440" s="428"/>
      <c r="O440" s="468"/>
      <c r="P440" s="469"/>
      <c r="Q440" s="456"/>
      <c r="R440" s="437"/>
      <c r="S440" s="432"/>
      <c r="T440" s="432"/>
      <c r="U440" s="474"/>
      <c r="V440" s="471"/>
      <c r="W440" s="459"/>
    </row>
    <row r="441" spans="1:30" ht="12.75" customHeight="1">
      <c r="A441" s="77" t="s">
        <v>785</v>
      </c>
      <c r="B441" s="288">
        <f>IF($M441&gt;0,('Amounts Pivot Table'!S$319/$M441),0)</f>
        <v>0</v>
      </c>
      <c r="C441" s="288">
        <f>IF($M441&gt;0,('Amounts Pivot Table'!S$322/$M441),0)</f>
        <v>0</v>
      </c>
      <c r="D441" s="288">
        <f>IF($M441&gt;0,('Amounts Pivot Table'!S$325/$M441),0)</f>
        <v>0</v>
      </c>
      <c r="E441" s="288">
        <f>IF($M441&gt;0,('Amounts Pivot Table'!S$328/$M441),0)</f>
        <v>0</v>
      </c>
      <c r="F441" s="288">
        <f t="shared" si="50"/>
        <v>0</v>
      </c>
      <c r="G441" s="359">
        <f>IF(B441&gt;0,RANK(B441,$B$431:$B$449),)</f>
        <v>0</v>
      </c>
      <c r="H441" s="289">
        <f>IF(C441&gt;0,RANK(C441,$C$431:$C$449),)</f>
        <v>0</v>
      </c>
      <c r="I441" s="289">
        <f>IF(D441&gt;0,RANK(D441,$D$431:$D$449),)</f>
        <v>0</v>
      </c>
      <c r="J441" s="289">
        <f>IF(E441&gt;0,RANK(E441,$E$431:$E$449),)</f>
        <v>0</v>
      </c>
      <c r="K441" s="289">
        <f>IF(F441&gt;0,RANK(F441,$F$431:$F$449),)</f>
        <v>0</v>
      </c>
      <c r="L441" s="356"/>
      <c r="M441" s="448">
        <v>0</v>
      </c>
      <c r="N441" s="428">
        <v>0</v>
      </c>
      <c r="O441" s="468">
        <f t="shared" si="51"/>
        <v>0</v>
      </c>
      <c r="P441" s="469">
        <f t="shared" si="52"/>
        <v>0</v>
      </c>
      <c r="Q441" s="456">
        <f t="shared" si="52"/>
        <v>0</v>
      </c>
      <c r="R441" s="437">
        <f>IF($N441&gt;0,(('Amounts Pivot Table'!S$318+'Amounts Pivot Table'!S$321+'Amounts Pivot Table'!S$324)/$N441),0)</f>
        <v>0</v>
      </c>
      <c r="S441" s="432">
        <f>IF($N441&gt;0,('Amounts Pivot Table'!S$327/$N441),0)</f>
        <v>0</v>
      </c>
      <c r="T441" s="432">
        <f t="shared" si="49"/>
        <v>0</v>
      </c>
      <c r="U441" s="474" t="e">
        <f t="shared" si="53"/>
        <v>#DIV/0!</v>
      </c>
      <c r="V441" s="471" t="e">
        <f t="shared" si="53"/>
        <v>#DIV/0!</v>
      </c>
      <c r="W441" s="459" t="e">
        <f t="shared" si="53"/>
        <v>#DIV/0!</v>
      </c>
      <c r="Y441" s="77" t="s">
        <v>785</v>
      </c>
      <c r="Z441" s="77">
        <f t="shared" si="54"/>
        <v>0</v>
      </c>
      <c r="AA441" s="77">
        <f t="shared" si="54"/>
        <v>0</v>
      </c>
      <c r="AB441" s="77">
        <f t="shared" si="54"/>
        <v>0</v>
      </c>
      <c r="AC441" s="77">
        <f t="shared" si="54"/>
        <v>0</v>
      </c>
      <c r="AD441" s="77">
        <f t="shared" si="54"/>
        <v>0</v>
      </c>
    </row>
    <row r="442" spans="1:30" ht="12.75" customHeight="1">
      <c r="A442" s="77" t="s">
        <v>786</v>
      </c>
      <c r="B442" s="288">
        <f>IF($M442&gt;0,('Amounts Pivot Table'!S$358/$M442),0)</f>
        <v>0</v>
      </c>
      <c r="C442" s="288">
        <f>IF($M442&gt;0,('Amounts Pivot Table'!S$361/$M442),0)</f>
        <v>0</v>
      </c>
      <c r="D442" s="288">
        <f>IF($M442&gt;0,('Amounts Pivot Table'!S$364/$M442),0)</f>
        <v>0</v>
      </c>
      <c r="E442" s="288">
        <f>IF($M442&gt;0,('Amounts Pivot Table'!S$367/$M442),0)</f>
        <v>0</v>
      </c>
      <c r="F442" s="288">
        <f t="shared" si="50"/>
        <v>0</v>
      </c>
      <c r="G442" s="359">
        <f>IF(B442&gt;0,RANK(B442,$B$431:$B$449),)</f>
        <v>0</v>
      </c>
      <c r="H442" s="289">
        <f>IF(C442&gt;0,RANK(C442,$C$431:$C$449),)</f>
        <v>0</v>
      </c>
      <c r="I442" s="289">
        <f>IF(D442&gt;0,RANK(D442,$D$431:$D$449),)</f>
        <v>0</v>
      </c>
      <c r="J442" s="289">
        <f>IF(E442&gt;0,RANK(E442,$E$431:$E$449),)</f>
        <v>0</v>
      </c>
      <c r="K442" s="289">
        <f>IF(F442&gt;0,RANK(F442,$F$431:$F$449),)</f>
        <v>0</v>
      </c>
      <c r="L442" s="356"/>
      <c r="M442" s="448">
        <v>0</v>
      </c>
      <c r="N442" s="428">
        <v>0</v>
      </c>
      <c r="O442" s="468">
        <f t="shared" si="51"/>
        <v>0</v>
      </c>
      <c r="P442" s="469">
        <f t="shared" si="52"/>
        <v>0</v>
      </c>
      <c r="Q442" s="456">
        <f t="shared" si="52"/>
        <v>0</v>
      </c>
      <c r="R442" s="437">
        <f>IF($N442&gt;0,(('Amounts Pivot Table'!S$357+'Amounts Pivot Table'!S$360+'Amounts Pivot Table'!S$363)/$N442),0)</f>
        <v>0</v>
      </c>
      <c r="S442" s="432">
        <f>IF($N442&gt;0,('Amounts Pivot Table'!S$366/$N442),0)</f>
        <v>0</v>
      </c>
      <c r="T442" s="432">
        <f t="shared" si="49"/>
        <v>0</v>
      </c>
      <c r="U442" s="474" t="e">
        <f t="shared" si="53"/>
        <v>#DIV/0!</v>
      </c>
      <c r="V442" s="471" t="e">
        <f t="shared" si="53"/>
        <v>#DIV/0!</v>
      </c>
      <c r="W442" s="459" t="e">
        <f t="shared" si="53"/>
        <v>#DIV/0!</v>
      </c>
      <c r="Y442" s="77" t="s">
        <v>786</v>
      </c>
      <c r="Z442" s="77">
        <f t="shared" si="54"/>
        <v>0</v>
      </c>
      <c r="AA442" s="77">
        <f t="shared" si="54"/>
        <v>0</v>
      </c>
      <c r="AB442" s="77">
        <f t="shared" si="54"/>
        <v>0</v>
      </c>
      <c r="AC442" s="77">
        <f t="shared" si="54"/>
        <v>0</v>
      </c>
      <c r="AD442" s="77">
        <f t="shared" si="54"/>
        <v>0</v>
      </c>
    </row>
    <row r="443" spans="1:30" ht="12.75" customHeight="1">
      <c r="A443" s="77" t="s">
        <v>787</v>
      </c>
      <c r="B443" s="288">
        <f>IF($M443&gt;0,('Amounts Pivot Table'!S$397/$M443),0)</f>
        <v>3960.6600481792666</v>
      </c>
      <c r="C443" s="288">
        <f>IF($M443&gt;0,('Amounts Pivot Table'!S$400/$M443),0)</f>
        <v>0</v>
      </c>
      <c r="D443" s="288">
        <f>IF($M443&gt;0,('Amounts Pivot Table'!S$403/$M443),0)</f>
        <v>0</v>
      </c>
      <c r="E443" s="288">
        <f>IF($M443&gt;0,('Amounts Pivot Table'!S$406/$M443),0)</f>
        <v>1049.1922852669511</v>
      </c>
      <c r="F443" s="288">
        <f t="shared" si="50"/>
        <v>5009.8523334462179</v>
      </c>
      <c r="G443" s="359">
        <f>IF(B443&gt;0,RANK(B443,$B$431:$B$449),)</f>
        <v>4</v>
      </c>
      <c r="H443" s="289">
        <f>IF(C443&gt;0,RANK(C443,$C$431:$C$449),)</f>
        <v>0</v>
      </c>
      <c r="I443" s="289">
        <f>IF(D443&gt;0,RANK(D443,$D$431:$D$449),)</f>
        <v>0</v>
      </c>
      <c r="J443" s="289">
        <f>IF(E443&gt;0,RANK(E443,$E$431:$E$449),)</f>
        <v>6</v>
      </c>
      <c r="K443" s="289">
        <f>IF(F443&gt;0,RANK(F443,$F$431:$F$449),)</f>
        <v>6</v>
      </c>
      <c r="L443" s="356"/>
      <c r="M443" s="448">
        <v>22330.491111111107</v>
      </c>
      <c r="N443" s="428">
        <v>19050.594566666667</v>
      </c>
      <c r="O443" s="468">
        <f t="shared" si="51"/>
        <v>3960.6600481792666</v>
      </c>
      <c r="P443" s="469">
        <f t="shared" si="52"/>
        <v>1049.1922852669511</v>
      </c>
      <c r="Q443" s="456">
        <f t="shared" si="52"/>
        <v>5009.8523334462179</v>
      </c>
      <c r="R443" s="437">
        <f>IF($N443&gt;0,(('Amounts Pivot Table'!S$396+'Amounts Pivot Table'!S$399+'Amounts Pivot Table'!S$402)/$N443),0)</f>
        <v>5322.3697373420737</v>
      </c>
      <c r="S443" s="432">
        <f>IF($N443&gt;0,('Amounts Pivot Table'!S$405/$N443),0)</f>
        <v>1340.6331183325779</v>
      </c>
      <c r="T443" s="432">
        <f t="shared" si="49"/>
        <v>6663.0028556746511</v>
      </c>
      <c r="U443" s="474">
        <f t="shared" si="53"/>
        <v>-0.25584650378739532</v>
      </c>
      <c r="V443" s="471">
        <f t="shared" si="53"/>
        <v>-0.21739044715537714</v>
      </c>
      <c r="W443" s="459">
        <f t="shared" si="53"/>
        <v>-0.24810893196908981</v>
      </c>
      <c r="Y443" s="77" t="s">
        <v>787</v>
      </c>
      <c r="Z443" s="77">
        <f t="shared" si="54"/>
        <v>88443484</v>
      </c>
      <c r="AA443" s="77">
        <f t="shared" si="54"/>
        <v>0</v>
      </c>
      <c r="AB443" s="77">
        <f t="shared" si="54"/>
        <v>0</v>
      </c>
      <c r="AC443" s="77">
        <f t="shared" si="54"/>
        <v>23428979</v>
      </c>
      <c r="AD443" s="77">
        <f t="shared" si="54"/>
        <v>111872463</v>
      </c>
    </row>
    <row r="444" spans="1:30" ht="12.75" customHeight="1">
      <c r="A444" s="77" t="s">
        <v>788</v>
      </c>
      <c r="B444" s="288">
        <f>IF($M444&gt;0,('Amounts Pivot Table'!S$436/$M444),0)</f>
        <v>0</v>
      </c>
      <c r="C444" s="288">
        <f>IF($M444&gt;0,('Amounts Pivot Table'!S$439/$M444),0)</f>
        <v>0</v>
      </c>
      <c r="D444" s="288">
        <f>IF($M444&gt;0,('Amounts Pivot Table'!S$442/$M444),0)</f>
        <v>0</v>
      </c>
      <c r="E444" s="288">
        <f>IF($M444&gt;0,('Amounts Pivot Table'!S$445/$M444),0)</f>
        <v>0</v>
      </c>
      <c r="F444" s="288">
        <f t="shared" si="50"/>
        <v>0</v>
      </c>
      <c r="G444" s="359">
        <f>IF(B444&gt;0,RANK(B444,$B$431:$B$449),)</f>
        <v>0</v>
      </c>
      <c r="H444" s="289">
        <f>IF(C444&gt;0,RANK(C444,$C$431:$C$449),)</f>
        <v>0</v>
      </c>
      <c r="I444" s="289">
        <f>IF(D444&gt;0,RANK(D444,$D$431:$D$449),)</f>
        <v>0</v>
      </c>
      <c r="J444" s="289">
        <f>IF(E444&gt;0,RANK(E444,$E$431:$E$449),)</f>
        <v>0</v>
      </c>
      <c r="K444" s="289">
        <f>IF(F444&gt;0,RANK(F444,$F$431:$F$449),)</f>
        <v>0</v>
      </c>
      <c r="L444" s="356"/>
      <c r="M444" s="448">
        <v>0</v>
      </c>
      <c r="N444" s="428">
        <v>0</v>
      </c>
      <c r="O444" s="468">
        <f t="shared" si="51"/>
        <v>0</v>
      </c>
      <c r="P444" s="469">
        <f t="shared" si="52"/>
        <v>0</v>
      </c>
      <c r="Q444" s="456">
        <f t="shared" si="52"/>
        <v>0</v>
      </c>
      <c r="R444" s="437">
        <f>IF($N444&gt;0,(('Amounts Pivot Table'!S$435+'Amounts Pivot Table'!S$438+'Amounts Pivot Table'!S$441)/$N444),0)</f>
        <v>0</v>
      </c>
      <c r="S444" s="432">
        <f>IF($N444&gt;0,('Amounts Pivot Table'!S$444/$N444),0)</f>
        <v>0</v>
      </c>
      <c r="T444" s="432">
        <f t="shared" si="49"/>
        <v>0</v>
      </c>
      <c r="U444" s="474" t="e">
        <f t="shared" si="53"/>
        <v>#DIV/0!</v>
      </c>
      <c r="V444" s="471" t="e">
        <f t="shared" si="53"/>
        <v>#DIV/0!</v>
      </c>
      <c r="W444" s="459" t="e">
        <f t="shared" si="53"/>
        <v>#DIV/0!</v>
      </c>
      <c r="Y444" s="77" t="s">
        <v>788</v>
      </c>
      <c r="Z444" s="77">
        <f t="shared" si="54"/>
        <v>0</v>
      </c>
      <c r="AA444" s="77">
        <f t="shared" si="54"/>
        <v>0</v>
      </c>
      <c r="AB444" s="77">
        <f t="shared" si="54"/>
        <v>0</v>
      </c>
      <c r="AC444" s="77">
        <f t="shared" si="54"/>
        <v>0</v>
      </c>
      <c r="AD444" s="77">
        <f t="shared" si="54"/>
        <v>0</v>
      </c>
    </row>
    <row r="445" spans="1:30" ht="12.75" customHeight="1">
      <c r="B445" s="288"/>
      <c r="C445" s="288"/>
      <c r="D445" s="288"/>
      <c r="E445" s="288"/>
      <c r="F445" s="288"/>
      <c r="G445" s="359"/>
      <c r="H445" s="289"/>
      <c r="I445" s="289"/>
      <c r="J445" s="289"/>
      <c r="K445" s="289"/>
      <c r="L445" s="356"/>
      <c r="M445" s="448"/>
      <c r="N445" s="428"/>
      <c r="O445" s="468"/>
      <c r="P445" s="469"/>
      <c r="Q445" s="456"/>
      <c r="R445" s="437"/>
      <c r="S445" s="432"/>
      <c r="T445" s="432"/>
      <c r="U445" s="474"/>
      <c r="V445" s="471"/>
      <c r="W445" s="459"/>
    </row>
    <row r="446" spans="1:30" ht="12.75" customHeight="1">
      <c r="A446" s="77" t="s">
        <v>789</v>
      </c>
      <c r="B446" s="288">
        <f>IF($M446&gt;0,('Amounts Pivot Table'!S$475/$M446),0)</f>
        <v>6057.3663358428239</v>
      </c>
      <c r="C446" s="288">
        <f>IF($M446&gt;0,('Amounts Pivot Table'!S$478/$M446),0)</f>
        <v>0</v>
      </c>
      <c r="D446" s="288">
        <f>IF($M446&gt;0,('Amounts Pivot Table'!S$481/$M446),0)</f>
        <v>0</v>
      </c>
      <c r="E446" s="288">
        <f>IF($M446&gt;0,('Amounts Pivot Table'!S$484/$M446),0)</f>
        <v>3141.5569545580661</v>
      </c>
      <c r="F446" s="288">
        <f t="shared" si="50"/>
        <v>9198.9232904008895</v>
      </c>
      <c r="G446" s="359">
        <f>IF(B446&gt;0,RANK(B446,$B$431:$B$449),)</f>
        <v>2</v>
      </c>
      <c r="H446" s="289">
        <f>IF(C446&gt;0,RANK(C446,$C$431:$C$449),)</f>
        <v>0</v>
      </c>
      <c r="I446" s="289">
        <f>IF(D446&gt;0,RANK(D446,$D$431:$D$449),)</f>
        <v>0</v>
      </c>
      <c r="J446" s="289">
        <f>IF(E446&gt;0,RANK(E446,$E$431:$E$449),)</f>
        <v>5</v>
      </c>
      <c r="K446" s="289">
        <f>IF(F446&gt;0,RANK(F446,$F$431:$F$449),)</f>
        <v>2</v>
      </c>
      <c r="L446" s="356"/>
      <c r="M446" s="448">
        <v>12630.868888888888</v>
      </c>
      <c r="N446" s="428">
        <v>12858.136666666669</v>
      </c>
      <c r="O446" s="468">
        <f t="shared" si="51"/>
        <v>6057.3663358428239</v>
      </c>
      <c r="P446" s="469">
        <f t="shared" si="52"/>
        <v>3141.5569545580661</v>
      </c>
      <c r="Q446" s="456">
        <f t="shared" si="52"/>
        <v>9198.9232904008895</v>
      </c>
      <c r="R446" s="437">
        <f>IF($N446&gt;0,(('Amounts Pivot Table'!S$474+'Amounts Pivot Table'!S$477+'Amounts Pivot Table'!S$480)/$N446),0)</f>
        <v>5916.5726708457751</v>
      </c>
      <c r="S446" s="432">
        <f>IF($N446&gt;0,('Amounts Pivot Table'!S$483/$N446),0)</f>
        <v>3045.1962842723965</v>
      </c>
      <c r="T446" s="432">
        <f t="shared" si="49"/>
        <v>8961.768955118172</v>
      </c>
      <c r="U446" s="474">
        <f t="shared" si="53"/>
        <v>2.3796490439611614E-2</v>
      </c>
      <c r="V446" s="471">
        <f t="shared" si="53"/>
        <v>3.1643500546531603E-2</v>
      </c>
      <c r="W446" s="459">
        <f t="shared" si="53"/>
        <v>2.6462893260294985E-2</v>
      </c>
      <c r="Y446" s="77" t="s">
        <v>789</v>
      </c>
      <c r="Z446" s="77">
        <f t="shared" si="54"/>
        <v>76509800</v>
      </c>
      <c r="AA446" s="77">
        <f t="shared" si="54"/>
        <v>0</v>
      </c>
      <c r="AB446" s="77">
        <f t="shared" si="54"/>
        <v>0</v>
      </c>
      <c r="AC446" s="77">
        <f t="shared" si="54"/>
        <v>39680594</v>
      </c>
      <c r="AD446" s="77">
        <f t="shared" si="54"/>
        <v>116190394</v>
      </c>
    </row>
    <row r="447" spans="1:30" s="362" customFormat="1" ht="12.75" customHeight="1">
      <c r="A447" s="77" t="s">
        <v>790</v>
      </c>
      <c r="B447" s="288">
        <f>IF($M447&gt;0,('Amounts Pivot Table'!S$514/$M447),0)</f>
        <v>0</v>
      </c>
      <c r="C447" s="288">
        <f>IF($M447&gt;0,('Amounts Pivot Table'!S$517/$M447),0)</f>
        <v>0</v>
      </c>
      <c r="D447" s="288">
        <f>IF($M447&gt;0,('Amounts Pivot Table'!S$520/$M447),0)</f>
        <v>0</v>
      </c>
      <c r="E447" s="288">
        <f>IF($M447&gt;0,('Amounts Pivot Table'!S$523/$M447),0)</f>
        <v>0</v>
      </c>
      <c r="F447" s="288">
        <f t="shared" si="50"/>
        <v>0</v>
      </c>
      <c r="G447" s="359">
        <f>IF(B447&gt;0,RANK(B447,$B$431:$B$449),)</f>
        <v>0</v>
      </c>
      <c r="H447" s="289">
        <f>IF(C447&gt;0,RANK(C447,$C$431:$C$449),)</f>
        <v>0</v>
      </c>
      <c r="I447" s="289">
        <f>IF(D447&gt;0,RANK(D447,$D$431:$D$449),)</f>
        <v>0</v>
      </c>
      <c r="J447" s="289">
        <f>IF(E447&gt;0,RANK(E447,$E$431:$E$449),)</f>
        <v>0</v>
      </c>
      <c r="K447" s="289">
        <f>IF(F447&gt;0,RANK(F447,$F$431:$F$449),)</f>
        <v>0</v>
      </c>
      <c r="L447" s="363"/>
      <c r="M447" s="448">
        <v>0</v>
      </c>
      <c r="N447" s="428">
        <v>0</v>
      </c>
      <c r="O447" s="429">
        <f t="shared" si="51"/>
        <v>0</v>
      </c>
      <c r="P447" s="430">
        <f t="shared" si="52"/>
        <v>0</v>
      </c>
      <c r="Q447" s="430">
        <f t="shared" si="52"/>
        <v>0</v>
      </c>
      <c r="R447" s="437">
        <f>IF($N447&gt;0,(('Amounts Pivot Table'!S$513+'Amounts Pivot Table'!S$516+'Amounts Pivot Table'!S$519)/$N447),0)</f>
        <v>0</v>
      </c>
      <c r="S447" s="432">
        <f>IF($N447&gt;0,('Amounts Pivot Table'!S$522/$N447),0)</f>
        <v>0</v>
      </c>
      <c r="T447" s="432">
        <f t="shared" si="49"/>
        <v>0</v>
      </c>
      <c r="U447" s="438" t="e">
        <f t="shared" si="53"/>
        <v>#DIV/0!</v>
      </c>
      <c r="V447" s="434" t="e">
        <f t="shared" si="53"/>
        <v>#DIV/0!</v>
      </c>
      <c r="W447" s="434" t="e">
        <f t="shared" si="53"/>
        <v>#DIV/0!</v>
      </c>
      <c r="Y447" s="77" t="s">
        <v>790</v>
      </c>
      <c r="Z447" s="77">
        <f t="shared" si="54"/>
        <v>0</v>
      </c>
      <c r="AA447" s="77">
        <f t="shared" si="54"/>
        <v>0</v>
      </c>
      <c r="AB447" s="77">
        <f t="shared" si="54"/>
        <v>0</v>
      </c>
      <c r="AC447" s="77">
        <f t="shared" si="54"/>
        <v>0</v>
      </c>
      <c r="AD447" s="77">
        <f t="shared" si="54"/>
        <v>0</v>
      </c>
    </row>
    <row r="448" spans="1:30" ht="12.75" customHeight="1">
      <c r="A448" s="77" t="s">
        <v>791</v>
      </c>
      <c r="B448" s="288">
        <f>IF($M448&gt;0,('Amounts Pivot Table'!S$553/$M448),0)</f>
        <v>0</v>
      </c>
      <c r="C448" s="288">
        <f>IF($M448&gt;0,('Amounts Pivot Table'!S$556/$M448),0)</f>
        <v>0</v>
      </c>
      <c r="D448" s="288">
        <f>IF($M448&gt;0,('Amounts Pivot Table'!S$559/$M448),0)</f>
        <v>0</v>
      </c>
      <c r="E448" s="288">
        <f>IF($M448&gt;0,('Amounts Pivot Table'!S$562/$M448),0)</f>
        <v>0</v>
      </c>
      <c r="F448" s="288">
        <f t="shared" si="50"/>
        <v>0</v>
      </c>
      <c r="G448" s="359">
        <f>IF(B448&gt;0,RANK(B448,$B$431:$B$449),)</f>
        <v>0</v>
      </c>
      <c r="H448" s="289">
        <f>IF(C448&gt;0,RANK(C448,$C$431:$C$449),)</f>
        <v>0</v>
      </c>
      <c r="I448" s="289">
        <f>IF(D448&gt;0,RANK(D448,$D$431:$D$449),)</f>
        <v>0</v>
      </c>
      <c r="J448" s="289">
        <f>IF(E448&gt;0,RANK(E448,$E$431:$E$449),)</f>
        <v>0</v>
      </c>
      <c r="K448" s="289">
        <f>IF(F448&gt;0,RANK(F448,$F$431:$F$449),)</f>
        <v>0</v>
      </c>
      <c r="L448" s="367"/>
      <c r="M448" s="448">
        <v>0</v>
      </c>
      <c r="N448" s="428">
        <v>0</v>
      </c>
      <c r="O448" s="429">
        <f t="shared" si="51"/>
        <v>0</v>
      </c>
      <c r="P448" s="430">
        <f t="shared" si="52"/>
        <v>0</v>
      </c>
      <c r="Q448" s="430">
        <f t="shared" si="52"/>
        <v>0</v>
      </c>
      <c r="R448" s="437">
        <f>IF($N448&gt;0,(('Amounts Pivot Table'!S$552+'Amounts Pivot Table'!S$555+'Amounts Pivot Table'!S$558)/$N448),0)</f>
        <v>0</v>
      </c>
      <c r="S448" s="432">
        <f>IF($N448&gt;0,('Amounts Pivot Table'!S$561/$N448),0)</f>
        <v>0</v>
      </c>
      <c r="T448" s="432">
        <f t="shared" si="49"/>
        <v>0</v>
      </c>
      <c r="U448" s="438" t="e">
        <f t="shared" si="53"/>
        <v>#DIV/0!</v>
      </c>
      <c r="V448" s="434" t="e">
        <f t="shared" si="53"/>
        <v>#DIV/0!</v>
      </c>
      <c r="W448" s="434" t="e">
        <f t="shared" si="53"/>
        <v>#DIV/0!</v>
      </c>
      <c r="Y448" s="77" t="s">
        <v>791</v>
      </c>
      <c r="Z448" s="77">
        <f t="shared" si="54"/>
        <v>0</v>
      </c>
      <c r="AA448" s="77">
        <f t="shared" si="54"/>
        <v>0</v>
      </c>
      <c r="AB448" s="77">
        <f t="shared" si="54"/>
        <v>0</v>
      </c>
      <c r="AC448" s="77">
        <f t="shared" si="54"/>
        <v>0</v>
      </c>
      <c r="AD448" s="77">
        <f t="shared" si="54"/>
        <v>0</v>
      </c>
    </row>
    <row r="449" spans="1:30" ht="15" customHeight="1">
      <c r="A449" s="277" t="s">
        <v>792</v>
      </c>
      <c r="B449" s="296">
        <f>IF($M449&gt;0,('Amounts Pivot Table'!S$592/$M449),0)</f>
        <v>0</v>
      </c>
      <c r="C449" s="296">
        <f>IF($M449&gt;0,('Amounts Pivot Table'!S$595/$M449),0)</f>
        <v>0</v>
      </c>
      <c r="D449" s="296">
        <f>IF($M449&gt;0,('Amounts Pivot Table'!S$598/$M449),0)</f>
        <v>0</v>
      </c>
      <c r="E449" s="296">
        <f>IF($M449&gt;0,('Amounts Pivot Table'!S$601/$M449),0)</f>
        <v>0</v>
      </c>
      <c r="F449" s="364">
        <f t="shared" si="50"/>
        <v>0</v>
      </c>
      <c r="G449" s="365">
        <f>IF(B449&gt;0,RANK(B449,$B$431:$B$449),)</f>
        <v>0</v>
      </c>
      <c r="H449" s="366">
        <f>IF(C449&gt;0,RANK(C449,$C$431:$C$449),)</f>
        <v>0</v>
      </c>
      <c r="I449" s="366">
        <f>IF(D449&gt;0,RANK(D449,$D$431:$D$449),)</f>
        <v>0</v>
      </c>
      <c r="J449" s="366">
        <f>IF(E449&gt;0,RANK(E449,$E$431:$E$449),)</f>
        <v>0</v>
      </c>
      <c r="K449" s="366">
        <f>IF(F449&gt;0,RANK(F449,$F$431:$F$449),)</f>
        <v>0</v>
      </c>
      <c r="L449" s="367"/>
      <c r="M449" s="448">
        <v>0</v>
      </c>
      <c r="N449" s="428">
        <v>0</v>
      </c>
      <c r="O449" s="429">
        <f t="shared" si="51"/>
        <v>0</v>
      </c>
      <c r="P449" s="430">
        <f t="shared" si="52"/>
        <v>0</v>
      </c>
      <c r="Q449" s="430">
        <f t="shared" si="52"/>
        <v>0</v>
      </c>
      <c r="R449" s="437">
        <f>IF($N449&gt;0,(('Amounts Pivot Table'!S$591+'Amounts Pivot Table'!S$594+'Amounts Pivot Table'!S$597)/$N449),0)</f>
        <v>0</v>
      </c>
      <c r="S449" s="432">
        <f>IF($N449&gt;0,('Amounts Pivot Table'!S$600/$N449),0)</f>
        <v>0</v>
      </c>
      <c r="T449" s="432">
        <f t="shared" si="49"/>
        <v>0</v>
      </c>
      <c r="U449" s="438" t="e">
        <f t="shared" si="53"/>
        <v>#DIV/0!</v>
      </c>
      <c r="V449" s="434" t="e">
        <f t="shared" si="53"/>
        <v>#DIV/0!</v>
      </c>
      <c r="W449" s="434" t="e">
        <f t="shared" si="53"/>
        <v>#DIV/0!</v>
      </c>
      <c r="Y449" s="277" t="s">
        <v>792</v>
      </c>
      <c r="Z449" s="77">
        <f t="shared" si="54"/>
        <v>0</v>
      </c>
      <c r="AA449" s="77">
        <f t="shared" si="54"/>
        <v>0</v>
      </c>
      <c r="AB449" s="77">
        <f t="shared" si="54"/>
        <v>0</v>
      </c>
      <c r="AC449" s="77">
        <f t="shared" si="54"/>
        <v>0</v>
      </c>
      <c r="AD449" s="77">
        <f t="shared" si="54"/>
        <v>0</v>
      </c>
    </row>
    <row r="450" spans="1:30" s="362" customFormat="1" ht="34.5" customHeight="1">
      <c r="A450" s="1244" t="s">
        <v>926</v>
      </c>
      <c r="B450" s="1270"/>
      <c r="C450" s="1270"/>
      <c r="D450" s="1270"/>
      <c r="E450" s="1270"/>
      <c r="F450" s="1270"/>
      <c r="G450" s="1270"/>
      <c r="H450" s="1270"/>
      <c r="I450" s="1270"/>
      <c r="J450" s="1270"/>
      <c r="K450" s="1270"/>
      <c r="L450" s="363"/>
      <c r="M450" s="412"/>
    </row>
    <row r="451" spans="1:30" s="397" customFormat="1" ht="13.5" customHeight="1">
      <c r="A451" s="1244" t="s">
        <v>927</v>
      </c>
      <c r="B451" s="1270"/>
      <c r="C451" s="1270"/>
      <c r="D451" s="1270"/>
      <c r="E451" s="1270"/>
      <c r="F451" s="1270"/>
      <c r="G451" s="1270"/>
      <c r="H451" s="1270"/>
      <c r="I451" s="1270"/>
      <c r="J451" s="1270"/>
      <c r="K451" s="1270"/>
      <c r="L451" s="347"/>
      <c r="M451" s="464"/>
    </row>
    <row r="452" spans="1:30" ht="13.5" customHeight="1">
      <c r="A452" s="1244" t="s">
        <v>930</v>
      </c>
      <c r="B452" s="1245"/>
      <c r="C452" s="1245"/>
      <c r="D452" s="1245"/>
      <c r="E452" s="1245"/>
      <c r="F452" s="1245"/>
      <c r="G452" s="1245"/>
      <c r="H452" s="1245"/>
      <c r="I452" s="1245"/>
      <c r="J452" s="1245"/>
      <c r="K452" s="1245"/>
      <c r="L452" s="367"/>
      <c r="M452" s="449"/>
    </row>
    <row r="453" spans="1:30">
      <c r="A453" s="368"/>
      <c r="B453" s="369"/>
      <c r="C453" s="369"/>
      <c r="D453" s="369"/>
      <c r="E453" s="369"/>
      <c r="F453" s="369"/>
      <c r="G453" s="369"/>
      <c r="H453" s="369"/>
      <c r="I453" s="369"/>
      <c r="J453" s="369"/>
      <c r="K453" s="370" t="s">
        <v>1814</v>
      </c>
      <c r="M453" s="465"/>
    </row>
    <row r="454" spans="1:30" ht="18.75" customHeight="1">
      <c r="A454" s="336" t="s">
        <v>950</v>
      </c>
      <c r="B454" s="336"/>
      <c r="C454" s="336"/>
      <c r="D454" s="336"/>
      <c r="E454" s="336"/>
      <c r="F454" s="336"/>
      <c r="G454" s="336"/>
      <c r="H454" s="336"/>
      <c r="I454" s="336"/>
      <c r="J454" s="355"/>
      <c r="K454" s="336"/>
      <c r="L454" s="367"/>
      <c r="M454" s="412"/>
    </row>
    <row r="455" spans="1:30" ht="18.75" customHeight="1">
      <c r="A455" s="336"/>
      <c r="B455" s="336"/>
      <c r="C455" s="336"/>
      <c r="D455" s="336"/>
      <c r="E455" s="336"/>
      <c r="F455" s="336"/>
      <c r="G455" s="336"/>
      <c r="H455" s="336"/>
      <c r="I455" s="336"/>
      <c r="J455" s="355"/>
      <c r="K455" s="336"/>
      <c r="L455" s="367"/>
      <c r="M455" s="412"/>
    </row>
    <row r="456" spans="1:30" ht="17.5">
      <c r="A456" s="1228" t="s">
        <v>920</v>
      </c>
      <c r="B456" s="1228"/>
      <c r="C456" s="1228"/>
      <c r="D456" s="1228"/>
      <c r="E456" s="1228"/>
      <c r="F456" s="1228"/>
      <c r="G456" s="1228"/>
      <c r="H456" s="1228"/>
      <c r="I456" s="1228"/>
      <c r="J456" s="1228"/>
      <c r="K456" s="1228"/>
      <c r="L456" s="344"/>
      <c r="M456" s="412"/>
    </row>
    <row r="457" spans="1:30" ht="15.75" customHeight="1">
      <c r="A457" s="1228" t="s">
        <v>1763</v>
      </c>
      <c r="B457" s="1228"/>
      <c r="C457" s="1228"/>
      <c r="D457" s="1228"/>
      <c r="E457" s="1228"/>
      <c r="F457" s="1228"/>
      <c r="G457" s="1228"/>
      <c r="H457" s="1228"/>
      <c r="I457" s="1228"/>
      <c r="J457" s="1228"/>
      <c r="K457" s="1228"/>
      <c r="L457" s="344"/>
      <c r="M457" s="441"/>
    </row>
    <row r="458" spans="1:30" s="376" customFormat="1" ht="8">
      <c r="A458" s="391"/>
      <c r="B458" s="391"/>
      <c r="C458" s="391"/>
      <c r="D458" s="391"/>
      <c r="E458" s="391"/>
      <c r="F458" s="391"/>
      <c r="G458" s="392"/>
      <c r="H458" s="391"/>
      <c r="I458" s="391"/>
      <c r="J458" s="391"/>
      <c r="K458" s="391"/>
      <c r="L458" s="393"/>
      <c r="M458" s="475"/>
    </row>
    <row r="459" spans="1:30" ht="14.25" customHeight="1">
      <c r="A459" s="346"/>
      <c r="B459" s="1268" t="s">
        <v>922</v>
      </c>
      <c r="C459" s="1269"/>
      <c r="D459" s="1269"/>
      <c r="E459" s="1269"/>
      <c r="F459" s="1269"/>
      <c r="G459" s="445" t="s">
        <v>923</v>
      </c>
      <c r="H459" s="446"/>
      <c r="I459" s="446"/>
      <c r="J459" s="446"/>
      <c r="K459" s="446"/>
      <c r="L459" s="389"/>
      <c r="M459" s="447" t="s">
        <v>1777</v>
      </c>
    </row>
    <row r="460" spans="1:30" s="53" customFormat="1" ht="46">
      <c r="A460" s="243"/>
      <c r="B460" s="420" t="s">
        <v>6</v>
      </c>
      <c r="C460" s="421" t="s">
        <v>7</v>
      </c>
      <c r="D460" s="421" t="s">
        <v>8</v>
      </c>
      <c r="E460" s="421" t="s">
        <v>960</v>
      </c>
      <c r="F460" s="421" t="s">
        <v>768</v>
      </c>
      <c r="G460" s="422" t="s">
        <v>6</v>
      </c>
      <c r="H460" s="421" t="s">
        <v>7</v>
      </c>
      <c r="I460" s="421" t="s">
        <v>8</v>
      </c>
      <c r="J460" s="421" t="s">
        <v>960</v>
      </c>
      <c r="K460" s="421" t="s">
        <v>768</v>
      </c>
      <c r="L460" s="350"/>
      <c r="M460" s="442" t="s">
        <v>932</v>
      </c>
    </row>
    <row r="461" spans="1:30" ht="14.5">
      <c r="A461" s="77" t="s">
        <v>925</v>
      </c>
      <c r="B461" s="352">
        <f>IF($M461&gt;0,('Amounts Pivot Table'!P$631/$M461),0)</f>
        <v>4113.1121359723174</v>
      </c>
      <c r="C461" s="352">
        <f>IF($M461&gt;0,('Amounts Pivot Table'!P$634/$M461),0)</f>
        <v>0</v>
      </c>
      <c r="D461" s="352">
        <f>IF($M461&gt;0,('Amounts Pivot Table'!P$637/$M461),0)</f>
        <v>0</v>
      </c>
      <c r="E461" s="352">
        <f>IF($M461&gt;0,('Amounts Pivot Table'!P$640/$M461),0)</f>
        <v>4318.3242356345845</v>
      </c>
      <c r="F461" s="352">
        <f>SUM(B461:E461)</f>
        <v>8431.436371606902</v>
      </c>
      <c r="G461" s="409"/>
      <c r="H461" s="354"/>
      <c r="I461" s="354"/>
      <c r="J461" s="354"/>
      <c r="K461" s="354"/>
      <c r="L461" s="356"/>
      <c r="M461" s="448">
        <v>83245.695444444456</v>
      </c>
    </row>
    <row r="462" spans="1:30" s="376" customFormat="1">
      <c r="A462" s="391"/>
      <c r="B462" s="391"/>
      <c r="C462" s="391"/>
      <c r="D462" s="391"/>
      <c r="E462" s="391"/>
      <c r="F462" s="391"/>
      <c r="G462" s="410"/>
      <c r="H462" s="391"/>
      <c r="I462" s="391"/>
      <c r="J462" s="391"/>
      <c r="K462" s="391"/>
      <c r="L462" s="393"/>
      <c r="M462" s="448"/>
    </row>
    <row r="463" spans="1:30" ht="12.75" customHeight="1">
      <c r="A463" s="77" t="s">
        <v>777</v>
      </c>
      <c r="B463" s="288">
        <f>IF($M463&gt;0,('Amounts Pivot Table'!P$7/$M463),0)</f>
        <v>6738.0223880597023</v>
      </c>
      <c r="C463" s="288">
        <f>IF($M463&gt;0,('Amounts Pivot Table'!P$10/$M463),0)</f>
        <v>0</v>
      </c>
      <c r="D463" s="288">
        <f>IF($M463&gt;0,('Amounts Pivot Table'!P$13/$M463),0)</f>
        <v>0</v>
      </c>
      <c r="E463" s="288">
        <f>IF($M463&gt;0,('Amounts Pivot Table'!P$16/$M463),0)</f>
        <v>4837.5397682639441</v>
      </c>
      <c r="F463" s="288">
        <f t="shared" ref="F463:F481" si="55">SUM(B463:E463)</f>
        <v>11575.562156323645</v>
      </c>
      <c r="G463" s="359">
        <f>IF(B463&gt;0,RANK(B463,$B$463:$B$481),)</f>
        <v>1</v>
      </c>
      <c r="H463" s="289">
        <f>IF(C463&gt;0,RANK(C463,$C$463:$C$481),)</f>
        <v>0</v>
      </c>
      <c r="I463" s="289">
        <f>IF(D463&gt;0,RANK(D463,$D$463:$D$481),)</f>
        <v>0</v>
      </c>
      <c r="J463" s="289">
        <f>IF(E463&gt;0,RANK(E463,$E$463:$E$481),)</f>
        <v>2</v>
      </c>
      <c r="K463" s="289">
        <f>IF(F463&gt;0,RANK(F463,$F$463:$F$481),)</f>
        <v>1</v>
      </c>
      <c r="L463" s="356"/>
      <c r="M463" s="448">
        <v>1357.8666666666666</v>
      </c>
    </row>
    <row r="464" spans="1:30" ht="12.75" customHeight="1">
      <c r="A464" s="77" t="s">
        <v>778</v>
      </c>
      <c r="B464" s="288">
        <f>IF($M464&gt;0,('Amounts Pivot Table'!P$46/$M464),0)</f>
        <v>0</v>
      </c>
      <c r="C464" s="288">
        <f>IF($M464&gt;0,('Amounts Pivot Table'!P$49/$M464),0)</f>
        <v>0</v>
      </c>
      <c r="D464" s="288">
        <f>IF($M464&gt;0,('Amounts Pivot Table'!P$52/$M464),0)</f>
        <v>0</v>
      </c>
      <c r="E464" s="288">
        <f>IF($M464&gt;0,('Amounts Pivot Table'!P$55/$M464),0)</f>
        <v>0</v>
      </c>
      <c r="F464" s="288">
        <f t="shared" si="55"/>
        <v>0</v>
      </c>
      <c r="G464" s="359">
        <f>IF(B464&gt;0,RANK(B464,$B$463:$B$481),)</f>
        <v>0</v>
      </c>
      <c r="H464" s="289">
        <f>IF(C464&gt;0,RANK(C464,$C$463:$C$481),)</f>
        <v>0</v>
      </c>
      <c r="I464" s="289">
        <f>IF(D464&gt;0,RANK(D464,$D$463:$D$481),)</f>
        <v>0</v>
      </c>
      <c r="J464" s="289">
        <f>IF(E464&gt;0,RANK(E464,$E$463:$E$481),)</f>
        <v>0</v>
      </c>
      <c r="K464" s="289">
        <f>IF(F464&gt;0,RANK(F464,$F$463:$F$481),)</f>
        <v>0</v>
      </c>
      <c r="L464" s="356"/>
      <c r="M464" s="448">
        <v>0</v>
      </c>
    </row>
    <row r="465" spans="1:13" ht="12.75" customHeight="1">
      <c r="A465" s="77" t="s">
        <v>779</v>
      </c>
      <c r="B465" s="288">
        <f>IF($M465&gt;0,('Amounts Pivot Table'!P$85/$M465),0)</f>
        <v>0</v>
      </c>
      <c r="C465" s="288">
        <f>IF($M465&gt;0,('Amounts Pivot Table'!P$88/$M465),0)</f>
        <v>0</v>
      </c>
      <c r="D465" s="288">
        <f>IF($M465&gt;0,('Amounts Pivot Table'!P$91/$M465),0)</f>
        <v>0</v>
      </c>
      <c r="E465" s="288">
        <f>IF($M465&gt;0,('Amounts Pivot Table'!P$94/$M465),0)</f>
        <v>0</v>
      </c>
      <c r="F465" s="288">
        <f t="shared" si="55"/>
        <v>0</v>
      </c>
      <c r="G465" s="359">
        <f>IF(B465&gt;0,RANK(B465,$B$463:$B$481),)</f>
        <v>0</v>
      </c>
      <c r="H465" s="289">
        <f>IF(C465&gt;0,RANK(C465,$C$463:$C$481),)</f>
        <v>0</v>
      </c>
      <c r="I465" s="289">
        <f>IF(D465&gt;0,RANK(D465,$D$463:$D$481),)</f>
        <v>0</v>
      </c>
      <c r="J465" s="289">
        <f>IF(E465&gt;0,RANK(E465,$E$463:$E$481),)</f>
        <v>0</v>
      </c>
      <c r="K465" s="289">
        <f>IF(F465&gt;0,RANK(F465,$F$463:$F$481),)</f>
        <v>0</v>
      </c>
      <c r="L465" s="381"/>
      <c r="M465" s="448">
        <v>0</v>
      </c>
    </row>
    <row r="466" spans="1:13" ht="12.75" customHeight="1">
      <c r="A466" s="77" t="s">
        <v>780</v>
      </c>
      <c r="B466" s="288">
        <f>IF($M466&gt;0,('Amounts Pivot Table'!P$124/$M466),0)</f>
        <v>0</v>
      </c>
      <c r="C466" s="288">
        <f>IF($M466&gt;0,('Amounts Pivot Table'!P$127/$M466),0)</f>
        <v>0</v>
      </c>
      <c r="D466" s="288">
        <f>IF($M466&gt;0,('Amounts Pivot Table'!P$130/$M466),0)</f>
        <v>0</v>
      </c>
      <c r="E466" s="288">
        <f>IF($M466&gt;0,('Amounts Pivot Table'!P$133/$M466),0)</f>
        <v>0</v>
      </c>
      <c r="F466" s="288">
        <f t="shared" si="55"/>
        <v>0</v>
      </c>
      <c r="G466" s="359">
        <f>IF(B466&gt;0,RANK(B466,$B$463:$B$481),)</f>
        <v>0</v>
      </c>
      <c r="H466" s="289">
        <f>IF(C466&gt;0,RANK(C466,$C$463:$C$481),)</f>
        <v>0</v>
      </c>
      <c r="I466" s="289">
        <f>IF(D466&gt;0,RANK(D466,$D$463:$D$481),)</f>
        <v>0</v>
      </c>
      <c r="J466" s="289">
        <f>IF(E466&gt;0,RANK(E466,$E$463:$E$481),)</f>
        <v>0</v>
      </c>
      <c r="K466" s="289">
        <f>IF(F466&gt;0,RANK(F466,$F$463:$F$481),)</f>
        <v>0</v>
      </c>
      <c r="L466" s="356"/>
      <c r="M466" s="448">
        <v>0</v>
      </c>
    </row>
    <row r="467" spans="1:13" s="376" customFormat="1">
      <c r="A467" s="391"/>
      <c r="B467" s="391"/>
      <c r="C467" s="391"/>
      <c r="D467" s="391"/>
      <c r="E467" s="391"/>
      <c r="F467" s="391"/>
      <c r="G467" s="410"/>
      <c r="H467" s="391"/>
      <c r="I467" s="391"/>
      <c r="J467" s="391"/>
      <c r="K467" s="391"/>
      <c r="L467" s="393"/>
      <c r="M467" s="448"/>
    </row>
    <row r="468" spans="1:13" ht="12.75" customHeight="1">
      <c r="A468" s="77" t="s">
        <v>781</v>
      </c>
      <c r="B468" s="288">
        <f>IF($M468&gt;0,('Amounts Pivot Table'!P$163/$M468),0)</f>
        <v>4398.3036526056785</v>
      </c>
      <c r="C468" s="288">
        <f>IF($M468&gt;0,('Amounts Pivot Table'!P$166/$M468),0)</f>
        <v>0</v>
      </c>
      <c r="D468" s="288">
        <f>IF($M468&gt;0,('Amounts Pivot Table'!P$169/$M468),0)</f>
        <v>0</v>
      </c>
      <c r="E468" s="288">
        <f>IF($M468&gt;0,('Amounts Pivot Table'!P$172/$M468),0)</f>
        <v>4416.8792590667254</v>
      </c>
      <c r="F468" s="288">
        <f t="shared" si="55"/>
        <v>8815.1829116724039</v>
      </c>
      <c r="G468" s="359">
        <f>IF(B468&gt;0,RANK(B468,$B$463:$B$481),)</f>
        <v>2</v>
      </c>
      <c r="H468" s="289">
        <f>IF(C468&gt;0,RANK(C468,$C$463:$C$481),)</f>
        <v>0</v>
      </c>
      <c r="I468" s="289">
        <f>IF(D468&gt;0,RANK(D468,$D$463:$D$481),)</f>
        <v>0</v>
      </c>
      <c r="J468" s="289">
        <f>IF(E468&gt;0,RANK(E468,$E$463:$E$481),)</f>
        <v>4</v>
      </c>
      <c r="K468" s="289">
        <f>IF(F468&gt;0,RANK(F468,$F$463:$F$481),)</f>
        <v>3</v>
      </c>
      <c r="L468" s="381"/>
      <c r="M468" s="448">
        <v>65212.350000000013</v>
      </c>
    </row>
    <row r="469" spans="1:13" ht="12.75" customHeight="1">
      <c r="A469" s="77" t="s">
        <v>782</v>
      </c>
      <c r="B469" s="288">
        <f>IF($M469&gt;0,('Amounts Pivot Table'!P$202/$M469),0)</f>
        <v>2975.8565278631936</v>
      </c>
      <c r="C469" s="288">
        <f>IF($M469&gt;0,('Amounts Pivot Table'!P$205/$M469),0)</f>
        <v>0</v>
      </c>
      <c r="D469" s="288">
        <f>IF($M469&gt;0,('Amounts Pivot Table'!P$208/$M469),0)</f>
        <v>0</v>
      </c>
      <c r="E469" s="288">
        <f>IF($M469&gt;0,('Amounts Pivot Table'!P$211/$M469),0)</f>
        <v>5930.9222925387348</v>
      </c>
      <c r="F469" s="288">
        <f t="shared" si="55"/>
        <v>8906.7788204019289</v>
      </c>
      <c r="G469" s="359">
        <f>IF(B469&gt;0,RANK(B469,$B$463:$B$481),)</f>
        <v>4</v>
      </c>
      <c r="H469" s="289">
        <f>IF(C469&gt;0,RANK(C469,$C$463:$C$481),)</f>
        <v>0</v>
      </c>
      <c r="I469" s="289">
        <f>IF(D469&gt;0,RANK(D469,$D$463:$D$481),)</f>
        <v>0</v>
      </c>
      <c r="J469" s="289">
        <f>IF(E469&gt;0,RANK(E469,$E$463:$E$481),)</f>
        <v>1</v>
      </c>
      <c r="K469" s="289">
        <f>IF(F469&gt;0,RANK(F469,$F$463:$F$481),)</f>
        <v>2</v>
      </c>
      <c r="L469" s="356"/>
      <c r="M469" s="448">
        <v>5040.7</v>
      </c>
    </row>
    <row r="470" spans="1:13" ht="12.75" customHeight="1">
      <c r="A470" s="77" t="s">
        <v>813</v>
      </c>
      <c r="B470" s="288">
        <f>IF($M470&gt;0,('Amounts Pivot Table'!P$241/$M470),0)</f>
        <v>3173.3856972747089</v>
      </c>
      <c r="C470" s="288">
        <f>IF($M470&gt;0,('Amounts Pivot Table'!P$244/$M470),0)</f>
        <v>0</v>
      </c>
      <c r="D470" s="288">
        <f>IF($M470&gt;0,('Amounts Pivot Table'!P$247/$M470),0)</f>
        <v>0</v>
      </c>
      <c r="E470" s="288">
        <f>IF($M470&gt;0,('Amounts Pivot Table'!P$250/$M470),0)</f>
        <v>4431.4183648250919</v>
      </c>
      <c r="F470" s="288">
        <f t="shared" si="55"/>
        <v>7604.8040620998008</v>
      </c>
      <c r="G470" s="359">
        <f>IF(B470&gt;0,RANK(B470,$B$463:$B$481),)</f>
        <v>3</v>
      </c>
      <c r="H470" s="289">
        <f>IF(C470&gt;0,RANK(C470,$C$463:$C$481),)</f>
        <v>0</v>
      </c>
      <c r="I470" s="289">
        <f>IF(D470&gt;0,RANK(D470,$D$463:$D$481),)</f>
        <v>0</v>
      </c>
      <c r="J470" s="289">
        <f>IF(E470&gt;0,RANK(E470,$E$463:$E$481),)</f>
        <v>3</v>
      </c>
      <c r="K470" s="289">
        <f>IF(F470&gt;0,RANK(F470,$F$463:$F$481),)</f>
        <v>4</v>
      </c>
      <c r="L470" s="356"/>
      <c r="M470" s="448">
        <v>7418.1666666666661</v>
      </c>
    </row>
    <row r="471" spans="1:13" ht="12.75" customHeight="1">
      <c r="A471" s="77" t="s">
        <v>784</v>
      </c>
      <c r="B471" s="288">
        <f>IF($M471&gt;0,('Amounts Pivot Table'!P$280/$M471),0)</f>
        <v>0</v>
      </c>
      <c r="C471" s="288">
        <f>IF($M471&gt;0,('Amounts Pivot Table'!P$283/$M471),0)</f>
        <v>0</v>
      </c>
      <c r="D471" s="288">
        <f>IF($M471&gt;0,('Amounts Pivot Table'!P$286/$M471),0)</f>
        <v>0</v>
      </c>
      <c r="E471" s="288">
        <f>IF($M471&gt;0,('Amounts Pivot Table'!P$289/$M471),0)</f>
        <v>0</v>
      </c>
      <c r="F471" s="288">
        <f t="shared" si="55"/>
        <v>0</v>
      </c>
      <c r="G471" s="359">
        <f>IF(B471&gt;0,RANK(B471,$B$463:$B$481),)</f>
        <v>0</v>
      </c>
      <c r="H471" s="289">
        <f>IF(C471&gt;0,RANK(C471,$C$463:$C$481),)</f>
        <v>0</v>
      </c>
      <c r="I471" s="289">
        <f>IF(D471&gt;0,RANK(D471,$D$463:$D$481),)</f>
        <v>0</v>
      </c>
      <c r="J471" s="289">
        <f>IF(E471&gt;0,RANK(E471,$E$463:$E$481),)</f>
        <v>0</v>
      </c>
      <c r="K471" s="289">
        <f>IF(F471&gt;0,RANK(F471,$F$463:$F$481),)</f>
        <v>0</v>
      </c>
      <c r="L471" s="381"/>
      <c r="M471" s="448">
        <v>0</v>
      </c>
    </row>
    <row r="472" spans="1:13" s="376" customFormat="1">
      <c r="A472" s="391"/>
      <c r="B472" s="391"/>
      <c r="C472" s="391"/>
      <c r="D472" s="391"/>
      <c r="E472" s="391"/>
      <c r="F472" s="391"/>
      <c r="G472" s="410"/>
      <c r="H472" s="391"/>
      <c r="I472" s="391"/>
      <c r="J472" s="391"/>
      <c r="K472" s="391"/>
      <c r="L472" s="393"/>
      <c r="M472" s="448"/>
    </row>
    <row r="473" spans="1:13" ht="12.75" customHeight="1">
      <c r="A473" s="77" t="s">
        <v>785</v>
      </c>
      <c r="B473" s="288">
        <f>IF($M473&gt;0,('Amounts Pivot Table'!P$319/$M473),0)</f>
        <v>0</v>
      </c>
      <c r="C473" s="288">
        <f>IF($M473&gt;0,('Amounts Pivot Table'!P$322/$M473),0)</f>
        <v>0</v>
      </c>
      <c r="D473" s="288">
        <f>IF($M473&gt;0,('Amounts Pivot Table'!P$325/$M473),0)</f>
        <v>0</v>
      </c>
      <c r="E473" s="288">
        <f>IF($M473&gt;0,('Amounts Pivot Table'!P$328/$M473),0)</f>
        <v>0</v>
      </c>
      <c r="F473" s="288">
        <f t="shared" si="55"/>
        <v>0</v>
      </c>
      <c r="G473" s="359">
        <f>IF(B473&gt;0,RANK(B473,$B$463:$B$481),)</f>
        <v>0</v>
      </c>
      <c r="H473" s="289">
        <f>IF(C473&gt;0,RANK(C473,$C$463:$C$481),)</f>
        <v>0</v>
      </c>
      <c r="I473" s="289">
        <f>IF(D473&gt;0,RANK(D473,$D$463:$D$481),)</f>
        <v>0</v>
      </c>
      <c r="J473" s="289">
        <f>IF(E473&gt;0,RANK(E473,$E$463:$E$481),)</f>
        <v>0</v>
      </c>
      <c r="K473" s="289">
        <f>IF(F473&gt;0,RANK(F473,$F$463:$F$481),)</f>
        <v>0</v>
      </c>
      <c r="L473" s="356"/>
      <c r="M473" s="448">
        <v>0</v>
      </c>
    </row>
    <row r="474" spans="1:13" ht="12.75" customHeight="1">
      <c r="A474" s="77" t="s">
        <v>786</v>
      </c>
      <c r="B474" s="288">
        <f>IF($M474&gt;0,('Amounts Pivot Table'!P$358/$M474),0)</f>
        <v>0</v>
      </c>
      <c r="C474" s="288">
        <f>IF($M474&gt;0,('Amounts Pivot Table'!P$361/$M474),0)</f>
        <v>0</v>
      </c>
      <c r="D474" s="288">
        <f>IF($M474&gt;0,('Amounts Pivot Table'!P$364/$M474),0)</f>
        <v>0</v>
      </c>
      <c r="E474" s="288">
        <f>IF($M474&gt;0,('Amounts Pivot Table'!P$367/$M474),0)</f>
        <v>0</v>
      </c>
      <c r="F474" s="288">
        <f t="shared" si="55"/>
        <v>0</v>
      </c>
      <c r="G474" s="359">
        <f>IF(B474&gt;0,RANK(B474,$B$463:$B$481),)</f>
        <v>0</v>
      </c>
      <c r="H474" s="289">
        <f>IF(C474&gt;0,RANK(C474,$C$463:$C$481),)</f>
        <v>0</v>
      </c>
      <c r="I474" s="289">
        <f>IF(D474&gt;0,RANK(D474,$D$463:$D$481),)</f>
        <v>0</v>
      </c>
      <c r="J474" s="289">
        <f>IF(E474&gt;0,RANK(E474,$E$463:$E$481),)</f>
        <v>0</v>
      </c>
      <c r="K474" s="289">
        <f>IF(F474&gt;0,RANK(F474,$F$463:$F$481),)</f>
        <v>0</v>
      </c>
      <c r="L474" s="381"/>
      <c r="M474" s="448">
        <v>0</v>
      </c>
    </row>
    <row r="475" spans="1:13" ht="12.75" customHeight="1">
      <c r="A475" s="77" t="s">
        <v>787</v>
      </c>
      <c r="B475" s="288">
        <f>IF($M475&gt;0,('Amounts Pivot Table'!P$397/$M475),0)</f>
        <v>1869.9189757632962</v>
      </c>
      <c r="C475" s="288">
        <f>IF($M475&gt;0,('Amounts Pivot Table'!P$400/$M475),0)</f>
        <v>0</v>
      </c>
      <c r="D475" s="288">
        <f>IF($M475&gt;0,('Amounts Pivot Table'!P$403/$M475),0)</f>
        <v>0</v>
      </c>
      <c r="E475" s="288">
        <f>IF($M475&gt;0,('Amounts Pivot Table'!P$406/$M475),0)</f>
        <v>500.18686671282092</v>
      </c>
      <c r="F475" s="288">
        <f t="shared" si="55"/>
        <v>2370.1058424761172</v>
      </c>
      <c r="G475" s="359">
        <f>IF(B475&gt;0,RANK(B475,$B$463:$B$481),)</f>
        <v>5</v>
      </c>
      <c r="H475" s="289">
        <f>IF(C475&gt;0,RANK(C475,$C$463:$C$481),)</f>
        <v>0</v>
      </c>
      <c r="I475" s="289">
        <f>IF(D475&gt;0,RANK(D475,$D$463:$D$481),)</f>
        <v>0</v>
      </c>
      <c r="J475" s="289">
        <f>IF(E475&gt;0,RANK(E475,$E$463:$E$481),)</f>
        <v>5</v>
      </c>
      <c r="K475" s="289">
        <f>IF(F475&gt;0,RANK(F475,$F$463:$F$481),)</f>
        <v>5</v>
      </c>
      <c r="L475" s="356"/>
      <c r="M475" s="448">
        <v>4216.6121111111115</v>
      </c>
    </row>
    <row r="476" spans="1:13" ht="12.75" customHeight="1">
      <c r="A476" s="77" t="s">
        <v>788</v>
      </c>
      <c r="B476" s="288">
        <f>IF($M476&gt;0,('Amounts Pivot Table'!P$436/$M476),0)</f>
        <v>0</v>
      </c>
      <c r="C476" s="288">
        <f>IF($M476&gt;0,('Amounts Pivot Table'!P$439/$M476),0)</f>
        <v>0</v>
      </c>
      <c r="D476" s="288">
        <f>IF($M476&gt;0,('Amounts Pivot Table'!P$442/$M476),0)</f>
        <v>0</v>
      </c>
      <c r="E476" s="288">
        <f>IF($M476&gt;0,('Amounts Pivot Table'!P$445/$M476),0)</f>
        <v>0</v>
      </c>
      <c r="F476" s="288">
        <f t="shared" si="55"/>
        <v>0</v>
      </c>
      <c r="G476" s="359">
        <f>IF(B476&gt;0,RANK(B476,$B$463:$B$481),)</f>
        <v>0</v>
      </c>
      <c r="H476" s="289">
        <f>IF(C476&gt;0,RANK(C476,$C$463:$C$481),)</f>
        <v>0</v>
      </c>
      <c r="I476" s="289">
        <f>IF(D476&gt;0,RANK(D476,$D$463:$D$481),)</f>
        <v>0</v>
      </c>
      <c r="J476" s="289">
        <f>IF(E476&gt;0,RANK(E476,$E$463:$E$481),)</f>
        <v>0</v>
      </c>
      <c r="K476" s="289">
        <f>IF(F476&gt;0,RANK(F476,$F$463:$F$481),)</f>
        <v>0</v>
      </c>
      <c r="L476" s="356"/>
      <c r="M476" s="448">
        <v>0</v>
      </c>
    </row>
    <row r="477" spans="1:13" s="376" customFormat="1">
      <c r="A477" s="391"/>
      <c r="B477" s="391"/>
      <c r="C477" s="391"/>
      <c r="D477" s="391"/>
      <c r="E477" s="391"/>
      <c r="F477" s="391"/>
      <c r="G477" s="410"/>
      <c r="H477" s="391"/>
      <c r="I477" s="391"/>
      <c r="J477" s="391"/>
      <c r="K477" s="391"/>
      <c r="L477" s="393"/>
      <c r="M477" s="448"/>
    </row>
    <row r="478" spans="1:13" ht="12.75" customHeight="1">
      <c r="A478" s="77" t="s">
        <v>789</v>
      </c>
      <c r="B478" s="288">
        <f>IF($M478&gt;0,('Amounts Pivot Table'!P$475/$M478),0)</f>
        <v>0</v>
      </c>
      <c r="C478" s="288">
        <f>IF($M478&gt;0,('Amounts Pivot Table'!P$478/$M478),0)</f>
        <v>0</v>
      </c>
      <c r="D478" s="288">
        <f>IF($M478&gt;0,('Amounts Pivot Table'!P$481/$M478),0)</f>
        <v>0</v>
      </c>
      <c r="E478" s="288">
        <f>IF($M478&gt;0,('Amounts Pivot Table'!P$484/$M478),0)</f>
        <v>0</v>
      </c>
      <c r="F478" s="288">
        <f t="shared" si="55"/>
        <v>0</v>
      </c>
      <c r="G478" s="359">
        <f>IF(B478&gt;0,RANK(B478,$B$463:$B$481),)</f>
        <v>0</v>
      </c>
      <c r="H478" s="289">
        <f>IF(C478&gt;0,RANK(C478,$C$463:$C$481),)</f>
        <v>0</v>
      </c>
      <c r="I478" s="289">
        <f>IF(D478&gt;0,RANK(D478,$D$463:$D$481),)</f>
        <v>0</v>
      </c>
      <c r="J478" s="289">
        <f>IF(E478&gt;0,RANK(E478,$E$463:$E$481),)</f>
        <v>0</v>
      </c>
      <c r="K478" s="289">
        <f>IF(F478&gt;0,RANK(F478,$F$463:$F$481),)</f>
        <v>0</v>
      </c>
      <c r="L478" s="356"/>
      <c r="M478" s="448">
        <v>0</v>
      </c>
    </row>
    <row r="479" spans="1:13" s="362" customFormat="1" ht="12.75" customHeight="1">
      <c r="A479" s="77" t="s">
        <v>790</v>
      </c>
      <c r="B479" s="288">
        <f>IF($M479&gt;0,('Amounts Pivot Table'!P$514/$M479),0)</f>
        <v>0</v>
      </c>
      <c r="C479" s="288">
        <f>IF($M479&gt;0,('Amounts Pivot Table'!P$517/$M479),0)</f>
        <v>0</v>
      </c>
      <c r="D479" s="288">
        <f>IF($M479&gt;0,('Amounts Pivot Table'!P$520/$M479),0)</f>
        <v>0</v>
      </c>
      <c r="E479" s="288">
        <f>IF($M479&gt;0,('Amounts Pivot Table'!P$523/$M479),0)</f>
        <v>0</v>
      </c>
      <c r="F479" s="288">
        <f t="shared" si="55"/>
        <v>0</v>
      </c>
      <c r="G479" s="359">
        <f>IF(B479&gt;0,RANK(B479,$B$463:$B$481),)</f>
        <v>0</v>
      </c>
      <c r="H479" s="289">
        <f>IF(C479&gt;0,RANK(C479,$C$463:$C$481),)</f>
        <v>0</v>
      </c>
      <c r="I479" s="289">
        <f>IF(D479&gt;0,RANK(D479,$D$463:$D$481),)</f>
        <v>0</v>
      </c>
      <c r="J479" s="289">
        <f>IF(E479&gt;0,RANK(E479,$E$463:$E$481),)</f>
        <v>0</v>
      </c>
      <c r="K479" s="289">
        <f>IF(F479&gt;0,RANK(F479,$F$463:$F$481),)</f>
        <v>0</v>
      </c>
      <c r="L479" s="356"/>
      <c r="M479" s="448">
        <v>0</v>
      </c>
    </row>
    <row r="480" spans="1:13" ht="12.75" customHeight="1">
      <c r="A480" s="77" t="s">
        <v>791</v>
      </c>
      <c r="B480" s="288">
        <f>IF($M480&gt;0,('Amounts Pivot Table'!P$553/$M480),0)</f>
        <v>0</v>
      </c>
      <c r="C480" s="288">
        <f>IF($M480&gt;0,('Amounts Pivot Table'!P$556/$M480),0)</f>
        <v>0</v>
      </c>
      <c r="D480" s="288">
        <f>IF($M480&gt;0,('Amounts Pivot Table'!P$559/$M480),0)</f>
        <v>0</v>
      </c>
      <c r="E480" s="288">
        <f>IF($M480&gt;0,('Amounts Pivot Table'!P$562/$M480),0)</f>
        <v>0</v>
      </c>
      <c r="F480" s="288">
        <f t="shared" si="55"/>
        <v>0</v>
      </c>
      <c r="G480" s="359">
        <f>IF(B480&gt;0,RANK(B480,$B$463:$B$481),)</f>
        <v>0</v>
      </c>
      <c r="H480" s="289">
        <f>IF(C480&gt;0,RANK(C480,$C$463:$C$481),)</f>
        <v>0</v>
      </c>
      <c r="I480" s="289">
        <f>IF(D480&gt;0,RANK(D480,$D$463:$D$481),)</f>
        <v>0</v>
      </c>
      <c r="J480" s="289">
        <f>IF(E480&gt;0,RANK(E480,$E$463:$E$481),)</f>
        <v>0</v>
      </c>
      <c r="K480" s="289">
        <f>IF(F480&gt;0,RANK(F480,$F$463:$F$481),)</f>
        <v>0</v>
      </c>
      <c r="L480" s="381"/>
      <c r="M480" s="448">
        <v>0</v>
      </c>
    </row>
    <row r="481" spans="1:13" ht="17.25" customHeight="1">
      <c r="A481" s="277" t="s">
        <v>792</v>
      </c>
      <c r="B481" s="296">
        <f>IF($M481&gt;0,('Amounts Pivot Table'!P$592/$M481),0)</f>
        <v>0</v>
      </c>
      <c r="C481" s="296">
        <f>IF($M481&gt;0,('Amounts Pivot Table'!P$595/$M481),0)</f>
        <v>0</v>
      </c>
      <c r="D481" s="296">
        <f>IF($M481&gt;0,('Amounts Pivot Table'!P$598/$M481),0)</f>
        <v>0</v>
      </c>
      <c r="E481" s="296">
        <f>IF($M481&gt;0,('Amounts Pivot Table'!P$601/$M481),0)</f>
        <v>0</v>
      </c>
      <c r="F481" s="364">
        <f t="shared" si="55"/>
        <v>0</v>
      </c>
      <c r="G481" s="365">
        <f>IF(B481&gt;0,RANK(B481,$B$463:$B$481),)</f>
        <v>0</v>
      </c>
      <c r="H481" s="366">
        <f>IF(C481&gt;0,RANK(C481,$C$463:$C$481),)</f>
        <v>0</v>
      </c>
      <c r="I481" s="366">
        <f>IF(D481&gt;0,RANK(D481,$D$463:$D$481),)</f>
        <v>0</v>
      </c>
      <c r="J481" s="366">
        <f>IF(E481&gt;0,RANK(E481,$E$463:$E$481),)</f>
        <v>0</v>
      </c>
      <c r="K481" s="366">
        <f>IF(F481&gt;0,RANK(F481,$F$463:$F$481),)</f>
        <v>0</v>
      </c>
      <c r="L481" s="356"/>
      <c r="M481" s="448">
        <v>0</v>
      </c>
    </row>
    <row r="482" spans="1:13" s="362" customFormat="1" ht="34.5" customHeight="1">
      <c r="A482" s="1244" t="s">
        <v>926</v>
      </c>
      <c r="B482" s="1270"/>
      <c r="C482" s="1270"/>
      <c r="D482" s="1270"/>
      <c r="E482" s="1270"/>
      <c r="F482" s="1270"/>
      <c r="G482" s="1270"/>
      <c r="H482" s="1270"/>
      <c r="I482" s="1270"/>
      <c r="J482" s="1270"/>
      <c r="K482" s="1270"/>
      <c r="L482" s="363"/>
      <c r="M482" s="412"/>
    </row>
    <row r="483" spans="1:13" s="397" customFormat="1" ht="13.5" customHeight="1">
      <c r="A483" s="1244" t="s">
        <v>927</v>
      </c>
      <c r="B483" s="1270"/>
      <c r="C483" s="1270"/>
      <c r="D483" s="1270"/>
      <c r="E483" s="1270"/>
      <c r="F483" s="1270"/>
      <c r="G483" s="1270"/>
      <c r="H483" s="1270"/>
      <c r="I483" s="1270"/>
      <c r="J483" s="1270"/>
      <c r="K483" s="1270"/>
      <c r="L483" s="347"/>
      <c r="M483" s="464"/>
    </row>
    <row r="484" spans="1:13" ht="13.5" customHeight="1">
      <c r="A484" s="1244" t="s">
        <v>930</v>
      </c>
      <c r="B484" s="1245"/>
      <c r="C484" s="1245"/>
      <c r="D484" s="1245"/>
      <c r="E484" s="1245"/>
      <c r="F484" s="1245"/>
      <c r="G484" s="1245"/>
      <c r="H484" s="1245"/>
      <c r="I484" s="1245"/>
      <c r="J484" s="1245"/>
      <c r="K484" s="1245"/>
      <c r="L484" s="367"/>
      <c r="M484" s="449"/>
    </row>
    <row r="485" spans="1:13">
      <c r="A485" s="368"/>
      <c r="B485" s="369"/>
      <c r="C485" s="369"/>
      <c r="D485" s="369"/>
      <c r="E485" s="369"/>
      <c r="F485" s="369"/>
      <c r="G485" s="369"/>
      <c r="H485" s="369"/>
      <c r="I485" s="369"/>
      <c r="J485" s="369"/>
      <c r="K485" s="370" t="s">
        <v>1814</v>
      </c>
      <c r="L485" s="367"/>
      <c r="M485" s="465"/>
    </row>
    <row r="486" spans="1:13" ht="18.75" customHeight="1">
      <c r="A486" s="336" t="s">
        <v>951</v>
      </c>
      <c r="B486" s="336"/>
      <c r="C486" s="336"/>
      <c r="D486" s="336"/>
      <c r="E486" s="336"/>
      <c r="F486" s="336"/>
      <c r="G486" s="336"/>
      <c r="H486" s="336"/>
      <c r="I486" s="336"/>
      <c r="J486" s="355"/>
      <c r="K486" s="336"/>
      <c r="L486" s="367"/>
      <c r="M486" s="412"/>
    </row>
    <row r="487" spans="1:13" ht="18.75" customHeight="1">
      <c r="A487" s="336"/>
      <c r="B487" s="336"/>
      <c r="C487" s="336"/>
      <c r="D487" s="336"/>
      <c r="E487" s="336"/>
      <c r="F487" s="336"/>
      <c r="G487" s="336"/>
      <c r="H487" s="336"/>
      <c r="I487" s="336"/>
      <c r="J487" s="355"/>
      <c r="K487" s="336"/>
      <c r="L487" s="367"/>
      <c r="M487" s="412"/>
    </row>
    <row r="488" spans="1:13" ht="17.5">
      <c r="A488" s="1228" t="s">
        <v>920</v>
      </c>
      <c r="B488" s="1228"/>
      <c r="C488" s="1228"/>
      <c r="D488" s="1228"/>
      <c r="E488" s="1228"/>
      <c r="F488" s="1228"/>
      <c r="G488" s="1228"/>
      <c r="H488" s="1228"/>
      <c r="I488" s="1228"/>
      <c r="J488" s="1228"/>
      <c r="K488" s="1228"/>
      <c r="L488" s="344"/>
      <c r="M488" s="412"/>
    </row>
    <row r="489" spans="1:13" ht="15.75" customHeight="1">
      <c r="A489" s="1228" t="s">
        <v>1764</v>
      </c>
      <c r="B489" s="1228"/>
      <c r="C489" s="1228"/>
      <c r="D489" s="1228"/>
      <c r="E489" s="1228"/>
      <c r="F489" s="1228"/>
      <c r="G489" s="1228"/>
      <c r="H489" s="1228"/>
      <c r="I489" s="1228"/>
      <c r="J489" s="1228"/>
      <c r="K489" s="1228"/>
      <c r="L489" s="344"/>
      <c r="M489" s="476"/>
    </row>
    <row r="490" spans="1:13" ht="9.75" customHeight="1">
      <c r="A490" s="341"/>
      <c r="B490" s="341"/>
      <c r="C490" s="341"/>
      <c r="D490" s="341"/>
      <c r="E490" s="341"/>
      <c r="F490" s="341"/>
      <c r="G490" s="373"/>
      <c r="H490" s="341"/>
      <c r="I490" s="341"/>
      <c r="J490" s="341"/>
      <c r="K490" s="341"/>
      <c r="L490" s="344"/>
      <c r="M490" s="412"/>
    </row>
    <row r="491" spans="1:13" s="399" customFormat="1" ht="15.75" customHeight="1">
      <c r="A491" s="398"/>
      <c r="B491" s="1268" t="s">
        <v>922</v>
      </c>
      <c r="C491" s="1269"/>
      <c r="D491" s="1269"/>
      <c r="E491" s="1269"/>
      <c r="F491" s="1269"/>
      <c r="G491" s="1273" t="s">
        <v>923</v>
      </c>
      <c r="H491" s="1274"/>
      <c r="I491" s="1274"/>
      <c r="J491" s="1274"/>
      <c r="K491" s="1274"/>
      <c r="L491" s="389"/>
      <c r="M491" s="447" t="s">
        <v>1778</v>
      </c>
    </row>
    <row r="492" spans="1:13" s="53" customFormat="1" ht="47.25" customHeight="1">
      <c r="A492" s="243"/>
      <c r="B492" s="420" t="s">
        <v>6</v>
      </c>
      <c r="C492" s="421" t="s">
        <v>7</v>
      </c>
      <c r="D492" s="421" t="s">
        <v>8</v>
      </c>
      <c r="E492" s="421" t="s">
        <v>960</v>
      </c>
      <c r="F492" s="421" t="s">
        <v>768</v>
      </c>
      <c r="G492" s="422" t="s">
        <v>6</v>
      </c>
      <c r="H492" s="421" t="s">
        <v>7</v>
      </c>
      <c r="I492" s="421" t="s">
        <v>8</v>
      </c>
      <c r="J492" s="421" t="s">
        <v>960</v>
      </c>
      <c r="K492" s="421" t="s">
        <v>768</v>
      </c>
      <c r="L492" s="350"/>
      <c r="M492" s="412" t="s">
        <v>932</v>
      </c>
    </row>
    <row r="493" spans="1:13" ht="16.5" customHeight="1">
      <c r="A493" s="77" t="s">
        <v>925</v>
      </c>
      <c r="B493" s="352">
        <f>IF($M493&gt;0,('Amounts Pivot Table'!Q$631/$M493),0)</f>
        <v>5461.6695951118336</v>
      </c>
      <c r="C493" s="352">
        <f>IF($M493&gt;0,('Amounts Pivot Table'!Q$634/$M493),0)</f>
        <v>0</v>
      </c>
      <c r="D493" s="352">
        <f>IF($M493&gt;0,('Amounts Pivot Table'!Q$637/$M493),0)</f>
        <v>0</v>
      </c>
      <c r="E493" s="352">
        <f>IF($M493&gt;0,('Amounts Pivot Table'!Q$640/$M493),0)</f>
        <v>2187.0021520070491</v>
      </c>
      <c r="F493" s="352">
        <f>SUM(B493:E493)</f>
        <v>7648.6717471188822</v>
      </c>
      <c r="G493" s="353"/>
      <c r="H493" s="354"/>
      <c r="I493" s="354"/>
      <c r="J493" s="354"/>
      <c r="K493" s="354"/>
      <c r="L493" s="356"/>
      <c r="M493" s="448">
        <v>32744.78122222222</v>
      </c>
    </row>
    <row r="494" spans="1:13" s="376" customFormat="1">
      <c r="B494" s="377"/>
      <c r="C494" s="377"/>
      <c r="D494" s="377"/>
      <c r="E494" s="377"/>
      <c r="F494" s="377"/>
      <c r="G494" s="378"/>
      <c r="H494" s="379"/>
      <c r="I494" s="379"/>
      <c r="J494" s="379"/>
      <c r="K494" s="379"/>
      <c r="L494" s="381"/>
      <c r="M494" s="448" t="s">
        <v>421</v>
      </c>
    </row>
    <row r="495" spans="1:13" ht="12.75" customHeight="1">
      <c r="A495" s="77" t="s">
        <v>777</v>
      </c>
      <c r="B495" s="288">
        <f>IF($M495&gt;0,('Amounts Pivot Table'!Q$7/$M495),0)</f>
        <v>14734.233148636291</v>
      </c>
      <c r="C495" s="288">
        <f>IF($M495&gt;0,('Amounts Pivot Table'!Q$10/$M495),0)</f>
        <v>0</v>
      </c>
      <c r="D495" s="288">
        <f>IF($M495&gt;0,('Amounts Pivot Table'!Q$13/$M495),0)</f>
        <v>0</v>
      </c>
      <c r="E495" s="288">
        <f>IF($M495&gt;0,('Amounts Pivot Table'!Q$16/$M495),0)</f>
        <v>6309.7218785303139</v>
      </c>
      <c r="F495" s="288">
        <f t="shared" ref="F495:F513" si="56">SUM(B495:E495)</f>
        <v>21043.955027166605</v>
      </c>
      <c r="G495" s="359">
        <f>IF(B495&gt;0,RANK(B495,$B$495:$B$513),)</f>
        <v>1</v>
      </c>
      <c r="H495" s="289">
        <f>IF(C495&gt;0,RANK(C495,$C$495:$C$513),)</f>
        <v>0</v>
      </c>
      <c r="I495" s="289">
        <f>IF(D495&gt;0,RANK(D495,$D$495:$D$513),)</f>
        <v>0</v>
      </c>
      <c r="J495" s="289">
        <f>IF(E495&gt;0,RANK(E495,$E$495:$E$513),)</f>
        <v>1</v>
      </c>
      <c r="K495" s="289">
        <f>IF(F495&gt;0,RANK(F495,$F$495:$F$513),)</f>
        <v>1</v>
      </c>
      <c r="L495" s="356"/>
      <c r="M495" s="448">
        <v>1239.2666666666667</v>
      </c>
    </row>
    <row r="496" spans="1:13" ht="12.75" customHeight="1">
      <c r="A496" s="77" t="s">
        <v>778</v>
      </c>
      <c r="B496" s="288">
        <f>IF($M496&gt;0,('Amounts Pivot Table'!Q$46/$M496),0)</f>
        <v>0</v>
      </c>
      <c r="C496" s="288">
        <f>IF($M496&gt;0,('Amounts Pivot Table'!Q$49/$M496),0)</f>
        <v>0</v>
      </c>
      <c r="D496" s="288">
        <f>IF($M496&gt;0,('Amounts Pivot Table'!Q$52/$M496),0)</f>
        <v>0</v>
      </c>
      <c r="E496" s="288">
        <f>IF($M496&gt;0,('Amounts Pivot Table'!Q$55/$M496),0)</f>
        <v>0</v>
      </c>
      <c r="F496" s="288">
        <f t="shared" si="56"/>
        <v>0</v>
      </c>
      <c r="G496" s="359">
        <f>IF(B496&gt;0,RANK(B496,$B$495:$B$513),)</f>
        <v>0</v>
      </c>
      <c r="H496" s="289">
        <f>IF(C496&gt;0,RANK(C496,$C$495:$C$513),)</f>
        <v>0</v>
      </c>
      <c r="I496" s="289">
        <f>IF(D496&gt;0,RANK(D496,$D$495:$D$513),)</f>
        <v>0</v>
      </c>
      <c r="J496" s="289">
        <f>IF(E496&gt;0,RANK(E496,$E$495:$E$513),)</f>
        <v>0</v>
      </c>
      <c r="K496" s="289">
        <f>IF(F496&gt;0,RANK(F496,$F$495:$F$513),)</f>
        <v>0</v>
      </c>
      <c r="L496" s="356"/>
      <c r="M496" s="448">
        <v>0</v>
      </c>
    </row>
    <row r="497" spans="1:13" ht="12.75" customHeight="1">
      <c r="A497" s="77" t="s">
        <v>779</v>
      </c>
      <c r="B497" s="288">
        <f>IF($M497&gt;0,('Amounts Pivot Table'!Q$85/$M497),0)</f>
        <v>0</v>
      </c>
      <c r="C497" s="288">
        <f>IF($M497&gt;0,('Amounts Pivot Table'!Q$88/$M497),0)</f>
        <v>0</v>
      </c>
      <c r="D497" s="288">
        <f>IF($M497&gt;0,('Amounts Pivot Table'!Q$91/$M497),0)</f>
        <v>0</v>
      </c>
      <c r="E497" s="288">
        <f>IF($M497&gt;0,('Amounts Pivot Table'!Q$94/$M497),0)</f>
        <v>0</v>
      </c>
      <c r="F497" s="288">
        <f t="shared" si="56"/>
        <v>0</v>
      </c>
      <c r="G497" s="359">
        <f>IF(B497&gt;0,RANK(B497,$B$495:$B$513),)</f>
        <v>0</v>
      </c>
      <c r="H497" s="289">
        <f>IF(C497&gt;0,RANK(C497,$C$495:$C$513),)</f>
        <v>0</v>
      </c>
      <c r="I497" s="289">
        <f>IF(D497&gt;0,RANK(D497,$D$495:$D$513),)</f>
        <v>0</v>
      </c>
      <c r="J497" s="289">
        <f>IF(E497&gt;0,RANK(E497,$E$495:$E$513),)</f>
        <v>0</v>
      </c>
      <c r="K497" s="289">
        <f>IF(F497&gt;0,RANK(F497,$F$495:$F$513),)</f>
        <v>0</v>
      </c>
      <c r="L497" s="356"/>
      <c r="M497" s="448">
        <v>0</v>
      </c>
    </row>
    <row r="498" spans="1:13" ht="12.75" customHeight="1">
      <c r="A498" s="77" t="s">
        <v>780</v>
      </c>
      <c r="B498" s="288">
        <f>IF($M498&gt;0,('Amounts Pivot Table'!Q$124/$M498),0)</f>
        <v>0</v>
      </c>
      <c r="C498" s="288">
        <f>IF($M498&gt;0,('Amounts Pivot Table'!Q$127/$M498),0)</f>
        <v>0</v>
      </c>
      <c r="D498" s="288">
        <f>IF($M498&gt;0,('Amounts Pivot Table'!Q$130/$M498),0)</f>
        <v>0</v>
      </c>
      <c r="E498" s="288">
        <f>IF($M498&gt;0,('Amounts Pivot Table'!Q$133/$M498),0)</f>
        <v>0</v>
      </c>
      <c r="F498" s="288">
        <f t="shared" si="56"/>
        <v>0</v>
      </c>
      <c r="G498" s="359">
        <f>IF(B498&gt;0,RANK(B498,$B$495:$B$513),)</f>
        <v>0</v>
      </c>
      <c r="H498" s="289">
        <f>IF(C498&gt;0,RANK(C498,$C$495:$C$513),)</f>
        <v>0</v>
      </c>
      <c r="I498" s="289">
        <f>IF(D498&gt;0,RANK(D498,$D$495:$D$513),)</f>
        <v>0</v>
      </c>
      <c r="J498" s="289">
        <f>IF(E498&gt;0,RANK(E498,$E$495:$E$513),)</f>
        <v>0</v>
      </c>
      <c r="K498" s="289">
        <f>IF(F498&gt;0,RANK(F498,$F$495:$F$513),)</f>
        <v>0</v>
      </c>
      <c r="L498" s="356"/>
      <c r="M498" s="448">
        <v>0</v>
      </c>
    </row>
    <row r="499" spans="1:13" s="376" customFormat="1">
      <c r="B499" s="380"/>
      <c r="C499" s="380"/>
      <c r="D499" s="380"/>
      <c r="E499" s="380"/>
      <c r="F499" s="380"/>
      <c r="G499" s="387"/>
      <c r="H499" s="388"/>
      <c r="I499" s="388"/>
      <c r="J499" s="388"/>
      <c r="K499" s="388"/>
      <c r="L499" s="381"/>
      <c r="M499" s="448"/>
    </row>
    <row r="500" spans="1:13" ht="12.75" customHeight="1">
      <c r="A500" s="77" t="s">
        <v>781</v>
      </c>
      <c r="B500" s="288">
        <f>IF($M500&gt;0,('Amounts Pivot Table'!Q$163/$M500),0)</f>
        <v>0</v>
      </c>
      <c r="C500" s="288">
        <f>IF($M500&gt;0,('Amounts Pivot Table'!Q$166/$M500),0)</f>
        <v>0</v>
      </c>
      <c r="D500" s="288">
        <f>IF($M500&gt;0,('Amounts Pivot Table'!Q$169/$M500),0)</f>
        <v>0</v>
      </c>
      <c r="E500" s="288">
        <f>IF($M500&gt;0,('Amounts Pivot Table'!Q$172/$M500),0)</f>
        <v>0</v>
      </c>
      <c r="F500" s="288">
        <f t="shared" si="56"/>
        <v>0</v>
      </c>
      <c r="G500" s="359">
        <f>IF(B500&gt;0,RANK(B500,$B$495:$B$513),)</f>
        <v>0</v>
      </c>
      <c r="H500" s="289">
        <f>IF(C500&gt;0,RANK(C500,$C$495:$C$513),)</f>
        <v>0</v>
      </c>
      <c r="I500" s="289">
        <f>IF(D500&gt;0,RANK(D500,$D$495:$D$513),)</f>
        <v>0</v>
      </c>
      <c r="J500" s="289">
        <f>IF(E500&gt;0,RANK(E500,$E$495:$E$513),)</f>
        <v>0</v>
      </c>
      <c r="K500" s="289">
        <f>IF(F500&gt;0,RANK(F500,$F$495:$F$513),)</f>
        <v>0</v>
      </c>
      <c r="L500" s="356"/>
      <c r="M500" s="448">
        <v>0</v>
      </c>
    </row>
    <row r="501" spans="1:13" ht="12.75" customHeight="1">
      <c r="A501" s="77" t="s">
        <v>782</v>
      </c>
      <c r="B501" s="288">
        <f>IF($M501&gt;0,('Amounts Pivot Table'!Q$202/$M501),0)</f>
        <v>0</v>
      </c>
      <c r="C501" s="288">
        <f>IF($M501&gt;0,('Amounts Pivot Table'!Q$205/$M501),0)</f>
        <v>0</v>
      </c>
      <c r="D501" s="288">
        <f>IF($M501&gt;0,('Amounts Pivot Table'!Q$208/$M501),0)</f>
        <v>0</v>
      </c>
      <c r="E501" s="288">
        <f>IF($M501&gt;0,('Amounts Pivot Table'!Q$211/$M501),0)</f>
        <v>0</v>
      </c>
      <c r="F501" s="288">
        <f t="shared" si="56"/>
        <v>0</v>
      </c>
      <c r="G501" s="359">
        <f>IF(B501&gt;0,RANK(B501,$B$495:$B$513),)</f>
        <v>0</v>
      </c>
      <c r="H501" s="289">
        <f>IF(C501&gt;0,RANK(C501,$C$495:$C$513),)</f>
        <v>0</v>
      </c>
      <c r="I501" s="289">
        <f>IF(D501&gt;0,RANK(D501,$D$495:$D$513),)</f>
        <v>0</v>
      </c>
      <c r="J501" s="289">
        <f>IF(E501&gt;0,RANK(E501,$E$495:$E$513),)</f>
        <v>0</v>
      </c>
      <c r="K501" s="289">
        <f>IF(F501&gt;0,RANK(F501,$F$495:$F$513),)</f>
        <v>0</v>
      </c>
      <c r="L501" s="356"/>
      <c r="M501" s="448">
        <v>0</v>
      </c>
    </row>
    <row r="502" spans="1:13" ht="12.75" customHeight="1">
      <c r="A502" s="77" t="s">
        <v>813</v>
      </c>
      <c r="B502" s="288">
        <f>IF($M502&gt;0,('Amounts Pivot Table'!Q$241/$M502),0)</f>
        <v>4617.6720851772334</v>
      </c>
      <c r="C502" s="288">
        <f>IF($M502&gt;0,('Amounts Pivot Table'!Q$244/$M502),0)</f>
        <v>0</v>
      </c>
      <c r="D502" s="288">
        <f>IF($M502&gt;0,('Amounts Pivot Table'!Q$247/$M502),0)</f>
        <v>0</v>
      </c>
      <c r="E502" s="288">
        <f>IF($M502&gt;0,('Amounts Pivot Table'!Q$250/$M502),0)</f>
        <v>3671.2964991455988</v>
      </c>
      <c r="F502" s="288">
        <f t="shared" si="56"/>
        <v>8288.9685843228326</v>
      </c>
      <c r="G502" s="359">
        <f>IF(B502&gt;0,RANK(B502,$B$495:$B$513),)</f>
        <v>3</v>
      </c>
      <c r="H502" s="289">
        <f>IF(C502&gt;0,RANK(C502,$C$495:$C$513),)</f>
        <v>0</v>
      </c>
      <c r="I502" s="289">
        <f>IF(D502&gt;0,RANK(D502,$D$495:$D$513),)</f>
        <v>0</v>
      </c>
      <c r="J502" s="289">
        <f>IF(E502&gt;0,RANK(E502,$E$495:$E$513),)</f>
        <v>2</v>
      </c>
      <c r="K502" s="289">
        <f>IF(F502&gt;0,RANK(F502,$F$495:$F$513),)</f>
        <v>3</v>
      </c>
      <c r="L502" s="356"/>
      <c r="M502" s="448">
        <v>760.76666666666665</v>
      </c>
    </row>
    <row r="503" spans="1:13" ht="12.75" customHeight="1">
      <c r="A503" s="77" t="s">
        <v>784</v>
      </c>
      <c r="B503" s="288">
        <f>IF($M503&gt;0,('Amounts Pivot Table'!Q$280/$M503),0)</f>
        <v>0</v>
      </c>
      <c r="C503" s="288">
        <f>IF($M503&gt;0,('Amounts Pivot Table'!Q$283/$M503),0)</f>
        <v>0</v>
      </c>
      <c r="D503" s="288">
        <f>IF($M503&gt;0,('Amounts Pivot Table'!Q$286/$M503),0)</f>
        <v>0</v>
      </c>
      <c r="E503" s="288">
        <f>IF($M503&gt;0,('Amounts Pivot Table'!Q$289/$M503),0)</f>
        <v>0</v>
      </c>
      <c r="F503" s="288">
        <f t="shared" si="56"/>
        <v>0</v>
      </c>
      <c r="G503" s="359">
        <f>IF(B503&gt;0,RANK(B503,$B$495:$B$513),)</f>
        <v>0</v>
      </c>
      <c r="H503" s="289">
        <f>IF(C503&gt;0,RANK(C503,$C$495:$C$513),)</f>
        <v>0</v>
      </c>
      <c r="I503" s="289">
        <f>IF(D503&gt;0,RANK(D503,$D$495:$D$513),)</f>
        <v>0</v>
      </c>
      <c r="J503" s="289">
        <f>IF(E503&gt;0,RANK(E503,$E$495:$E$513),)</f>
        <v>0</v>
      </c>
      <c r="K503" s="289">
        <f>IF(F503&gt;0,RANK(F503,$F$495:$F$513),)</f>
        <v>0</v>
      </c>
      <c r="L503" s="356"/>
      <c r="M503" s="448">
        <v>0</v>
      </c>
    </row>
    <row r="504" spans="1:13" s="376" customFormat="1">
      <c r="B504" s="380"/>
      <c r="C504" s="380"/>
      <c r="D504" s="380"/>
      <c r="E504" s="380"/>
      <c r="F504" s="380"/>
      <c r="G504" s="387"/>
      <c r="H504" s="388"/>
      <c r="I504" s="388"/>
      <c r="J504" s="388"/>
      <c r="K504" s="388"/>
      <c r="L504" s="381"/>
      <c r="M504" s="448"/>
    </row>
    <row r="505" spans="1:13" ht="12.75" customHeight="1">
      <c r="A505" s="77" t="s">
        <v>785</v>
      </c>
      <c r="B505" s="288">
        <f>IF($M505&gt;0,('Amounts Pivot Table'!Q$319/$M505),0)</f>
        <v>0</v>
      </c>
      <c r="C505" s="288">
        <f>IF($M505&gt;0,('Amounts Pivot Table'!Q$322/$M505),0)</f>
        <v>0</v>
      </c>
      <c r="D505" s="288">
        <f>IF($M505&gt;0,('Amounts Pivot Table'!Q$325/$M505),0)</f>
        <v>0</v>
      </c>
      <c r="E505" s="288">
        <f>IF($M505&gt;0,('Amounts Pivot Table'!Q$328/$M505),0)</f>
        <v>0</v>
      </c>
      <c r="F505" s="288">
        <f t="shared" si="56"/>
        <v>0</v>
      </c>
      <c r="G505" s="359">
        <f>IF(B505&gt;0,RANK(B505,$B$495:$B$513),)</f>
        <v>0</v>
      </c>
      <c r="H505" s="289">
        <f>IF(C505&gt;0,RANK(C505,$C$495:$C$513),)</f>
        <v>0</v>
      </c>
      <c r="I505" s="289">
        <f>IF(D505&gt;0,RANK(D505,$D$495:$D$513),)</f>
        <v>0</v>
      </c>
      <c r="J505" s="289">
        <f>IF(E505&gt;0,RANK(E505,$E$495:$E$513),)</f>
        <v>0</v>
      </c>
      <c r="K505" s="289">
        <f>IF(F505&gt;0,RANK(F505,$F$495:$F$513),)</f>
        <v>0</v>
      </c>
      <c r="L505" s="356"/>
      <c r="M505" s="448">
        <v>0</v>
      </c>
    </row>
    <row r="506" spans="1:13" ht="12.75" customHeight="1">
      <c r="A506" s="77" t="s">
        <v>786</v>
      </c>
      <c r="B506" s="288">
        <f>IF($M506&gt;0,('Amounts Pivot Table'!Q$358/$M506),0)</f>
        <v>0</v>
      </c>
      <c r="C506" s="288">
        <f>IF($M506&gt;0,('Amounts Pivot Table'!Q$361/$M506),0)</f>
        <v>0</v>
      </c>
      <c r="D506" s="288">
        <f>IF($M506&gt;0,('Amounts Pivot Table'!Q$364/$M506),0)</f>
        <v>0</v>
      </c>
      <c r="E506" s="288">
        <f>IF($M506&gt;0,('Amounts Pivot Table'!Q$367/$M506),0)</f>
        <v>0</v>
      </c>
      <c r="F506" s="288">
        <f t="shared" si="56"/>
        <v>0</v>
      </c>
      <c r="G506" s="359">
        <f>IF(B506&gt;0,RANK(B506,$B$495:$B$513),)</f>
        <v>0</v>
      </c>
      <c r="H506" s="289">
        <f>IF(C506&gt;0,RANK(C506,$C$495:$C$513),)</f>
        <v>0</v>
      </c>
      <c r="I506" s="289">
        <f>IF(D506&gt;0,RANK(D506,$D$495:$D$513),)</f>
        <v>0</v>
      </c>
      <c r="J506" s="289">
        <f>IF(E506&gt;0,RANK(E506,$E$495:$E$513),)</f>
        <v>0</v>
      </c>
      <c r="K506" s="289">
        <f>IF(F506&gt;0,RANK(F506,$F$495:$F$513),)</f>
        <v>0</v>
      </c>
      <c r="L506" s="356"/>
      <c r="M506" s="448">
        <v>0</v>
      </c>
    </row>
    <row r="507" spans="1:13" ht="12.75" customHeight="1">
      <c r="A507" s="77" t="s">
        <v>787</v>
      </c>
      <c r="B507" s="288">
        <f>IF($M507&gt;0,('Amounts Pivot Table'!Q$397/$M507),0)</f>
        <v>4447.3500678678492</v>
      </c>
      <c r="C507" s="288">
        <f>IF($M507&gt;0,('Amounts Pivot Table'!Q$400/$M507),0)</f>
        <v>0</v>
      </c>
      <c r="D507" s="288">
        <f>IF($M507&gt;0,('Amounts Pivot Table'!Q$403/$M507),0)</f>
        <v>0</v>
      </c>
      <c r="E507" s="288">
        <f>IF($M507&gt;0,('Amounts Pivot Table'!Q$406/$M507),0)</f>
        <v>1176.9916868717078</v>
      </c>
      <c r="F507" s="288">
        <f t="shared" si="56"/>
        <v>5624.3417547395566</v>
      </c>
      <c r="G507" s="359">
        <f>IF(B507&gt;0,RANK(B507,$B$495:$B$513),)</f>
        <v>4</v>
      </c>
      <c r="H507" s="289">
        <f>IF(C507&gt;0,RANK(C507,$C$495:$C$513),)</f>
        <v>0</v>
      </c>
      <c r="I507" s="289">
        <f>IF(D507&gt;0,RANK(D507,$D$495:$D$513),)</f>
        <v>0</v>
      </c>
      <c r="J507" s="289">
        <f>IF(E507&gt;0,RANK(E507,$E$495:$E$513),)</f>
        <v>4</v>
      </c>
      <c r="K507" s="289">
        <f>IF(F507&gt;0,RANK(F507,$F$495:$F$513),)</f>
        <v>4</v>
      </c>
      <c r="L507" s="356"/>
      <c r="M507" s="448">
        <v>18113.878999999997</v>
      </c>
    </row>
    <row r="508" spans="1:13" ht="12.75" customHeight="1">
      <c r="A508" s="77" t="s">
        <v>788</v>
      </c>
      <c r="B508" s="288">
        <f>IF($M508&gt;0,('Amounts Pivot Table'!Q$436/$M508),0)</f>
        <v>0</v>
      </c>
      <c r="C508" s="288">
        <f>IF($M508&gt;0,('Amounts Pivot Table'!Q$439/$M508),0)</f>
        <v>0</v>
      </c>
      <c r="D508" s="288">
        <f>IF($M508&gt;0,('Amounts Pivot Table'!Q$442/$M508),0)</f>
        <v>0</v>
      </c>
      <c r="E508" s="288">
        <f>IF($M508&gt;0,('Amounts Pivot Table'!Q$445/$M508),0)</f>
        <v>0</v>
      </c>
      <c r="F508" s="288">
        <f t="shared" si="56"/>
        <v>0</v>
      </c>
      <c r="G508" s="359">
        <f>IF(B508&gt;0,RANK(B508,$B$495:$B$513),)</f>
        <v>0</v>
      </c>
      <c r="H508" s="289">
        <f>IF(C508&gt;0,RANK(C508,$C$495:$C$513),)</f>
        <v>0</v>
      </c>
      <c r="I508" s="289">
        <f>IF(D508&gt;0,RANK(D508,$D$495:$D$513),)</f>
        <v>0</v>
      </c>
      <c r="J508" s="289">
        <f>IF(E508&gt;0,RANK(E508,$E$495:$E$513),)</f>
        <v>0</v>
      </c>
      <c r="K508" s="289">
        <f>IF(F508&gt;0,RANK(F508,$F$495:$F$513),)</f>
        <v>0</v>
      </c>
      <c r="L508" s="356"/>
      <c r="M508" s="448">
        <v>0</v>
      </c>
    </row>
    <row r="509" spans="1:13" s="376" customFormat="1">
      <c r="B509" s="380"/>
      <c r="C509" s="380"/>
      <c r="D509" s="380"/>
      <c r="E509" s="380"/>
      <c r="F509" s="380"/>
      <c r="G509" s="387"/>
      <c r="H509" s="388"/>
      <c r="I509" s="388"/>
      <c r="J509" s="388"/>
      <c r="K509" s="388"/>
      <c r="L509" s="381"/>
      <c r="M509" s="448"/>
    </row>
    <row r="510" spans="1:13" ht="12.75" customHeight="1">
      <c r="A510" s="77" t="s">
        <v>789</v>
      </c>
      <c r="B510" s="288">
        <f>IF($M510&gt;0,('Amounts Pivot Table'!Q$475/$M510),0)</f>
        <v>6057.3663358428239</v>
      </c>
      <c r="C510" s="288">
        <f>IF($M510&gt;0,('Amounts Pivot Table'!Q$478/$M510),0)</f>
        <v>0</v>
      </c>
      <c r="D510" s="288">
        <f>IF($M510&gt;0,('Amounts Pivot Table'!Q$481/$M510),0)</f>
        <v>0</v>
      </c>
      <c r="E510" s="288">
        <f>IF($M510&gt;0,('Amounts Pivot Table'!Q$484/$M510),0)</f>
        <v>3141.5569545580661</v>
      </c>
      <c r="F510" s="288">
        <f t="shared" si="56"/>
        <v>9198.9232904008895</v>
      </c>
      <c r="G510" s="359">
        <f>IF(B510&gt;0,RANK(B510,$B$495:$B$513),)</f>
        <v>2</v>
      </c>
      <c r="H510" s="289">
        <f>IF(C510&gt;0,RANK(C510,$C$495:$C$513),)</f>
        <v>0</v>
      </c>
      <c r="I510" s="289">
        <f>IF(D510&gt;0,RANK(D510,$D$495:$D$513),)</f>
        <v>0</v>
      </c>
      <c r="J510" s="289">
        <f>IF(E510&gt;0,RANK(E510,$E$495:$E$513),)</f>
        <v>3</v>
      </c>
      <c r="K510" s="289">
        <f>IF(F510&gt;0,RANK(F510,$F$495:$F$513),)</f>
        <v>2</v>
      </c>
      <c r="L510" s="356"/>
      <c r="M510" s="448">
        <v>12630.868888888888</v>
      </c>
    </row>
    <row r="511" spans="1:13" ht="12.75" customHeight="1">
      <c r="A511" s="77" t="s">
        <v>790</v>
      </c>
      <c r="B511" s="288">
        <f>IF($M511&gt;0,('Amounts Pivot Table'!Q$514/$M511),0)</f>
        <v>0</v>
      </c>
      <c r="C511" s="288">
        <f>IF($M511&gt;0,('Amounts Pivot Table'!Q$517/$M511),0)</f>
        <v>0</v>
      </c>
      <c r="D511" s="288">
        <f>IF($M511&gt;0,('Amounts Pivot Table'!Q$520/$M511),0)</f>
        <v>0</v>
      </c>
      <c r="E511" s="288">
        <f>IF($M511&gt;0,('Amounts Pivot Table'!Q$523/$M511),0)</f>
        <v>0</v>
      </c>
      <c r="F511" s="288">
        <f t="shared" si="56"/>
        <v>0</v>
      </c>
      <c r="G511" s="359">
        <f>IF(B511&gt;0,RANK(B511,$B$495:$B$513),)</f>
        <v>0</v>
      </c>
      <c r="H511" s="289">
        <f>IF(C511&gt;0,RANK(C511,$C$495:$C$513),)</f>
        <v>0</v>
      </c>
      <c r="I511" s="289">
        <f>IF(D511&gt;0,RANK(D511,$D$495:$D$513),)</f>
        <v>0</v>
      </c>
      <c r="J511" s="289">
        <f>IF(E511&gt;0,RANK(E511,$E$495:$E$513),)</f>
        <v>0</v>
      </c>
      <c r="K511" s="289">
        <f>IF(F511&gt;0,RANK(F511,$F$495:$F$513),)</f>
        <v>0</v>
      </c>
      <c r="L511" s="356"/>
      <c r="M511" s="448">
        <v>0</v>
      </c>
    </row>
    <row r="512" spans="1:13" ht="12.75" customHeight="1">
      <c r="A512" s="77" t="s">
        <v>791</v>
      </c>
      <c r="B512" s="288">
        <f>IF($M512&gt;0,('Amounts Pivot Table'!Q$553/$M512),0)</f>
        <v>0</v>
      </c>
      <c r="C512" s="288">
        <f>IF($M512&gt;0,('Amounts Pivot Table'!Q$556/$M512),0)</f>
        <v>0</v>
      </c>
      <c r="D512" s="288">
        <f>IF($M512&gt;0,('Amounts Pivot Table'!Q$559/$M512),0)</f>
        <v>0</v>
      </c>
      <c r="E512" s="288">
        <f>IF($M512&gt;0,('Amounts Pivot Table'!Q$562/$M512),0)</f>
        <v>0</v>
      </c>
      <c r="F512" s="288">
        <f t="shared" si="56"/>
        <v>0</v>
      </c>
      <c r="G512" s="359">
        <f>IF(B512&gt;0,RANK(B512,$B$495:$B$513),)</f>
        <v>0</v>
      </c>
      <c r="H512" s="289">
        <f>IF(C512&gt;0,RANK(C512,$C$495:$C$513),)</f>
        <v>0</v>
      </c>
      <c r="I512" s="289">
        <f>IF(D512&gt;0,RANK(D512,$D$495:$D$513),)</f>
        <v>0</v>
      </c>
      <c r="J512" s="289">
        <f>IF(E512&gt;0,RANK(E512,$E$495:$E$513),)</f>
        <v>0</v>
      </c>
      <c r="K512" s="289">
        <f>IF(F512&gt;0,RANK(F512,$F$495:$F$513),)</f>
        <v>0</v>
      </c>
      <c r="L512" s="356"/>
      <c r="M512" s="448">
        <v>0</v>
      </c>
    </row>
    <row r="513" spans="1:13" ht="12.75" customHeight="1">
      <c r="A513" s="277" t="s">
        <v>792</v>
      </c>
      <c r="B513" s="296">
        <f>IF($M513&gt;0,('Amounts Pivot Table'!Q$592/$M513),0)</f>
        <v>0</v>
      </c>
      <c r="C513" s="296">
        <f>IF($M513&gt;0,('Amounts Pivot Table'!Q$595/$M513),0)</f>
        <v>0</v>
      </c>
      <c r="D513" s="296">
        <f>IF($M513&gt;0,('Amounts Pivot Table'!Q$598/$M513),0)</f>
        <v>0</v>
      </c>
      <c r="E513" s="296">
        <f>IF($M513&gt;0,('Amounts Pivot Table'!Q$601/$M513),0)</f>
        <v>0</v>
      </c>
      <c r="F513" s="296">
        <f t="shared" si="56"/>
        <v>0</v>
      </c>
      <c r="G513" s="365">
        <f>IF(B513&gt;0,RANK(B513,$B$495:$B$513),)</f>
        <v>0</v>
      </c>
      <c r="H513" s="366">
        <f>IF(C513&gt;0,RANK(C513,$C$495:$C$513),)</f>
        <v>0</v>
      </c>
      <c r="I513" s="366">
        <f>IF(D513&gt;0,RANK(D513,$D$495:$D$513),)</f>
        <v>0</v>
      </c>
      <c r="J513" s="366">
        <f>IF(E513&gt;0,RANK(E513,$E$495:$E$513),)</f>
        <v>0</v>
      </c>
      <c r="K513" s="366">
        <f>IF(F513&gt;0,RANK(F513,$F$495:$F$513),)</f>
        <v>0</v>
      </c>
      <c r="L513" s="356"/>
      <c r="M513" s="448">
        <v>0</v>
      </c>
    </row>
    <row r="514" spans="1:13" s="362" customFormat="1" ht="34.5" customHeight="1">
      <c r="A514" s="1244" t="s">
        <v>926</v>
      </c>
      <c r="B514" s="1270"/>
      <c r="C514" s="1270"/>
      <c r="D514" s="1270"/>
      <c r="E514" s="1270"/>
      <c r="F514" s="1270"/>
      <c r="G514" s="1270"/>
      <c r="H514" s="1270"/>
      <c r="I514" s="1270"/>
      <c r="J514" s="1270"/>
      <c r="K514" s="1270"/>
      <c r="L514" s="363"/>
      <c r="M514" s="412"/>
    </row>
    <row r="515" spans="1:13" s="397" customFormat="1" ht="13.5" customHeight="1">
      <c r="A515" s="1244" t="s">
        <v>927</v>
      </c>
      <c r="B515" s="1270"/>
      <c r="C515" s="1270"/>
      <c r="D515" s="1270"/>
      <c r="E515" s="1270"/>
      <c r="F515" s="1270"/>
      <c r="G515" s="1270"/>
      <c r="H515" s="1270"/>
      <c r="I515" s="1270"/>
      <c r="J515" s="1270"/>
      <c r="K515" s="1270"/>
      <c r="L515" s="347"/>
      <c r="M515" s="464"/>
    </row>
    <row r="516" spans="1:13" ht="13.5" customHeight="1">
      <c r="A516" s="1244" t="s">
        <v>930</v>
      </c>
      <c r="B516" s="1245"/>
      <c r="C516" s="1245"/>
      <c r="D516" s="1245"/>
      <c r="E516" s="1245"/>
      <c r="F516" s="1245"/>
      <c r="G516" s="1245"/>
      <c r="H516" s="1245"/>
      <c r="I516" s="1245"/>
      <c r="J516" s="1245"/>
      <c r="K516" s="1245"/>
      <c r="L516" s="367"/>
      <c r="M516" s="449"/>
    </row>
    <row r="517" spans="1:13">
      <c r="A517" s="368"/>
      <c r="B517" s="369"/>
      <c r="C517" s="369"/>
      <c r="D517" s="369"/>
      <c r="E517" s="369"/>
      <c r="F517" s="369"/>
      <c r="G517" s="369"/>
      <c r="H517" s="369"/>
      <c r="I517" s="369"/>
      <c r="J517" s="369"/>
      <c r="K517" s="370" t="s">
        <v>1814</v>
      </c>
      <c r="L517" s="367"/>
      <c r="M517" s="465"/>
    </row>
    <row r="518" spans="1:13" ht="18.75" customHeight="1">
      <c r="A518" s="336" t="s">
        <v>970</v>
      </c>
      <c r="B518" s="336"/>
      <c r="C518" s="336"/>
      <c r="D518" s="336"/>
      <c r="E518" s="336"/>
      <c r="F518" s="336"/>
      <c r="G518" s="336"/>
      <c r="H518" s="336"/>
      <c r="I518" s="336"/>
      <c r="J518" s="355"/>
      <c r="K518" s="336"/>
      <c r="L518" s="367"/>
      <c r="M518" s="412"/>
    </row>
    <row r="519" spans="1:13" ht="16.5" customHeight="1">
      <c r="A519" s="336"/>
      <c r="B519" s="336"/>
      <c r="C519" s="336"/>
      <c r="D519" s="336"/>
      <c r="E519" s="336"/>
      <c r="F519" s="336"/>
      <c r="G519" s="336"/>
      <c r="H519" s="336"/>
      <c r="I519" s="336"/>
      <c r="J519" s="355"/>
      <c r="K519" s="336"/>
      <c r="L519" s="367"/>
      <c r="M519" s="412"/>
    </row>
    <row r="520" spans="1:13" ht="17.5">
      <c r="A520" s="1228" t="s">
        <v>920</v>
      </c>
      <c r="B520" s="1228"/>
      <c r="C520" s="1228"/>
      <c r="D520" s="1228"/>
      <c r="E520" s="1228"/>
      <c r="F520" s="1228"/>
      <c r="G520" s="1228"/>
      <c r="H520" s="1228"/>
      <c r="I520" s="1228"/>
      <c r="J520" s="1228"/>
      <c r="K520" s="1228"/>
      <c r="L520" s="344"/>
      <c r="M520" s="412"/>
    </row>
    <row r="521" spans="1:13" ht="15.75" customHeight="1">
      <c r="A521" s="1228" t="s">
        <v>971</v>
      </c>
      <c r="B521" s="1228"/>
      <c r="C521" s="1228"/>
      <c r="D521" s="1228"/>
      <c r="E521" s="1228"/>
      <c r="F521" s="1228"/>
      <c r="G521" s="1228"/>
      <c r="H521" s="1228"/>
      <c r="I521" s="1228"/>
      <c r="J521" s="1228"/>
      <c r="K521" s="1228"/>
      <c r="L521" s="344"/>
      <c r="M521" s="441"/>
    </row>
    <row r="522" spans="1:13" ht="15.75" customHeight="1">
      <c r="A522" s="341"/>
      <c r="B522" s="341"/>
      <c r="C522" s="341"/>
      <c r="D522" s="341"/>
      <c r="E522" s="341"/>
      <c r="F522" s="341"/>
      <c r="G522" s="373"/>
      <c r="H522" s="341"/>
      <c r="I522" s="341"/>
      <c r="J522" s="341"/>
      <c r="K522" s="341"/>
      <c r="L522" s="344"/>
      <c r="M522" s="412"/>
    </row>
    <row r="523" spans="1:13" s="399" customFormat="1" ht="15.75" customHeight="1">
      <c r="A523" s="398"/>
      <c r="B523" s="1268" t="s">
        <v>922</v>
      </c>
      <c r="C523" s="1269"/>
      <c r="D523" s="1269"/>
      <c r="E523" s="1269"/>
      <c r="F523" s="1269"/>
      <c r="G523" s="1273" t="s">
        <v>923</v>
      </c>
      <c r="H523" s="1274"/>
      <c r="I523" s="1274"/>
      <c r="J523" s="1274"/>
      <c r="K523" s="1274"/>
      <c r="L523" s="389"/>
      <c r="M523" s="412"/>
    </row>
    <row r="524" spans="1:13" s="53" customFormat="1" ht="47.25" customHeight="1">
      <c r="A524" s="243"/>
      <c r="B524" s="420" t="s">
        <v>6</v>
      </c>
      <c r="C524" s="421" t="s">
        <v>7</v>
      </c>
      <c r="D524" s="421" t="s">
        <v>8</v>
      </c>
      <c r="E524" s="421" t="s">
        <v>960</v>
      </c>
      <c r="F524" s="421" t="s">
        <v>768</v>
      </c>
      <c r="G524" s="422" t="s">
        <v>6</v>
      </c>
      <c r="H524" s="421" t="s">
        <v>7</v>
      </c>
      <c r="I524" s="421" t="s">
        <v>8</v>
      </c>
      <c r="J524" s="421" t="s">
        <v>960</v>
      </c>
      <c r="K524" s="421" t="s">
        <v>768</v>
      </c>
      <c r="L524" s="350"/>
      <c r="M524" s="442" t="s">
        <v>932</v>
      </c>
    </row>
    <row r="525" spans="1:13" ht="14.5">
      <c r="A525" s="77" t="s">
        <v>925</v>
      </c>
      <c r="B525" s="352"/>
      <c r="C525" s="352"/>
      <c r="D525" s="352"/>
      <c r="E525" s="352"/>
      <c r="F525" s="352"/>
      <c r="G525" s="353"/>
      <c r="H525" s="354"/>
      <c r="I525" s="354"/>
      <c r="J525" s="354"/>
      <c r="K525" s="354"/>
      <c r="L525" s="356"/>
      <c r="M525" s="412"/>
    </row>
    <row r="526" spans="1:13" s="376" customFormat="1">
      <c r="B526" s="380"/>
      <c r="C526" s="380"/>
      <c r="D526" s="380"/>
      <c r="E526" s="380"/>
      <c r="F526" s="380"/>
      <c r="G526" s="387"/>
      <c r="H526" s="388"/>
      <c r="I526" s="388"/>
      <c r="J526" s="388"/>
      <c r="K526" s="388"/>
      <c r="L526" s="381"/>
      <c r="M526" s="412"/>
    </row>
    <row r="527" spans="1:13" ht="12.75" customHeight="1">
      <c r="A527" s="77" t="s">
        <v>777</v>
      </c>
      <c r="B527" s="288"/>
      <c r="C527" s="288"/>
      <c r="D527" s="288"/>
      <c r="E527" s="288"/>
      <c r="F527" s="288"/>
      <c r="G527" s="359"/>
      <c r="H527" s="289"/>
      <c r="I527" s="289"/>
      <c r="J527" s="289"/>
      <c r="K527" s="289"/>
      <c r="L527" s="356"/>
      <c r="M527" s="412"/>
    </row>
    <row r="528" spans="1:13" ht="12.75" customHeight="1">
      <c r="A528" s="77" t="s">
        <v>778</v>
      </c>
      <c r="B528" s="288"/>
      <c r="C528" s="288"/>
      <c r="D528" s="288"/>
      <c r="E528" s="288"/>
      <c r="F528" s="288"/>
      <c r="G528" s="359"/>
      <c r="H528" s="289"/>
      <c r="I528" s="289"/>
      <c r="J528" s="289"/>
      <c r="K528" s="289"/>
      <c r="L528" s="356"/>
      <c r="M528" s="412"/>
    </row>
    <row r="529" spans="1:13" ht="12.75" customHeight="1">
      <c r="A529" s="77" t="s">
        <v>779</v>
      </c>
      <c r="B529" s="288"/>
      <c r="C529" s="288"/>
      <c r="D529" s="288"/>
      <c r="E529" s="288"/>
      <c r="F529" s="288"/>
      <c r="G529" s="359"/>
      <c r="H529" s="289"/>
      <c r="I529" s="289"/>
      <c r="J529" s="289"/>
      <c r="K529" s="289"/>
      <c r="L529" s="356"/>
      <c r="M529" s="412"/>
    </row>
    <row r="530" spans="1:13" ht="12.75" customHeight="1">
      <c r="A530" s="77" t="s">
        <v>780</v>
      </c>
      <c r="B530" s="288"/>
      <c r="C530" s="288"/>
      <c r="D530" s="288"/>
      <c r="E530" s="288"/>
      <c r="F530" s="288"/>
      <c r="G530" s="359"/>
      <c r="H530" s="289"/>
      <c r="I530" s="289"/>
      <c r="J530" s="289"/>
      <c r="K530" s="289"/>
      <c r="L530" s="356"/>
      <c r="M530" s="412"/>
    </row>
    <row r="531" spans="1:13" s="376" customFormat="1">
      <c r="B531" s="380"/>
      <c r="C531" s="380"/>
      <c r="D531" s="380"/>
      <c r="E531" s="380"/>
      <c r="F531" s="380"/>
      <c r="G531" s="387"/>
      <c r="H531" s="388"/>
      <c r="I531" s="388"/>
      <c r="J531" s="388"/>
      <c r="K531" s="388"/>
      <c r="L531" s="381"/>
      <c r="M531" s="412"/>
    </row>
    <row r="532" spans="1:13" ht="12.75" customHeight="1">
      <c r="A532" s="77" t="s">
        <v>781</v>
      </c>
      <c r="B532" s="288"/>
      <c r="C532" s="288"/>
      <c r="D532" s="288"/>
      <c r="E532" s="288"/>
      <c r="F532" s="288"/>
      <c r="G532" s="359"/>
      <c r="H532" s="289"/>
      <c r="I532" s="289"/>
      <c r="J532" s="289"/>
      <c r="K532" s="289"/>
      <c r="L532" s="356"/>
      <c r="M532" s="412"/>
    </row>
    <row r="533" spans="1:13" ht="12.75" customHeight="1">
      <c r="A533" s="77" t="s">
        <v>782</v>
      </c>
      <c r="B533" s="288"/>
      <c r="C533" s="288"/>
      <c r="D533" s="288"/>
      <c r="E533" s="288"/>
      <c r="F533" s="288"/>
      <c r="G533" s="359"/>
      <c r="H533" s="289"/>
      <c r="I533" s="289"/>
      <c r="J533" s="289"/>
      <c r="K533" s="289"/>
      <c r="L533" s="356"/>
      <c r="M533" s="412"/>
    </row>
    <row r="534" spans="1:13" ht="12.75" customHeight="1">
      <c r="A534" s="77" t="s">
        <v>813</v>
      </c>
      <c r="B534" s="288"/>
      <c r="C534" s="288"/>
      <c r="D534" s="288"/>
      <c r="E534" s="288"/>
      <c r="F534" s="288"/>
      <c r="G534" s="359"/>
      <c r="H534" s="289"/>
      <c r="I534" s="289"/>
      <c r="J534" s="289"/>
      <c r="K534" s="289"/>
      <c r="L534" s="356"/>
      <c r="M534" s="412"/>
    </row>
    <row r="535" spans="1:13" ht="12.75" customHeight="1">
      <c r="A535" s="77" t="s">
        <v>784</v>
      </c>
      <c r="B535" s="288"/>
      <c r="C535" s="288"/>
      <c r="D535" s="288"/>
      <c r="E535" s="288"/>
      <c r="F535" s="288"/>
      <c r="G535" s="359"/>
      <c r="H535" s="289"/>
      <c r="I535" s="289"/>
      <c r="J535" s="289"/>
      <c r="K535" s="289"/>
      <c r="L535" s="356"/>
      <c r="M535" s="412"/>
    </row>
    <row r="536" spans="1:13" s="376" customFormat="1">
      <c r="B536" s="380"/>
      <c r="C536" s="380"/>
      <c r="D536" s="380"/>
      <c r="E536" s="380"/>
      <c r="F536" s="380"/>
      <c r="G536" s="387"/>
      <c r="H536" s="388"/>
      <c r="I536" s="388"/>
      <c r="J536" s="388"/>
      <c r="K536" s="388"/>
      <c r="L536" s="381"/>
      <c r="M536" s="412"/>
    </row>
    <row r="537" spans="1:13" ht="12.75" customHeight="1">
      <c r="A537" s="77" t="s">
        <v>785</v>
      </c>
      <c r="B537" s="288"/>
      <c r="C537" s="288"/>
      <c r="D537" s="288"/>
      <c r="E537" s="288"/>
      <c r="F537" s="288"/>
      <c r="G537" s="359"/>
      <c r="H537" s="289"/>
      <c r="I537" s="289"/>
      <c r="J537" s="289"/>
      <c r="K537" s="289"/>
      <c r="L537" s="356"/>
      <c r="M537" s="412"/>
    </row>
    <row r="538" spans="1:13" ht="12.75" customHeight="1">
      <c r="A538" s="77" t="s">
        <v>786</v>
      </c>
      <c r="B538" s="288"/>
      <c r="C538" s="288"/>
      <c r="D538" s="288"/>
      <c r="E538" s="288"/>
      <c r="F538" s="288"/>
      <c r="G538" s="359"/>
      <c r="H538" s="289"/>
      <c r="I538" s="289"/>
      <c r="J538" s="289"/>
      <c r="K538" s="289"/>
      <c r="L538" s="356"/>
      <c r="M538" s="412"/>
    </row>
    <row r="539" spans="1:13" ht="12.75" customHeight="1">
      <c r="A539" s="77" t="s">
        <v>787</v>
      </c>
      <c r="B539" s="288"/>
      <c r="C539" s="288"/>
      <c r="D539" s="288"/>
      <c r="E539" s="288"/>
      <c r="F539" s="288"/>
      <c r="G539" s="359"/>
      <c r="H539" s="289"/>
      <c r="I539" s="289"/>
      <c r="J539" s="289"/>
      <c r="K539" s="289"/>
      <c r="L539" s="356"/>
      <c r="M539" s="412"/>
    </row>
    <row r="540" spans="1:13" ht="12.75" customHeight="1">
      <c r="A540" s="77" t="s">
        <v>788</v>
      </c>
      <c r="B540" s="288"/>
      <c r="C540" s="288"/>
      <c r="D540" s="288"/>
      <c r="E540" s="288"/>
      <c r="F540" s="288"/>
      <c r="G540" s="359"/>
      <c r="H540" s="289"/>
      <c r="I540" s="289"/>
      <c r="J540" s="289"/>
      <c r="K540" s="289"/>
      <c r="L540" s="356"/>
      <c r="M540" s="412"/>
    </row>
    <row r="541" spans="1:13" s="376" customFormat="1">
      <c r="B541" s="380"/>
      <c r="C541" s="380"/>
      <c r="D541" s="380"/>
      <c r="E541" s="380"/>
      <c r="F541" s="380"/>
      <c r="G541" s="387"/>
      <c r="H541" s="388"/>
      <c r="I541" s="388"/>
      <c r="J541" s="388"/>
      <c r="K541" s="388"/>
      <c r="L541" s="381"/>
      <c r="M541" s="412"/>
    </row>
    <row r="542" spans="1:13" ht="12.75" customHeight="1">
      <c r="A542" s="77" t="s">
        <v>789</v>
      </c>
      <c r="B542" s="288"/>
      <c r="C542" s="288"/>
      <c r="D542" s="288"/>
      <c r="E542" s="288"/>
      <c r="F542" s="288"/>
      <c r="G542" s="359"/>
      <c r="H542" s="289"/>
      <c r="I542" s="289"/>
      <c r="J542" s="289"/>
      <c r="K542" s="289"/>
      <c r="L542" s="356"/>
      <c r="M542" s="412"/>
    </row>
    <row r="543" spans="1:13" s="362" customFormat="1" ht="12.75" customHeight="1">
      <c r="A543" s="77" t="s">
        <v>790</v>
      </c>
      <c r="B543" s="288"/>
      <c r="C543" s="288"/>
      <c r="D543" s="288"/>
      <c r="E543" s="288"/>
      <c r="F543" s="288"/>
      <c r="G543" s="359"/>
      <c r="H543" s="289"/>
      <c r="I543" s="289"/>
      <c r="J543" s="289"/>
      <c r="K543" s="289"/>
      <c r="L543" s="363"/>
      <c r="M543" s="412"/>
    </row>
    <row r="544" spans="1:13" ht="12.75" customHeight="1">
      <c r="A544" s="77" t="s">
        <v>791</v>
      </c>
      <c r="B544" s="288">
        <f>IF($M544&gt;0,('Amounts Pivot Table'!R$553/$M544),0)</f>
        <v>0</v>
      </c>
      <c r="C544" s="288">
        <f>IF($M544&gt;0,('Amounts Pivot Table'!R$556/$M544),0)</f>
        <v>0</v>
      </c>
      <c r="D544" s="288">
        <f>IF($M544&gt;0,('Amounts Pivot Table'!R$559/$M544),0)</f>
        <v>0</v>
      </c>
      <c r="E544" s="288">
        <f>IF($M544&gt;0,('Amounts Pivot Table'!R$562/$M544),0)</f>
        <v>0</v>
      </c>
      <c r="F544" s="288">
        <f>SUM(B544:E544)</f>
        <v>0</v>
      </c>
      <c r="G544" s="359">
        <f>IF(B544&gt;0,RANK(B544,$B$527:$B$545),)</f>
        <v>0</v>
      </c>
      <c r="H544" s="289">
        <f>IF(C544&gt;0,RANK(C544,$C$527:$C$545),)</f>
        <v>0</v>
      </c>
      <c r="I544" s="289">
        <f>IF(D544&gt;0,RANK(D544,$D$527:$D$545),)</f>
        <v>0</v>
      </c>
      <c r="J544" s="289">
        <f>IF(E544&gt;0,RANK(E544,$E$527:$E$545),)</f>
        <v>0</v>
      </c>
      <c r="K544" s="289">
        <f>IF(F544&gt;0,RANK(F544,$F$527:$F$545),)</f>
        <v>0</v>
      </c>
      <c r="L544" s="367"/>
      <c r="M544" s="412">
        <f>+'[1]NEW-Tables 80-86'!AO212</f>
        <v>0</v>
      </c>
    </row>
    <row r="545" spans="1:13" ht="15" customHeight="1">
      <c r="A545" s="277" t="s">
        <v>792</v>
      </c>
      <c r="B545" s="296">
        <f>IF($M545&gt;0,('Amounts Pivot Table'!R$592/$M545),0)</f>
        <v>0</v>
      </c>
      <c r="C545" s="296">
        <f>IF($M545&gt;0,('Amounts Pivot Table'!R$595/$M545),0)</f>
        <v>0</v>
      </c>
      <c r="D545" s="296">
        <f>IF($M545&gt;0,('Amounts Pivot Table'!R$598/$M545),0)</f>
        <v>0</v>
      </c>
      <c r="E545" s="296">
        <f>IF($M545&gt;0,('Amounts Pivot Table'!R$601/$M545),0)</f>
        <v>0</v>
      </c>
      <c r="F545" s="364">
        <f>SUM(B545:E545)</f>
        <v>0</v>
      </c>
      <c r="G545" s="365">
        <f>IF(B545&gt;0,RANK(B545,$B$527:$B$545),)</f>
        <v>0</v>
      </c>
      <c r="H545" s="366">
        <f>IF(C545&gt;0,RANK(C545,$C$527:$C$545),)</f>
        <v>0</v>
      </c>
      <c r="I545" s="366">
        <f>IF(D545&gt;0,RANK(D545,$D$527:$D$545),)</f>
        <v>0</v>
      </c>
      <c r="J545" s="366">
        <f>IF(E545&gt;0,RANK(E545,$E$527:$E$545),)</f>
        <v>0</v>
      </c>
      <c r="K545" s="366">
        <f>IF(F545&gt;0,RANK(F545,$F$527:$F$545),)</f>
        <v>0</v>
      </c>
      <c r="L545" s="367"/>
      <c r="M545" s="412">
        <f>+'[1]NEW-Tables 80-86'!AO213</f>
        <v>0</v>
      </c>
    </row>
    <row r="546" spans="1:13" s="362" customFormat="1" ht="34.5" customHeight="1">
      <c r="A546" s="1244" t="s">
        <v>926</v>
      </c>
      <c r="B546" s="1270"/>
      <c r="C546" s="1270"/>
      <c r="D546" s="1270"/>
      <c r="E546" s="1270"/>
      <c r="F546" s="1270"/>
      <c r="G546" s="1270"/>
      <c r="H546" s="1270"/>
      <c r="I546" s="1270"/>
      <c r="J546" s="1270"/>
      <c r="K546" s="1270"/>
      <c r="L546" s="363"/>
      <c r="M546" s="412"/>
    </row>
    <row r="547" spans="1:13" s="397" customFormat="1" ht="13.5" customHeight="1">
      <c r="A547" s="1244" t="s">
        <v>927</v>
      </c>
      <c r="B547" s="1270"/>
      <c r="C547" s="1270"/>
      <c r="D547" s="1270"/>
      <c r="E547" s="1270"/>
      <c r="F547" s="1270"/>
      <c r="G547" s="1270"/>
      <c r="H547" s="1270"/>
      <c r="I547" s="1270"/>
      <c r="J547" s="1270"/>
      <c r="K547" s="1270"/>
      <c r="L547" s="347"/>
      <c r="M547" s="464"/>
    </row>
    <row r="548" spans="1:13" ht="13.5" customHeight="1">
      <c r="A548" s="1244" t="s">
        <v>930</v>
      </c>
      <c r="B548" s="1245"/>
      <c r="C548" s="1245"/>
      <c r="D548" s="1245"/>
      <c r="E548" s="1245"/>
      <c r="F548" s="1245"/>
      <c r="G548" s="1245"/>
      <c r="H548" s="1245"/>
      <c r="I548" s="1245"/>
      <c r="J548" s="1245"/>
      <c r="K548" s="1245"/>
      <c r="L548" s="367"/>
      <c r="M548" s="449"/>
    </row>
    <row r="549" spans="1:13">
      <c r="K549" s="370"/>
    </row>
  </sheetData>
  <mergeCells count="99">
    <mergeCell ref="A546:K546"/>
    <mergeCell ref="A547:K547"/>
    <mergeCell ref="A548:K548"/>
    <mergeCell ref="A515:K515"/>
    <mergeCell ref="A516:K516"/>
    <mergeCell ref="A520:K520"/>
    <mergeCell ref="A521:K521"/>
    <mergeCell ref="B523:F523"/>
    <mergeCell ref="G523:K523"/>
    <mergeCell ref="A514:K514"/>
    <mergeCell ref="A452:K452"/>
    <mergeCell ref="A456:K456"/>
    <mergeCell ref="A457:K457"/>
    <mergeCell ref="B459:F459"/>
    <mergeCell ref="A482:K482"/>
    <mergeCell ref="A483:K483"/>
    <mergeCell ref="A484:K484"/>
    <mergeCell ref="A488:K488"/>
    <mergeCell ref="A489:K489"/>
    <mergeCell ref="B491:F491"/>
    <mergeCell ref="G491:K491"/>
    <mergeCell ref="A451:K451"/>
    <mergeCell ref="A391:K391"/>
    <mergeCell ref="A392:K392"/>
    <mergeCell ref="B394:F394"/>
    <mergeCell ref="A417:K417"/>
    <mergeCell ref="A418:K418"/>
    <mergeCell ref="A419:K419"/>
    <mergeCell ref="A420:K420"/>
    <mergeCell ref="A424:K424"/>
    <mergeCell ref="A425:K425"/>
    <mergeCell ref="B427:F427"/>
    <mergeCell ref="A450:K450"/>
    <mergeCell ref="A387:K387"/>
    <mergeCell ref="B327:F327"/>
    <mergeCell ref="A350:K350"/>
    <mergeCell ref="A351:K351"/>
    <mergeCell ref="A352:K352"/>
    <mergeCell ref="A353:K353"/>
    <mergeCell ref="A357:K357"/>
    <mergeCell ref="A358:K358"/>
    <mergeCell ref="B360:F360"/>
    <mergeCell ref="A383:K383"/>
    <mergeCell ref="A385:K385"/>
    <mergeCell ref="A386:K386"/>
    <mergeCell ref="A325:K325"/>
    <mergeCell ref="A285:K285"/>
    <mergeCell ref="A286:K286"/>
    <mergeCell ref="A287:K287"/>
    <mergeCell ref="A291:K291"/>
    <mergeCell ref="A292:K292"/>
    <mergeCell ref="B294:F294"/>
    <mergeCell ref="A317:K317"/>
    <mergeCell ref="A318:K318"/>
    <mergeCell ref="A319:K319"/>
    <mergeCell ref="A320:K320"/>
    <mergeCell ref="A324:K324"/>
    <mergeCell ref="B262:F262"/>
    <mergeCell ref="A196:I196"/>
    <mergeCell ref="A221:I221"/>
    <mergeCell ref="A222:I222"/>
    <mergeCell ref="A227:K227"/>
    <mergeCell ref="A228:K228"/>
    <mergeCell ref="B230:F230"/>
    <mergeCell ref="A253:K253"/>
    <mergeCell ref="A254:K254"/>
    <mergeCell ref="A255:K255"/>
    <mergeCell ref="A259:K259"/>
    <mergeCell ref="A260:K260"/>
    <mergeCell ref="A195:I195"/>
    <mergeCell ref="A126:I126"/>
    <mergeCell ref="A131:I131"/>
    <mergeCell ref="A132:I132"/>
    <mergeCell ref="A157:I157"/>
    <mergeCell ref="A158:I158"/>
    <mergeCell ref="A159:I159"/>
    <mergeCell ref="A163:I163"/>
    <mergeCell ref="A164:I164"/>
    <mergeCell ref="A189:I189"/>
    <mergeCell ref="A190:I190"/>
    <mergeCell ref="A191:K191"/>
    <mergeCell ref="A125:I125"/>
    <mergeCell ref="A35:I35"/>
    <mergeCell ref="A36:I36"/>
    <mergeCell ref="A61:I61"/>
    <mergeCell ref="A62:I62"/>
    <mergeCell ref="A63:K63"/>
    <mergeCell ref="A67:I67"/>
    <mergeCell ref="A68:I68"/>
    <mergeCell ref="A93:I93"/>
    <mergeCell ref="A94:I94"/>
    <mergeCell ref="A99:I99"/>
    <mergeCell ref="A100:I100"/>
    <mergeCell ref="A31:I31"/>
    <mergeCell ref="A3:I3"/>
    <mergeCell ref="B6:E6"/>
    <mergeCell ref="F6:I6"/>
    <mergeCell ref="A29:I29"/>
    <mergeCell ref="A30:I30"/>
  </mergeCells>
  <pageMargins left="0.5" right="0.5" top="0.75" bottom="0.67" header="0.5" footer="0.5"/>
  <pageSetup scale="93" firstPageNumber="128" orientation="landscape" useFirstPageNumber="1" r:id="rId1"/>
  <headerFooter alignWithMargins="0">
    <oddHeader>&amp;R&amp;"Arial,Regular"&amp;8SREB-State Data Exchange</oddHeader>
    <oddFooter>&amp;C&amp;"Arial,Regular"&amp;P</oddFooter>
  </headerFooter>
  <rowBreaks count="16" manualBreakCount="16">
    <brk id="32" max="10" man="1"/>
    <brk id="64" max="10" man="1"/>
    <brk id="96" max="10" man="1"/>
    <brk id="128" max="10" man="1"/>
    <brk id="160" max="10" man="1"/>
    <brk id="192" max="10" man="1"/>
    <brk id="224" max="10" man="1"/>
    <brk id="256" max="10" man="1"/>
    <brk id="288" max="10" man="1"/>
    <brk id="321" max="10" man="1"/>
    <brk id="354" max="10" man="1"/>
    <brk id="388" max="10" man="1"/>
    <brk id="421" max="10" man="1"/>
    <brk id="453" max="10" man="1"/>
    <brk id="485" max="10" man="1"/>
    <brk id="517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ED6C1-AF73-497C-947C-58F452C5330C}">
  <sheetPr codeName="Sheet9">
    <tabColor theme="5" tint="0.59999389629810485"/>
  </sheetPr>
  <dimension ref="A1:U535"/>
  <sheetViews>
    <sheetView showZeros="0" view="pageBreakPreview" zoomScale="106" zoomScaleNormal="100" zoomScaleSheetLayoutView="106" workbookViewId="0">
      <selection activeCell="E24" sqref="E24"/>
    </sheetView>
  </sheetViews>
  <sheetFormatPr defaultColWidth="7.84375" defaultRowHeight="12.5"/>
  <cols>
    <col min="1" max="1" width="10.765625" style="77" customWidth="1"/>
    <col min="2" max="3" width="10.07421875" style="77" customWidth="1"/>
    <col min="4" max="4" width="8.07421875" style="77" customWidth="1"/>
    <col min="5" max="5" width="8.84375" style="77" customWidth="1"/>
    <col min="6" max="6" width="8.23046875" style="77" customWidth="1"/>
    <col min="7" max="7" width="9.07421875" style="77" customWidth="1"/>
    <col min="8" max="8" width="9.23046875" style="77" customWidth="1"/>
    <col min="9" max="9" width="9.69140625" style="77" customWidth="1"/>
    <col min="10" max="10" width="8.23046875" style="77" customWidth="1"/>
    <col min="11" max="11" width="7.69140625" style="77" customWidth="1"/>
    <col min="12" max="12" width="2.23046875" style="77" customWidth="1"/>
    <col min="13" max="13" width="7.765625" style="338" customWidth="1"/>
    <col min="14" max="16384" width="7.84375" style="77"/>
  </cols>
  <sheetData>
    <row r="1" spans="1:18" s="339" customFormat="1" ht="18">
      <c r="A1" s="336" t="s">
        <v>919</v>
      </c>
      <c r="B1" s="224"/>
      <c r="C1" s="224"/>
      <c r="D1" s="224"/>
      <c r="E1" s="224"/>
      <c r="F1" s="224"/>
      <c r="G1" s="224"/>
      <c r="H1" s="224"/>
      <c r="I1" s="224"/>
      <c r="J1" s="224" t="s">
        <v>421</v>
      </c>
      <c r="K1" s="224"/>
      <c r="L1" s="337"/>
      <c r="M1" s="338"/>
    </row>
    <row r="2" spans="1:18" s="339" customFormat="1" ht="17.5">
      <c r="A2" s="1228" t="s">
        <v>920</v>
      </c>
      <c r="B2" s="1228"/>
      <c r="C2" s="1228"/>
      <c r="D2" s="1228"/>
      <c r="E2" s="1228"/>
      <c r="F2" s="1228"/>
      <c r="G2" s="1228"/>
      <c r="H2" s="1228"/>
      <c r="I2" s="1228"/>
      <c r="J2" s="224"/>
      <c r="K2" s="224"/>
      <c r="L2" s="337"/>
      <c r="M2" s="338"/>
    </row>
    <row r="3" spans="1:18" s="339" customFormat="1" ht="15.5">
      <c r="A3" s="341" t="s">
        <v>1478</v>
      </c>
      <c r="B3" s="341"/>
      <c r="C3" s="341"/>
      <c r="D3" s="341"/>
      <c r="E3" s="341"/>
      <c r="F3" s="341"/>
      <c r="G3" s="341"/>
      <c r="H3" s="341"/>
      <c r="I3" s="341"/>
      <c r="J3" s="224" t="s">
        <v>421</v>
      </c>
      <c r="K3" s="341"/>
      <c r="L3" s="342"/>
      <c r="M3" s="67"/>
    </row>
    <row r="4" spans="1:18" s="287" customFormat="1" ht="17.25" customHeight="1">
      <c r="A4" s="226"/>
      <c r="B4" s="226"/>
      <c r="C4" s="226"/>
      <c r="D4" s="226"/>
      <c r="E4" s="226"/>
      <c r="F4" s="226"/>
      <c r="G4" s="290"/>
      <c r="H4" s="226"/>
      <c r="I4" s="226"/>
      <c r="J4" s="343"/>
      <c r="K4" s="226"/>
      <c r="L4" s="344"/>
      <c r="M4" s="345" t="s">
        <v>921</v>
      </c>
      <c r="N4" s="667" t="s">
        <v>1046</v>
      </c>
    </row>
    <row r="5" spans="1:18" ht="15.5">
      <c r="A5" s="346"/>
      <c r="B5" s="1275" t="s">
        <v>922</v>
      </c>
      <c r="C5" s="1275"/>
      <c r="D5" s="1275"/>
      <c r="E5" s="1276"/>
      <c r="F5" s="1277" t="s">
        <v>923</v>
      </c>
      <c r="G5" s="1275"/>
      <c r="H5" s="1275"/>
      <c r="I5" s="1275"/>
      <c r="J5" s="77" t="s">
        <v>421</v>
      </c>
      <c r="L5" s="347"/>
      <c r="M5" s="348"/>
    </row>
    <row r="6" spans="1:18" s="53" customFormat="1" ht="50.25" customHeight="1">
      <c r="A6" s="243"/>
      <c r="B6" s="244" t="s">
        <v>6</v>
      </c>
      <c r="C6" s="245" t="s">
        <v>7</v>
      </c>
      <c r="D6" s="245" t="s">
        <v>924</v>
      </c>
      <c r="E6" s="245" t="s">
        <v>768</v>
      </c>
      <c r="F6" s="246" t="s">
        <v>6</v>
      </c>
      <c r="G6" s="245" t="s">
        <v>7</v>
      </c>
      <c r="H6" s="245" t="s">
        <v>924</v>
      </c>
      <c r="I6" s="245" t="s">
        <v>768</v>
      </c>
      <c r="J6" s="349"/>
      <c r="L6" s="350"/>
      <c r="M6" s="348"/>
      <c r="N6" s="77" t="s">
        <v>421</v>
      </c>
      <c r="O6" s="77"/>
      <c r="P6" s="77"/>
      <c r="Q6" s="77"/>
      <c r="R6" s="77"/>
    </row>
    <row r="7" spans="1:18" ht="16.5" customHeight="1">
      <c r="A7" s="77" t="s">
        <v>925</v>
      </c>
      <c r="B7" s="351">
        <f>IF($M7&gt;0,('Amounts Pivot Table'!I$630/$M7),0)</f>
        <v>6580.3265401603203</v>
      </c>
      <c r="C7" s="352">
        <f>IF($M7&gt;0,('Amounts Pivot Table'!I$633/$M7),0)</f>
        <v>633.4539679713904</v>
      </c>
      <c r="D7" s="352">
        <f>IF($M7&gt;0,('Amounts Pivot Table'!I$639/$M7),0)</f>
        <v>11016.681331265923</v>
      </c>
      <c r="E7" s="352">
        <f>SUM(B7:D7)</f>
        <v>18230.461839397634</v>
      </c>
      <c r="F7" s="353"/>
      <c r="G7" s="354"/>
      <c r="H7" s="354"/>
      <c r="I7" s="354"/>
      <c r="J7" s="355"/>
      <c r="L7" s="356"/>
      <c r="M7" s="357">
        <v>2157832.0085</v>
      </c>
    </row>
    <row r="8" spans="1:18" ht="9" customHeight="1">
      <c r="B8" s="352"/>
      <c r="C8" s="352"/>
      <c r="D8" s="352"/>
      <c r="E8" s="352"/>
      <c r="F8" s="353"/>
      <c r="G8" s="354"/>
      <c r="H8" s="354"/>
      <c r="I8" s="354"/>
      <c r="J8" s="355"/>
      <c r="L8" s="356"/>
      <c r="M8" s="357"/>
    </row>
    <row r="9" spans="1:18">
      <c r="A9" s="77" t="s">
        <v>777</v>
      </c>
      <c r="B9" s="358">
        <f>IF($M9&gt;0,('Amounts Pivot Table'!I$6/$M9),0)</f>
        <v>5401.2642160742362</v>
      </c>
      <c r="C9" s="288">
        <f>IF($M9&gt;0,('Amounts Pivot Table'!I$9/$M9),0)</f>
        <v>665.1500418224739</v>
      </c>
      <c r="D9" s="288">
        <f>IF($M9&gt;0,('Amounts Pivot Table'!I$15/$M9),0)</f>
        <v>15325.603302090496</v>
      </c>
      <c r="E9" s="288">
        <f>SUM(B9:D9)</f>
        <v>21392.017559987205</v>
      </c>
      <c r="F9" s="359">
        <f t="shared" ref="F9:I12" si="0">IF(B9&gt;0,RANK(B9,B$9:B$27),)</f>
        <v>10</v>
      </c>
      <c r="G9" s="289">
        <f t="shared" si="0"/>
        <v>7</v>
      </c>
      <c r="H9" s="289">
        <f t="shared" si="0"/>
        <v>5</v>
      </c>
      <c r="I9" s="289">
        <f t="shared" si="0"/>
        <v>6</v>
      </c>
      <c r="J9" s="288"/>
      <c r="L9" s="356"/>
      <c r="M9" s="357">
        <v>143682.71666666667</v>
      </c>
    </row>
    <row r="10" spans="1:18">
      <c r="A10" s="77" t="s">
        <v>778</v>
      </c>
      <c r="B10" s="358">
        <f>IF($M10&gt;0,('Amounts Pivot Table'!I$45/$M10),0)</f>
        <v>5580.7603492043336</v>
      </c>
      <c r="C10" s="288">
        <f>IF($M10&gt;0,('Amounts Pivot Table'!I$48/$M10),0)</f>
        <v>1203.6833517387483</v>
      </c>
      <c r="D10" s="288">
        <f>IF($M10&gt;0,('Amounts Pivot Table'!I$54/$M10),0)</f>
        <v>8944.1796218250656</v>
      </c>
      <c r="E10" s="288">
        <f t="shared" ref="E10:E27" si="1">SUM(B10:D10)</f>
        <v>15728.623322768148</v>
      </c>
      <c r="F10" s="359">
        <f t="shared" si="0"/>
        <v>8</v>
      </c>
      <c r="G10" s="289">
        <f t="shared" si="0"/>
        <v>2</v>
      </c>
      <c r="H10" s="289">
        <f t="shared" si="0"/>
        <v>11</v>
      </c>
      <c r="I10" s="289">
        <f t="shared" si="0"/>
        <v>11</v>
      </c>
      <c r="J10" s="288"/>
      <c r="L10" s="356"/>
      <c r="M10" s="357">
        <v>81346.833333333328</v>
      </c>
    </row>
    <row r="11" spans="1:18">
      <c r="A11" s="77" t="s">
        <v>779</v>
      </c>
      <c r="B11" s="358">
        <f>IF($M11&gt;0,('Amounts Pivot Table'!I$84/$M11),0)</f>
        <v>5764.9573896143065</v>
      </c>
      <c r="C11" s="358">
        <f>IF($M11&gt;0,('Amounts Pivot Table'!I$87/$M11),0)</f>
        <v>264.34005550672214</v>
      </c>
      <c r="D11" s="358">
        <f>IF($M11&gt;0,('Amounts Pivot Table'!I$93/$M11),0)</f>
        <v>25910.497687019433</v>
      </c>
      <c r="E11" s="358">
        <f>SUM(B11:D11)</f>
        <v>31939.795132140462</v>
      </c>
      <c r="F11" s="360">
        <f t="shared" si="0"/>
        <v>7</v>
      </c>
      <c r="G11" s="361">
        <f t="shared" si="0"/>
        <v>14</v>
      </c>
      <c r="H11" s="361">
        <f t="shared" si="0"/>
        <v>1</v>
      </c>
      <c r="I11" s="361">
        <f t="shared" si="0"/>
        <v>1</v>
      </c>
      <c r="J11" s="288"/>
      <c r="L11" s="356"/>
      <c r="M11" s="357">
        <v>27711.358333333334</v>
      </c>
    </row>
    <row r="12" spans="1:18">
      <c r="A12" s="77" t="s">
        <v>780</v>
      </c>
      <c r="B12" s="288">
        <f>IF($M12&gt;0,('Amounts Pivot Table'!I$123/$M12),0)</f>
        <v>0</v>
      </c>
      <c r="C12" s="288">
        <f>IF($M12&gt;0,('Amounts Pivot Table'!I$126/$M12),0)</f>
        <v>0</v>
      </c>
      <c r="D12" s="288">
        <f>IF($M12&gt;0,('Amounts Pivot Table'!I$132/$M12),0)</f>
        <v>0</v>
      </c>
      <c r="E12" s="288">
        <f t="shared" si="1"/>
        <v>0</v>
      </c>
      <c r="F12" s="359">
        <f t="shared" si="0"/>
        <v>0</v>
      </c>
      <c r="G12" s="289">
        <f t="shared" si="0"/>
        <v>0</v>
      </c>
      <c r="H12" s="289">
        <f t="shared" si="0"/>
        <v>0</v>
      </c>
      <c r="I12" s="289">
        <f t="shared" si="0"/>
        <v>0</v>
      </c>
      <c r="J12" s="288"/>
      <c r="L12" s="356"/>
      <c r="M12" s="357">
        <v>0</v>
      </c>
    </row>
    <row r="13" spans="1:18">
      <c r="B13" s="288"/>
      <c r="C13" s="288"/>
      <c r="D13" s="288"/>
      <c r="E13" s="288"/>
      <c r="F13" s="359"/>
      <c r="G13" s="289"/>
      <c r="H13" s="289"/>
      <c r="I13" s="289"/>
      <c r="J13" s="288"/>
      <c r="L13" s="356"/>
      <c r="M13" s="357"/>
    </row>
    <row r="14" spans="1:18">
      <c r="A14" s="77" t="s">
        <v>781</v>
      </c>
      <c r="B14" s="288">
        <f>IF($M14&gt;0,('Amounts Pivot Table'!I$162/$M14),0)</f>
        <v>6888.9816755223137</v>
      </c>
      <c r="C14" s="288">
        <f>IF($M14&gt;0,('Amounts Pivot Table'!I$165/$M14),0)</f>
        <v>414.18563135114761</v>
      </c>
      <c r="D14" s="288">
        <f>IF($M14&gt;0,('Amounts Pivot Table'!I$171/$M14),0)</f>
        <v>8041.9455575660768</v>
      </c>
      <c r="E14" s="288">
        <f t="shared" si="1"/>
        <v>15345.112864439539</v>
      </c>
      <c r="F14" s="359">
        <f t="shared" ref="F14:I17" si="2">IF(B14&gt;0,RANK(B14,B$9:B$27),)</f>
        <v>4</v>
      </c>
      <c r="G14" s="289">
        <f t="shared" si="2"/>
        <v>13</v>
      </c>
      <c r="H14" s="289">
        <f t="shared" si="2"/>
        <v>13</v>
      </c>
      <c r="I14" s="289">
        <f t="shared" si="2"/>
        <v>12</v>
      </c>
      <c r="J14" s="288"/>
      <c r="L14" s="356"/>
      <c r="M14" s="357">
        <v>282872.40100000001</v>
      </c>
    </row>
    <row r="15" spans="1:18">
      <c r="A15" s="77" t="s">
        <v>782</v>
      </c>
      <c r="B15" s="288">
        <f>IF($M15&gt;0,('Amounts Pivot Table'!I$201/$M15),0)</f>
        <v>5848.5178700697134</v>
      </c>
      <c r="C15" s="288">
        <f>IF($M15&gt;0,('Amounts Pivot Table'!I$204/$M15),0)</f>
        <v>1126.4628203164684</v>
      </c>
      <c r="D15" s="288">
        <f>IF($M15&gt;0,('Amounts Pivot Table'!I$210/$M15),0)</f>
        <v>15398.463626857829</v>
      </c>
      <c r="E15" s="288">
        <f t="shared" si="1"/>
        <v>22373.444317244011</v>
      </c>
      <c r="F15" s="359">
        <f t="shared" si="2"/>
        <v>6</v>
      </c>
      <c r="G15" s="289">
        <f t="shared" si="2"/>
        <v>3</v>
      </c>
      <c r="H15" s="289">
        <f t="shared" si="2"/>
        <v>4</v>
      </c>
      <c r="I15" s="289">
        <f t="shared" si="2"/>
        <v>4</v>
      </c>
      <c r="J15" s="288"/>
      <c r="L15" s="356"/>
      <c r="M15" s="357">
        <v>90757.9</v>
      </c>
    </row>
    <row r="16" spans="1:18">
      <c r="A16" s="77" t="s">
        <v>813</v>
      </c>
      <c r="B16" s="288">
        <f>IF($M16&gt;0,('Amounts Pivot Table'!I$240/$M16),0)</f>
        <v>3392.7282198737166</v>
      </c>
      <c r="C16" s="288">
        <f>IF($M16&gt;0,('Amounts Pivot Table'!I$243/$M16),0)</f>
        <v>631.95483457402236</v>
      </c>
      <c r="D16" s="288">
        <f>IF($M16&gt;0,('Amounts Pivot Table'!I$249/$M16),0)</f>
        <v>9656.0604663628474</v>
      </c>
      <c r="E16" s="288">
        <f t="shared" si="1"/>
        <v>13680.743520810585</v>
      </c>
      <c r="F16" s="359">
        <f t="shared" si="2"/>
        <v>14</v>
      </c>
      <c r="G16" s="289">
        <f t="shared" si="2"/>
        <v>9</v>
      </c>
      <c r="H16" s="289">
        <f t="shared" si="2"/>
        <v>10</v>
      </c>
      <c r="I16" s="289">
        <f t="shared" si="2"/>
        <v>14</v>
      </c>
      <c r="J16" s="288"/>
      <c r="L16" s="356"/>
      <c r="M16" s="357">
        <v>121465.32916666666</v>
      </c>
    </row>
    <row r="17" spans="1:21">
      <c r="A17" s="77" t="s">
        <v>784</v>
      </c>
      <c r="B17" s="288">
        <f>IF($M17&gt;0,('Amounts Pivot Table'!I$279/$M17),0)</f>
        <v>12266.845857661132</v>
      </c>
      <c r="C17" s="288">
        <f>IF($M17&gt;0,('Amounts Pivot Table'!I$282/$M17),0)</f>
        <v>645.21100209643339</v>
      </c>
      <c r="D17" s="288">
        <f>IF($M17&gt;0,('Amounts Pivot Table'!I$288/$M17),0)</f>
        <v>13039.563283639349</v>
      </c>
      <c r="E17" s="288">
        <f t="shared" si="1"/>
        <v>25951.620143396915</v>
      </c>
      <c r="F17" s="359">
        <f t="shared" si="2"/>
        <v>1</v>
      </c>
      <c r="G17" s="289">
        <f t="shared" si="2"/>
        <v>8</v>
      </c>
      <c r="H17" s="289">
        <f t="shared" si="2"/>
        <v>6</v>
      </c>
      <c r="I17" s="289">
        <f t="shared" si="2"/>
        <v>2</v>
      </c>
      <c r="J17" s="288"/>
      <c r="L17" s="356"/>
      <c r="M17" s="357">
        <v>103004.30833333333</v>
      </c>
    </row>
    <row r="18" spans="1:21">
      <c r="B18" s="288"/>
      <c r="C18" s="288"/>
      <c r="D18" s="288"/>
      <c r="E18" s="288"/>
      <c r="F18" s="359"/>
      <c r="G18" s="289"/>
      <c r="H18" s="289"/>
      <c r="I18" s="289"/>
      <c r="J18" s="288"/>
      <c r="L18" s="356"/>
      <c r="M18" s="357"/>
    </row>
    <row r="19" spans="1:21">
      <c r="A19" s="77" t="s">
        <v>785</v>
      </c>
      <c r="B19" s="288">
        <f>IF($M19&gt;0,('Amounts Pivot Table'!I$318/$M19),0)</f>
        <v>5305.7084935685534</v>
      </c>
      <c r="C19" s="288">
        <f>IF($M19&gt;0,('Amounts Pivot Table'!I$321/$M19),0)</f>
        <v>1306.4120357506499</v>
      </c>
      <c r="D19" s="288">
        <f>IF($M19&gt;0,('Amounts Pivot Table'!I$327/$M19),0)</f>
        <v>11716.495223775159</v>
      </c>
      <c r="E19" s="288">
        <f t="shared" si="1"/>
        <v>18328.61575309436</v>
      </c>
      <c r="F19" s="359">
        <f t="shared" ref="F19:I22" si="3">IF(B19&gt;0,RANK(B19,B$9:B$27),)</f>
        <v>11</v>
      </c>
      <c r="G19" s="289">
        <f t="shared" si="3"/>
        <v>1</v>
      </c>
      <c r="H19" s="289">
        <f t="shared" si="3"/>
        <v>8</v>
      </c>
      <c r="I19" s="289">
        <f t="shared" si="3"/>
        <v>9</v>
      </c>
      <c r="J19" s="288"/>
      <c r="L19" s="356"/>
      <c r="M19" s="357">
        <v>70794.144166666665</v>
      </c>
    </row>
    <row r="20" spans="1:21">
      <c r="A20" s="77" t="s">
        <v>786</v>
      </c>
      <c r="B20" s="288">
        <f>IF($M20&gt;0,('Amounts Pivot Table'!I$357/$M20),0)</f>
        <v>10401.409571440438</v>
      </c>
      <c r="C20" s="288">
        <f>IF($M20&gt;0,('Amounts Pivot Table'!I$360/$M20),0)</f>
        <v>450.02697938029985</v>
      </c>
      <c r="D20" s="288">
        <f>IF($M20&gt;0,('Amounts Pivot Table'!I$366/$M20),0)</f>
        <v>7712.73833348894</v>
      </c>
      <c r="E20" s="288">
        <f t="shared" si="1"/>
        <v>18564.174884309679</v>
      </c>
      <c r="F20" s="359">
        <f t="shared" si="3"/>
        <v>2</v>
      </c>
      <c r="G20" s="289">
        <f t="shared" si="3"/>
        <v>12</v>
      </c>
      <c r="H20" s="289">
        <f t="shared" si="3"/>
        <v>14</v>
      </c>
      <c r="I20" s="289">
        <f t="shared" si="3"/>
        <v>7</v>
      </c>
      <c r="J20" s="288"/>
      <c r="L20" s="356"/>
      <c r="M20" s="357">
        <v>213723.40416666667</v>
      </c>
    </row>
    <row r="21" spans="1:21">
      <c r="A21" s="77" t="s">
        <v>787</v>
      </c>
      <c r="B21" s="288">
        <f>IF($M21&gt;0,('Amounts Pivot Table'!I$396/$M21),0)</f>
        <v>0</v>
      </c>
      <c r="C21" s="288">
        <f>IF($M21&gt;0,('Amounts Pivot Table'!I$399/$M21),0)</f>
        <v>0</v>
      </c>
      <c r="D21" s="288">
        <f>IF($M21&gt;0,('Amounts Pivot Table'!I$405/$M21),0)</f>
        <v>0</v>
      </c>
      <c r="E21" s="288">
        <f t="shared" si="1"/>
        <v>0</v>
      </c>
      <c r="F21" s="359">
        <f t="shared" si="3"/>
        <v>0</v>
      </c>
      <c r="G21" s="289">
        <f t="shared" si="3"/>
        <v>0</v>
      </c>
      <c r="H21" s="289">
        <f t="shared" si="3"/>
        <v>0</v>
      </c>
      <c r="I21" s="289">
        <f t="shared" si="3"/>
        <v>0</v>
      </c>
      <c r="J21" s="288"/>
      <c r="L21" s="356"/>
      <c r="M21" s="357">
        <v>0</v>
      </c>
    </row>
    <row r="22" spans="1:21">
      <c r="A22" s="77" t="s">
        <v>788</v>
      </c>
      <c r="B22" s="288">
        <f>IF($M22&gt;0,('Amounts Pivot Table'!I$435/$M22),0)</f>
        <v>3616.02800537761</v>
      </c>
      <c r="C22" s="288">
        <f>IF($M22&gt;0,('Amounts Pivot Table'!I$438/$M22),0)</f>
        <v>605.79401831106622</v>
      </c>
      <c r="D22" s="288">
        <f>IF($M22&gt;0,('Amounts Pivot Table'!I$444/$M22),0)</f>
        <v>18338.790981265774</v>
      </c>
      <c r="E22" s="288">
        <f t="shared" si="1"/>
        <v>22560.613004954452</v>
      </c>
      <c r="F22" s="359">
        <f t="shared" si="3"/>
        <v>13</v>
      </c>
      <c r="G22" s="289">
        <f t="shared" si="3"/>
        <v>10</v>
      </c>
      <c r="H22" s="289">
        <f t="shared" si="3"/>
        <v>2</v>
      </c>
      <c r="I22" s="289">
        <f t="shared" si="3"/>
        <v>3</v>
      </c>
      <c r="J22" s="288"/>
      <c r="L22" s="356"/>
      <c r="M22" s="357">
        <v>108114.94999999998</v>
      </c>
    </row>
    <row r="23" spans="1:21">
      <c r="B23" s="288"/>
      <c r="C23" s="288"/>
      <c r="D23" s="288"/>
      <c r="E23" s="288"/>
      <c r="F23" s="359"/>
      <c r="G23" s="289"/>
      <c r="H23" s="289"/>
      <c r="I23" s="289"/>
      <c r="J23" s="288"/>
      <c r="L23" s="356"/>
      <c r="M23" s="357"/>
    </row>
    <row r="24" spans="1:21">
      <c r="A24" s="77" t="s">
        <v>789</v>
      </c>
      <c r="B24" s="288">
        <f>IF($M24&gt;0,('Amounts Pivot Table'!I$474/$M24),0)</f>
        <v>7198.5285523179227</v>
      </c>
      <c r="C24" s="288">
        <f>IF($M24&gt;0,('Amounts Pivot Table'!I$477/$M24),0)</f>
        <v>803.97442867696122</v>
      </c>
      <c r="D24" s="288">
        <f>IF($M24&gt;0,('Amounts Pivot Table'!I$483/$M24),0)</f>
        <v>10510.697677778617</v>
      </c>
      <c r="E24" s="288">
        <f t="shared" si="1"/>
        <v>18513.200658773501</v>
      </c>
      <c r="F24" s="359">
        <f t="shared" ref="F24:I27" si="4">IF(B24&gt;0,RANK(B24,B$9:B$27),)</f>
        <v>3</v>
      </c>
      <c r="G24" s="289">
        <f t="shared" si="4"/>
        <v>5</v>
      </c>
      <c r="H24" s="289">
        <f t="shared" si="4"/>
        <v>9</v>
      </c>
      <c r="I24" s="289">
        <f t="shared" si="4"/>
        <v>8</v>
      </c>
      <c r="J24" s="288"/>
      <c r="L24" s="356"/>
      <c r="M24" s="357">
        <v>115355.78333333334</v>
      </c>
    </row>
    <row r="25" spans="1:21">
      <c r="A25" s="77" t="s">
        <v>790</v>
      </c>
      <c r="B25" s="288">
        <f>IF($M25&gt;0,('Amounts Pivot Table'!I$513/$M25),0)</f>
        <v>6475.92866880568</v>
      </c>
      <c r="C25" s="288">
        <f>IF($M25&gt;0,('Amounts Pivot Table'!I$516/$M25),0)</f>
        <v>495.65258066604639</v>
      </c>
      <c r="D25" s="288">
        <f>IF($M25&gt;0,('Amounts Pivot Table'!I$522/$M25),0)</f>
        <v>8097.8048040515796</v>
      </c>
      <c r="E25" s="288">
        <f t="shared" si="1"/>
        <v>15069.386053523307</v>
      </c>
      <c r="F25" s="359">
        <f t="shared" si="4"/>
        <v>5</v>
      </c>
      <c r="G25" s="289">
        <f t="shared" si="4"/>
        <v>11</v>
      </c>
      <c r="H25" s="289">
        <f t="shared" si="4"/>
        <v>12</v>
      </c>
      <c r="I25" s="289">
        <f t="shared" si="4"/>
        <v>13</v>
      </c>
      <c r="J25" s="288"/>
      <c r="L25" s="356"/>
      <c r="M25" s="357">
        <v>545999.54999999993</v>
      </c>
    </row>
    <row r="26" spans="1:21" s="362" customFormat="1" ht="12.75" customHeight="1">
      <c r="A26" s="77" t="s">
        <v>791</v>
      </c>
      <c r="B26" s="288">
        <f>IF($M26&gt;0,('Amounts Pivot Table'!I$552/$M26),0)</f>
        <v>5492.5017565116505</v>
      </c>
      <c r="C26" s="288">
        <f>IF($M26&gt;0,('Amounts Pivot Table'!I$555/$M26),0)</f>
        <v>707.74862152047479</v>
      </c>
      <c r="D26" s="288">
        <f>IF($M26&gt;0,('Amounts Pivot Table'!I$561/$M26),0)</f>
        <v>15863.924555119418</v>
      </c>
      <c r="E26" s="288">
        <f t="shared" si="1"/>
        <v>22064.174933151542</v>
      </c>
      <c r="F26" s="359">
        <f t="shared" si="4"/>
        <v>9</v>
      </c>
      <c r="G26" s="289">
        <f t="shared" si="4"/>
        <v>6</v>
      </c>
      <c r="H26" s="289">
        <f t="shared" si="4"/>
        <v>3</v>
      </c>
      <c r="I26" s="289">
        <f t="shared" si="4"/>
        <v>5</v>
      </c>
      <c r="J26" s="288"/>
      <c r="L26" s="363"/>
      <c r="M26" s="357">
        <v>201616.46333333332</v>
      </c>
      <c r="P26" s="77"/>
      <c r="Q26" s="77"/>
      <c r="R26" s="77"/>
      <c r="S26" s="77"/>
      <c r="T26" s="77"/>
      <c r="U26" s="77"/>
    </row>
    <row r="27" spans="1:21">
      <c r="A27" s="277" t="s">
        <v>792</v>
      </c>
      <c r="B27" s="296">
        <f>IF($M27&gt;0,('Amounts Pivot Table'!I$591/$M27),0)</f>
        <v>3718.6713336611297</v>
      </c>
      <c r="C27" s="296">
        <f>IF($M27&gt;0,('Amounts Pivot Table'!I$594/$M27),0)</f>
        <v>841.31346790295311</v>
      </c>
      <c r="D27" s="296">
        <f>IF($M27&gt;0,('Amounts Pivot Table'!I$600/$M27),0)</f>
        <v>12518.719329063328</v>
      </c>
      <c r="E27" s="364">
        <f t="shared" si="1"/>
        <v>17078.704130627411</v>
      </c>
      <c r="F27" s="365">
        <f t="shared" si="4"/>
        <v>12</v>
      </c>
      <c r="G27" s="366">
        <f t="shared" si="4"/>
        <v>4</v>
      </c>
      <c r="H27" s="366">
        <f t="shared" si="4"/>
        <v>7</v>
      </c>
      <c r="I27" s="366">
        <f t="shared" si="4"/>
        <v>10</v>
      </c>
      <c r="J27" s="288"/>
      <c r="L27" s="367"/>
      <c r="M27" s="357">
        <v>51386.866666666669</v>
      </c>
    </row>
    <row r="28" spans="1:21" ht="40.5" customHeight="1">
      <c r="A28" s="1244" t="s">
        <v>926</v>
      </c>
      <c r="B28" s="1245"/>
      <c r="C28" s="1245"/>
      <c r="D28" s="1245"/>
      <c r="E28" s="1245"/>
      <c r="F28" s="1245"/>
      <c r="G28" s="1245"/>
      <c r="H28" s="1245"/>
      <c r="I28" s="1245"/>
      <c r="J28" s="369"/>
      <c r="K28" s="369"/>
      <c r="L28" s="367"/>
      <c r="M28" s="348"/>
    </row>
    <row r="29" spans="1:21" s="362" customFormat="1" ht="21" customHeight="1">
      <c r="A29" s="1244" t="s">
        <v>927</v>
      </c>
      <c r="B29" s="1278"/>
      <c r="C29" s="1278"/>
      <c r="D29" s="1278"/>
      <c r="E29" s="1278"/>
      <c r="F29" s="1278"/>
      <c r="G29" s="1278"/>
      <c r="H29" s="1278"/>
      <c r="I29" s="1278"/>
      <c r="J29" s="369"/>
      <c r="L29" s="363"/>
      <c r="M29" s="348"/>
      <c r="P29" s="77"/>
      <c r="Q29" s="77"/>
      <c r="R29" s="77"/>
      <c r="S29" s="77"/>
      <c r="T29" s="77"/>
      <c r="U29" s="77"/>
    </row>
    <row r="30" spans="1:21" ht="19.5" customHeight="1">
      <c r="A30" s="1244" t="s">
        <v>928</v>
      </c>
      <c r="B30" s="1245"/>
      <c r="C30" s="1245"/>
      <c r="D30" s="1245"/>
      <c r="E30" s="1245"/>
      <c r="F30" s="1245"/>
      <c r="G30" s="1245"/>
      <c r="H30" s="1245"/>
      <c r="I30" s="1245"/>
      <c r="J30" s="369"/>
      <c r="K30" s="369"/>
      <c r="L30" s="367"/>
      <c r="M30" s="348"/>
    </row>
    <row r="31" spans="1:21">
      <c r="A31" s="368"/>
      <c r="B31" s="369"/>
      <c r="C31" s="369"/>
      <c r="D31" s="369"/>
      <c r="E31" s="369"/>
      <c r="F31" s="369"/>
      <c r="G31" s="369"/>
      <c r="H31" s="369"/>
      <c r="I31" s="370" t="s">
        <v>1815</v>
      </c>
      <c r="J31" s="369"/>
      <c r="K31" s="369"/>
      <c r="L31" s="367"/>
      <c r="M31" s="348"/>
    </row>
    <row r="32" spans="1:21" ht="15.5">
      <c r="A32" s="1228" t="s">
        <v>929</v>
      </c>
      <c r="B32" s="1228"/>
      <c r="C32" s="1228"/>
      <c r="D32" s="1228"/>
      <c r="E32" s="1228"/>
      <c r="F32" s="1228"/>
      <c r="G32" s="1228"/>
      <c r="H32" s="1228"/>
      <c r="I32" s="1228"/>
      <c r="J32" s="234"/>
      <c r="K32" s="234"/>
      <c r="L32" s="367"/>
      <c r="M32" s="371"/>
    </row>
    <row r="33" spans="1:13" ht="17.5">
      <c r="A33" s="1228" t="s">
        <v>920</v>
      </c>
      <c r="B33" s="1228"/>
      <c r="C33" s="1228"/>
      <c r="D33" s="1228"/>
      <c r="E33" s="1228"/>
      <c r="F33" s="1228"/>
      <c r="G33" s="1228"/>
      <c r="H33" s="1228"/>
      <c r="I33" s="1228"/>
      <c r="J33" s="234"/>
      <c r="K33" s="234"/>
      <c r="L33" s="367"/>
      <c r="M33" s="372"/>
    </row>
    <row r="34" spans="1:13" ht="15.5">
      <c r="A34" s="1228" t="s">
        <v>1479</v>
      </c>
      <c r="B34" s="1228"/>
      <c r="C34" s="1228"/>
      <c r="D34" s="1228"/>
      <c r="E34" s="1228"/>
      <c r="F34" s="1228"/>
      <c r="G34" s="1228"/>
      <c r="H34" s="1228"/>
      <c r="I34" s="1228"/>
      <c r="J34" s="234"/>
      <c r="K34" s="234"/>
      <c r="L34" s="344"/>
      <c r="M34" s="348"/>
    </row>
    <row r="35" spans="1:13" ht="9.75" customHeight="1">
      <c r="A35" s="341"/>
      <c r="B35" s="341"/>
      <c r="C35" s="341"/>
      <c r="D35" s="341"/>
      <c r="E35" s="341"/>
      <c r="F35" s="341"/>
      <c r="G35" s="373"/>
      <c r="H35" s="341"/>
      <c r="I35" s="341"/>
      <c r="J35" s="341"/>
      <c r="K35" s="341"/>
      <c r="L35" s="344"/>
      <c r="M35" s="345" t="s">
        <v>921</v>
      </c>
    </row>
    <row r="36" spans="1:13" ht="17.25" customHeight="1">
      <c r="A36" s="346"/>
      <c r="B36" s="232" t="s">
        <v>922</v>
      </c>
      <c r="C36" s="374"/>
      <c r="D36" s="374"/>
      <c r="E36" s="374"/>
      <c r="F36" s="236" t="s">
        <v>923</v>
      </c>
      <c r="G36" s="235"/>
      <c r="H36" s="235"/>
      <c r="I36" s="235"/>
      <c r="L36" s="344"/>
      <c r="M36" s="348"/>
    </row>
    <row r="37" spans="1:13" s="53" customFormat="1" ht="42">
      <c r="A37" s="243"/>
      <c r="B37" s="244" t="s">
        <v>6</v>
      </c>
      <c r="C37" s="245" t="s">
        <v>7</v>
      </c>
      <c r="D37" s="245" t="s">
        <v>924</v>
      </c>
      <c r="E37" s="245" t="s">
        <v>768</v>
      </c>
      <c r="F37" s="246" t="s">
        <v>6</v>
      </c>
      <c r="G37" s="245" t="s">
        <v>7</v>
      </c>
      <c r="H37" s="245" t="s">
        <v>924</v>
      </c>
      <c r="I37" s="245" t="s">
        <v>768</v>
      </c>
      <c r="L37" s="375"/>
      <c r="M37" s="348"/>
    </row>
    <row r="38" spans="1:13" ht="16.5" customHeight="1">
      <c r="A38" s="77" t="s">
        <v>925</v>
      </c>
      <c r="B38" s="352">
        <f>IF($M38&gt;0,('Amounts Pivot Table'!C$630/$M38),0)</f>
        <v>7045.6715991900219</v>
      </c>
      <c r="C38" s="352">
        <f>IF($M38&gt;0,('Amounts Pivot Table'!C$633/$M38),0)</f>
        <v>1195.4028479339752</v>
      </c>
      <c r="D38" s="352">
        <f>IF($M38&gt;0,('Amounts Pivot Table'!C$639/$M38),0)</f>
        <v>13729.863697144599</v>
      </c>
      <c r="E38" s="352">
        <f>SUM(B38:D38)</f>
        <v>21970.938144268599</v>
      </c>
      <c r="F38" s="353"/>
      <c r="G38" s="354"/>
      <c r="H38" s="354"/>
      <c r="I38" s="354"/>
      <c r="J38" s="288"/>
      <c r="L38" s="356"/>
      <c r="M38" s="357">
        <v>1030453.1375</v>
      </c>
    </row>
    <row r="39" spans="1:13" s="376" customFormat="1">
      <c r="B39" s="377"/>
      <c r="C39" s="377"/>
      <c r="D39" s="377"/>
      <c r="E39" s="377"/>
      <c r="F39" s="378"/>
      <c r="G39" s="379"/>
      <c r="H39" s="379"/>
      <c r="I39" s="379"/>
      <c r="J39" s="380"/>
      <c r="L39" s="381"/>
      <c r="M39" s="357"/>
    </row>
    <row r="40" spans="1:13" ht="12.75" customHeight="1">
      <c r="A40" s="77" t="s">
        <v>777</v>
      </c>
      <c r="B40" s="288">
        <f>IF($M40&gt;0,('Amounts Pivot Table'!C$6/$M40),0)</f>
        <v>4749.6506210725529</v>
      </c>
      <c r="C40" s="288">
        <f>IF($M40&gt;0,('Amounts Pivot Table'!C$9/$M40),0)</f>
        <v>1025.856499809056</v>
      </c>
      <c r="D40" s="288">
        <f>IF($M40&gt;0,('Amounts Pivot Table'!C$15/$M40),0)</f>
        <v>19249.225664709949</v>
      </c>
      <c r="E40" s="288">
        <f>SUM(B40:D40)</f>
        <v>25024.732785591557</v>
      </c>
      <c r="F40" s="359">
        <f>IF(B40&gt;0,RANK(B40,$B$40:$B$58),)</f>
        <v>11</v>
      </c>
      <c r="G40" s="289">
        <f>IF(C40&gt;0,RANK(C40,C$40:C$58),)</f>
        <v>9</v>
      </c>
      <c r="H40" s="289">
        <f>IF(D40&gt;0,RANK(D40,D$40:D$58),)</f>
        <v>3</v>
      </c>
      <c r="I40" s="289">
        <f>IF(E40&gt;0,RANK(E40,E$40:E$58),)</f>
        <v>5</v>
      </c>
      <c r="J40" s="288"/>
      <c r="L40" s="356"/>
      <c r="M40" s="357">
        <v>76854.95</v>
      </c>
    </row>
    <row r="41" spans="1:13" ht="12.75" customHeight="1">
      <c r="A41" s="77" t="s">
        <v>778</v>
      </c>
      <c r="B41" s="288">
        <f>IF($M41&gt;0,('Amounts Pivot Table'!C$45/$M41),0)</f>
        <v>5225.0150464472999</v>
      </c>
      <c r="C41" s="288">
        <f>IF($M41&gt;0,('Amounts Pivot Table'!C$48/$M41),0)</f>
        <v>3401.2533656094442</v>
      </c>
      <c r="D41" s="288">
        <f>IF($M41&gt;0,('Amounts Pivot Table'!C$54/$M41),0)</f>
        <v>9913.679473372702</v>
      </c>
      <c r="E41" s="288">
        <f>SUM(B41:D41)</f>
        <v>18539.947885429447</v>
      </c>
      <c r="F41" s="359">
        <f t="shared" ref="F41:F58" si="5">IF(B41&gt;0,RANK(B41,$B$40:$B$58),)</f>
        <v>8</v>
      </c>
      <c r="G41" s="289">
        <f t="shared" ref="G41:I58" si="6">IF(C41&gt;0,RANK(C41,C$40:C$58),)</f>
        <v>1</v>
      </c>
      <c r="H41" s="289">
        <f t="shared" si="6"/>
        <v>12</v>
      </c>
      <c r="I41" s="289">
        <f t="shared" si="6"/>
        <v>12</v>
      </c>
      <c r="J41" s="288"/>
      <c r="L41" s="356"/>
      <c r="M41" s="357">
        <v>25357.591666666667</v>
      </c>
    </row>
    <row r="42" spans="1:13" ht="12.75" customHeight="1">
      <c r="A42" s="77" t="s">
        <v>779</v>
      </c>
      <c r="B42" s="288">
        <f>IF($M42&gt;0,('Amounts Pivot Table'!C$84/$M42),0)</f>
        <v>5326.8708237646706</v>
      </c>
      <c r="C42" s="288">
        <f>IF($M42&gt;0,('Amounts Pivot Table'!C$87/$M42),0)</f>
        <v>316.60389047206047</v>
      </c>
      <c r="D42" s="288">
        <f>IF($M42&gt;0,('Amounts Pivot Table'!C$93/$M42),0)</f>
        <v>29636.798226783809</v>
      </c>
      <c r="E42" s="288">
        <f>SUM(B42:D42)</f>
        <v>35280.272941020543</v>
      </c>
      <c r="F42" s="359">
        <f t="shared" si="5"/>
        <v>7</v>
      </c>
      <c r="G42" s="289">
        <f t="shared" si="6"/>
        <v>14</v>
      </c>
      <c r="H42" s="289">
        <f t="shared" si="6"/>
        <v>1</v>
      </c>
      <c r="I42" s="289">
        <f t="shared" si="6"/>
        <v>2</v>
      </c>
      <c r="J42" s="288"/>
      <c r="L42" s="356"/>
      <c r="M42" s="357">
        <v>23136.866666666665</v>
      </c>
    </row>
    <row r="43" spans="1:13" ht="12.75" customHeight="1">
      <c r="A43" s="77" t="s">
        <v>780</v>
      </c>
      <c r="B43" s="288">
        <f>IF($M43&gt;0,('Amounts Pivot Table'!C$123/$M43),0)</f>
        <v>0</v>
      </c>
      <c r="C43" s="288">
        <f>IF($M43&gt;0,('Amounts Pivot Table'!C$126/$M43),0)</f>
        <v>0</v>
      </c>
      <c r="D43" s="288">
        <f>IF($M43&gt;0,('Amounts Pivot Table'!C$132/$M43),0)</f>
        <v>0</v>
      </c>
      <c r="E43" s="288">
        <f>SUM(B43:D43)</f>
        <v>0</v>
      </c>
      <c r="F43" s="359">
        <f t="shared" si="5"/>
        <v>0</v>
      </c>
      <c r="G43" s="289">
        <f t="shared" si="6"/>
        <v>0</v>
      </c>
      <c r="H43" s="289">
        <f t="shared" si="6"/>
        <v>0</v>
      </c>
      <c r="I43" s="289">
        <f t="shared" si="6"/>
        <v>0</v>
      </c>
      <c r="J43" s="288"/>
      <c r="L43" s="356"/>
      <c r="M43" s="357">
        <v>0</v>
      </c>
    </row>
    <row r="44" spans="1:13" s="376" customFormat="1">
      <c r="B44" s="377"/>
      <c r="C44" s="377"/>
      <c r="D44" s="377"/>
      <c r="E44" s="377"/>
      <c r="F44" s="359"/>
      <c r="G44" s="289"/>
      <c r="H44" s="289"/>
      <c r="I44" s="289"/>
      <c r="J44" s="380"/>
      <c r="L44" s="381"/>
      <c r="M44" s="357"/>
    </row>
    <row r="45" spans="1:13" ht="12.75" customHeight="1">
      <c r="A45" s="77" t="s">
        <v>781</v>
      </c>
      <c r="B45" s="288">
        <f>IF($M45&gt;0,('Amounts Pivot Table'!C$162/$M45),0)</f>
        <v>7843.4547446838615</v>
      </c>
      <c r="C45" s="288">
        <f>IF($M45&gt;0,('Amounts Pivot Table'!C$165/$M45),0)</f>
        <v>1156.4938243198642</v>
      </c>
      <c r="D45" s="288">
        <f>IF($M45&gt;0,('Amounts Pivot Table'!C$171/$M45),0)</f>
        <v>9368.9157559149426</v>
      </c>
      <c r="E45" s="288">
        <f>SUM(B45:D45)</f>
        <v>18368.864324918668</v>
      </c>
      <c r="F45" s="359">
        <f t="shared" si="5"/>
        <v>4</v>
      </c>
      <c r="G45" s="289">
        <f t="shared" si="6"/>
        <v>8</v>
      </c>
      <c r="H45" s="289">
        <f t="shared" si="6"/>
        <v>14</v>
      </c>
      <c r="I45" s="289">
        <f t="shared" si="6"/>
        <v>13</v>
      </c>
      <c r="J45" s="288"/>
      <c r="L45" s="356"/>
      <c r="M45" s="357">
        <v>88370.833333333328</v>
      </c>
    </row>
    <row r="46" spans="1:13" ht="12.75" customHeight="1">
      <c r="A46" s="77" t="s">
        <v>782</v>
      </c>
      <c r="B46" s="288">
        <f>IF($M46&gt;0,('Amounts Pivot Table'!C$201/$M46),0)</f>
        <v>6479.5128687780762</v>
      </c>
      <c r="C46" s="288">
        <f>IF($M46&gt;0,('Amounts Pivot Table'!C$204/$M46),0)</f>
        <v>2042.8755062737223</v>
      </c>
      <c r="D46" s="288">
        <f>IF($M46&gt;0,('Amounts Pivot Table'!C$210/$M46),0)</f>
        <v>18474.784762996424</v>
      </c>
      <c r="E46" s="288">
        <f>SUM(B46:D46)</f>
        <v>26997.173138048223</v>
      </c>
      <c r="F46" s="359">
        <f t="shared" si="5"/>
        <v>6</v>
      </c>
      <c r="G46" s="289">
        <f t="shared" si="6"/>
        <v>3</v>
      </c>
      <c r="H46" s="289">
        <f t="shared" si="6"/>
        <v>5</v>
      </c>
      <c r="I46" s="289">
        <f t="shared" si="6"/>
        <v>3</v>
      </c>
      <c r="J46" s="288"/>
      <c r="L46" s="356"/>
      <c r="M46" s="357">
        <v>39244.045833333337</v>
      </c>
    </row>
    <row r="47" spans="1:13" ht="12.75" customHeight="1">
      <c r="A47" s="77" t="s">
        <v>813</v>
      </c>
      <c r="B47" s="288">
        <f>IF($M47&gt;0,('Amounts Pivot Table'!C$240/$M47),0)</f>
        <v>4261.7536359486676</v>
      </c>
      <c r="C47" s="288">
        <f>IF($M47&gt;0,('Amounts Pivot Table'!C$243/$M47),0)</f>
        <v>2415.0833570736063</v>
      </c>
      <c r="D47" s="288">
        <f>IF($M47&gt;0,('Amounts Pivot Table'!C$249/$M47),0)</f>
        <v>13649.985889131483</v>
      </c>
      <c r="E47" s="288">
        <f>SUM(B47:D47)</f>
        <v>20326.822882153756</v>
      </c>
      <c r="F47" s="359">
        <f t="shared" si="5"/>
        <v>12</v>
      </c>
      <c r="G47" s="289">
        <f t="shared" si="6"/>
        <v>2</v>
      </c>
      <c r="H47" s="289">
        <f t="shared" si="6"/>
        <v>8</v>
      </c>
      <c r="I47" s="289">
        <f t="shared" si="6"/>
        <v>10</v>
      </c>
      <c r="J47" s="288"/>
      <c r="L47" s="356"/>
      <c r="M47" s="357">
        <v>29383.379166666666</v>
      </c>
    </row>
    <row r="48" spans="1:13" ht="12.75" customHeight="1">
      <c r="A48" s="77" t="s">
        <v>784</v>
      </c>
      <c r="B48" s="288">
        <f>IF($M48&gt;0,('Amounts Pivot Table'!C$279/$M48),0)</f>
        <v>16036.334549177105</v>
      </c>
      <c r="C48" s="288">
        <f>IF($M48&gt;0,('Amounts Pivot Table'!C$282/$M48),0)</f>
        <v>1872.5187360077202</v>
      </c>
      <c r="D48" s="288">
        <f>IF($M48&gt;0,('Amounts Pivot Table'!C$288/$M48),0)</f>
        <v>18643.062667804639</v>
      </c>
      <c r="E48" s="288">
        <f>SUM(B48:D48)</f>
        <v>36551.915952989468</v>
      </c>
      <c r="F48" s="359">
        <f t="shared" si="5"/>
        <v>1</v>
      </c>
      <c r="G48" s="289">
        <f t="shared" si="6"/>
        <v>5</v>
      </c>
      <c r="H48" s="289">
        <f t="shared" si="6"/>
        <v>4</v>
      </c>
      <c r="I48" s="289">
        <f t="shared" si="6"/>
        <v>1</v>
      </c>
      <c r="J48" s="288"/>
      <c r="L48" s="356"/>
      <c r="M48" s="357">
        <v>35492.041666666664</v>
      </c>
    </row>
    <row r="49" spans="1:13" s="376" customFormat="1">
      <c r="B49" s="377"/>
      <c r="C49" s="377"/>
      <c r="D49" s="377"/>
      <c r="E49" s="377"/>
      <c r="F49" s="359"/>
      <c r="G49" s="289"/>
      <c r="H49" s="289"/>
      <c r="I49" s="289"/>
      <c r="J49" s="380"/>
      <c r="L49" s="381"/>
      <c r="M49" s="357"/>
    </row>
    <row r="50" spans="1:13" ht="12.75" customHeight="1">
      <c r="A50" s="77" t="s">
        <v>785</v>
      </c>
      <c r="B50" s="288">
        <f>IF($M50&gt;0,('Amounts Pivot Table'!C$318/$M50),0)</f>
        <v>4766.8995213758917</v>
      </c>
      <c r="C50" s="288">
        <f>IF($M50&gt;0,('Amounts Pivot Table'!C$321/$M50),0)</f>
        <v>1586.6568897697089</v>
      </c>
      <c r="D50" s="288">
        <f>IF($M50&gt;0,('Amounts Pivot Table'!C$327/$M50),0)</f>
        <v>12831.757828713275</v>
      </c>
      <c r="E50" s="288">
        <f>SUM(B50:D50)</f>
        <v>19185.314239858875</v>
      </c>
      <c r="F50" s="359">
        <f t="shared" si="5"/>
        <v>10</v>
      </c>
      <c r="G50" s="289">
        <f t="shared" si="6"/>
        <v>7</v>
      </c>
      <c r="H50" s="289">
        <f t="shared" si="6"/>
        <v>9</v>
      </c>
      <c r="I50" s="289">
        <f t="shared" si="6"/>
        <v>11</v>
      </c>
      <c r="J50" s="288"/>
      <c r="L50" s="356"/>
      <c r="M50" s="357">
        <v>53948.041666666672</v>
      </c>
    </row>
    <row r="51" spans="1:13" ht="12.75" customHeight="1">
      <c r="A51" s="77" t="s">
        <v>786</v>
      </c>
      <c r="B51" s="288">
        <f>IF($M51&gt;0,('Amounts Pivot Table'!C$357/$M51),0)</f>
        <v>10734.112203717159</v>
      </c>
      <c r="C51" s="288">
        <f>IF($M51&gt;0,('Amounts Pivot Table'!C$360/$M51),0)</f>
        <v>940.14648170102839</v>
      </c>
      <c r="D51" s="288">
        <f>IF($M51&gt;0,('Amounts Pivot Table'!C$366/$M51),0)</f>
        <v>10173.683391861583</v>
      </c>
      <c r="E51" s="288">
        <f>SUM(B51:D51)</f>
        <v>21847.942077279771</v>
      </c>
      <c r="F51" s="359">
        <f t="shared" si="5"/>
        <v>2</v>
      </c>
      <c r="G51" s="289">
        <f t="shared" si="6"/>
        <v>10</v>
      </c>
      <c r="H51" s="289">
        <f t="shared" si="6"/>
        <v>11</v>
      </c>
      <c r="I51" s="289">
        <f t="shared" si="6"/>
        <v>8</v>
      </c>
      <c r="J51" s="288"/>
      <c r="L51" s="356"/>
      <c r="M51" s="357">
        <v>102304.58749999999</v>
      </c>
    </row>
    <row r="52" spans="1:13" ht="12.75" customHeight="1">
      <c r="A52" s="77" t="s">
        <v>787</v>
      </c>
      <c r="B52" s="288">
        <f>IF($M52&gt;0,('Amounts Pivot Table'!C$396/$M52),0)</f>
        <v>0</v>
      </c>
      <c r="C52" s="288">
        <f>IF($M52&gt;0,('Amounts Pivot Table'!C$399/$M52),0)</f>
        <v>0</v>
      </c>
      <c r="D52" s="288">
        <f>IF($M52&gt;0,('Amounts Pivot Table'!C$405/$M52),0)</f>
        <v>0</v>
      </c>
      <c r="E52" s="288">
        <f>SUM(B52:D52)</f>
        <v>0</v>
      </c>
      <c r="F52" s="359">
        <f t="shared" si="5"/>
        <v>0</v>
      </c>
      <c r="G52" s="289">
        <f t="shared" si="6"/>
        <v>0</v>
      </c>
      <c r="H52" s="289">
        <f t="shared" si="6"/>
        <v>0</v>
      </c>
      <c r="I52" s="289">
        <f t="shared" si="6"/>
        <v>0</v>
      </c>
      <c r="J52" s="288"/>
      <c r="L52" s="356"/>
      <c r="M52" s="357">
        <v>0</v>
      </c>
    </row>
    <row r="53" spans="1:13" ht="12.75" customHeight="1">
      <c r="A53" s="77" t="s">
        <v>788</v>
      </c>
      <c r="B53" s="288">
        <f>IF($M53&gt;0,('Amounts Pivot Table'!C$435/$M53),0)</f>
        <v>3909.2139939611975</v>
      </c>
      <c r="C53" s="288">
        <f>IF($M53&gt;0,('Amounts Pivot Table'!C$438/$M53),0)</f>
        <v>886.57975319528487</v>
      </c>
      <c r="D53" s="288">
        <f>IF($M53&gt;0,('Amounts Pivot Table'!C$444/$M53),0)</f>
        <v>21214.987191866683</v>
      </c>
      <c r="E53" s="288">
        <f>SUM(B53:D53)</f>
        <v>26010.780939023163</v>
      </c>
      <c r="F53" s="359">
        <f t="shared" si="5"/>
        <v>13</v>
      </c>
      <c r="G53" s="289">
        <f t="shared" si="6"/>
        <v>12</v>
      </c>
      <c r="H53" s="289">
        <f t="shared" si="6"/>
        <v>2</v>
      </c>
      <c r="I53" s="289">
        <f t="shared" si="6"/>
        <v>4</v>
      </c>
      <c r="J53" s="288"/>
      <c r="L53" s="356"/>
      <c r="M53" s="357">
        <v>59272.23333333333</v>
      </c>
    </row>
    <row r="54" spans="1:13" s="376" customFormat="1">
      <c r="B54" s="377"/>
      <c r="C54" s="377"/>
      <c r="D54" s="377"/>
      <c r="E54" s="377"/>
      <c r="F54" s="359"/>
      <c r="G54" s="289"/>
      <c r="H54" s="289"/>
      <c r="I54" s="289"/>
      <c r="J54" s="380"/>
      <c r="L54" s="381"/>
      <c r="M54" s="357"/>
    </row>
    <row r="55" spans="1:13" ht="12.75" customHeight="1">
      <c r="A55" s="77" t="s">
        <v>789</v>
      </c>
      <c r="B55" s="288">
        <f>IF($M55&gt;0,('Amounts Pivot Table'!C$474/$M55),0)</f>
        <v>8895.2716275740149</v>
      </c>
      <c r="C55" s="288">
        <f>IF($M55&gt;0,('Amounts Pivot Table'!C$477/$M55),0)</f>
        <v>1906.3052783056644</v>
      </c>
      <c r="D55" s="288">
        <f>IF($M55&gt;0,('Amounts Pivot Table'!C$483/$M55),0)</f>
        <v>12442.489063041248</v>
      </c>
      <c r="E55" s="288">
        <f>SUM(B55:D55)</f>
        <v>23244.065968920928</v>
      </c>
      <c r="F55" s="359">
        <f t="shared" si="5"/>
        <v>3</v>
      </c>
      <c r="G55" s="289">
        <f t="shared" si="6"/>
        <v>4</v>
      </c>
      <c r="H55" s="289">
        <f t="shared" si="6"/>
        <v>10</v>
      </c>
      <c r="I55" s="289">
        <f t="shared" si="6"/>
        <v>6</v>
      </c>
      <c r="J55" s="288"/>
      <c r="K55" s="355"/>
      <c r="L55" s="356"/>
      <c r="M55" s="357">
        <v>43350.716666666667</v>
      </c>
    </row>
    <row r="56" spans="1:13" ht="12.75" customHeight="1">
      <c r="A56" s="77" t="s">
        <v>790</v>
      </c>
      <c r="B56" s="288">
        <f>IF($M56&gt;0,('Amounts Pivot Table'!C$513/$M56),0)</f>
        <v>7743.8659844613276</v>
      </c>
      <c r="C56" s="288">
        <f>IF($M56&gt;0,('Amounts Pivot Table'!C$516/$M56),0)</f>
        <v>928.41692982451866</v>
      </c>
      <c r="D56" s="288">
        <f>IF($M56&gt;0,('Amounts Pivot Table'!C$522/$M56),0)</f>
        <v>9618.5498875899721</v>
      </c>
      <c r="E56" s="288">
        <f>SUM(B56:D56)</f>
        <v>18290.832801875818</v>
      </c>
      <c r="F56" s="359">
        <f t="shared" si="5"/>
        <v>5</v>
      </c>
      <c r="G56" s="289">
        <f t="shared" si="6"/>
        <v>11</v>
      </c>
      <c r="H56" s="289">
        <f t="shared" si="6"/>
        <v>13</v>
      </c>
      <c r="I56" s="289">
        <f t="shared" si="6"/>
        <v>14</v>
      </c>
      <c r="J56" s="288"/>
      <c r="K56" s="355"/>
      <c r="L56" s="356"/>
      <c r="M56" s="357">
        <v>290969.7416666667</v>
      </c>
    </row>
    <row r="57" spans="1:13" s="362" customFormat="1" ht="12.75" customHeight="1">
      <c r="A57" s="77" t="s">
        <v>791</v>
      </c>
      <c r="B57" s="288">
        <f>IF($M57&gt;0,('Amounts Pivot Table'!C$552/$M57),0)</f>
        <v>5129.2957542356462</v>
      </c>
      <c r="C57" s="288">
        <f>IF($M57&gt;0,('Amounts Pivot Table'!C$555/$M57),0)</f>
        <v>804.21062768184606</v>
      </c>
      <c r="D57" s="288">
        <f>IF($M57&gt;0,('Amounts Pivot Table'!C$561/$M57),0)</f>
        <v>17271.548515042414</v>
      </c>
      <c r="E57" s="288">
        <f>SUM(B57:D57)</f>
        <v>23205.054896959904</v>
      </c>
      <c r="F57" s="359">
        <f t="shared" si="5"/>
        <v>9</v>
      </c>
      <c r="G57" s="289">
        <f t="shared" si="6"/>
        <v>13</v>
      </c>
      <c r="H57" s="289">
        <f t="shared" si="6"/>
        <v>6</v>
      </c>
      <c r="I57" s="289">
        <f t="shared" si="6"/>
        <v>7</v>
      </c>
      <c r="J57" s="288"/>
      <c r="K57" s="355"/>
      <c r="L57" s="363"/>
      <c r="M57" s="357">
        <v>138805.59166666665</v>
      </c>
    </row>
    <row r="58" spans="1:13" ht="12.75" customHeight="1">
      <c r="A58" s="277" t="s">
        <v>792</v>
      </c>
      <c r="B58" s="296">
        <f>IF($M58&gt;0,('Amounts Pivot Table'!C$591/$M58),0)</f>
        <v>2496.1385246819514</v>
      </c>
      <c r="C58" s="296">
        <f>IF($M58&gt;0,('Amounts Pivot Table'!C$594/$M58),0)</f>
        <v>1705.1650111876118</v>
      </c>
      <c r="D58" s="296">
        <f>IF($M58&gt;0,('Amounts Pivot Table'!C$600/$M58),0)</f>
        <v>16265.329865880809</v>
      </c>
      <c r="E58" s="364">
        <f>SUM(B58:D58)</f>
        <v>20466.633401750372</v>
      </c>
      <c r="F58" s="365">
        <f t="shared" si="5"/>
        <v>14</v>
      </c>
      <c r="G58" s="366">
        <f t="shared" si="6"/>
        <v>6</v>
      </c>
      <c r="H58" s="366">
        <f t="shared" si="6"/>
        <v>7</v>
      </c>
      <c r="I58" s="366">
        <f t="shared" si="6"/>
        <v>9</v>
      </c>
      <c r="J58" s="288"/>
      <c r="K58" s="355"/>
      <c r="L58" s="367"/>
      <c r="M58" s="357">
        <v>23962.516666666666</v>
      </c>
    </row>
    <row r="59" spans="1:13" ht="39.75" customHeight="1">
      <c r="A59" s="1244" t="s">
        <v>926</v>
      </c>
      <c r="B59" s="1245"/>
      <c r="C59" s="1245"/>
      <c r="D59" s="1245"/>
      <c r="E59" s="1245"/>
      <c r="F59" s="1245"/>
      <c r="G59" s="1245"/>
      <c r="H59" s="1245"/>
      <c r="I59" s="1245"/>
      <c r="J59" s="355"/>
      <c r="K59" s="355"/>
      <c r="L59" s="367"/>
      <c r="M59" s="382"/>
    </row>
    <row r="60" spans="1:13" s="362" customFormat="1" ht="22.5" customHeight="1">
      <c r="A60" s="1244" t="s">
        <v>927</v>
      </c>
      <c r="B60" s="1278"/>
      <c r="C60" s="1278"/>
      <c r="D60" s="1278"/>
      <c r="E60" s="1278"/>
      <c r="F60" s="1278"/>
      <c r="G60" s="1278"/>
      <c r="H60" s="1278"/>
      <c r="I60" s="1278"/>
      <c r="J60" s="369"/>
      <c r="L60" s="363"/>
      <c r="M60" s="348"/>
    </row>
    <row r="61" spans="1:13">
      <c r="A61" s="1244" t="s">
        <v>930</v>
      </c>
      <c r="B61" s="1245"/>
      <c r="C61" s="1245"/>
      <c r="D61" s="1245"/>
      <c r="E61" s="1245"/>
      <c r="F61" s="1245"/>
      <c r="G61" s="1245"/>
      <c r="H61" s="1245"/>
      <c r="I61" s="1245"/>
      <c r="J61" s="1245"/>
      <c r="K61" s="1245"/>
      <c r="L61" s="367"/>
      <c r="M61" s="348"/>
    </row>
    <row r="62" spans="1:13">
      <c r="A62" s="368"/>
      <c r="B62" s="369"/>
      <c r="C62" s="369"/>
      <c r="D62" s="369"/>
      <c r="E62" s="369"/>
      <c r="F62" s="369"/>
      <c r="G62" s="369"/>
      <c r="H62" s="369"/>
      <c r="I62" s="369"/>
      <c r="J62" s="369"/>
      <c r="K62" s="369"/>
      <c r="L62" s="367"/>
      <c r="M62" s="348"/>
    </row>
    <row r="63" spans="1:13">
      <c r="A63" s="368"/>
      <c r="B63" s="369"/>
      <c r="C63" s="369"/>
      <c r="D63" s="369"/>
      <c r="E63" s="369"/>
      <c r="F63" s="369"/>
      <c r="G63" s="369"/>
      <c r="H63" s="369"/>
      <c r="I63" s="370" t="s">
        <v>1814</v>
      </c>
      <c r="J63" s="369"/>
      <c r="K63" s="369"/>
      <c r="L63" s="367"/>
      <c r="M63" s="348"/>
    </row>
    <row r="64" spans="1:13" ht="15.5">
      <c r="A64" s="1228" t="s">
        <v>931</v>
      </c>
      <c r="B64" s="1228"/>
      <c r="C64" s="1228"/>
      <c r="D64" s="1228"/>
      <c r="E64" s="1228"/>
      <c r="F64" s="1228"/>
      <c r="G64" s="1228"/>
      <c r="H64" s="1228"/>
      <c r="I64" s="1228"/>
      <c r="J64" s="234"/>
      <c r="L64" s="367"/>
      <c r="M64" s="348"/>
    </row>
    <row r="65" spans="1:13" ht="17.5">
      <c r="A65" s="1228" t="s">
        <v>920</v>
      </c>
      <c r="B65" s="1228"/>
      <c r="C65" s="1228"/>
      <c r="D65" s="1228"/>
      <c r="E65" s="1228"/>
      <c r="F65" s="1228"/>
      <c r="G65" s="1228"/>
      <c r="H65" s="1228"/>
      <c r="I65" s="1228"/>
      <c r="J65" s="234"/>
      <c r="K65" s="234"/>
      <c r="L65" s="367"/>
      <c r="M65" s="383"/>
    </row>
    <row r="66" spans="1:13" ht="15.5">
      <c r="A66" s="1228" t="s">
        <v>1480</v>
      </c>
      <c r="B66" s="1228"/>
      <c r="C66" s="1228"/>
      <c r="D66" s="1228"/>
      <c r="E66" s="1228"/>
      <c r="F66" s="1228"/>
      <c r="G66" s="1228"/>
      <c r="H66" s="1228"/>
      <c r="I66" s="1228"/>
      <c r="J66" s="234"/>
      <c r="K66" s="234"/>
      <c r="L66" s="344"/>
      <c r="M66" s="348"/>
    </row>
    <row r="67" spans="1:13" ht="6.75" customHeight="1">
      <c r="A67" s="341"/>
      <c r="B67" s="341"/>
      <c r="C67" s="341"/>
      <c r="D67" s="341"/>
      <c r="E67" s="341"/>
      <c r="F67" s="341"/>
      <c r="G67" s="373" t="s">
        <v>421</v>
      </c>
      <c r="H67" s="341"/>
      <c r="I67" s="341"/>
      <c r="J67" s="341"/>
      <c r="K67" s="341"/>
      <c r="L67" s="344"/>
      <c r="M67" s="348"/>
    </row>
    <row r="68" spans="1:13" ht="15.75" customHeight="1">
      <c r="A68" s="346"/>
      <c r="B68" s="232" t="s">
        <v>922</v>
      </c>
      <c r="C68" s="374"/>
      <c r="D68" s="374"/>
      <c r="E68" s="374"/>
      <c r="F68" s="236" t="s">
        <v>923</v>
      </c>
      <c r="G68" s="235"/>
      <c r="H68" s="235"/>
      <c r="I68" s="235"/>
      <c r="L68" s="344"/>
      <c r="M68" s="348"/>
    </row>
    <row r="69" spans="1:13" s="53" customFormat="1" ht="42">
      <c r="A69" s="243"/>
      <c r="B69" s="244" t="s">
        <v>6</v>
      </c>
      <c r="C69" s="245" t="s">
        <v>7</v>
      </c>
      <c r="D69" s="245" t="s">
        <v>924</v>
      </c>
      <c r="E69" s="245" t="s">
        <v>768</v>
      </c>
      <c r="F69" s="246" t="s">
        <v>6</v>
      </c>
      <c r="G69" s="245" t="s">
        <v>7</v>
      </c>
      <c r="H69" s="245" t="s">
        <v>924</v>
      </c>
      <c r="I69" s="245" t="s">
        <v>768</v>
      </c>
      <c r="L69" s="375"/>
      <c r="M69" s="384" t="s">
        <v>932</v>
      </c>
    </row>
    <row r="70" spans="1:13" ht="16.5" customHeight="1">
      <c r="A70" s="77" t="s">
        <v>925</v>
      </c>
      <c r="B70" s="352">
        <f>IF($M70&gt;0,('Amounts Pivot Table'!D$630/$M70),0)</f>
        <v>6987.0104979403268</v>
      </c>
      <c r="C70" s="352">
        <f>IF($M70&gt;0,('Amounts Pivot Table'!D$633/$M70),0)</f>
        <v>236.03339597541699</v>
      </c>
      <c r="D70" s="352">
        <f>IF($M70&gt;0,('Amounts Pivot Table'!D$639/$M70),0)</f>
        <v>10006.040638934062</v>
      </c>
      <c r="E70" s="352">
        <f>SUM(B70:D70)</f>
        <v>17229.084532849807</v>
      </c>
      <c r="F70" s="353"/>
      <c r="G70" s="354"/>
      <c r="H70" s="354"/>
      <c r="I70" s="354"/>
      <c r="J70" s="352"/>
      <c r="L70" s="356"/>
      <c r="M70" s="357">
        <v>246855.61350000004</v>
      </c>
    </row>
    <row r="71" spans="1:13" ht="10.5" customHeight="1">
      <c r="B71" s="352"/>
      <c r="C71" s="352"/>
      <c r="D71" s="352"/>
      <c r="E71" s="352"/>
      <c r="F71" s="353"/>
      <c r="G71" s="354"/>
      <c r="H71" s="354"/>
      <c r="I71" s="354"/>
      <c r="J71" s="352"/>
      <c r="L71" s="356"/>
      <c r="M71" s="357"/>
    </row>
    <row r="72" spans="1:13">
      <c r="A72" s="77" t="s">
        <v>777</v>
      </c>
      <c r="B72" s="288">
        <f>IF($M72&gt;0,('Amounts Pivot Table'!D$6/$M72),0)</f>
        <v>6501.5409438368997</v>
      </c>
      <c r="C72" s="288">
        <f>IF($M72&gt;0,('Amounts Pivot Table'!D$9/$M72),0)</f>
        <v>221.06452548911415</v>
      </c>
      <c r="D72" s="288">
        <f>IF($M72&gt;0,('Amounts Pivot Table'!D$15/$M72),0)</f>
        <v>10916.402231873164</v>
      </c>
      <c r="E72" s="288">
        <f>SUM(B72:D72)</f>
        <v>17639.007701199178</v>
      </c>
      <c r="F72" s="359">
        <f>IF(B72&gt;0,RANK(B72,$B$72:$B$90),)</f>
        <v>6</v>
      </c>
      <c r="G72" s="289">
        <f>IF(C72&gt;0,RANK(C72,$C$72:$C$90),)</f>
        <v>5</v>
      </c>
      <c r="H72" s="289">
        <f>IF(D72&gt;0,RANK(D72,$D$72:$D$90),)</f>
        <v>3</v>
      </c>
      <c r="I72" s="289">
        <f>IF(E72&gt;0,RANK(E72,$E$72:$E$90),)</f>
        <v>5</v>
      </c>
      <c r="J72" s="288"/>
      <c r="L72" s="356"/>
      <c r="M72" s="357">
        <v>17518.916666666668</v>
      </c>
    </row>
    <row r="73" spans="1:13">
      <c r="A73" s="77" t="s">
        <v>778</v>
      </c>
      <c r="B73" s="288">
        <f>IF($M73&gt;0,('Amounts Pivot Table'!D$45/$M73),0)</f>
        <v>8400.8255678119513</v>
      </c>
      <c r="C73" s="288">
        <f>IF($M73&gt;0,('Amounts Pivot Table'!D$48/$M73),0)</f>
        <v>556.6318741584256</v>
      </c>
      <c r="D73" s="288">
        <f>IF($M73&gt;0,('Amounts Pivot Table'!D$54/$M73),0)</f>
        <v>9619.8562969832619</v>
      </c>
      <c r="E73" s="288">
        <f>SUM(B73:D73)</f>
        <v>18577.313738953639</v>
      </c>
      <c r="F73" s="359">
        <f t="shared" ref="F73:F90" si="7">IF(B73&gt;0,RANK(B73,$B$72:$B$90),)</f>
        <v>4</v>
      </c>
      <c r="G73" s="289">
        <f t="shared" ref="G73:G90" si="8">IF(C73&gt;0,RANK(C73,$C$72:$C$90),)</f>
        <v>2</v>
      </c>
      <c r="H73" s="289">
        <f t="shared" ref="H73:H90" si="9">IF(D73&gt;0,RANK(D73,$D$72:$D$90),)</f>
        <v>6</v>
      </c>
      <c r="I73" s="289">
        <f t="shared" ref="I73:I90" si="10">IF(E73&gt;0,RANK(E73,$E$72:$E$90),)</f>
        <v>4</v>
      </c>
      <c r="J73" s="288"/>
      <c r="L73" s="356"/>
      <c r="M73" s="357">
        <v>7476.0666666666666</v>
      </c>
    </row>
    <row r="74" spans="1:13">
      <c r="A74" s="77" t="s">
        <v>779</v>
      </c>
      <c r="B74" s="288">
        <f>IF($M74&gt;0,('Amounts Pivot Table'!D$84/$M74),0)</f>
        <v>0</v>
      </c>
      <c r="C74" s="288">
        <f>IF($M74&gt;0,('Amounts Pivot Table'!D$87/$M74),0)</f>
        <v>0</v>
      </c>
      <c r="D74" s="288">
        <f>IF($M74&gt;0,('Amounts Pivot Table'!D$93/$M74),0)</f>
        <v>0</v>
      </c>
      <c r="E74" s="288">
        <f>SUM(B74:D74)</f>
        <v>0</v>
      </c>
      <c r="F74" s="359">
        <f t="shared" si="7"/>
        <v>0</v>
      </c>
      <c r="G74" s="289">
        <f t="shared" si="8"/>
        <v>0</v>
      </c>
      <c r="H74" s="289">
        <f t="shared" si="9"/>
        <v>0</v>
      </c>
      <c r="I74" s="289">
        <f t="shared" si="10"/>
        <v>0</v>
      </c>
      <c r="J74" s="288"/>
      <c r="L74" s="356"/>
      <c r="M74" s="357">
        <v>0</v>
      </c>
    </row>
    <row r="75" spans="1:13">
      <c r="A75" s="77" t="s">
        <v>780</v>
      </c>
      <c r="B75" s="288">
        <f>IF($M75&gt;0,('Amounts Pivot Table'!D$123/$M75),0)</f>
        <v>0</v>
      </c>
      <c r="C75" s="288">
        <f>IF($M75&gt;0,('Amounts Pivot Table'!D$126/$M75),0)</f>
        <v>0</v>
      </c>
      <c r="D75" s="288">
        <f>IF($M75&gt;0,('Amounts Pivot Table'!D$132/$M75),0)</f>
        <v>0</v>
      </c>
      <c r="E75" s="288">
        <f>SUM(B75:D75)</f>
        <v>0</v>
      </c>
      <c r="F75" s="359">
        <f t="shared" si="7"/>
        <v>0</v>
      </c>
      <c r="G75" s="289">
        <f t="shared" si="8"/>
        <v>0</v>
      </c>
      <c r="H75" s="289">
        <f t="shared" si="9"/>
        <v>0</v>
      </c>
      <c r="I75" s="289">
        <f t="shared" si="10"/>
        <v>0</v>
      </c>
      <c r="J75" s="288"/>
      <c r="L75" s="356"/>
      <c r="M75" s="357">
        <v>0</v>
      </c>
    </row>
    <row r="76" spans="1:13" ht="7.5" customHeight="1">
      <c r="B76" s="288"/>
      <c r="C76" s="288"/>
      <c r="D76" s="288"/>
      <c r="E76" s="288"/>
      <c r="F76" s="359"/>
      <c r="G76" s="289"/>
      <c r="H76" s="289"/>
      <c r="I76" s="289"/>
      <c r="J76" s="288"/>
      <c r="L76" s="356"/>
      <c r="M76" s="357"/>
    </row>
    <row r="77" spans="1:13">
      <c r="A77" s="77" t="s">
        <v>781</v>
      </c>
      <c r="B77" s="288">
        <f>IF($M77&gt;0,('Amounts Pivot Table'!D$162/$M77),0)</f>
        <v>10580.944045595303</v>
      </c>
      <c r="C77" s="288">
        <f>IF($M77&gt;0,('Amounts Pivot Table'!D$165/$M77),0)</f>
        <v>484.70439671182385</v>
      </c>
      <c r="D77" s="288">
        <f>IF($M77&gt;0,('Amounts Pivot Table'!D$171/$M77),0)</f>
        <v>14889.918437383472</v>
      </c>
      <c r="E77" s="288">
        <f>SUM(B77:D77)</f>
        <v>25955.566879690599</v>
      </c>
      <c r="F77" s="359">
        <f t="shared" si="7"/>
        <v>2</v>
      </c>
      <c r="G77" s="289">
        <f t="shared" si="8"/>
        <v>3</v>
      </c>
      <c r="H77" s="289">
        <f t="shared" si="9"/>
        <v>2</v>
      </c>
      <c r="I77" s="289">
        <f t="shared" si="10"/>
        <v>2</v>
      </c>
      <c r="J77" s="288"/>
      <c r="L77" s="356"/>
      <c r="M77" s="357">
        <v>30866.980166666668</v>
      </c>
    </row>
    <row r="78" spans="1:13">
      <c r="A78" s="77" t="s">
        <v>782</v>
      </c>
      <c r="B78" s="288">
        <f>IF($M78&gt;0,('Amounts Pivot Table'!D$201/$M78),0)</f>
        <v>0</v>
      </c>
      <c r="C78" s="288">
        <f>IF($M78&gt;0,('Amounts Pivot Table'!D$204/$M78),0)</f>
        <v>0</v>
      </c>
      <c r="D78" s="288">
        <f>IF($M78&gt;0,('Amounts Pivot Table'!D$210/$M78),0)</f>
        <v>0</v>
      </c>
      <c r="E78" s="288">
        <f>SUM(B78:D78)</f>
        <v>0</v>
      </c>
      <c r="F78" s="359">
        <f t="shared" si="7"/>
        <v>0</v>
      </c>
      <c r="G78" s="289">
        <f t="shared" si="8"/>
        <v>0</v>
      </c>
      <c r="H78" s="289">
        <f t="shared" si="9"/>
        <v>0</v>
      </c>
      <c r="I78" s="289">
        <f t="shared" si="10"/>
        <v>0</v>
      </c>
      <c r="J78" s="288"/>
      <c r="L78" s="356"/>
      <c r="M78" s="357">
        <v>0</v>
      </c>
    </row>
    <row r="79" spans="1:13">
      <c r="A79" s="77" t="s">
        <v>813</v>
      </c>
      <c r="B79" s="288">
        <f>IF($M79&gt;0,('Amounts Pivot Table'!D$240/$M79),0)</f>
        <v>3478.4314631646507</v>
      </c>
      <c r="C79" s="288">
        <f>IF($M79&gt;0,('Amounts Pivot Table'!D$243/$M79),0)</f>
        <v>0</v>
      </c>
      <c r="D79" s="288">
        <f>IF($M79&gt;0,('Amounts Pivot Table'!D$249/$M79),0)</f>
        <v>9350.7666757218631</v>
      </c>
      <c r="E79" s="288">
        <f>SUM(B79:D79)</f>
        <v>12829.198138886513</v>
      </c>
      <c r="F79" s="359">
        <f t="shared" si="7"/>
        <v>10</v>
      </c>
      <c r="G79" s="289">
        <f t="shared" si="8"/>
        <v>0</v>
      </c>
      <c r="H79" s="289">
        <f t="shared" si="9"/>
        <v>7</v>
      </c>
      <c r="I79" s="289">
        <f t="shared" si="10"/>
        <v>9</v>
      </c>
      <c r="J79" s="288"/>
      <c r="L79" s="356"/>
      <c r="M79" s="357">
        <v>30798.766666666666</v>
      </c>
    </row>
    <row r="80" spans="1:13">
      <c r="A80" s="77" t="s">
        <v>784</v>
      </c>
      <c r="B80" s="288">
        <f>IF($M80&gt;0,('Amounts Pivot Table'!D$279/$M80),0)</f>
        <v>13031.992001249368</v>
      </c>
      <c r="C80" s="288">
        <f>IF($M80&gt;0,('Amounts Pivot Table'!D$282/$M80),0)</f>
        <v>0</v>
      </c>
      <c r="D80" s="288">
        <f>IF($M80&gt;0,('Amounts Pivot Table'!D$288/$M80),0)</f>
        <v>10742.873634920898</v>
      </c>
      <c r="E80" s="288">
        <f>SUM(B80:D80)</f>
        <v>23774.865636170267</v>
      </c>
      <c r="F80" s="359">
        <f t="shared" si="7"/>
        <v>1</v>
      </c>
      <c r="G80" s="289">
        <f t="shared" si="8"/>
        <v>0</v>
      </c>
      <c r="H80" s="289">
        <f t="shared" si="9"/>
        <v>4</v>
      </c>
      <c r="I80" s="289">
        <f t="shared" si="10"/>
        <v>3</v>
      </c>
      <c r="J80" s="288"/>
      <c r="L80" s="356"/>
      <c r="M80" s="357">
        <v>19102.983333333334</v>
      </c>
    </row>
    <row r="81" spans="1:13" ht="6.75" customHeight="1">
      <c r="B81" s="288"/>
      <c r="C81" s="288"/>
      <c r="D81" s="288"/>
      <c r="E81" s="288"/>
      <c r="F81" s="359"/>
      <c r="G81" s="289"/>
      <c r="H81" s="289"/>
      <c r="I81" s="289"/>
      <c r="J81" s="288"/>
      <c r="L81" s="356"/>
      <c r="M81" s="357"/>
    </row>
    <row r="82" spans="1:13">
      <c r="A82" s="77" t="s">
        <v>785</v>
      </c>
      <c r="B82" s="288">
        <f>IF($M82&gt;0,('Amounts Pivot Table'!D$318/$M82),0)</f>
        <v>7263.9079139418591</v>
      </c>
      <c r="C82" s="288">
        <f>IF($M82&gt;0,('Amounts Pivot Table'!D$321/$M82),0)</f>
        <v>76.588455227657036</v>
      </c>
      <c r="D82" s="288">
        <f>IF($M82&gt;0,('Amounts Pivot Table'!D$327/$M82),0)</f>
        <v>8958.9610903783341</v>
      </c>
      <c r="E82" s="288">
        <f>SUM(B82:D82)</f>
        <v>16299.45745954785</v>
      </c>
      <c r="F82" s="359">
        <f t="shared" si="7"/>
        <v>5</v>
      </c>
      <c r="G82" s="289">
        <f t="shared" si="8"/>
        <v>6</v>
      </c>
      <c r="H82" s="289">
        <f t="shared" si="9"/>
        <v>8</v>
      </c>
      <c r="I82" s="289">
        <f t="shared" si="10"/>
        <v>6</v>
      </c>
      <c r="J82" s="288"/>
      <c r="L82" s="356"/>
      <c r="M82" s="357">
        <v>5977.7416666666668</v>
      </c>
    </row>
    <row r="83" spans="1:13">
      <c r="A83" s="77" t="s">
        <v>786</v>
      </c>
      <c r="B83" s="288">
        <f>IF($M83&gt;0,('Amounts Pivot Table'!D$357/$M83),0)</f>
        <v>9302.4835207386604</v>
      </c>
      <c r="C83" s="288">
        <f>IF($M83&gt;0,('Amounts Pivot Table'!D$360/$M83),0)</f>
        <v>0</v>
      </c>
      <c r="D83" s="288">
        <f>IF($M83&gt;0,('Amounts Pivot Table'!D$366/$M83),0)</f>
        <v>6550.6570293575942</v>
      </c>
      <c r="E83" s="288">
        <f>SUM(B83:D83)</f>
        <v>15853.140550096254</v>
      </c>
      <c r="F83" s="359">
        <f t="shared" si="7"/>
        <v>3</v>
      </c>
      <c r="G83" s="289">
        <f t="shared" si="8"/>
        <v>0</v>
      </c>
      <c r="H83" s="289">
        <f t="shared" si="9"/>
        <v>10</v>
      </c>
      <c r="I83" s="289">
        <f t="shared" si="10"/>
        <v>8</v>
      </c>
      <c r="J83" s="288"/>
      <c r="L83" s="356"/>
      <c r="M83" s="357">
        <v>25007.441666666666</v>
      </c>
    </row>
    <row r="84" spans="1:13">
      <c r="A84" s="77" t="s">
        <v>787</v>
      </c>
      <c r="B84" s="288">
        <f>IF($M84&gt;0,('Amounts Pivot Table'!D$396/$M84),0)</f>
        <v>0</v>
      </c>
      <c r="C84" s="288">
        <f>IF($M84&gt;0,('Amounts Pivot Table'!D$399/$M84),0)</f>
        <v>0</v>
      </c>
      <c r="D84" s="288">
        <f>IF($M84&gt;0,('Amounts Pivot Table'!D$405/$M84),0)</f>
        <v>0</v>
      </c>
      <c r="E84" s="288">
        <f>SUM(B84:D84)</f>
        <v>0</v>
      </c>
      <c r="F84" s="359">
        <f t="shared" si="7"/>
        <v>0</v>
      </c>
      <c r="G84" s="289">
        <f t="shared" si="8"/>
        <v>0</v>
      </c>
      <c r="H84" s="289">
        <f t="shared" si="9"/>
        <v>0</v>
      </c>
      <c r="I84" s="289">
        <f t="shared" si="10"/>
        <v>0</v>
      </c>
      <c r="J84" s="288"/>
      <c r="L84" s="356"/>
      <c r="M84" s="357">
        <v>0</v>
      </c>
    </row>
    <row r="85" spans="1:13">
      <c r="A85" s="77" t="s">
        <v>788</v>
      </c>
      <c r="B85" s="288">
        <f>IF($M85&gt;0,('Amounts Pivot Table'!D$435/$M85),0)</f>
        <v>0</v>
      </c>
      <c r="C85" s="288">
        <f>IF($M85&gt;0,('Amounts Pivot Table'!D$438/$M85),0)</f>
        <v>0</v>
      </c>
      <c r="D85" s="288">
        <f>IF($M85&gt;0,('Amounts Pivot Table'!D$444/$M85),0)</f>
        <v>0</v>
      </c>
      <c r="E85" s="288">
        <f>SUM(B85:D85)</f>
        <v>0</v>
      </c>
      <c r="F85" s="359">
        <f t="shared" si="7"/>
        <v>0</v>
      </c>
      <c r="G85" s="289">
        <f t="shared" si="8"/>
        <v>0</v>
      </c>
      <c r="H85" s="289">
        <f t="shared" si="9"/>
        <v>0</v>
      </c>
      <c r="I85" s="289">
        <f t="shared" si="10"/>
        <v>0</v>
      </c>
      <c r="J85" s="288"/>
      <c r="L85" s="356"/>
      <c r="M85" s="357">
        <v>0</v>
      </c>
    </row>
    <row r="86" spans="1:13" ht="7.5" customHeight="1">
      <c r="B86" s="288"/>
      <c r="C86" s="288"/>
      <c r="D86" s="288"/>
      <c r="E86" s="288"/>
      <c r="F86" s="359"/>
      <c r="G86" s="289"/>
      <c r="H86" s="289"/>
      <c r="I86" s="289"/>
      <c r="J86" s="355"/>
      <c r="K86" s="355"/>
      <c r="L86" s="356"/>
      <c r="M86" s="357"/>
    </row>
    <row r="87" spans="1:13">
      <c r="A87" s="77" t="s">
        <v>789</v>
      </c>
      <c r="B87" s="288">
        <f>IF($M87&gt;0,('Amounts Pivot Table'!D$474/$M87),0)</f>
        <v>6129.1527752628263</v>
      </c>
      <c r="C87" s="288">
        <f>IF($M87&gt;0,('Amounts Pivot Table'!D$477/$M87),0)</f>
        <v>269.04231863063598</v>
      </c>
      <c r="D87" s="288">
        <f>IF($M87&gt;0,('Amounts Pivot Table'!D$483/$M87),0)</f>
        <v>9772.4061331657485</v>
      </c>
      <c r="E87" s="288">
        <f>SUM(B87:D87)</f>
        <v>16170.601227059211</v>
      </c>
      <c r="F87" s="359">
        <f t="shared" si="7"/>
        <v>7</v>
      </c>
      <c r="G87" s="289">
        <f t="shared" si="8"/>
        <v>4</v>
      </c>
      <c r="H87" s="289">
        <f t="shared" si="9"/>
        <v>5</v>
      </c>
      <c r="I87" s="289">
        <f t="shared" si="10"/>
        <v>7</v>
      </c>
      <c r="J87" s="355"/>
      <c r="K87" s="355"/>
      <c r="L87" s="356"/>
      <c r="M87" s="357">
        <v>37553.200000000004</v>
      </c>
    </row>
    <row r="88" spans="1:13">
      <c r="A88" s="77" t="s">
        <v>790</v>
      </c>
      <c r="B88" s="288">
        <f>IF($M88&gt;0,('Amounts Pivot Table'!D$513/$M88),0)</f>
        <v>4874.7936550648446</v>
      </c>
      <c r="C88" s="288">
        <f>IF($M88&gt;0,('Amounts Pivot Table'!D$516/$M88),0)</f>
        <v>7.5852578857021511</v>
      </c>
      <c r="D88" s="288">
        <f>IF($M88&gt;0,('Amounts Pivot Table'!D$522/$M88),0)</f>
        <v>6982.8180808045654</v>
      </c>
      <c r="E88" s="288">
        <f>SUM(B88:D88)</f>
        <v>11865.196993755111</v>
      </c>
      <c r="F88" s="359">
        <f t="shared" si="7"/>
        <v>9</v>
      </c>
      <c r="G88" s="289">
        <f t="shared" si="8"/>
        <v>7</v>
      </c>
      <c r="H88" s="289">
        <f t="shared" si="9"/>
        <v>9</v>
      </c>
      <c r="I88" s="289">
        <f t="shared" si="10"/>
        <v>10</v>
      </c>
      <c r="J88" s="355"/>
      <c r="K88" s="355"/>
      <c r="L88" s="356"/>
      <c r="M88" s="357">
        <v>63920.274999999994</v>
      </c>
    </row>
    <row r="89" spans="1:13" s="362" customFormat="1" ht="14.25" customHeight="1">
      <c r="A89" s="77" t="s">
        <v>791</v>
      </c>
      <c r="B89" s="288">
        <f>IF($M89&gt;0,('Amounts Pivot Table'!D$552/$M89),0)</f>
        <v>5510.5641469166176</v>
      </c>
      <c r="C89" s="288">
        <f>IF($M89&gt;0,('Amounts Pivot Table'!D$555/$M89),0)</f>
        <v>2805.9566655630515</v>
      </c>
      <c r="D89" s="288">
        <f>IF($M89&gt;0,('Amounts Pivot Table'!D$561/$M89),0)</f>
        <v>25872.892781680115</v>
      </c>
      <c r="E89" s="288">
        <f>SUM(B89:D89)</f>
        <v>34189.413594159785</v>
      </c>
      <c r="F89" s="359">
        <f t="shared" si="7"/>
        <v>8</v>
      </c>
      <c r="G89" s="289">
        <f t="shared" si="8"/>
        <v>1</v>
      </c>
      <c r="H89" s="289">
        <f t="shared" si="9"/>
        <v>1</v>
      </c>
      <c r="I89" s="289">
        <f t="shared" si="10"/>
        <v>1</v>
      </c>
      <c r="J89" s="355"/>
      <c r="K89" s="355"/>
      <c r="L89" s="363"/>
      <c r="M89" s="357">
        <v>8633.2416666666668</v>
      </c>
    </row>
    <row r="90" spans="1:13">
      <c r="A90" s="277" t="s">
        <v>792</v>
      </c>
      <c r="B90" s="296">
        <f>IF($M90&gt;0,('Amounts Pivot Table'!D$591/$M90),0)</f>
        <v>0</v>
      </c>
      <c r="C90" s="296">
        <f>IF($M90&gt;0,('Amounts Pivot Table'!D$594/$M90),0)</f>
        <v>0</v>
      </c>
      <c r="D90" s="296">
        <f>IF($M90&gt;0,('Amounts Pivot Table'!D$600/$M90),0)</f>
        <v>0</v>
      </c>
      <c r="E90" s="364">
        <f>SUM(B90:D90)</f>
        <v>0</v>
      </c>
      <c r="F90" s="365">
        <f t="shared" si="7"/>
        <v>0</v>
      </c>
      <c r="G90" s="366">
        <f t="shared" si="8"/>
        <v>0</v>
      </c>
      <c r="H90" s="366">
        <f t="shared" si="9"/>
        <v>0</v>
      </c>
      <c r="I90" s="366">
        <f t="shared" si="10"/>
        <v>0</v>
      </c>
      <c r="J90" s="355"/>
      <c r="K90" s="355"/>
      <c r="L90" s="367"/>
      <c r="M90" s="357">
        <v>0</v>
      </c>
    </row>
    <row r="91" spans="1:13" ht="39" customHeight="1">
      <c r="A91" s="1244" t="s">
        <v>926</v>
      </c>
      <c r="B91" s="1245"/>
      <c r="C91" s="1245"/>
      <c r="D91" s="1245"/>
      <c r="E91" s="1245"/>
      <c r="F91" s="1245"/>
      <c r="G91" s="1245"/>
      <c r="H91" s="1245"/>
      <c r="I91" s="1245"/>
      <c r="J91" s="355"/>
      <c r="K91" s="355"/>
      <c r="L91" s="367"/>
      <c r="M91" s="382"/>
    </row>
    <row r="92" spans="1:13" s="362" customFormat="1" ht="22.5" customHeight="1">
      <c r="A92" s="1244" t="s">
        <v>927</v>
      </c>
      <c r="B92" s="1278"/>
      <c r="C92" s="1278"/>
      <c r="D92" s="1278"/>
      <c r="E92" s="1278"/>
      <c r="F92" s="1278"/>
      <c r="G92" s="1278"/>
      <c r="H92" s="1278"/>
      <c r="I92" s="1278"/>
      <c r="J92" s="369"/>
      <c r="L92" s="363"/>
      <c r="M92" s="348"/>
    </row>
    <row r="93" spans="1:13">
      <c r="A93" s="385" t="s">
        <v>930</v>
      </c>
      <c r="L93" s="367"/>
      <c r="M93" s="348"/>
    </row>
    <row r="94" spans="1:13">
      <c r="A94" s="385"/>
      <c r="L94" s="367"/>
      <c r="M94" s="348"/>
    </row>
    <row r="95" spans="1:13">
      <c r="A95" s="385"/>
      <c r="I95" s="370" t="s">
        <v>1814</v>
      </c>
      <c r="L95" s="367"/>
      <c r="M95" s="348"/>
    </row>
    <row r="96" spans="1:13" ht="15.5">
      <c r="A96" s="1228" t="s">
        <v>933</v>
      </c>
      <c r="B96" s="1228"/>
      <c r="C96" s="1228"/>
      <c r="D96" s="1228"/>
      <c r="E96" s="1228"/>
      <c r="F96" s="1228"/>
      <c r="G96" s="1228"/>
      <c r="H96" s="1228"/>
      <c r="I96" s="1228"/>
      <c r="J96" s="355"/>
      <c r="K96" s="355"/>
      <c r="L96" s="367"/>
      <c r="M96" s="348"/>
    </row>
    <row r="97" spans="1:13" ht="17.5">
      <c r="A97" s="1228" t="s">
        <v>920</v>
      </c>
      <c r="B97" s="1228"/>
      <c r="C97" s="1228"/>
      <c r="D97" s="1228"/>
      <c r="E97" s="1228"/>
      <c r="F97" s="1228"/>
      <c r="G97" s="1228"/>
      <c r="H97" s="1228"/>
      <c r="I97" s="1228"/>
      <c r="J97" s="355"/>
      <c r="K97" s="355"/>
      <c r="L97" s="367"/>
      <c r="M97" s="348"/>
    </row>
    <row r="98" spans="1:13" ht="15.5">
      <c r="A98" s="1228" t="s">
        <v>1481</v>
      </c>
      <c r="B98" s="1228"/>
      <c r="C98" s="1228"/>
      <c r="D98" s="1228"/>
      <c r="E98" s="1228"/>
      <c r="F98" s="1228"/>
      <c r="G98" s="1228"/>
      <c r="H98" s="1228"/>
      <c r="I98" s="1228"/>
      <c r="J98" s="341"/>
      <c r="K98" s="341"/>
      <c r="L98" s="344"/>
      <c r="M98" s="348"/>
    </row>
    <row r="99" spans="1:13" ht="9" customHeight="1">
      <c r="A99" s="341"/>
      <c r="B99" s="341"/>
      <c r="C99" s="341"/>
      <c r="D99" s="341"/>
      <c r="E99" s="341"/>
      <c r="F99" s="341"/>
      <c r="G99" s="373"/>
      <c r="H99" s="341"/>
      <c r="I99" s="341"/>
      <c r="J99" s="341"/>
      <c r="K99" s="341"/>
      <c r="L99" s="344"/>
      <c r="M99" s="348"/>
    </row>
    <row r="100" spans="1:13" ht="15.75" customHeight="1">
      <c r="A100" s="346"/>
      <c r="B100" s="232" t="s">
        <v>922</v>
      </c>
      <c r="C100" s="374"/>
      <c r="D100" s="374"/>
      <c r="E100" s="374"/>
      <c r="F100" s="236" t="s">
        <v>923</v>
      </c>
      <c r="G100" s="235"/>
      <c r="H100" s="235"/>
      <c r="I100" s="235"/>
      <c r="L100" s="344"/>
      <c r="M100" s="348"/>
    </row>
    <row r="101" spans="1:13" s="53" customFormat="1" ht="42">
      <c r="A101" s="386"/>
      <c r="B101" s="244" t="s">
        <v>6</v>
      </c>
      <c r="C101" s="245" t="s">
        <v>7</v>
      </c>
      <c r="D101" s="245" t="s">
        <v>924</v>
      </c>
      <c r="E101" s="245" t="s">
        <v>768</v>
      </c>
      <c r="F101" s="246" t="s">
        <v>6</v>
      </c>
      <c r="G101" s="245" t="s">
        <v>7</v>
      </c>
      <c r="H101" s="245" t="s">
        <v>924</v>
      </c>
      <c r="I101" s="245" t="s">
        <v>768</v>
      </c>
      <c r="L101" s="375"/>
      <c r="M101" s="348" t="s">
        <v>932</v>
      </c>
    </row>
    <row r="102" spans="1:13" ht="16.5" customHeight="1">
      <c r="A102" s="77" t="s">
        <v>925</v>
      </c>
      <c r="B102" s="352">
        <f>IF($M102&gt;0,('Amounts Pivot Table'!E$630/$M102),0)</f>
        <v>5657.3091583763471</v>
      </c>
      <c r="C102" s="352">
        <f>IF($M102&gt;0,('Amounts Pivot Table'!E$633/$M102),0)</f>
        <v>79.193185685422876</v>
      </c>
      <c r="D102" s="352">
        <f>IF($M102&gt;0,('Amounts Pivot Table'!E$639/$M102),0)</f>
        <v>8358.3033167607573</v>
      </c>
      <c r="E102" s="352">
        <f>SUM(B102:D102)</f>
        <v>14094.805660822527</v>
      </c>
      <c r="F102" s="353"/>
      <c r="G102" s="354"/>
      <c r="H102" s="354"/>
      <c r="I102" s="354"/>
      <c r="J102" s="352"/>
      <c r="L102" s="356"/>
      <c r="M102" s="357">
        <v>578144.42749999999</v>
      </c>
    </row>
    <row r="103" spans="1:13" s="376" customFormat="1">
      <c r="B103" s="380"/>
      <c r="C103" s="380"/>
      <c r="D103" s="380"/>
      <c r="E103" s="380"/>
      <c r="F103" s="387"/>
      <c r="G103" s="388"/>
      <c r="H103" s="388"/>
      <c r="I103" s="388"/>
      <c r="J103" s="380"/>
      <c r="L103" s="381"/>
      <c r="M103" s="357"/>
    </row>
    <row r="104" spans="1:13" ht="12.75" customHeight="1">
      <c r="A104" s="77" t="s">
        <v>777</v>
      </c>
      <c r="B104" s="288">
        <f>IF($M104&gt;0,('Amounts Pivot Table'!E$6/$M104),0)</f>
        <v>5411.5845088512979</v>
      </c>
      <c r="C104" s="288">
        <f>IF($M104&gt;0,('Amounts Pivot Table'!E$9/$M104),0)</f>
        <v>317.03627486055854</v>
      </c>
      <c r="D104" s="288">
        <f>IF($M104&gt;0,('Amounts Pivot Table'!E$15/$M104),0)</f>
        <v>11167.098945279915</v>
      </c>
      <c r="E104" s="288">
        <f>SUM(B104:D104)</f>
        <v>16895.719728991771</v>
      </c>
      <c r="F104" s="359">
        <f>IF(B104&gt;0,RANK(B104,$B$104:$B$122),)</f>
        <v>7</v>
      </c>
      <c r="G104" s="289">
        <f>IF(C104&gt;0,RANK(C104,$C$104:$C$122),)</f>
        <v>1</v>
      </c>
      <c r="H104" s="289">
        <f>IF(D104&gt;0,RANK(D104,$D$104:$D$122),)</f>
        <v>3</v>
      </c>
      <c r="I104" s="289">
        <f>IF(E104&gt;0,RANK(E104,$E$104:$E$122),)</f>
        <v>4</v>
      </c>
      <c r="J104" s="288"/>
      <c r="L104" s="356"/>
      <c r="M104" s="357">
        <v>35684.033333333333</v>
      </c>
    </row>
    <row r="105" spans="1:13" ht="12.75" customHeight="1">
      <c r="A105" s="77" t="s">
        <v>778</v>
      </c>
      <c r="B105" s="288">
        <f>IF($M105&gt;0,('Amounts Pivot Table'!E$45/$M105),0)</f>
        <v>4981.4146932312251</v>
      </c>
      <c r="C105" s="288">
        <f>IF($M105&gt;0,('Amounts Pivot Table'!E$48/$M105),0)</f>
        <v>102.88829131885876</v>
      </c>
      <c r="D105" s="288">
        <f>IF($M105&gt;0,('Amounts Pivot Table'!E$54/$M105),0)</f>
        <v>8519.6884238908096</v>
      </c>
      <c r="E105" s="288">
        <f>SUM(B105:D105)</f>
        <v>13603.991408440894</v>
      </c>
      <c r="F105" s="359">
        <f t="shared" ref="F105:F122" si="11">IF(B105&gt;0,RANK(B105,$B$104:$B$122),)</f>
        <v>10</v>
      </c>
      <c r="G105" s="289">
        <f t="shared" ref="G105:G122" si="12">IF(C105&gt;0,RANK(C105,$C$104:$C$122),)</f>
        <v>7</v>
      </c>
      <c r="H105" s="289">
        <f t="shared" ref="H105:H122" si="13">IF(D105&gt;0,RANK(D105,$D$104:$D$122),)</f>
        <v>8</v>
      </c>
      <c r="I105" s="289">
        <f t="shared" ref="I105:I122" si="14">IF(E105&gt;0,RANK(E105,$E$104:$E$122),)</f>
        <v>10</v>
      </c>
      <c r="J105" s="288"/>
      <c r="L105" s="356"/>
      <c r="M105" s="357">
        <v>31228.325000000001</v>
      </c>
    </row>
    <row r="106" spans="1:13" ht="12.75" customHeight="1">
      <c r="A106" s="77" t="s">
        <v>779</v>
      </c>
      <c r="B106" s="288">
        <f>IF($M106&gt;0,('Amounts Pivot Table'!E$84/$M106),0)</f>
        <v>7980.7118823767305</v>
      </c>
      <c r="C106" s="288">
        <f>IF($M106&gt;0,('Amounts Pivot Table'!E$87/$M106),0)</f>
        <v>0</v>
      </c>
      <c r="D106" s="288">
        <f>IF($M106&gt;0,('Amounts Pivot Table'!E$93/$M106),0)</f>
        <v>7063.6126054078868</v>
      </c>
      <c r="E106" s="288">
        <f>SUM(B106:D106)</f>
        <v>15044.324487784617</v>
      </c>
      <c r="F106" s="359">
        <f t="shared" si="11"/>
        <v>2</v>
      </c>
      <c r="G106" s="289">
        <f t="shared" si="12"/>
        <v>0</v>
      </c>
      <c r="H106" s="289">
        <f t="shared" si="13"/>
        <v>10</v>
      </c>
      <c r="I106" s="289">
        <f t="shared" si="14"/>
        <v>7</v>
      </c>
      <c r="J106" s="288"/>
      <c r="L106" s="356"/>
      <c r="M106" s="357">
        <v>4574.4916666666668</v>
      </c>
    </row>
    <row r="107" spans="1:13" ht="12.75" customHeight="1">
      <c r="A107" s="77" t="s">
        <v>780</v>
      </c>
      <c r="B107" s="288">
        <f>IF($M107&gt;0,('Amounts Pivot Table'!E$123/$M107),0)</f>
        <v>0</v>
      </c>
      <c r="C107" s="288">
        <f>IF($M107&gt;0,('Amounts Pivot Table'!E$126/$M107),0)</f>
        <v>0</v>
      </c>
      <c r="D107" s="288">
        <f>IF($M107&gt;0,('Amounts Pivot Table'!E$132/$M107),0)</f>
        <v>0</v>
      </c>
      <c r="E107" s="288">
        <f>SUM(B107:D107)</f>
        <v>0</v>
      </c>
      <c r="F107" s="359">
        <f t="shared" si="11"/>
        <v>0</v>
      </c>
      <c r="G107" s="289">
        <f t="shared" si="12"/>
        <v>0</v>
      </c>
      <c r="H107" s="289">
        <f t="shared" si="13"/>
        <v>0</v>
      </c>
      <c r="I107" s="289">
        <f t="shared" si="14"/>
        <v>0</v>
      </c>
      <c r="J107" s="288"/>
      <c r="L107" s="356"/>
      <c r="M107" s="357">
        <v>0</v>
      </c>
    </row>
    <row r="108" spans="1:13" s="376" customFormat="1">
      <c r="B108" s="380"/>
      <c r="C108" s="380"/>
      <c r="D108" s="380"/>
      <c r="E108" s="380"/>
      <c r="F108" s="359"/>
      <c r="G108" s="289"/>
      <c r="H108" s="289"/>
      <c r="I108" s="289"/>
      <c r="J108" s="380"/>
      <c r="L108" s="381"/>
      <c r="M108" s="357"/>
    </row>
    <row r="109" spans="1:13" ht="12.75" customHeight="1">
      <c r="A109" s="77" t="s">
        <v>781</v>
      </c>
      <c r="B109" s="288">
        <f>IF($M109&gt;0,('Amounts Pivot Table'!E$162/$M109),0)</f>
        <v>5468.0785431205604</v>
      </c>
      <c r="C109" s="288">
        <f>IF($M109&gt;0,('Amounts Pivot Table'!E$165/$M109),0)</f>
        <v>0</v>
      </c>
      <c r="D109" s="288">
        <f>IF($M109&gt;0,('Amounts Pivot Table'!E$171/$M109),0)</f>
        <v>6816.5070013538525</v>
      </c>
      <c r="E109" s="288">
        <f>SUM(B109:D109)</f>
        <v>12284.585544474412</v>
      </c>
      <c r="F109" s="359">
        <f t="shared" si="11"/>
        <v>5</v>
      </c>
      <c r="G109" s="289">
        <f t="shared" si="12"/>
        <v>0</v>
      </c>
      <c r="H109" s="289">
        <f t="shared" si="13"/>
        <v>11</v>
      </c>
      <c r="I109" s="289">
        <f t="shared" si="14"/>
        <v>11</v>
      </c>
      <c r="J109" s="288"/>
      <c r="L109" s="356"/>
      <c r="M109" s="357">
        <v>77713.362500000003</v>
      </c>
    </row>
    <row r="110" spans="1:13" ht="12.75" customHeight="1">
      <c r="A110" s="77" t="s">
        <v>782</v>
      </c>
      <c r="B110" s="288">
        <f>IF($M110&gt;0,('Amounts Pivot Table'!E$201/$M110),0)</f>
        <v>5159.8063291066428</v>
      </c>
      <c r="C110" s="288">
        <f>IF($M110&gt;0,('Amounts Pivot Table'!E$204/$M110),0)</f>
        <v>298.41182565151524</v>
      </c>
      <c r="D110" s="288">
        <f>IF($M110&gt;0,('Amounts Pivot Table'!E$210/$M110),0)</f>
        <v>13179.081722945057</v>
      </c>
      <c r="E110" s="288">
        <f>SUM(B110:D110)</f>
        <v>18637.299877703215</v>
      </c>
      <c r="F110" s="359">
        <f t="shared" si="11"/>
        <v>8</v>
      </c>
      <c r="G110" s="289">
        <f t="shared" si="12"/>
        <v>2</v>
      </c>
      <c r="H110" s="289">
        <f t="shared" si="13"/>
        <v>2</v>
      </c>
      <c r="I110" s="289">
        <f t="shared" si="14"/>
        <v>2</v>
      </c>
      <c r="J110" s="288"/>
      <c r="L110" s="356"/>
      <c r="M110" s="357">
        <v>49984.279166666667</v>
      </c>
    </row>
    <row r="111" spans="1:13" ht="12.75" customHeight="1">
      <c r="A111" s="77" t="s">
        <v>813</v>
      </c>
      <c r="B111" s="288">
        <f>IF($M111&gt;0,('Amounts Pivot Table'!E$240/$M111),0)</f>
        <v>3238.6401261736437</v>
      </c>
      <c r="C111" s="288">
        <f>IF($M111&gt;0,('Amounts Pivot Table'!E$243/$M111),0)</f>
        <v>182.89684610585579</v>
      </c>
      <c r="D111" s="288">
        <f>IF($M111&gt;0,('Amounts Pivot Table'!E$249/$M111),0)</f>
        <v>8292.5826818314108</v>
      </c>
      <c r="E111" s="288">
        <f>SUM(B111:D111)</f>
        <v>11714.119654110909</v>
      </c>
      <c r="F111" s="359">
        <f t="shared" si="11"/>
        <v>13</v>
      </c>
      <c r="G111" s="289">
        <f t="shared" si="12"/>
        <v>4</v>
      </c>
      <c r="H111" s="289">
        <f t="shared" si="13"/>
        <v>9</v>
      </c>
      <c r="I111" s="289">
        <f t="shared" si="14"/>
        <v>12</v>
      </c>
      <c r="J111" s="288"/>
      <c r="L111" s="356"/>
      <c r="M111" s="357">
        <v>31697.058333333331</v>
      </c>
    </row>
    <row r="112" spans="1:13" ht="12.75" customHeight="1">
      <c r="A112" s="77" t="s">
        <v>784</v>
      </c>
      <c r="B112" s="288">
        <f>IF($M112&gt;0,('Amounts Pivot Table'!E$279/$M112),0)</f>
        <v>7341.8274489355908</v>
      </c>
      <c r="C112" s="288">
        <f>IF($M112&gt;0,('Amounts Pivot Table'!E$282/$M112),0)</f>
        <v>0</v>
      </c>
      <c r="D112" s="288">
        <f>IF($M112&gt;0,('Amounts Pivot Table'!E$288/$M112),0)</f>
        <v>10698.956672681421</v>
      </c>
      <c r="E112" s="288">
        <f>SUM(B112:D112)</f>
        <v>18040.784121617013</v>
      </c>
      <c r="F112" s="359">
        <f t="shared" si="11"/>
        <v>3</v>
      </c>
      <c r="G112" s="289">
        <f t="shared" si="12"/>
        <v>0</v>
      </c>
      <c r="H112" s="289">
        <f t="shared" si="13"/>
        <v>5</v>
      </c>
      <c r="I112" s="289">
        <f t="shared" si="14"/>
        <v>3</v>
      </c>
      <c r="J112" s="288"/>
      <c r="L112" s="356"/>
      <c r="M112" s="357">
        <v>23509.320833333331</v>
      </c>
    </row>
    <row r="113" spans="1:13" s="376" customFormat="1">
      <c r="B113" s="380"/>
      <c r="C113" s="380"/>
      <c r="D113" s="380"/>
      <c r="E113" s="380"/>
      <c r="F113" s="359"/>
      <c r="G113" s="289"/>
      <c r="H113" s="289"/>
      <c r="I113" s="289"/>
      <c r="J113" s="380"/>
      <c r="L113" s="381"/>
      <c r="M113" s="357"/>
    </row>
    <row r="114" spans="1:13" ht="12.75" customHeight="1">
      <c r="A114" s="77" t="s">
        <v>785</v>
      </c>
      <c r="B114" s="288">
        <f>IF($M114&gt;0,('Amounts Pivot Table'!E$318/$M114),0)</f>
        <v>0</v>
      </c>
      <c r="C114" s="288">
        <f>IF($M114&gt;0,('Amounts Pivot Table'!E$321/$M114),0)</f>
        <v>0</v>
      </c>
      <c r="D114" s="288">
        <f>IF($M114&gt;0,('Amounts Pivot Table'!E$327/$M114),0)</f>
        <v>0</v>
      </c>
      <c r="E114" s="288">
        <f>SUM(B114:D114)</f>
        <v>0</v>
      </c>
      <c r="F114" s="359">
        <f t="shared" si="11"/>
        <v>0</v>
      </c>
      <c r="G114" s="289">
        <f t="shared" si="12"/>
        <v>0</v>
      </c>
      <c r="H114" s="289">
        <f t="shared" si="13"/>
        <v>0</v>
      </c>
      <c r="I114" s="289">
        <f t="shared" si="14"/>
        <v>0</v>
      </c>
      <c r="J114" s="288"/>
      <c r="L114" s="356"/>
      <c r="M114" s="357">
        <v>0</v>
      </c>
    </row>
    <row r="115" spans="1:13" ht="12.75" customHeight="1">
      <c r="A115" s="77" t="s">
        <v>786</v>
      </c>
      <c r="B115" s="288">
        <f>IF($M115&gt;0,('Amounts Pivot Table'!E$357/$M115),0)</f>
        <v>9521.1648815795434</v>
      </c>
      <c r="C115" s="288">
        <f>IF($M115&gt;0,('Amounts Pivot Table'!E$360/$M115),0)</f>
        <v>0</v>
      </c>
      <c r="D115" s="288">
        <f>IF($M115&gt;0,('Amounts Pivot Table'!E$366/$M115),0)</f>
        <v>5686.0865248113196</v>
      </c>
      <c r="E115" s="288">
        <f>SUM(B115:D115)</f>
        <v>15207.251406390864</v>
      </c>
      <c r="F115" s="359">
        <f t="shared" si="11"/>
        <v>1</v>
      </c>
      <c r="G115" s="289">
        <f t="shared" si="12"/>
        <v>0</v>
      </c>
      <c r="H115" s="289">
        <f t="shared" si="13"/>
        <v>13</v>
      </c>
      <c r="I115" s="289">
        <f t="shared" si="14"/>
        <v>6</v>
      </c>
      <c r="J115" s="288"/>
      <c r="L115" s="356"/>
      <c r="M115" s="357">
        <v>64427.916666666672</v>
      </c>
    </row>
    <row r="116" spans="1:13" ht="12.75" customHeight="1">
      <c r="A116" s="77" t="s">
        <v>787</v>
      </c>
      <c r="B116" s="288">
        <f>IF($M116&gt;0,('Amounts Pivot Table'!E$396/$M116),0)</f>
        <v>0</v>
      </c>
      <c r="C116" s="288">
        <f>IF($M116&gt;0,('Amounts Pivot Table'!E$399/$M116),0)</f>
        <v>0</v>
      </c>
      <c r="D116" s="288">
        <f>IF($M116&gt;0,('Amounts Pivot Table'!E$405/$M116),0)</f>
        <v>0</v>
      </c>
      <c r="E116" s="288">
        <f>SUM(B116:D116)</f>
        <v>0</v>
      </c>
      <c r="F116" s="359">
        <f t="shared" si="11"/>
        <v>0</v>
      </c>
      <c r="G116" s="289">
        <f t="shared" si="12"/>
        <v>0</v>
      </c>
      <c r="H116" s="289">
        <f t="shared" si="13"/>
        <v>0</v>
      </c>
      <c r="I116" s="289">
        <f t="shared" si="14"/>
        <v>0</v>
      </c>
      <c r="J116" s="288"/>
      <c r="L116" s="356"/>
      <c r="M116" s="357">
        <v>0</v>
      </c>
    </row>
    <row r="117" spans="1:13" ht="12.75" customHeight="1">
      <c r="A117" s="77" t="s">
        <v>788</v>
      </c>
      <c r="B117" s="288">
        <f>IF($M117&gt;0,('Amounts Pivot Table'!E$435/$M117),0)</f>
        <v>3266.4837379171645</v>
      </c>
      <c r="C117" s="288">
        <f>IF($M117&gt;0,('Amounts Pivot Table'!E$438/$M117),0)</f>
        <v>133.71453123968698</v>
      </c>
      <c r="D117" s="288">
        <f>IF($M117&gt;0,('Amounts Pivot Table'!E$444/$M117),0)</f>
        <v>16572.293671305459</v>
      </c>
      <c r="E117" s="288">
        <f>SUM(B117:D117)</f>
        <v>19972.491940462311</v>
      </c>
      <c r="F117" s="359">
        <f t="shared" si="11"/>
        <v>12</v>
      </c>
      <c r="G117" s="289">
        <f t="shared" si="12"/>
        <v>6</v>
      </c>
      <c r="H117" s="289">
        <f t="shared" si="13"/>
        <v>1</v>
      </c>
      <c r="I117" s="289">
        <f t="shared" si="14"/>
        <v>1</v>
      </c>
      <c r="J117" s="288"/>
      <c r="L117" s="356"/>
      <c r="M117" s="357">
        <v>19317.174999999999</v>
      </c>
    </row>
    <row r="118" spans="1:13" s="376" customFormat="1">
      <c r="B118" s="380"/>
      <c r="C118" s="380"/>
      <c r="D118" s="380"/>
      <c r="E118" s="380"/>
      <c r="F118" s="359"/>
      <c r="G118" s="289"/>
      <c r="H118" s="289"/>
      <c r="I118" s="289"/>
      <c r="J118" s="380"/>
      <c r="L118" s="381"/>
      <c r="M118" s="357"/>
    </row>
    <row r="119" spans="1:13" ht="12.75" customHeight="1">
      <c r="A119" s="77" t="s">
        <v>789</v>
      </c>
      <c r="B119" s="288">
        <f>IF($M119&gt;0,('Amounts Pivot Table'!E$474/$M119),0)</f>
        <v>6186.0885076326995</v>
      </c>
      <c r="C119" s="288">
        <f>IF($M119&gt;0,('Amounts Pivot Table'!E$477/$M119),0)</f>
        <v>0</v>
      </c>
      <c r="D119" s="288">
        <f>IF($M119&gt;0,('Amounts Pivot Table'!E$483/$M119),0)</f>
        <v>8747.5888073467959</v>
      </c>
      <c r="E119" s="288">
        <f>SUM(B119:D119)</f>
        <v>14933.677314979495</v>
      </c>
      <c r="F119" s="359">
        <f t="shared" si="11"/>
        <v>4</v>
      </c>
      <c r="G119" s="289">
        <f t="shared" si="12"/>
        <v>0</v>
      </c>
      <c r="H119" s="289">
        <f t="shared" si="13"/>
        <v>7</v>
      </c>
      <c r="I119" s="289">
        <f t="shared" si="14"/>
        <v>8</v>
      </c>
      <c r="J119" s="288"/>
      <c r="L119" s="356"/>
      <c r="M119" s="357">
        <v>28721.816666666666</v>
      </c>
    </row>
    <row r="120" spans="1:13" ht="12.75" customHeight="1">
      <c r="A120" s="77" t="s">
        <v>790</v>
      </c>
      <c r="B120" s="288">
        <f>IF($M120&gt;0,('Amounts Pivot Table'!E$513/$M120),0)</f>
        <v>5066.9818272233761</v>
      </c>
      <c r="C120" s="288">
        <f>IF($M120&gt;0,('Amounts Pivot Table'!E$516/$M120),0)</f>
        <v>0</v>
      </c>
      <c r="D120" s="288">
        <f>IF($M120&gt;0,('Amounts Pivot Table'!E$522/$M120),0)</f>
        <v>6053.1118011158796</v>
      </c>
      <c r="E120" s="288">
        <f>SUM(B120:D120)</f>
        <v>11120.093628339255</v>
      </c>
      <c r="F120" s="359">
        <f t="shared" si="11"/>
        <v>9</v>
      </c>
      <c r="G120" s="289">
        <f t="shared" si="12"/>
        <v>0</v>
      </c>
      <c r="H120" s="289">
        <f t="shared" si="13"/>
        <v>12</v>
      </c>
      <c r="I120" s="289">
        <f t="shared" si="14"/>
        <v>13</v>
      </c>
      <c r="J120" s="288"/>
      <c r="K120" s="288"/>
      <c r="L120" s="356"/>
      <c r="M120" s="357">
        <v>165900.62499999997</v>
      </c>
    </row>
    <row r="121" spans="1:13" s="362" customFormat="1" ht="12.75" customHeight="1">
      <c r="A121" s="77" t="s">
        <v>791</v>
      </c>
      <c r="B121" s="288">
        <f>IF($M121&gt;0,('Amounts Pivot Table'!E$552/$M121),0)</f>
        <v>5436.3250624143957</v>
      </c>
      <c r="C121" s="288">
        <f>IF($M121&gt;0,('Amounts Pivot Table'!E$555/$M121),0)</f>
        <v>162.19928466438589</v>
      </c>
      <c r="D121" s="288">
        <f>IF($M121&gt;0,('Amounts Pivot Table'!E$561/$M121),0)</f>
        <v>11005.436447570068</v>
      </c>
      <c r="E121" s="288">
        <f>SUM(B121:D121)</f>
        <v>16603.96079464885</v>
      </c>
      <c r="F121" s="359">
        <f t="shared" si="11"/>
        <v>6</v>
      </c>
      <c r="G121" s="289">
        <f t="shared" si="12"/>
        <v>5</v>
      </c>
      <c r="H121" s="289">
        <f t="shared" si="13"/>
        <v>4</v>
      </c>
      <c r="I121" s="289">
        <f t="shared" si="14"/>
        <v>5</v>
      </c>
      <c r="J121" s="288"/>
      <c r="K121" s="288"/>
      <c r="L121" s="363"/>
      <c r="M121" s="357">
        <v>34465.873333333337</v>
      </c>
    </row>
    <row r="122" spans="1:13" ht="12.75" customHeight="1">
      <c r="A122" s="277" t="s">
        <v>792</v>
      </c>
      <c r="B122" s="296">
        <f>IF($M122&gt;0,('Amounts Pivot Table'!E$591/$M122),0)</f>
        <v>4145.5524878321266</v>
      </c>
      <c r="C122" s="296">
        <f>IF($M122&gt;0,('Amounts Pivot Table'!E$594/$M122),0)</f>
        <v>217.25141138171179</v>
      </c>
      <c r="D122" s="296">
        <f>IF($M122&gt;0,('Amounts Pivot Table'!E$600/$M122),0)</f>
        <v>10196.636493088465</v>
      </c>
      <c r="E122" s="364">
        <f>SUM(B122:D122)</f>
        <v>14559.440392302302</v>
      </c>
      <c r="F122" s="365">
        <f t="shared" si="11"/>
        <v>11</v>
      </c>
      <c r="G122" s="366">
        <f t="shared" si="12"/>
        <v>3</v>
      </c>
      <c r="H122" s="366">
        <f t="shared" si="13"/>
        <v>6</v>
      </c>
      <c r="I122" s="366">
        <f t="shared" si="14"/>
        <v>9</v>
      </c>
      <c r="J122" s="288"/>
      <c r="K122" s="288"/>
      <c r="L122" s="367"/>
      <c r="M122" s="357">
        <v>10920.15</v>
      </c>
    </row>
    <row r="123" spans="1:13" ht="41.25" customHeight="1">
      <c r="A123" s="1244" t="s">
        <v>926</v>
      </c>
      <c r="B123" s="1245"/>
      <c r="C123" s="1245"/>
      <c r="D123" s="1245"/>
      <c r="E123" s="1245"/>
      <c r="F123" s="1245"/>
      <c r="G123" s="1245"/>
      <c r="H123" s="1245"/>
      <c r="I123" s="1245"/>
      <c r="J123" s="288"/>
      <c r="K123" s="288"/>
      <c r="L123" s="367"/>
      <c r="M123" s="382"/>
    </row>
    <row r="124" spans="1:13" s="362" customFormat="1" ht="22.5" customHeight="1">
      <c r="A124" s="1244" t="s">
        <v>927</v>
      </c>
      <c r="B124" s="1278"/>
      <c r="C124" s="1278"/>
      <c r="D124" s="1278"/>
      <c r="E124" s="1278"/>
      <c r="F124" s="1278"/>
      <c r="G124" s="1278"/>
      <c r="H124" s="1278"/>
      <c r="I124" s="1278"/>
      <c r="J124" s="369"/>
      <c r="L124" s="363"/>
      <c r="M124" s="348"/>
    </row>
    <row r="125" spans="1:13">
      <c r="A125" s="385" t="s">
        <v>930</v>
      </c>
      <c r="L125" s="367"/>
      <c r="M125" s="348"/>
    </row>
    <row r="126" spans="1:13" ht="17.25" customHeight="1">
      <c r="A126" s="368"/>
      <c r="B126" s="369"/>
      <c r="C126" s="369"/>
      <c r="D126" s="369"/>
      <c r="E126" s="369"/>
      <c r="F126" s="369"/>
      <c r="G126" s="369"/>
      <c r="H126" s="369"/>
      <c r="I126" s="370" t="s">
        <v>1814</v>
      </c>
      <c r="J126" s="369"/>
      <c r="K126" s="369"/>
      <c r="L126" s="367"/>
      <c r="M126" s="348"/>
    </row>
    <row r="127" spans="1:13" ht="15.5">
      <c r="A127" s="1228" t="s">
        <v>934</v>
      </c>
      <c r="B127" s="1228"/>
      <c r="C127" s="1228"/>
      <c r="D127" s="1228"/>
      <c r="E127" s="1228"/>
      <c r="F127" s="1228"/>
      <c r="G127" s="1228"/>
      <c r="H127" s="1228"/>
      <c r="I127" s="1228"/>
      <c r="J127" s="355"/>
      <c r="K127" s="355"/>
      <c r="L127" s="367"/>
      <c r="M127" s="348"/>
    </row>
    <row r="128" spans="1:13" ht="17.5">
      <c r="A128" s="1228" t="s">
        <v>920</v>
      </c>
      <c r="B128" s="1228"/>
      <c r="C128" s="1228"/>
      <c r="D128" s="1228"/>
      <c r="E128" s="1228"/>
      <c r="F128" s="1228"/>
      <c r="G128" s="1228"/>
      <c r="H128" s="1228"/>
      <c r="I128" s="1228"/>
      <c r="J128" s="355"/>
      <c r="K128" s="355"/>
      <c r="L128" s="344"/>
      <c r="M128" s="348"/>
    </row>
    <row r="129" spans="1:13" ht="15.5">
      <c r="A129" s="1228" t="s">
        <v>1482</v>
      </c>
      <c r="B129" s="1228"/>
      <c r="C129" s="1228"/>
      <c r="D129" s="1228"/>
      <c r="E129" s="1228"/>
      <c r="F129" s="1228"/>
      <c r="G129" s="1228"/>
      <c r="H129" s="1228"/>
      <c r="I129" s="1228"/>
      <c r="J129" s="341"/>
      <c r="K129" s="341"/>
      <c r="L129" s="344"/>
      <c r="M129" s="348"/>
    </row>
    <row r="130" spans="1:13" ht="15" customHeight="1">
      <c r="A130" s="341"/>
      <c r="B130" s="341"/>
      <c r="C130" s="341"/>
      <c r="D130" s="341"/>
      <c r="E130" s="341"/>
      <c r="F130" s="341"/>
      <c r="G130" s="373"/>
      <c r="H130" s="341"/>
      <c r="I130" s="341"/>
      <c r="J130" s="341"/>
      <c r="K130" s="341"/>
      <c r="L130" s="344"/>
      <c r="M130" s="371"/>
    </row>
    <row r="131" spans="1:13" ht="15.5">
      <c r="A131" s="346"/>
      <c r="B131" s="232" t="s">
        <v>922</v>
      </c>
      <c r="C131" s="374"/>
      <c r="D131" s="374"/>
      <c r="E131" s="374"/>
      <c r="F131" s="236" t="s">
        <v>923</v>
      </c>
      <c r="G131" s="235"/>
      <c r="H131" s="235"/>
      <c r="I131" s="235"/>
      <c r="L131" s="389"/>
      <c r="M131" s="348"/>
    </row>
    <row r="132" spans="1:13" s="53" customFormat="1" ht="42">
      <c r="A132" s="243"/>
      <c r="B132" s="244" t="s">
        <v>6</v>
      </c>
      <c r="C132" s="245" t="s">
        <v>7</v>
      </c>
      <c r="D132" s="245" t="s">
        <v>924</v>
      </c>
      <c r="E132" s="245" t="s">
        <v>768</v>
      </c>
      <c r="F132" s="246" t="s">
        <v>6</v>
      </c>
      <c r="G132" s="245" t="s">
        <v>7</v>
      </c>
      <c r="H132" s="245" t="s">
        <v>924</v>
      </c>
      <c r="I132" s="245" t="s">
        <v>768</v>
      </c>
      <c r="L132" s="350"/>
      <c r="M132" s="372" t="s">
        <v>932</v>
      </c>
    </row>
    <row r="133" spans="1:13" ht="14.5">
      <c r="A133" s="77" t="s">
        <v>925</v>
      </c>
      <c r="B133" s="352">
        <f>IF($M133&gt;0,('Amounts Pivot Table'!F$630/$M133),0)</f>
        <v>5762.555681919217</v>
      </c>
      <c r="C133" s="352">
        <f>IF($M133&gt;0,('Amounts Pivot Table'!F$633/$M133),0)</f>
        <v>108.44349258564142</v>
      </c>
      <c r="D133" s="352">
        <f>IF($M133&gt;0,('Amounts Pivot Table'!F$639/$M133),0)</f>
        <v>7836.577882901036</v>
      </c>
      <c r="E133" s="352">
        <f>SUM(B133:D133)</f>
        <v>13707.577057405895</v>
      </c>
      <c r="F133" s="353"/>
      <c r="G133" s="354"/>
      <c r="H133" s="354"/>
      <c r="I133" s="354"/>
      <c r="J133" s="352"/>
      <c r="L133" s="356"/>
      <c r="M133" s="357">
        <v>177123.99833333335</v>
      </c>
    </row>
    <row r="134" spans="1:13" ht="9.75" customHeight="1">
      <c r="B134" s="352"/>
      <c r="C134" s="352"/>
      <c r="D134" s="352"/>
      <c r="E134" s="352"/>
      <c r="F134" s="353"/>
      <c r="G134" s="354"/>
      <c r="H134" s="354"/>
      <c r="I134" s="354"/>
      <c r="J134" s="352"/>
      <c r="L134" s="356"/>
      <c r="M134" s="357"/>
    </row>
    <row r="135" spans="1:13" ht="12.75" customHeight="1">
      <c r="A135" s="77" t="s">
        <v>777</v>
      </c>
      <c r="B135" s="288">
        <f>IF($M135&gt;0,('Amounts Pivot Table'!F$6/$M135),0)</f>
        <v>7356.1730860884827</v>
      </c>
      <c r="C135" s="288">
        <f>IF($M135&gt;0,('Amounts Pivot Table'!F$9/$M135),0)</f>
        <v>81.154862295343918</v>
      </c>
      <c r="D135" s="288">
        <f>IF($M135&gt;0,('Amounts Pivot Table'!F$15/$M135),0)</f>
        <v>8665.9445104094648</v>
      </c>
      <c r="E135" s="288">
        <f>SUM(B135:D135)</f>
        <v>16103.272458793292</v>
      </c>
      <c r="F135" s="359">
        <f>IF(B135&gt;0,RANK(B135,$B$135:$B$153),)</f>
        <v>5</v>
      </c>
      <c r="G135" s="289">
        <f>IF(C135&gt;0,RANK(C135,$C$135:$C$153),)</f>
        <v>4</v>
      </c>
      <c r="H135" s="289">
        <f>IF(D135&gt;0,RANK(D135,$D$135:$D$153),)</f>
        <v>6</v>
      </c>
      <c r="I135" s="289">
        <f>IF(E135&gt;0,RANK(E135,$E$135:$E$153),)</f>
        <v>5</v>
      </c>
      <c r="J135" s="288"/>
      <c r="L135" s="356"/>
      <c r="M135" s="357">
        <v>9074.6749999999993</v>
      </c>
    </row>
    <row r="136" spans="1:13" ht="12.75" customHeight="1">
      <c r="A136" s="77" t="s">
        <v>778</v>
      </c>
      <c r="B136" s="288">
        <f>IF($M136&gt;0,('Amounts Pivot Table'!F$45/$M136),0)</f>
        <v>5561.1221228379982</v>
      </c>
      <c r="C136" s="288">
        <f>IF($M136&gt;0,('Amounts Pivot Table'!F$48/$M136),0)</f>
        <v>436.59878863472289</v>
      </c>
      <c r="D136" s="288">
        <f>IF($M136&gt;0,('Amounts Pivot Table'!F$54/$M136),0)</f>
        <v>8511.2531563623797</v>
      </c>
      <c r="E136" s="288">
        <f>SUM(B136:D136)</f>
        <v>14508.974067835101</v>
      </c>
      <c r="F136" s="359">
        <f t="shared" ref="F136:F153" si="15">IF(B136&gt;0,RANK(B136,$B$135:$B$153),)</f>
        <v>9</v>
      </c>
      <c r="G136" s="289">
        <f t="shared" ref="G136:G153" si="16">IF(C136&gt;0,RANK(C136,$C$135:$C$153),)</f>
        <v>3</v>
      </c>
      <c r="H136" s="289">
        <f t="shared" ref="H136:H153" si="17">IF(D136&gt;0,RANK(D136,$D$135:$D$153),)</f>
        <v>7</v>
      </c>
      <c r="I136" s="289">
        <f t="shared" ref="I136:I153" si="18">IF(E136&gt;0,RANK(E136,$E$135:$E$153),)</f>
        <v>8</v>
      </c>
      <c r="J136" s="288"/>
      <c r="L136" s="356"/>
      <c r="M136" s="357">
        <v>9834.6333333333332</v>
      </c>
    </row>
    <row r="137" spans="1:13" ht="12.75" customHeight="1">
      <c r="A137" s="77" t="s">
        <v>779</v>
      </c>
      <c r="B137" s="288">
        <f>IF($M137&gt;0,('Amounts Pivot Table'!F$84/$M137),0)</f>
        <v>0</v>
      </c>
      <c r="C137" s="288">
        <f>IF($M137&gt;0,('Amounts Pivot Table'!F$87/$M137),0)</f>
        <v>0</v>
      </c>
      <c r="D137" s="288">
        <f>IF($M137&gt;0,('Amounts Pivot Table'!F$93/$M137),0)</f>
        <v>0</v>
      </c>
      <c r="E137" s="288">
        <f>SUM(B137:D137)</f>
        <v>0</v>
      </c>
      <c r="F137" s="359">
        <f>IF(B137&gt;0,RANK(B137,$B$135:$B$153),)</f>
        <v>0</v>
      </c>
      <c r="G137" s="289">
        <f>IF(C137&gt;0,RANK(C137,$C$135:$C$153),)</f>
        <v>0</v>
      </c>
      <c r="H137" s="289">
        <f>IF(D137&gt;0,RANK(D137,$D$135:$D$153),)</f>
        <v>0</v>
      </c>
      <c r="I137" s="289">
        <f>IF(E137&gt;0,RANK(E137,$E$135:$E$153),)</f>
        <v>0</v>
      </c>
      <c r="J137" s="288"/>
      <c r="L137" s="356"/>
      <c r="M137" s="357">
        <v>0</v>
      </c>
    </row>
    <row r="138" spans="1:13" ht="12.75" customHeight="1">
      <c r="A138" s="77" t="s">
        <v>780</v>
      </c>
      <c r="B138" s="288">
        <f>IF($M138&gt;0,('Amounts Pivot Table'!F$123/$M138),0)</f>
        <v>0</v>
      </c>
      <c r="C138" s="288">
        <f>IF($M138&gt;0,('Amounts Pivot Table'!F$126/$M138),0)</f>
        <v>0</v>
      </c>
      <c r="D138" s="288">
        <f>IF($M138&gt;0,('Amounts Pivot Table'!F$132/$M138),0)</f>
        <v>0</v>
      </c>
      <c r="E138" s="288">
        <f>SUM(B138:D138)</f>
        <v>0</v>
      </c>
      <c r="F138" s="359">
        <f t="shared" si="15"/>
        <v>0</v>
      </c>
      <c r="G138" s="289">
        <f t="shared" si="16"/>
        <v>0</v>
      </c>
      <c r="H138" s="289">
        <f t="shared" si="17"/>
        <v>0</v>
      </c>
      <c r="I138" s="289">
        <f t="shared" si="18"/>
        <v>0</v>
      </c>
      <c r="J138" s="288"/>
      <c r="L138" s="356"/>
      <c r="M138" s="357">
        <v>0</v>
      </c>
    </row>
    <row r="139" spans="1:13" ht="9.75" customHeight="1">
      <c r="B139" s="288"/>
      <c r="C139" s="288"/>
      <c r="D139" s="288"/>
      <c r="E139" s="288"/>
      <c r="F139" s="359"/>
      <c r="G139" s="289"/>
      <c r="H139" s="289"/>
      <c r="I139" s="289"/>
      <c r="J139" s="288"/>
      <c r="L139" s="356"/>
      <c r="M139" s="357"/>
    </row>
    <row r="140" spans="1:13" ht="12.75" customHeight="1">
      <c r="A140" s="77" t="s">
        <v>781</v>
      </c>
      <c r="B140" s="288">
        <f>IF($M140&gt;0,('Amounts Pivot Table'!F$162/$M140),0)</f>
        <v>5601.109124574431</v>
      </c>
      <c r="C140" s="288">
        <f>IF($M140&gt;0,('Amounts Pivot Table'!F$165/$M140),0)</f>
        <v>0</v>
      </c>
      <c r="D140" s="288">
        <f>IF($M140&gt;0,('Amounts Pivot Table'!F$171/$M140),0)</f>
        <v>5910.9118296931929</v>
      </c>
      <c r="E140" s="288">
        <f>SUM(B140:D140)</f>
        <v>11512.020954267624</v>
      </c>
      <c r="F140" s="359">
        <f t="shared" si="15"/>
        <v>8</v>
      </c>
      <c r="G140" s="289">
        <f t="shared" si="16"/>
        <v>0</v>
      </c>
      <c r="H140" s="289">
        <f t="shared" si="17"/>
        <v>11</v>
      </c>
      <c r="I140" s="289">
        <f t="shared" si="18"/>
        <v>10</v>
      </c>
      <c r="J140" s="288"/>
      <c r="L140" s="356"/>
      <c r="M140" s="357">
        <v>50227.000000000007</v>
      </c>
    </row>
    <row r="141" spans="1:13" ht="12.75" customHeight="1">
      <c r="A141" s="77" t="s">
        <v>782</v>
      </c>
      <c r="B141" s="288">
        <f>IF($M141&gt;0,('Amounts Pivot Table'!F$201/$M141),0)</f>
        <v>12165.27466779988</v>
      </c>
      <c r="C141" s="288">
        <f>IF($M141&gt;0,('Amounts Pivot Table'!F$204/$M141),0)</f>
        <v>4673.7165552522765</v>
      </c>
      <c r="D141" s="288">
        <f>IF($M141&gt;0,('Amounts Pivot Table'!F$210/$M141),0)</f>
        <v>8995.9773139597619</v>
      </c>
      <c r="E141" s="288">
        <f>SUM(B141:D141)</f>
        <v>25834.968537011919</v>
      </c>
      <c r="F141" s="359">
        <f t="shared" si="15"/>
        <v>1</v>
      </c>
      <c r="G141" s="289">
        <f t="shared" si="16"/>
        <v>1</v>
      </c>
      <c r="H141" s="289">
        <f t="shared" si="17"/>
        <v>4</v>
      </c>
      <c r="I141" s="289">
        <f t="shared" si="18"/>
        <v>1</v>
      </c>
      <c r="J141" s="288"/>
      <c r="L141" s="356"/>
      <c r="M141" s="357">
        <v>1529.5749999999998</v>
      </c>
    </row>
    <row r="142" spans="1:13" ht="12.75" customHeight="1">
      <c r="A142" s="77" t="s">
        <v>813</v>
      </c>
      <c r="B142" s="288">
        <f>IF($M142&gt;0,('Amounts Pivot Table'!F$240/$M142),0)</f>
        <v>2462.9495927757293</v>
      </c>
      <c r="C142" s="288">
        <f>IF($M142&gt;0,('Amounts Pivot Table'!F$243/$M142),0)</f>
        <v>0</v>
      </c>
      <c r="D142" s="288">
        <f>IF($M142&gt;0,('Amounts Pivot Table'!F$249/$M142),0)</f>
        <v>7453.9009413678486</v>
      </c>
      <c r="E142" s="288">
        <f>SUM(B142:D142)</f>
        <v>9916.8505341435775</v>
      </c>
      <c r="F142" s="359">
        <f t="shared" si="15"/>
        <v>11</v>
      </c>
      <c r="G142" s="289">
        <f t="shared" si="16"/>
        <v>0</v>
      </c>
      <c r="H142" s="289">
        <f t="shared" si="17"/>
        <v>9</v>
      </c>
      <c r="I142" s="289">
        <f t="shared" si="18"/>
        <v>12</v>
      </c>
      <c r="J142" s="288"/>
      <c r="L142" s="356"/>
      <c r="M142" s="357">
        <v>25173.474999999999</v>
      </c>
    </row>
    <row r="143" spans="1:13" ht="12.75" customHeight="1">
      <c r="A143" s="77" t="s">
        <v>784</v>
      </c>
      <c r="B143" s="288">
        <f>IF($M143&gt;0,('Amounts Pivot Table'!F$279/$M143),0)</f>
        <v>9333.5770077147863</v>
      </c>
      <c r="C143" s="288">
        <f>IF($M143&gt;0,('Amounts Pivot Table'!F$282/$M143),0)</f>
        <v>0</v>
      </c>
      <c r="D143" s="288">
        <f>IF($M143&gt;0,('Amounts Pivot Table'!F$288/$M143),0)</f>
        <v>8862.9944899450529</v>
      </c>
      <c r="E143" s="288">
        <f>SUM(B143:D143)</f>
        <v>18196.571497659839</v>
      </c>
      <c r="F143" s="359">
        <f t="shared" si="15"/>
        <v>4</v>
      </c>
      <c r="G143" s="289">
        <f t="shared" si="16"/>
        <v>0</v>
      </c>
      <c r="H143" s="289">
        <f t="shared" si="17"/>
        <v>5</v>
      </c>
      <c r="I143" s="289">
        <f t="shared" si="18"/>
        <v>4</v>
      </c>
      <c r="J143" s="288"/>
      <c r="L143" s="356"/>
      <c r="M143" s="357">
        <v>21090.987500000003</v>
      </c>
    </row>
    <row r="144" spans="1:13" ht="9.75" customHeight="1">
      <c r="B144" s="288"/>
      <c r="C144" s="288"/>
      <c r="D144" s="288"/>
      <c r="E144" s="288"/>
      <c r="F144" s="359"/>
      <c r="G144" s="289"/>
      <c r="H144" s="289"/>
      <c r="I144" s="289"/>
      <c r="J144" s="288"/>
      <c r="L144" s="356"/>
      <c r="M144" s="357"/>
    </row>
    <row r="145" spans="1:13" ht="12.75" customHeight="1">
      <c r="A145" s="77" t="s">
        <v>785</v>
      </c>
      <c r="B145" s="288">
        <f>IF($M145&gt;0,('Amounts Pivot Table'!F$318/$M145),0)</f>
        <v>6903.1967332086961</v>
      </c>
      <c r="C145" s="288">
        <f>IF($M145&gt;0,('Amounts Pivot Table'!F$321/$M145),0)</f>
        <v>591.76025700901084</v>
      </c>
      <c r="D145" s="288">
        <f>IF($M145&gt;0,('Amounts Pivot Table'!F$327/$M145),0)</f>
        <v>7697.2684550023769</v>
      </c>
      <c r="E145" s="288">
        <f>SUM(B145:D145)</f>
        <v>15192.225445220083</v>
      </c>
      <c r="F145" s="359">
        <f t="shared" si="15"/>
        <v>6</v>
      </c>
      <c r="G145" s="289">
        <f t="shared" si="16"/>
        <v>2</v>
      </c>
      <c r="H145" s="289">
        <f t="shared" si="17"/>
        <v>8</v>
      </c>
      <c r="I145" s="289">
        <f t="shared" si="18"/>
        <v>7</v>
      </c>
      <c r="J145" s="288"/>
      <c r="L145" s="356"/>
      <c r="M145" s="357">
        <v>10868.360833333332</v>
      </c>
    </row>
    <row r="146" spans="1:13" ht="12.75" customHeight="1">
      <c r="A146" s="77" t="s">
        <v>786</v>
      </c>
      <c r="B146" s="288">
        <f>IF($M146&gt;0,('Amounts Pivot Table'!F$357/$M146),0)</f>
        <v>9900.2017406828836</v>
      </c>
      <c r="C146" s="288">
        <f>IF($M146&gt;0,('Amounts Pivot Table'!F$360/$M146),0)</f>
        <v>0</v>
      </c>
      <c r="D146" s="288">
        <f>IF($M146&gt;0,('Amounts Pivot Table'!F$366/$M146),0)</f>
        <v>3586.3582236108014</v>
      </c>
      <c r="E146" s="288">
        <f>SUM(B146:D146)</f>
        <v>13486.559964293685</v>
      </c>
      <c r="F146" s="359">
        <f t="shared" si="15"/>
        <v>2</v>
      </c>
      <c r="G146" s="289">
        <f t="shared" si="16"/>
        <v>0</v>
      </c>
      <c r="H146" s="289">
        <f t="shared" si="17"/>
        <v>12</v>
      </c>
      <c r="I146" s="289">
        <f t="shared" si="18"/>
        <v>9</v>
      </c>
      <c r="J146" s="288"/>
      <c r="L146" s="356"/>
      <c r="M146" s="357">
        <v>5601.25</v>
      </c>
    </row>
    <row r="147" spans="1:13" ht="12.75" customHeight="1">
      <c r="A147" s="77" t="s">
        <v>787</v>
      </c>
      <c r="B147" s="288">
        <f>IF($M147&gt;0,('Amounts Pivot Table'!F$396/$M147),0)</f>
        <v>0</v>
      </c>
      <c r="C147" s="288">
        <f>IF($M147&gt;0,('Amounts Pivot Table'!F$399/$M147),0)</f>
        <v>0</v>
      </c>
      <c r="D147" s="288">
        <f>IF($M147&gt;0,('Amounts Pivot Table'!F$405/$M147),0)</f>
        <v>0</v>
      </c>
      <c r="E147" s="288">
        <f>SUM(B147:D147)</f>
        <v>0</v>
      </c>
      <c r="F147" s="359">
        <f t="shared" si="15"/>
        <v>0</v>
      </c>
      <c r="G147" s="289">
        <f t="shared" si="16"/>
        <v>0</v>
      </c>
      <c r="H147" s="289">
        <f t="shared" si="17"/>
        <v>0</v>
      </c>
      <c r="I147" s="289">
        <f t="shared" si="18"/>
        <v>0</v>
      </c>
      <c r="J147" s="288"/>
      <c r="L147" s="356"/>
      <c r="M147" s="357">
        <v>0</v>
      </c>
    </row>
    <row r="148" spans="1:13" ht="12.75" customHeight="1">
      <c r="A148" s="77" t="s">
        <v>788</v>
      </c>
      <c r="B148" s="288">
        <f>IF($M148&gt;0,('Amounts Pivot Table'!F$435/$M148),0)</f>
        <v>1615.1765311474771</v>
      </c>
      <c r="C148" s="288">
        <f>IF($M148&gt;0,('Amounts Pivot Table'!F$438/$M148),0)</f>
        <v>58.392405104530816</v>
      </c>
      <c r="D148" s="288">
        <f>IF($M148&gt;0,('Amounts Pivot Table'!F$444/$M148),0)</f>
        <v>17582.111532108567</v>
      </c>
      <c r="E148" s="288">
        <f>SUM(B148:D148)</f>
        <v>19255.680468360573</v>
      </c>
      <c r="F148" s="359">
        <f>IF(B148&gt;0,RANK(B148,$B$135:$B$153),)</f>
        <v>12</v>
      </c>
      <c r="G148" s="289">
        <f t="shared" si="16"/>
        <v>5</v>
      </c>
      <c r="H148" s="289">
        <f t="shared" si="17"/>
        <v>1</v>
      </c>
      <c r="I148" s="289">
        <f t="shared" si="18"/>
        <v>3</v>
      </c>
      <c r="J148" s="288"/>
      <c r="L148" s="356"/>
      <c r="M148" s="357">
        <v>10231.433333333332</v>
      </c>
    </row>
    <row r="149" spans="1:13" ht="9.75" customHeight="1">
      <c r="B149" s="288"/>
      <c r="C149" s="288"/>
      <c r="D149" s="288"/>
      <c r="E149" s="288"/>
      <c r="F149" s="359"/>
      <c r="G149" s="289"/>
      <c r="H149" s="289"/>
      <c r="I149" s="289"/>
      <c r="J149" s="288"/>
      <c r="L149" s="356"/>
      <c r="M149" s="357"/>
    </row>
    <row r="150" spans="1:13" ht="12.75" customHeight="1">
      <c r="A150" s="77" t="s">
        <v>789</v>
      </c>
      <c r="B150" s="288">
        <f>IF($M150&gt;0,('Amounts Pivot Table'!F$474/$M150),0)</f>
        <v>6445.0571984537655</v>
      </c>
      <c r="C150" s="288">
        <f>IF($M150&gt;0,('Amounts Pivot Table'!F$477/$M150),0)</f>
        <v>0</v>
      </c>
      <c r="D150" s="288">
        <f>IF($M150&gt;0,('Amounts Pivot Table'!F$483/$M150),0)</f>
        <v>9571.8505074126751</v>
      </c>
      <c r="E150" s="288">
        <f>SUM(B150:D150)</f>
        <v>16016.907705866441</v>
      </c>
      <c r="F150" s="359">
        <f t="shared" si="15"/>
        <v>7</v>
      </c>
      <c r="G150" s="289">
        <f t="shared" si="16"/>
        <v>0</v>
      </c>
      <c r="H150" s="289">
        <f t="shared" si="17"/>
        <v>3</v>
      </c>
      <c r="I150" s="289">
        <f t="shared" si="18"/>
        <v>6</v>
      </c>
      <c r="J150" s="288"/>
      <c r="L150" s="390"/>
      <c r="M150" s="357">
        <v>5730.05</v>
      </c>
    </row>
    <row r="151" spans="1:13" s="362" customFormat="1" ht="12.75" customHeight="1">
      <c r="A151" s="77" t="s">
        <v>790</v>
      </c>
      <c r="B151" s="288">
        <f>IF($M151&gt;0,('Amounts Pivot Table'!F$513/$M151),0)</f>
        <v>4718.0797243392426</v>
      </c>
      <c r="C151" s="288">
        <f>IF($M151&gt;0,('Amounts Pivot Table'!F$516/$M151),0)</f>
        <v>0</v>
      </c>
      <c r="D151" s="288">
        <f>IF($M151&gt;0,('Amounts Pivot Table'!F$522/$M151),0)</f>
        <v>6625.9470955210618</v>
      </c>
      <c r="E151" s="288">
        <f>SUM(B151:D151)</f>
        <v>11344.026819860304</v>
      </c>
      <c r="F151" s="359">
        <f t="shared" si="15"/>
        <v>10</v>
      </c>
      <c r="G151" s="289">
        <f t="shared" si="16"/>
        <v>0</v>
      </c>
      <c r="H151" s="289">
        <f t="shared" si="17"/>
        <v>10</v>
      </c>
      <c r="I151" s="289">
        <f t="shared" si="18"/>
        <v>11</v>
      </c>
      <c r="J151" s="288"/>
      <c r="K151" s="288"/>
      <c r="L151" s="390"/>
      <c r="M151" s="357">
        <v>22781.625</v>
      </c>
    </row>
    <row r="152" spans="1:13" ht="12.75" customHeight="1">
      <c r="A152" s="77" t="s">
        <v>791</v>
      </c>
      <c r="B152" s="288">
        <f>IF($M152&gt;0,('Amounts Pivot Table'!F$552/$M152),0)</f>
        <v>9843.3218673876381</v>
      </c>
      <c r="C152" s="288">
        <f>IF($M152&gt;0,('Amounts Pivot Table'!F$555/$M152),0)</f>
        <v>0</v>
      </c>
      <c r="D152" s="288">
        <f>IF($M152&gt;0,('Amounts Pivot Table'!F$561/$M152),0)</f>
        <v>10249.290440881226</v>
      </c>
      <c r="E152" s="288">
        <f>SUM(B152:D152)</f>
        <v>20092.612308268865</v>
      </c>
      <c r="F152" s="359">
        <f t="shared" si="15"/>
        <v>3</v>
      </c>
      <c r="G152" s="289">
        <f t="shared" si="16"/>
        <v>0</v>
      </c>
      <c r="H152" s="289">
        <f t="shared" si="17"/>
        <v>2</v>
      </c>
      <c r="I152" s="289">
        <f t="shared" si="18"/>
        <v>2</v>
      </c>
      <c r="J152" s="288"/>
      <c r="K152" s="288"/>
      <c r="L152" s="390"/>
      <c r="M152" s="357">
        <v>4980.9333333333334</v>
      </c>
    </row>
    <row r="153" spans="1:13" ht="13.5" customHeight="1">
      <c r="A153" s="277" t="s">
        <v>792</v>
      </c>
      <c r="B153" s="296">
        <f>IF($M153&gt;0,('Amounts Pivot Table'!F$591/$M153),0)</f>
        <v>0</v>
      </c>
      <c r="C153" s="296">
        <f>IF($M153&gt;0,('Amounts Pivot Table'!F$594/$M153),0)</f>
        <v>0</v>
      </c>
      <c r="D153" s="296">
        <f>IF($M153&gt;0,('Amounts Pivot Table'!F$600/$M153),0)</f>
        <v>0</v>
      </c>
      <c r="E153" s="364">
        <f>SUM(B153:D153)</f>
        <v>0</v>
      </c>
      <c r="F153" s="365">
        <f t="shared" si="15"/>
        <v>0</v>
      </c>
      <c r="G153" s="366">
        <f t="shared" si="16"/>
        <v>0</v>
      </c>
      <c r="H153" s="366">
        <f t="shared" si="17"/>
        <v>0</v>
      </c>
      <c r="I153" s="366">
        <f t="shared" si="18"/>
        <v>0</v>
      </c>
      <c r="J153" s="288"/>
      <c r="K153" s="288"/>
      <c r="L153" s="390"/>
      <c r="M153" s="357">
        <v>0</v>
      </c>
    </row>
    <row r="154" spans="1:13" s="362" customFormat="1" ht="40.5" customHeight="1">
      <c r="A154" s="1244" t="s">
        <v>926</v>
      </c>
      <c r="B154" s="1245"/>
      <c r="C154" s="1245"/>
      <c r="D154" s="1245"/>
      <c r="E154" s="1245"/>
      <c r="F154" s="1245"/>
      <c r="G154" s="1245"/>
      <c r="H154" s="1245"/>
      <c r="I154" s="1245"/>
      <c r="J154" s="288"/>
      <c r="K154" s="288"/>
      <c r="L154" s="363"/>
      <c r="M154" s="382"/>
    </row>
    <row r="155" spans="1:13" s="362" customFormat="1" ht="22.5" customHeight="1">
      <c r="A155" s="1244" t="s">
        <v>927</v>
      </c>
      <c r="B155" s="1278"/>
      <c r="C155" s="1278"/>
      <c r="D155" s="1278"/>
      <c r="E155" s="1278"/>
      <c r="F155" s="1278"/>
      <c r="G155" s="1278"/>
      <c r="H155" s="1278"/>
      <c r="I155" s="1278"/>
      <c r="J155" s="369"/>
      <c r="L155" s="363"/>
      <c r="M155" s="348"/>
    </row>
    <row r="156" spans="1:13" ht="21" customHeight="1">
      <c r="A156" s="1244" t="s">
        <v>930</v>
      </c>
      <c r="B156" s="1245"/>
      <c r="C156" s="1245"/>
      <c r="D156" s="1245"/>
      <c r="E156" s="1245"/>
      <c r="F156" s="1245"/>
      <c r="G156" s="1245"/>
      <c r="H156" s="1245"/>
      <c r="I156" s="1245"/>
      <c r="L156" s="367"/>
      <c r="M156" s="348"/>
    </row>
    <row r="157" spans="1:13" ht="17.25" customHeight="1">
      <c r="A157" s="368"/>
      <c r="B157" s="369"/>
      <c r="C157" s="369"/>
      <c r="D157" s="369"/>
      <c r="E157" s="369"/>
      <c r="F157" s="369"/>
      <c r="G157" s="369"/>
      <c r="H157" s="369"/>
      <c r="I157" s="370" t="s">
        <v>1814</v>
      </c>
      <c r="J157" s="369"/>
      <c r="K157" s="369"/>
      <c r="L157" s="367"/>
      <c r="M157" s="348"/>
    </row>
    <row r="158" spans="1:13" ht="15.5">
      <c r="A158" s="1228" t="s">
        <v>935</v>
      </c>
      <c r="B158" s="1228"/>
      <c r="C158" s="1228"/>
      <c r="D158" s="1228"/>
      <c r="E158" s="1228"/>
      <c r="F158" s="1228"/>
      <c r="G158" s="1228"/>
      <c r="H158" s="1228"/>
      <c r="I158" s="1228"/>
      <c r="J158" s="355"/>
      <c r="K158" s="355"/>
      <c r="L158" s="367"/>
      <c r="M158" s="348"/>
    </row>
    <row r="159" spans="1:13" ht="17.5">
      <c r="A159" s="1228" t="s">
        <v>920</v>
      </c>
      <c r="B159" s="1228"/>
      <c r="C159" s="1228"/>
      <c r="D159" s="1228"/>
      <c r="E159" s="1228"/>
      <c r="F159" s="1228"/>
      <c r="G159" s="1228"/>
      <c r="H159" s="1228"/>
      <c r="I159" s="1228"/>
      <c r="J159" s="355"/>
      <c r="K159" s="355"/>
      <c r="L159" s="344"/>
      <c r="M159" s="348"/>
    </row>
    <row r="160" spans="1:13" ht="16.5" customHeight="1">
      <c r="A160" s="1228" t="s">
        <v>1483</v>
      </c>
      <c r="B160" s="1228"/>
      <c r="C160" s="1228"/>
      <c r="D160" s="1228"/>
      <c r="E160" s="1228"/>
      <c r="F160" s="1228"/>
      <c r="G160" s="1228"/>
      <c r="H160" s="1228"/>
      <c r="I160" s="1228"/>
      <c r="J160" s="341"/>
      <c r="K160" s="341"/>
      <c r="L160" s="344"/>
      <c r="M160" s="348"/>
    </row>
    <row r="161" spans="1:13" s="376" customFormat="1" ht="8">
      <c r="A161" s="391"/>
      <c r="B161" s="391"/>
      <c r="C161" s="391"/>
      <c r="D161" s="391"/>
      <c r="E161" s="391"/>
      <c r="F161" s="391"/>
      <c r="G161" s="392"/>
      <c r="H161" s="391"/>
      <c r="I161" s="391"/>
      <c r="J161" s="391"/>
      <c r="K161" s="391"/>
      <c r="L161" s="393"/>
      <c r="M161" s="394"/>
    </row>
    <row r="162" spans="1:13" ht="15.5">
      <c r="A162" s="346"/>
      <c r="B162" s="232" t="s">
        <v>922</v>
      </c>
      <c r="C162" s="374"/>
      <c r="D162" s="374"/>
      <c r="E162" s="374"/>
      <c r="F162" s="236" t="s">
        <v>923</v>
      </c>
      <c r="G162" s="235"/>
      <c r="H162" s="235"/>
      <c r="I162" s="235"/>
      <c r="L162" s="389"/>
      <c r="M162" s="371"/>
    </row>
    <row r="163" spans="1:13" s="53" customFormat="1" ht="42">
      <c r="A163" s="243"/>
      <c r="B163" s="244" t="s">
        <v>6</v>
      </c>
      <c r="C163" s="245" t="s">
        <v>7</v>
      </c>
      <c r="D163" s="245" t="s">
        <v>924</v>
      </c>
      <c r="E163" s="245" t="s">
        <v>768</v>
      </c>
      <c r="F163" s="246" t="s">
        <v>6</v>
      </c>
      <c r="G163" s="245" t="s">
        <v>7</v>
      </c>
      <c r="H163" s="245" t="s">
        <v>924</v>
      </c>
      <c r="I163" s="245" t="s">
        <v>768</v>
      </c>
      <c r="L163" s="350"/>
      <c r="M163" s="372" t="s">
        <v>932</v>
      </c>
    </row>
    <row r="164" spans="1:13" ht="14.5">
      <c r="A164" s="77" t="s">
        <v>925</v>
      </c>
      <c r="B164" s="352">
        <f>IF($M164&gt;0,('Amounts Pivot Table'!G$630/$M164),0)</f>
        <v>8207.1957423917029</v>
      </c>
      <c r="C164" s="352">
        <f>IF($M164&gt;0,('Amounts Pivot Table'!G$633/$M164),0)</f>
        <v>164.83098716001231</v>
      </c>
      <c r="D164" s="352">
        <f>IF($M164&gt;0,('Amounts Pivot Table'!G$639/$M164),0)</f>
        <v>7727.5691631417512</v>
      </c>
      <c r="E164" s="352">
        <f>SUM(B164:D164)</f>
        <v>16099.595892693465</v>
      </c>
      <c r="F164" s="353"/>
      <c r="G164" s="354"/>
      <c r="H164" s="354"/>
      <c r="I164" s="354"/>
      <c r="L164" s="356"/>
      <c r="M164" s="357">
        <v>62301.331666666658</v>
      </c>
    </row>
    <row r="165" spans="1:13" ht="12.75" customHeight="1">
      <c r="B165" s="352"/>
      <c r="C165" s="352"/>
      <c r="D165" s="352"/>
      <c r="E165" s="352"/>
      <c r="F165" s="353"/>
      <c r="G165" s="354"/>
      <c r="H165" s="354"/>
      <c r="I165" s="354"/>
      <c r="L165" s="356"/>
      <c r="M165" s="357"/>
    </row>
    <row r="166" spans="1:13" ht="12.75" customHeight="1">
      <c r="A166" s="77" t="s">
        <v>777</v>
      </c>
      <c r="B166" s="288">
        <f>IF($M166&gt;0,('Amounts Pivot Table'!G$6/$M166),0)</f>
        <v>9610.2201246532404</v>
      </c>
      <c r="C166" s="288">
        <f>IF($M166&gt;0,('Amounts Pivot Table'!G$9/$M166),0)</f>
        <v>106.16046402709226</v>
      </c>
      <c r="D166" s="288">
        <f>IF($M166&gt;0,('Amounts Pivot Table'!G$15/$M166),0)</f>
        <v>15650.209172461</v>
      </c>
      <c r="E166" s="288">
        <f>SUM(B166:D166)</f>
        <v>25366.589761141331</v>
      </c>
      <c r="F166" s="359">
        <f>IF(B166&gt;0,RANK(B166,$B$166:$B$184),)</f>
        <v>3</v>
      </c>
      <c r="G166" s="289">
        <f>IF(C166&gt;0,RANK(C166,$C$166:$C$184),)</f>
        <v>2</v>
      </c>
      <c r="H166" s="289">
        <f>IF(D166&gt;0,RANK(D166,$D$166:$D$184),)</f>
        <v>1</v>
      </c>
      <c r="I166" s="289">
        <f>IF(E166&gt;0,RANK(E166,$E$166:$E$184),)</f>
        <v>2</v>
      </c>
      <c r="L166" s="356"/>
      <c r="M166" s="357">
        <v>2313.0833333333335</v>
      </c>
    </row>
    <row r="167" spans="1:13" ht="12.75" customHeight="1">
      <c r="A167" s="77" t="s">
        <v>778</v>
      </c>
      <c r="B167" s="288">
        <f>IF($M167&gt;0,('Amounts Pivot Table'!G$45/$M167),0)</f>
        <v>0</v>
      </c>
      <c r="C167" s="288">
        <f>IF($M167&gt;0,('Amounts Pivot Table'!G$48/$M167),0)</f>
        <v>0</v>
      </c>
      <c r="D167" s="288">
        <f>IF($M167&gt;0,('Amounts Pivot Table'!G$54/$M167),0)</f>
        <v>0</v>
      </c>
      <c r="E167" s="288">
        <f>SUM(B167:D167)</f>
        <v>0</v>
      </c>
      <c r="F167" s="359">
        <f t="shared" ref="F167:F184" si="19">IF(B167&gt;0,RANK(B167,$B$166:$B$184),)</f>
        <v>0</v>
      </c>
      <c r="G167" s="289">
        <f t="shared" ref="G167:G184" si="20">IF(C167&gt;0,RANK(C167,$C$166:$C$184),)</f>
        <v>0</v>
      </c>
      <c r="H167" s="289">
        <f t="shared" ref="H167:H184" si="21">IF(D167&gt;0,RANK(D167,$D$166:$D$184),)</f>
        <v>0</v>
      </c>
      <c r="I167" s="289">
        <f t="shared" ref="I167:I184" si="22">IF(E167&gt;0,RANK(E167,$E$166:$E$184),)</f>
        <v>0</v>
      </c>
      <c r="L167" s="356"/>
      <c r="M167" s="357">
        <v>0</v>
      </c>
    </row>
    <row r="168" spans="1:13" ht="12.75" customHeight="1">
      <c r="A168" s="77" t="s">
        <v>779</v>
      </c>
      <c r="B168" s="288">
        <f>IF($M168&gt;0,('Amounts Pivot Table'!G$84/$M168),0)</f>
        <v>0</v>
      </c>
      <c r="C168" s="288">
        <f>IF($M168&gt;0,('Amounts Pivot Table'!G$87/$M168),0)</f>
        <v>0</v>
      </c>
      <c r="D168" s="288">
        <f>IF($M168&gt;0,('Amounts Pivot Table'!G$93/$M168),0)</f>
        <v>0</v>
      </c>
      <c r="E168" s="288">
        <f>SUM(B168:D168)</f>
        <v>0</v>
      </c>
      <c r="F168" s="359">
        <f t="shared" si="19"/>
        <v>0</v>
      </c>
      <c r="G168" s="289">
        <f t="shared" si="20"/>
        <v>0</v>
      </c>
      <c r="H168" s="289">
        <f t="shared" si="21"/>
        <v>0</v>
      </c>
      <c r="I168" s="289">
        <f t="shared" si="22"/>
        <v>0</v>
      </c>
      <c r="L168" s="356"/>
      <c r="M168" s="357">
        <v>0</v>
      </c>
    </row>
    <row r="169" spans="1:13" ht="12.75" customHeight="1">
      <c r="A169" s="77" t="s">
        <v>780</v>
      </c>
      <c r="B169" s="288">
        <f>IF($M169&gt;0,('Amounts Pivot Table'!G$123/$M169),0)</f>
        <v>0</v>
      </c>
      <c r="C169" s="288">
        <f>IF($M169&gt;0,('Amounts Pivot Table'!G$126/$M169),0)</f>
        <v>0</v>
      </c>
      <c r="D169" s="288">
        <f>IF($M169&gt;0,('Amounts Pivot Table'!G$132/$M169),0)</f>
        <v>0</v>
      </c>
      <c r="E169" s="288">
        <f>SUM(B169:D169)</f>
        <v>0</v>
      </c>
      <c r="F169" s="359">
        <f t="shared" si="19"/>
        <v>0</v>
      </c>
      <c r="G169" s="289">
        <f t="shared" si="20"/>
        <v>0</v>
      </c>
      <c r="H169" s="289">
        <f t="shared" si="21"/>
        <v>0</v>
      </c>
      <c r="I169" s="289">
        <f t="shared" si="22"/>
        <v>0</v>
      </c>
      <c r="L169" s="356"/>
      <c r="M169" s="357">
        <v>0</v>
      </c>
    </row>
    <row r="170" spans="1:13" ht="12.75" customHeight="1">
      <c r="B170" s="288"/>
      <c r="C170" s="288"/>
      <c r="D170" s="288"/>
      <c r="E170" s="288"/>
      <c r="F170" s="359"/>
      <c r="G170" s="289"/>
      <c r="H170" s="289"/>
      <c r="I170" s="289"/>
      <c r="L170" s="356"/>
      <c r="M170" s="357"/>
    </row>
    <row r="171" spans="1:13" ht="12.75" customHeight="1">
      <c r="A171" s="77" t="s">
        <v>781</v>
      </c>
      <c r="B171" s="288">
        <f>IF($M171&gt;0,('Amounts Pivot Table'!G$162/$M171),0)</f>
        <v>6861.5709057548293</v>
      </c>
      <c r="C171" s="288">
        <f>IF($M171&gt;0,('Amounts Pivot Table'!G$165/$M171),0)</f>
        <v>0</v>
      </c>
      <c r="D171" s="288">
        <f>IF($M171&gt;0,('Amounts Pivot Table'!G$171/$M171),0)</f>
        <v>4959.2902846999923</v>
      </c>
      <c r="E171" s="288">
        <f>SUM(B171:D171)</f>
        <v>11820.861190454822</v>
      </c>
      <c r="F171" s="359">
        <f t="shared" si="19"/>
        <v>6</v>
      </c>
      <c r="G171" s="289">
        <f t="shared" si="20"/>
        <v>0</v>
      </c>
      <c r="H171" s="289">
        <f t="shared" si="21"/>
        <v>8</v>
      </c>
      <c r="I171" s="289">
        <f t="shared" si="22"/>
        <v>9</v>
      </c>
      <c r="L171" s="356"/>
      <c r="M171" s="357">
        <v>12535.125</v>
      </c>
    </row>
    <row r="172" spans="1:13" ht="12.75" customHeight="1">
      <c r="A172" s="77" t="s">
        <v>782</v>
      </c>
      <c r="B172" s="288">
        <f>IF($M172&gt;0,('Amounts Pivot Table'!G$201/$M172),0)</f>
        <v>0</v>
      </c>
      <c r="C172" s="288">
        <f>IF($M172&gt;0,('Amounts Pivot Table'!G$204/$M172),0)</f>
        <v>0</v>
      </c>
      <c r="D172" s="288">
        <f>IF($M172&gt;0,('Amounts Pivot Table'!G$210/$M172),0)</f>
        <v>0</v>
      </c>
      <c r="E172" s="288">
        <f>SUM(B172:D172)</f>
        <v>0</v>
      </c>
      <c r="F172" s="359">
        <f t="shared" si="19"/>
        <v>0</v>
      </c>
      <c r="G172" s="289">
        <f t="shared" si="20"/>
        <v>0</v>
      </c>
      <c r="H172" s="289">
        <f t="shared" si="21"/>
        <v>0</v>
      </c>
      <c r="I172" s="289">
        <f t="shared" si="22"/>
        <v>0</v>
      </c>
      <c r="L172" s="356"/>
      <c r="M172" s="357">
        <v>0</v>
      </c>
    </row>
    <row r="173" spans="1:13" ht="12.75" customHeight="1">
      <c r="A173" s="77" t="s">
        <v>813</v>
      </c>
      <c r="B173" s="288">
        <f>IF($M173&gt;0,('Amounts Pivot Table'!G$240/$M173),0)</f>
        <v>5082.2142427596546</v>
      </c>
      <c r="C173" s="288">
        <f>IF($M173&gt;0,('Amounts Pivot Table'!G$243/$M173),0)</f>
        <v>0</v>
      </c>
      <c r="D173" s="288">
        <f>IF($M173&gt;0,('Amounts Pivot Table'!G$249/$M173),0)</f>
        <v>7810.724165279461</v>
      </c>
      <c r="E173" s="288">
        <f>SUM(B173:D173)</f>
        <v>12892.938408039116</v>
      </c>
      <c r="F173" s="359">
        <f t="shared" si="19"/>
        <v>8</v>
      </c>
      <c r="G173" s="289">
        <f t="shared" si="20"/>
        <v>0</v>
      </c>
      <c r="H173" s="289">
        <f t="shared" si="21"/>
        <v>6</v>
      </c>
      <c r="I173" s="289">
        <f t="shared" si="22"/>
        <v>8</v>
      </c>
      <c r="L173" s="356"/>
      <c r="M173" s="357">
        <v>1912.3166666666666</v>
      </c>
    </row>
    <row r="174" spans="1:13" ht="12.75" customHeight="1">
      <c r="A174" s="77" t="s">
        <v>784</v>
      </c>
      <c r="B174" s="288">
        <f>IF($M174&gt;0,('Amounts Pivot Table'!G$279/$M174),0)</f>
        <v>22185.817384354916</v>
      </c>
      <c r="C174" s="288">
        <f>IF($M174&gt;0,('Amounts Pivot Table'!G$282/$M174),0)</f>
        <v>0</v>
      </c>
      <c r="D174" s="288">
        <f>IF($M174&gt;0,('Amounts Pivot Table'!G$288/$M174),0)</f>
        <v>6911.7689257212551</v>
      </c>
      <c r="E174" s="288">
        <f>SUM(B174:D174)</f>
        <v>29097.586310076171</v>
      </c>
      <c r="F174" s="359">
        <f t="shared" si="19"/>
        <v>1</v>
      </c>
      <c r="G174" s="289">
        <f t="shared" si="20"/>
        <v>0</v>
      </c>
      <c r="H174" s="289">
        <f t="shared" si="21"/>
        <v>7</v>
      </c>
      <c r="I174" s="289">
        <f t="shared" si="22"/>
        <v>1</v>
      </c>
      <c r="L174" s="356"/>
      <c r="M174" s="357">
        <v>2200.1583333333333</v>
      </c>
    </row>
    <row r="175" spans="1:13" ht="12.75" customHeight="1">
      <c r="B175" s="288"/>
      <c r="C175" s="288"/>
      <c r="D175" s="288"/>
      <c r="E175" s="288"/>
      <c r="F175" s="359"/>
      <c r="G175" s="289"/>
      <c r="H175" s="289"/>
      <c r="I175" s="289"/>
      <c r="L175" s="356"/>
      <c r="M175" s="357"/>
    </row>
    <row r="176" spans="1:13" ht="12.75" customHeight="1">
      <c r="A176" s="77" t="s">
        <v>785</v>
      </c>
      <c r="B176" s="288">
        <f>IF($M176&gt;0,('Amounts Pivot Table'!G$318/$M176),0)</f>
        <v>0</v>
      </c>
      <c r="C176" s="288">
        <f>IF($M176&gt;0,('Amounts Pivot Table'!G$321/$M176),0)</f>
        <v>0</v>
      </c>
      <c r="D176" s="288">
        <f>IF($M176&gt;0,('Amounts Pivot Table'!G$327/$M176),0)</f>
        <v>0</v>
      </c>
      <c r="E176" s="288">
        <f>SUM(B176:D176)</f>
        <v>0</v>
      </c>
      <c r="F176" s="359">
        <f t="shared" si="19"/>
        <v>0</v>
      </c>
      <c r="G176" s="289">
        <f t="shared" si="20"/>
        <v>0</v>
      </c>
      <c r="H176" s="289">
        <f t="shared" si="21"/>
        <v>0</v>
      </c>
      <c r="I176" s="289">
        <f t="shared" si="22"/>
        <v>0</v>
      </c>
      <c r="L176" s="356"/>
      <c r="M176" s="357">
        <v>0</v>
      </c>
    </row>
    <row r="177" spans="1:13" ht="12.75" customHeight="1">
      <c r="A177" s="77" t="s">
        <v>786</v>
      </c>
      <c r="B177" s="288">
        <f>IF($M177&gt;0,('Amounts Pivot Table'!G$357/$M177),0)</f>
        <v>12419.770423721431</v>
      </c>
      <c r="C177" s="288">
        <f>IF($M177&gt;0,('Amounts Pivot Table'!G$360/$M177),0)</f>
        <v>0</v>
      </c>
      <c r="D177" s="288">
        <f>IF($M177&gt;0,('Amounts Pivot Table'!G$366/$M177),0)</f>
        <v>3090.6043040106874</v>
      </c>
      <c r="E177" s="288">
        <f>SUM(B177:D177)</f>
        <v>15510.374727732118</v>
      </c>
      <c r="F177" s="359">
        <f t="shared" si="19"/>
        <v>2</v>
      </c>
      <c r="G177" s="289">
        <f t="shared" si="20"/>
        <v>0</v>
      </c>
      <c r="H177" s="289">
        <f t="shared" si="21"/>
        <v>9</v>
      </c>
      <c r="I177" s="289">
        <f t="shared" si="22"/>
        <v>6</v>
      </c>
      <c r="L177" s="356"/>
      <c r="M177" s="357">
        <v>11477.666666666666</v>
      </c>
    </row>
    <row r="178" spans="1:13" ht="12.75" customHeight="1">
      <c r="A178" s="77" t="s">
        <v>787</v>
      </c>
      <c r="B178" s="288">
        <f>IF($M178&gt;0,('Amounts Pivot Table'!G$396/$M178),0)</f>
        <v>0</v>
      </c>
      <c r="C178" s="288">
        <f>IF($M178&gt;0,('Amounts Pivot Table'!G$399/$M178),0)</f>
        <v>0</v>
      </c>
      <c r="D178" s="288">
        <f>IF($M178&gt;0,('Amounts Pivot Table'!G$405/$M178),0)</f>
        <v>0</v>
      </c>
      <c r="E178" s="288">
        <f>SUM(B178:D178)</f>
        <v>0</v>
      </c>
      <c r="F178" s="359">
        <f t="shared" si="19"/>
        <v>0</v>
      </c>
      <c r="G178" s="289">
        <f t="shared" si="20"/>
        <v>0</v>
      </c>
      <c r="H178" s="289">
        <f t="shared" si="21"/>
        <v>0</v>
      </c>
      <c r="I178" s="289">
        <f t="shared" si="22"/>
        <v>0</v>
      </c>
      <c r="L178" s="356"/>
      <c r="M178" s="357">
        <v>0</v>
      </c>
    </row>
    <row r="179" spans="1:13" ht="12.75" customHeight="1">
      <c r="A179" s="77" t="s">
        <v>788</v>
      </c>
      <c r="B179" s="288">
        <f>IF($M179&gt;0,('Amounts Pivot Table'!G$435/$M179),0)</f>
        <v>6488.3644980287308</v>
      </c>
      <c r="C179" s="288">
        <f>IF($M179&gt;0,('Amounts Pivot Table'!G$438/$M179),0)</f>
        <v>1524.9252481829849</v>
      </c>
      <c r="D179" s="288">
        <f>IF($M179&gt;0,('Amounts Pivot Table'!G$444/$M179),0)</f>
        <v>12006.778849914112</v>
      </c>
      <c r="E179" s="288">
        <f>SUM(B179:D179)</f>
        <v>20020.068596125828</v>
      </c>
      <c r="F179" s="359">
        <f t="shared" si="19"/>
        <v>7</v>
      </c>
      <c r="G179" s="289">
        <f t="shared" si="20"/>
        <v>1</v>
      </c>
      <c r="H179" s="289">
        <f t="shared" si="21"/>
        <v>2</v>
      </c>
      <c r="I179" s="289">
        <f t="shared" si="22"/>
        <v>3</v>
      </c>
      <c r="L179" s="356"/>
      <c r="M179" s="357">
        <v>5753.4833333333327</v>
      </c>
    </row>
    <row r="180" spans="1:13" ht="12.75" customHeight="1">
      <c r="B180" s="288"/>
      <c r="C180" s="288"/>
      <c r="D180" s="288"/>
      <c r="E180" s="288"/>
      <c r="F180" s="359"/>
      <c r="G180" s="289"/>
      <c r="H180" s="289"/>
      <c r="I180" s="289"/>
      <c r="L180" s="356"/>
      <c r="M180" s="357"/>
    </row>
    <row r="181" spans="1:13" ht="12.75" customHeight="1">
      <c r="A181" s="77" t="s">
        <v>789</v>
      </c>
      <c r="B181" s="288">
        <f>IF($M181&gt;0,('Amounts Pivot Table'!G$474/$M181),0)</f>
        <v>0</v>
      </c>
      <c r="C181" s="288">
        <f>IF($M181&gt;0,('Amounts Pivot Table'!G$477/$M181),0)</f>
        <v>0</v>
      </c>
      <c r="D181" s="288">
        <f>IF($M181&gt;0,('Amounts Pivot Table'!G$483/$M181),0)</f>
        <v>0</v>
      </c>
      <c r="E181" s="288">
        <f>SUM(B181:D181)</f>
        <v>0</v>
      </c>
      <c r="F181" s="359">
        <f t="shared" si="19"/>
        <v>0</v>
      </c>
      <c r="G181" s="289">
        <f t="shared" si="20"/>
        <v>0</v>
      </c>
      <c r="H181" s="289">
        <f t="shared" si="21"/>
        <v>0</v>
      </c>
      <c r="I181" s="289">
        <f t="shared" si="22"/>
        <v>0</v>
      </c>
      <c r="L181" s="356"/>
      <c r="M181" s="357">
        <v>0</v>
      </c>
    </row>
    <row r="182" spans="1:13" s="362" customFormat="1" ht="12.75" customHeight="1">
      <c r="A182" s="77" t="s">
        <v>790</v>
      </c>
      <c r="B182" s="288">
        <f>IF($M182&gt;0,('Amounts Pivot Table'!G$513/$M182),0)</f>
        <v>9444.4384325411793</v>
      </c>
      <c r="C182" s="288">
        <f>IF($M182&gt;0,('Amounts Pivot Table'!G$516/$M182),0)</f>
        <v>0</v>
      </c>
      <c r="D182" s="288">
        <f>IF($M182&gt;0,('Amounts Pivot Table'!G$522/$M182),0)</f>
        <v>8726.7430666657492</v>
      </c>
      <c r="E182" s="288">
        <f>SUM(B182:D182)</f>
        <v>18171.181499206927</v>
      </c>
      <c r="F182" s="359">
        <f t="shared" si="19"/>
        <v>4</v>
      </c>
      <c r="G182" s="289">
        <f t="shared" si="20"/>
        <v>0</v>
      </c>
      <c r="H182" s="289">
        <f t="shared" si="21"/>
        <v>5</v>
      </c>
      <c r="I182" s="289">
        <f t="shared" si="22"/>
        <v>4</v>
      </c>
      <c r="J182" s="77"/>
      <c r="K182" s="77"/>
      <c r="L182" s="363"/>
      <c r="M182" s="357">
        <v>2427.2833333333338</v>
      </c>
    </row>
    <row r="183" spans="1:13" ht="12.75" customHeight="1">
      <c r="A183" s="77" t="s">
        <v>791</v>
      </c>
      <c r="B183" s="288">
        <f>IF($M183&gt;0,('Amounts Pivot Table'!G$552/$M183),0)</f>
        <v>6883.1996994658102</v>
      </c>
      <c r="C183" s="288">
        <f>IF($M183&gt;0,('Amounts Pivot Table'!G$555/$M183),0)</f>
        <v>94.674329144015317</v>
      </c>
      <c r="D183" s="288">
        <f>IF($M183&gt;0,('Amounts Pivot Table'!G$561/$M183),0)</f>
        <v>10258.084729232682</v>
      </c>
      <c r="E183" s="288">
        <f>SUM(B183:D183)</f>
        <v>17235.958757842505</v>
      </c>
      <c r="F183" s="359">
        <f t="shared" si="19"/>
        <v>5</v>
      </c>
      <c r="G183" s="289">
        <f t="shared" si="20"/>
        <v>3</v>
      </c>
      <c r="H183" s="289">
        <f t="shared" si="21"/>
        <v>3</v>
      </c>
      <c r="I183" s="289">
        <f t="shared" si="22"/>
        <v>5</v>
      </c>
      <c r="J183" s="362"/>
      <c r="K183" s="362"/>
      <c r="L183" s="367"/>
      <c r="M183" s="357">
        <v>13203.156666666666</v>
      </c>
    </row>
    <row r="184" spans="1:13" ht="15.75" customHeight="1">
      <c r="A184" s="277" t="s">
        <v>792</v>
      </c>
      <c r="B184" s="296">
        <f>IF($M184&gt;0,('Amounts Pivot Table'!G$591/$M184),0)</f>
        <v>4853.7993951428516</v>
      </c>
      <c r="C184" s="296">
        <f>IF($M184&gt;0,('Amounts Pivot Table'!G$594/$M184),0)</f>
        <v>0</v>
      </c>
      <c r="D184" s="296">
        <f>IF($M184&gt;0,('Amounts Pivot Table'!G$600/$M184),0)</f>
        <v>8755.9029715615343</v>
      </c>
      <c r="E184" s="364">
        <f>SUM(B184:D184)</f>
        <v>13609.702366704387</v>
      </c>
      <c r="F184" s="365">
        <f t="shared" si="19"/>
        <v>9</v>
      </c>
      <c r="G184" s="366">
        <f t="shared" si="20"/>
        <v>0</v>
      </c>
      <c r="H184" s="366">
        <f t="shared" si="21"/>
        <v>4</v>
      </c>
      <c r="I184" s="366">
        <f t="shared" si="22"/>
        <v>7</v>
      </c>
      <c r="J184" s="362"/>
      <c r="K184" s="362"/>
      <c r="L184" s="367"/>
      <c r="M184" s="357">
        <v>10479.058333333334</v>
      </c>
    </row>
    <row r="185" spans="1:13" s="362" customFormat="1" ht="36.75" customHeight="1">
      <c r="A185" s="1244" t="s">
        <v>926</v>
      </c>
      <c r="B185" s="1245"/>
      <c r="C185" s="1245"/>
      <c r="D185" s="1245"/>
      <c r="E185" s="1245"/>
      <c r="F185" s="1245"/>
      <c r="G185" s="1245"/>
      <c r="H185" s="1245"/>
      <c r="I185" s="1245"/>
      <c r="L185" s="363"/>
      <c r="M185" s="382"/>
    </row>
    <row r="186" spans="1:13" s="362" customFormat="1" ht="22.5" customHeight="1">
      <c r="A186" s="1244" t="s">
        <v>927</v>
      </c>
      <c r="B186" s="1278"/>
      <c r="C186" s="1278"/>
      <c r="D186" s="1278"/>
      <c r="E186" s="1278"/>
      <c r="F186" s="1278"/>
      <c r="G186" s="1278"/>
      <c r="H186" s="1278"/>
      <c r="I186" s="1278"/>
      <c r="J186" s="369"/>
      <c r="L186" s="363"/>
      <c r="M186" s="348"/>
    </row>
    <row r="187" spans="1:13">
      <c r="A187" s="1244" t="s">
        <v>930</v>
      </c>
      <c r="B187" s="1245"/>
      <c r="C187" s="1245"/>
      <c r="D187" s="1245"/>
      <c r="E187" s="1245"/>
      <c r="F187" s="1245"/>
      <c r="G187" s="1245"/>
      <c r="H187" s="1245"/>
      <c r="I187" s="1245"/>
      <c r="J187" s="1245"/>
      <c r="K187" s="1245"/>
      <c r="L187" s="367"/>
      <c r="M187" s="348"/>
    </row>
    <row r="188" spans="1:13">
      <c r="A188" s="368"/>
      <c r="B188" s="369"/>
      <c r="C188" s="369"/>
      <c r="D188" s="369"/>
      <c r="E188" s="369"/>
      <c r="F188" s="369"/>
      <c r="G188" s="369"/>
      <c r="H188" s="369"/>
      <c r="I188" s="370" t="s">
        <v>1814</v>
      </c>
      <c r="J188" s="369"/>
      <c r="K188" s="369"/>
      <c r="L188" s="367"/>
      <c r="M188" s="348"/>
    </row>
    <row r="189" spans="1:13" ht="15.5">
      <c r="A189" s="1228" t="s">
        <v>936</v>
      </c>
      <c r="B189" s="1228"/>
      <c r="C189" s="1228"/>
      <c r="D189" s="1228"/>
      <c r="E189" s="1228"/>
      <c r="F189" s="1228"/>
      <c r="G189" s="1228"/>
      <c r="H189" s="1228"/>
      <c r="I189" s="1228"/>
      <c r="J189" s="355"/>
      <c r="K189" s="355"/>
      <c r="L189" s="367"/>
      <c r="M189" s="348"/>
    </row>
    <row r="190" spans="1:13" ht="17.5">
      <c r="A190" s="1228" t="s">
        <v>920</v>
      </c>
      <c r="B190" s="1228"/>
      <c r="C190" s="1228"/>
      <c r="D190" s="1228"/>
      <c r="E190" s="1228"/>
      <c r="F190" s="1228"/>
      <c r="G190" s="1228"/>
      <c r="H190" s="1228"/>
      <c r="I190" s="1228"/>
      <c r="J190" s="355"/>
      <c r="K190" s="355"/>
      <c r="L190" s="344"/>
      <c r="M190" s="348"/>
    </row>
    <row r="191" spans="1:13" ht="15.5">
      <c r="A191" s="1228" t="s">
        <v>1484</v>
      </c>
      <c r="B191" s="1228"/>
      <c r="C191" s="1228"/>
      <c r="D191" s="1228"/>
      <c r="E191" s="1228"/>
      <c r="F191" s="1228"/>
      <c r="G191" s="1228"/>
      <c r="H191" s="1228"/>
      <c r="I191" s="1228"/>
      <c r="J191" s="341"/>
      <c r="K191" s="341"/>
      <c r="L191" s="344"/>
      <c r="M191" s="348"/>
    </row>
    <row r="192" spans="1:13" ht="15.75" customHeight="1">
      <c r="A192" s="341"/>
      <c r="B192" s="341"/>
      <c r="C192" s="341"/>
      <c r="D192" s="341"/>
      <c r="E192" s="341"/>
      <c r="F192" s="341"/>
      <c r="G192" s="373"/>
      <c r="H192" s="341"/>
      <c r="I192" s="341"/>
      <c r="J192" s="341"/>
      <c r="K192" s="341"/>
      <c r="L192" s="344"/>
      <c r="M192" s="371"/>
    </row>
    <row r="193" spans="1:13" ht="15.5">
      <c r="A193" s="346"/>
      <c r="B193" s="232" t="s">
        <v>922</v>
      </c>
      <c r="C193" s="374"/>
      <c r="D193" s="374"/>
      <c r="E193" s="374"/>
      <c r="F193" s="236" t="s">
        <v>923</v>
      </c>
      <c r="G193" s="235"/>
      <c r="H193" s="235"/>
      <c r="I193" s="235"/>
      <c r="L193" s="389"/>
      <c r="M193" s="372"/>
    </row>
    <row r="194" spans="1:13" s="53" customFormat="1" ht="42">
      <c r="A194" s="243"/>
      <c r="B194" s="244" t="s">
        <v>6</v>
      </c>
      <c r="C194" s="245" t="s">
        <v>7</v>
      </c>
      <c r="D194" s="245" t="s">
        <v>924</v>
      </c>
      <c r="E194" s="245" t="s">
        <v>768</v>
      </c>
      <c r="F194" s="246" t="s">
        <v>6</v>
      </c>
      <c r="G194" s="245" t="s">
        <v>7</v>
      </c>
      <c r="H194" s="245" t="s">
        <v>924</v>
      </c>
      <c r="I194" s="245" t="s">
        <v>768</v>
      </c>
      <c r="L194" s="350"/>
      <c r="M194" s="395" t="s">
        <v>932</v>
      </c>
    </row>
    <row r="195" spans="1:13" ht="14.5">
      <c r="A195" s="77" t="s">
        <v>925</v>
      </c>
      <c r="B195" s="352">
        <f>IF($M195&gt;0,('Amounts Pivot Table'!H$630/$M195),0)</f>
        <v>6536.1604199925341</v>
      </c>
      <c r="C195" s="352">
        <f>IF($M195&gt;0,('Amounts Pivot Table'!H$633/$M195),0)</f>
        <v>24.656770473444684</v>
      </c>
      <c r="D195" s="352">
        <f>IF($M195&gt;0,('Amounts Pivot Table'!H$639/$M195),0)</f>
        <v>7185.1261014876054</v>
      </c>
      <c r="E195" s="352">
        <f>SUM(B195:D195)</f>
        <v>13745.943291953583</v>
      </c>
      <c r="F195" s="353"/>
      <c r="G195" s="354"/>
      <c r="H195" s="354"/>
      <c r="I195" s="354"/>
      <c r="L195" s="356"/>
      <c r="M195" s="357">
        <v>62953.5</v>
      </c>
    </row>
    <row r="196" spans="1:13" s="376" customFormat="1">
      <c r="B196" s="380"/>
      <c r="C196" s="380"/>
      <c r="D196" s="380"/>
      <c r="E196" s="380"/>
      <c r="F196" s="387"/>
      <c r="G196" s="388"/>
      <c r="H196" s="388"/>
      <c r="I196" s="388"/>
      <c r="L196" s="381"/>
      <c r="M196" s="357"/>
    </row>
    <row r="197" spans="1:13" ht="12.75" customHeight="1">
      <c r="A197" s="77" t="s">
        <v>777</v>
      </c>
      <c r="B197" s="288">
        <f>IF($M197&gt;0,('Amounts Pivot Table'!H$6/$M197),0)</f>
        <v>6724.4196433560437</v>
      </c>
      <c r="C197" s="288">
        <f>IF($M197&gt;0,('Amounts Pivot Table'!H$9/$M197),0)</f>
        <v>250.53392289725718</v>
      </c>
      <c r="D197" s="288">
        <f>IF($M197&gt;0,('Amounts Pivot Table'!H$15/$M197),0)</f>
        <v>8070.6438142352117</v>
      </c>
      <c r="E197" s="288">
        <f>SUM(B197:D197)</f>
        <v>15045.597380488512</v>
      </c>
      <c r="F197" s="359">
        <f>IF(B197&gt;0,RANK(B197,$B$197:$B$215),)</f>
        <v>4</v>
      </c>
      <c r="G197" s="289">
        <f>IF(C197&gt;0,RANK(C197,$C$197:$C$215),)</f>
        <v>1</v>
      </c>
      <c r="H197" s="289">
        <f>IF(D197&gt;0,RANK(D197,$D$197:$D$215),)</f>
        <v>4</v>
      </c>
      <c r="I197" s="289">
        <f>IF(E197&gt;0,RANK(E197,$E$197:$E$215),)</f>
        <v>4</v>
      </c>
      <c r="L197" s="356"/>
      <c r="M197" s="357">
        <v>2237.0583333333334</v>
      </c>
    </row>
    <row r="198" spans="1:13" ht="12.75" customHeight="1">
      <c r="A198" s="77" t="s">
        <v>778</v>
      </c>
      <c r="B198" s="288">
        <f>IF($M198&gt;0,('Amounts Pivot Table'!H$45/$M198),0)</f>
        <v>6499.8670732171104</v>
      </c>
      <c r="C198" s="288">
        <f>IF($M198&gt;0,('Amounts Pivot Table'!H$48/$M198),0)</f>
        <v>0</v>
      </c>
      <c r="D198" s="288">
        <f>IF($M198&gt;0,('Amounts Pivot Table'!H$54/$M198),0)</f>
        <v>7317.1446467999813</v>
      </c>
      <c r="E198" s="288">
        <f>SUM(B198:D198)</f>
        <v>13817.011720017092</v>
      </c>
      <c r="F198" s="359">
        <f>IF(B198&gt;0,RANK(B198,$B$197:$B$215),)</f>
        <v>5</v>
      </c>
      <c r="G198" s="289">
        <f t="shared" ref="G198:G215" si="23">IF(C198&gt;0,RANK(C198,$C$197:$C$215),)</f>
        <v>0</v>
      </c>
      <c r="H198" s="289">
        <f t="shared" ref="H198:H215" si="24">IF(D198&gt;0,RANK(D198,$D$197:$D$215),)</f>
        <v>7</v>
      </c>
      <c r="I198" s="289">
        <f t="shared" ref="I198:I215" si="25">IF(E198&gt;0,RANK(E198,$E$197:$E$215),)</f>
        <v>7</v>
      </c>
      <c r="L198" s="356"/>
      <c r="M198" s="357">
        <v>7450.2166666666662</v>
      </c>
    </row>
    <row r="199" spans="1:13" ht="12.75" customHeight="1">
      <c r="A199" s="77" t="s">
        <v>779</v>
      </c>
      <c r="B199" s="288">
        <f>IF($M199&gt;0,('Amounts Pivot Table'!H$84/$M199),0)</f>
        <v>0</v>
      </c>
      <c r="C199" s="288">
        <f>IF($M199&gt;0,('Amounts Pivot Table'!H$87/$M199),0)</f>
        <v>0</v>
      </c>
      <c r="D199" s="288">
        <f>IF($M199&gt;0,('Amounts Pivot Table'!H$93/$M199),0)</f>
        <v>0</v>
      </c>
      <c r="E199" s="288">
        <f>SUM(B199:D199)</f>
        <v>0</v>
      </c>
      <c r="F199" s="359">
        <f>IF(B199&gt;0,RANK(B199,$B$197:$B$215),)</f>
        <v>0</v>
      </c>
      <c r="G199" s="289">
        <f t="shared" si="23"/>
        <v>0</v>
      </c>
      <c r="H199" s="289">
        <f t="shared" si="24"/>
        <v>0</v>
      </c>
      <c r="I199" s="289">
        <f t="shared" si="25"/>
        <v>0</v>
      </c>
      <c r="L199" s="356"/>
      <c r="M199" s="357">
        <v>0</v>
      </c>
    </row>
    <row r="200" spans="1:13" ht="12.75" customHeight="1">
      <c r="A200" s="77" t="s">
        <v>780</v>
      </c>
      <c r="B200" s="288">
        <f>IF($M200&gt;0,('Amounts Pivot Table'!H$123/$M200),0)</f>
        <v>0</v>
      </c>
      <c r="C200" s="288">
        <f>IF($M200&gt;0,('Amounts Pivot Table'!H$126/$M200),0)</f>
        <v>0</v>
      </c>
      <c r="D200" s="288">
        <f>IF($M200&gt;0,('Amounts Pivot Table'!H$132/$M200),0)</f>
        <v>0</v>
      </c>
      <c r="E200" s="288">
        <f>SUM(B200:D200)</f>
        <v>0</v>
      </c>
      <c r="F200" s="359">
        <f>IF(B200&gt;0,RANK(B200,$B$197:$B$215),)</f>
        <v>0</v>
      </c>
      <c r="G200" s="289">
        <f t="shared" si="23"/>
        <v>0</v>
      </c>
      <c r="H200" s="289">
        <f t="shared" si="24"/>
        <v>0</v>
      </c>
      <c r="I200" s="289">
        <f t="shared" si="25"/>
        <v>0</v>
      </c>
      <c r="L200" s="356"/>
      <c r="M200" s="357">
        <v>0</v>
      </c>
    </row>
    <row r="201" spans="1:13" s="376" customFormat="1">
      <c r="B201" s="380"/>
      <c r="C201" s="380"/>
      <c r="D201" s="380"/>
      <c r="E201" s="380"/>
      <c r="F201" s="387"/>
      <c r="G201" s="388"/>
      <c r="H201" s="388"/>
      <c r="I201" s="388"/>
      <c r="L201" s="381"/>
      <c r="M201" s="357"/>
    </row>
    <row r="202" spans="1:13" ht="12.75" customHeight="1">
      <c r="A202" s="77" t="s">
        <v>781</v>
      </c>
      <c r="B202" s="288">
        <f>IF($M202&gt;0,('Amounts Pivot Table'!H$162/$M202),0)</f>
        <v>5902.1308254638561</v>
      </c>
      <c r="C202" s="288">
        <f>IF($M202&gt;0,('Amounts Pivot Table'!H$165/$M202),0)</f>
        <v>0</v>
      </c>
      <c r="D202" s="288">
        <f>IF($M202&gt;0,('Amounts Pivot Table'!H$171/$M202),0)</f>
        <v>4253.7217348687982</v>
      </c>
      <c r="E202" s="288">
        <f>SUM(B202:D202)</f>
        <v>10155.852560332654</v>
      </c>
      <c r="F202" s="359">
        <f t="shared" ref="F202:F215" si="26">IF(B202&gt;0,RANK(B202,$B$197:$B$215),)</f>
        <v>6</v>
      </c>
      <c r="G202" s="289">
        <f t="shared" si="23"/>
        <v>0</v>
      </c>
      <c r="H202" s="289">
        <f t="shared" si="24"/>
        <v>9</v>
      </c>
      <c r="I202" s="289">
        <f t="shared" si="25"/>
        <v>8</v>
      </c>
      <c r="L202" s="356"/>
      <c r="M202" s="357">
        <v>23159.100000000002</v>
      </c>
    </row>
    <row r="203" spans="1:13" ht="12.75" customHeight="1">
      <c r="A203" s="77" t="s">
        <v>782</v>
      </c>
      <c r="B203" s="288">
        <f>IF($M203&gt;0,('Amounts Pivot Table'!H$201/$M203),0)</f>
        <v>0</v>
      </c>
      <c r="C203" s="288">
        <f>IF($M203&gt;0,('Amounts Pivot Table'!H$204/$M203),0)</f>
        <v>0</v>
      </c>
      <c r="D203" s="288">
        <f>IF($M203&gt;0,('Amounts Pivot Table'!H$210/$M203),0)</f>
        <v>0</v>
      </c>
      <c r="E203" s="288">
        <f>SUM(B203:D203)</f>
        <v>0</v>
      </c>
      <c r="F203" s="359">
        <f t="shared" si="26"/>
        <v>0</v>
      </c>
      <c r="G203" s="289">
        <f t="shared" si="23"/>
        <v>0</v>
      </c>
      <c r="H203" s="289">
        <f t="shared" si="24"/>
        <v>0</v>
      </c>
      <c r="I203" s="289">
        <f t="shared" si="25"/>
        <v>0</v>
      </c>
      <c r="L203" s="356"/>
      <c r="M203" s="357">
        <v>0</v>
      </c>
    </row>
    <row r="204" spans="1:13" ht="12.75" customHeight="1">
      <c r="A204" s="77" t="s">
        <v>813</v>
      </c>
      <c r="B204" s="288">
        <f>IF($M204&gt;0,('Amounts Pivot Table'!H$240/$M204),0)</f>
        <v>2146.7377682975603</v>
      </c>
      <c r="C204" s="288">
        <f>IF($M204&gt;0,('Amounts Pivot Table'!H$243/$M204),0)</f>
        <v>0</v>
      </c>
      <c r="D204" s="288">
        <f>IF($M204&gt;0,('Amounts Pivot Table'!H$249/$M204),0)</f>
        <v>7348.670977203039</v>
      </c>
      <c r="E204" s="288">
        <f>SUM(B204:D204)</f>
        <v>9495.4087455005993</v>
      </c>
      <c r="F204" s="359">
        <f t="shared" si="26"/>
        <v>9</v>
      </c>
      <c r="G204" s="289">
        <f t="shared" si="23"/>
        <v>0</v>
      </c>
      <c r="H204" s="289">
        <f t="shared" si="24"/>
        <v>6</v>
      </c>
      <c r="I204" s="289">
        <f t="shared" si="25"/>
        <v>9</v>
      </c>
      <c r="L204" s="356"/>
      <c r="M204" s="357">
        <v>2500.3333333333335</v>
      </c>
    </row>
    <row r="205" spans="1:13" ht="12.75" customHeight="1">
      <c r="A205" s="77" t="s">
        <v>784</v>
      </c>
      <c r="B205" s="288">
        <f>IF($M205&gt;0,('Amounts Pivot Table'!H$279/$M205),0)</f>
        <v>16880.574127982265</v>
      </c>
      <c r="C205" s="288">
        <f>IF($M205&gt;0,('Amounts Pivot Table'!H$282/$M205),0)</f>
        <v>0</v>
      </c>
      <c r="D205" s="288">
        <f>IF($M205&gt;0,('Amounts Pivot Table'!H$288/$M205),0)</f>
        <v>14027.954500719992</v>
      </c>
      <c r="E205" s="288">
        <f>SUM(B205:D205)</f>
        <v>30908.528628702257</v>
      </c>
      <c r="F205" s="359">
        <f t="shared" si="26"/>
        <v>1</v>
      </c>
      <c r="G205" s="289">
        <f t="shared" si="23"/>
        <v>0</v>
      </c>
      <c r="H205" s="289">
        <f t="shared" si="24"/>
        <v>1</v>
      </c>
      <c r="I205" s="289">
        <f t="shared" si="25"/>
        <v>1</v>
      </c>
      <c r="L205" s="356"/>
      <c r="M205" s="357">
        <v>1608.8166666666666</v>
      </c>
    </row>
    <row r="206" spans="1:13" s="376" customFormat="1">
      <c r="B206" s="380"/>
      <c r="C206" s="380"/>
      <c r="D206" s="380"/>
      <c r="E206" s="380"/>
      <c r="F206" s="387"/>
      <c r="G206" s="388"/>
      <c r="H206" s="388"/>
      <c r="I206" s="388"/>
      <c r="L206" s="381"/>
      <c r="M206" s="357"/>
    </row>
    <row r="207" spans="1:13" ht="12.75" customHeight="1">
      <c r="A207" s="77" t="s">
        <v>785</v>
      </c>
      <c r="B207" s="288">
        <f>IF($M207&gt;0,('Amounts Pivot Table'!H$318/$M207),0)</f>
        <v>0</v>
      </c>
      <c r="C207" s="288">
        <f>IF($M207&gt;0,('Amounts Pivot Table'!H$321/$M207),0)</f>
        <v>0</v>
      </c>
      <c r="D207" s="288">
        <f>IF($M207&gt;0,('Amounts Pivot Table'!H$327/$M207),0)</f>
        <v>0</v>
      </c>
      <c r="E207" s="288">
        <f>SUM(B207:D207)</f>
        <v>0</v>
      </c>
      <c r="F207" s="359">
        <f t="shared" si="26"/>
        <v>0</v>
      </c>
      <c r="G207" s="289">
        <f t="shared" si="23"/>
        <v>0</v>
      </c>
      <c r="H207" s="289">
        <f t="shared" si="24"/>
        <v>0</v>
      </c>
      <c r="I207" s="289">
        <f t="shared" si="25"/>
        <v>0</v>
      </c>
      <c r="L207" s="356"/>
      <c r="M207" s="357">
        <v>0</v>
      </c>
    </row>
    <row r="208" spans="1:13" ht="12.75" customHeight="1">
      <c r="A208" s="77" t="s">
        <v>786</v>
      </c>
      <c r="B208" s="288">
        <f>IF($M208&gt;0,('Amounts Pivot Table'!H$357/$M208),0)</f>
        <v>16476.997137007365</v>
      </c>
      <c r="C208" s="288">
        <f>IF($M208&gt;0,('Amounts Pivot Table'!H$360/$M208),0)</f>
        <v>0</v>
      </c>
      <c r="D208" s="288">
        <f>IF($M208&gt;0,('Amounts Pivot Table'!H$366/$M208),0)</f>
        <v>4456.953062212745</v>
      </c>
      <c r="E208" s="288">
        <f>SUM(B208:D208)</f>
        <v>20933.950199220111</v>
      </c>
      <c r="F208" s="359">
        <f t="shared" si="26"/>
        <v>2</v>
      </c>
      <c r="G208" s="289">
        <f t="shared" si="23"/>
        <v>0</v>
      </c>
      <c r="H208" s="289">
        <f t="shared" si="24"/>
        <v>8</v>
      </c>
      <c r="I208" s="289">
        <f t="shared" si="25"/>
        <v>3</v>
      </c>
      <c r="L208" s="356"/>
      <c r="M208" s="357">
        <v>4904.541666666667</v>
      </c>
    </row>
    <row r="209" spans="1:13" ht="12.75" customHeight="1">
      <c r="A209" s="77" t="s">
        <v>787</v>
      </c>
      <c r="B209" s="288">
        <f>IF($M209&gt;0,('Amounts Pivot Table'!H$396/$M209),0)</f>
        <v>0</v>
      </c>
      <c r="C209" s="288">
        <f>IF($M209&gt;0,('Amounts Pivot Table'!H$399/$M209),0)</f>
        <v>0</v>
      </c>
      <c r="D209" s="288">
        <f>IF($M209&gt;0,('Amounts Pivot Table'!H$405/$M209),0)</f>
        <v>0</v>
      </c>
      <c r="E209" s="288">
        <f>SUM(B209:D209)</f>
        <v>0</v>
      </c>
      <c r="F209" s="359">
        <f t="shared" si="26"/>
        <v>0</v>
      </c>
      <c r="G209" s="289">
        <f t="shared" si="23"/>
        <v>0</v>
      </c>
      <c r="H209" s="289">
        <f t="shared" si="24"/>
        <v>0</v>
      </c>
      <c r="I209" s="289">
        <f t="shared" si="25"/>
        <v>0</v>
      </c>
      <c r="L209" s="356"/>
      <c r="M209" s="357">
        <v>0</v>
      </c>
    </row>
    <row r="210" spans="1:13" ht="12.75" customHeight="1">
      <c r="A210" s="77" t="s">
        <v>788</v>
      </c>
      <c r="B210" s="288">
        <f>IF($M210&gt;0,('Amounts Pivot Table'!H$435/$M210),0)</f>
        <v>3122.7020170782366</v>
      </c>
      <c r="C210" s="288">
        <f>IF($M210&gt;0,('Amounts Pivot Table'!H$438/$M210),0)</f>
        <v>73.244108008308331</v>
      </c>
      <c r="D210" s="288">
        <f>IF($M210&gt;0,('Amounts Pivot Table'!H$444/$M210),0)</f>
        <v>11530.996390491577</v>
      </c>
      <c r="E210" s="288">
        <f>SUM(B210:D210)</f>
        <v>14726.942515578121</v>
      </c>
      <c r="F210" s="359">
        <f t="shared" si="26"/>
        <v>8</v>
      </c>
      <c r="G210" s="289">
        <f t="shared" si="23"/>
        <v>2</v>
      </c>
      <c r="H210" s="289">
        <f t="shared" si="24"/>
        <v>2</v>
      </c>
      <c r="I210" s="289">
        <f t="shared" si="25"/>
        <v>5</v>
      </c>
      <c r="L210" s="356"/>
      <c r="M210" s="357">
        <v>13540.625</v>
      </c>
    </row>
    <row r="211" spans="1:13" s="376" customFormat="1">
      <c r="B211" s="380"/>
      <c r="C211" s="380"/>
      <c r="D211" s="380"/>
      <c r="E211" s="380"/>
      <c r="F211" s="387"/>
      <c r="G211" s="388"/>
      <c r="H211" s="388"/>
      <c r="I211" s="388"/>
      <c r="L211" s="381"/>
      <c r="M211" s="357"/>
    </row>
    <row r="212" spans="1:13" ht="12.75" customHeight="1">
      <c r="A212" s="77" t="s">
        <v>789</v>
      </c>
      <c r="B212" s="288">
        <f>IF($M212&gt;0,('Amounts Pivot Table'!H$474/$M212),0)</f>
        <v>0</v>
      </c>
      <c r="C212" s="288">
        <f>IF($M212&gt;0,('Amounts Pivot Table'!H$477/$M212),0)</f>
        <v>0</v>
      </c>
      <c r="D212" s="288">
        <f>IF($M212&gt;0,('Amounts Pivot Table'!H$483/$M212),0)</f>
        <v>0</v>
      </c>
      <c r="E212" s="288">
        <f>SUM(B212:D212)</f>
        <v>0</v>
      </c>
      <c r="F212" s="359">
        <f t="shared" si="26"/>
        <v>0</v>
      </c>
      <c r="G212" s="289">
        <f t="shared" si="23"/>
        <v>0</v>
      </c>
      <c r="H212" s="289">
        <f t="shared" si="24"/>
        <v>0</v>
      </c>
      <c r="I212" s="289">
        <f t="shared" si="25"/>
        <v>0</v>
      </c>
      <c r="L212" s="356"/>
      <c r="M212" s="357">
        <v>0</v>
      </c>
    </row>
    <row r="213" spans="1:13" s="362" customFormat="1" ht="12.75" customHeight="1">
      <c r="A213" s="77" t="s">
        <v>790</v>
      </c>
      <c r="B213" s="288">
        <f>IF($M213&gt;0,('Amounts Pivot Table'!H$513/$M213),0)</f>
        <v>0</v>
      </c>
      <c r="C213" s="288">
        <f>IF($M213&gt;0,('Amounts Pivot Table'!H$516/$M213),0)</f>
        <v>0</v>
      </c>
      <c r="D213" s="288">
        <f>IF($M213&gt;0,('Amounts Pivot Table'!H$522/$M213),0)</f>
        <v>0</v>
      </c>
      <c r="E213" s="288">
        <f>SUM(B213:D213)</f>
        <v>0</v>
      </c>
      <c r="F213" s="359">
        <f t="shared" si="26"/>
        <v>0</v>
      </c>
      <c r="G213" s="289">
        <f t="shared" si="23"/>
        <v>0</v>
      </c>
      <c r="H213" s="289">
        <f t="shared" si="24"/>
        <v>0</v>
      </c>
      <c r="I213" s="289">
        <f t="shared" si="25"/>
        <v>0</v>
      </c>
      <c r="J213" s="77"/>
      <c r="K213" s="77"/>
      <c r="L213" s="363"/>
      <c r="M213" s="357">
        <v>0</v>
      </c>
    </row>
    <row r="214" spans="1:13" ht="12.75" customHeight="1">
      <c r="A214" s="77" t="s">
        <v>791</v>
      </c>
      <c r="B214" s="288">
        <f>IF($M214&gt;0,('Amounts Pivot Table'!H$552/$M214),0)</f>
        <v>13454.001745581496</v>
      </c>
      <c r="C214" s="288">
        <f>IF($M214&gt;0,('Amounts Pivot Table'!H$555/$M214),0)</f>
        <v>0</v>
      </c>
      <c r="D214" s="288">
        <f>IF($M214&gt;0,('Amounts Pivot Table'!H$561/$M214),0)</f>
        <v>7771.2018328605709</v>
      </c>
      <c r="E214" s="288">
        <f>SUM(B214:D214)</f>
        <v>21225.203578442066</v>
      </c>
      <c r="F214" s="359">
        <f t="shared" si="26"/>
        <v>3</v>
      </c>
      <c r="G214" s="289">
        <f t="shared" si="23"/>
        <v>0</v>
      </c>
      <c r="H214" s="289">
        <f t="shared" si="24"/>
        <v>5</v>
      </c>
      <c r="I214" s="289">
        <f t="shared" si="25"/>
        <v>2</v>
      </c>
      <c r="L214" s="367"/>
      <c r="M214" s="357">
        <v>1527.6666666666667</v>
      </c>
    </row>
    <row r="215" spans="1:13" ht="15" customHeight="1">
      <c r="A215" s="277" t="s">
        <v>792</v>
      </c>
      <c r="B215" s="296">
        <f>IF($M215&gt;0,('Amounts Pivot Table'!H$591/$M215),0)</f>
        <v>5832.8595316569326</v>
      </c>
      <c r="C215" s="296">
        <f>IF($M215&gt;0,('Amounts Pivot Table'!H$594/$M215),0)</f>
        <v>0</v>
      </c>
      <c r="D215" s="296">
        <f>IF($M215&gt;0,('Amounts Pivot Table'!H$600/$M215),0)</f>
        <v>8371.106903433807</v>
      </c>
      <c r="E215" s="364">
        <f>SUM(B215:D215)</f>
        <v>14203.966435090741</v>
      </c>
      <c r="F215" s="365">
        <f t="shared" si="26"/>
        <v>7</v>
      </c>
      <c r="G215" s="366">
        <f t="shared" si="23"/>
        <v>0</v>
      </c>
      <c r="H215" s="366">
        <f t="shared" si="24"/>
        <v>3</v>
      </c>
      <c r="I215" s="366">
        <f t="shared" si="25"/>
        <v>6</v>
      </c>
      <c r="L215" s="367"/>
      <c r="M215" s="357">
        <v>6025.1416666666664</v>
      </c>
    </row>
    <row r="216" spans="1:13" s="362" customFormat="1" ht="36" customHeight="1">
      <c r="A216" s="1244" t="s">
        <v>926</v>
      </c>
      <c r="B216" s="1245"/>
      <c r="C216" s="1245"/>
      <c r="D216" s="1245"/>
      <c r="E216" s="1245"/>
      <c r="F216" s="1245"/>
      <c r="G216" s="1245"/>
      <c r="H216" s="1245"/>
      <c r="I216" s="1245"/>
      <c r="J216" s="77"/>
      <c r="K216" s="77"/>
      <c r="L216" s="363"/>
      <c r="M216" s="382"/>
    </row>
    <row r="217" spans="1:13" s="362" customFormat="1" ht="22.5" customHeight="1">
      <c r="A217" s="1244" t="s">
        <v>927</v>
      </c>
      <c r="B217" s="1278"/>
      <c r="C217" s="1278"/>
      <c r="D217" s="1278"/>
      <c r="E217" s="1278"/>
      <c r="F217" s="1278"/>
      <c r="G217" s="1278"/>
      <c r="H217" s="1278"/>
      <c r="I217" s="1278"/>
      <c r="J217" s="369"/>
      <c r="L217" s="363"/>
      <c r="M217" s="348"/>
    </row>
    <row r="218" spans="1:13">
      <c r="A218" s="385" t="s">
        <v>930</v>
      </c>
      <c r="L218" s="367"/>
      <c r="M218" s="348"/>
    </row>
    <row r="219" spans="1:13" ht="17.25" customHeight="1">
      <c r="A219" s="368"/>
      <c r="B219" s="369"/>
      <c r="C219" s="369"/>
      <c r="D219" s="369"/>
      <c r="E219" s="369"/>
      <c r="F219" s="369"/>
      <c r="G219" s="369"/>
      <c r="H219" s="369"/>
      <c r="I219" s="370" t="s">
        <v>1814</v>
      </c>
      <c r="J219" s="369"/>
      <c r="K219" s="369"/>
      <c r="L219" s="367"/>
      <c r="M219" s="348"/>
    </row>
    <row r="220" spans="1:13" ht="15.5">
      <c r="A220" s="1228" t="s">
        <v>937</v>
      </c>
      <c r="B220" s="1228"/>
      <c r="C220" s="1228"/>
      <c r="D220" s="1228"/>
      <c r="E220" s="1228"/>
      <c r="F220" s="1228"/>
      <c r="G220" s="1228"/>
      <c r="H220" s="1228"/>
      <c r="I220" s="1228"/>
      <c r="J220" s="1228"/>
      <c r="K220" s="1228"/>
      <c r="L220" s="367"/>
      <c r="M220" s="348"/>
    </row>
    <row r="221" spans="1:13" ht="17.5">
      <c r="A221" s="1228" t="s">
        <v>920</v>
      </c>
      <c r="B221" s="1228"/>
      <c r="C221" s="1228"/>
      <c r="D221" s="1228"/>
      <c r="E221" s="1228"/>
      <c r="F221" s="1228"/>
      <c r="G221" s="1228"/>
      <c r="H221" s="1228"/>
      <c r="I221" s="1228"/>
      <c r="J221" s="1228"/>
      <c r="K221" s="1228"/>
      <c r="L221" s="344"/>
      <c r="M221" s="348"/>
    </row>
    <row r="222" spans="1:13" ht="15.5">
      <c r="A222" s="1228" t="s">
        <v>1485</v>
      </c>
      <c r="B222" s="1228"/>
      <c r="C222" s="1228"/>
      <c r="D222" s="1228"/>
      <c r="E222" s="1228"/>
      <c r="F222" s="1228"/>
      <c r="G222" s="1228"/>
      <c r="H222" s="1228"/>
      <c r="I222" s="1228"/>
      <c r="J222" s="1228"/>
      <c r="K222" s="1228"/>
      <c r="L222" s="344"/>
      <c r="M222" s="348"/>
    </row>
    <row r="223" spans="1:13" ht="6.75" customHeight="1">
      <c r="A223" s="341"/>
      <c r="B223" s="341"/>
      <c r="C223" s="341"/>
      <c r="D223" s="341"/>
      <c r="E223" s="341"/>
      <c r="F223" s="341"/>
      <c r="G223" s="373"/>
      <c r="H223" s="341"/>
      <c r="I223" s="341"/>
      <c r="J223" s="341"/>
      <c r="K223" s="341"/>
      <c r="L223" s="344"/>
      <c r="M223" s="348"/>
    </row>
    <row r="224" spans="1:13" ht="15" customHeight="1">
      <c r="A224" s="346"/>
      <c r="B224" s="1279" t="s">
        <v>922</v>
      </c>
      <c r="C224" s="1280"/>
      <c r="D224" s="1280"/>
      <c r="E224" s="1280"/>
      <c r="F224" s="1280"/>
      <c r="G224" s="236" t="s">
        <v>923</v>
      </c>
      <c r="H224" s="235"/>
      <c r="I224" s="235"/>
      <c r="J224" s="235"/>
      <c r="K224" s="235"/>
      <c r="L224" s="389"/>
      <c r="M224" s="348"/>
    </row>
    <row r="225" spans="1:14" s="53" customFormat="1" ht="42">
      <c r="A225" s="243"/>
      <c r="B225" s="244" t="s">
        <v>6</v>
      </c>
      <c r="C225" s="245" t="s">
        <v>7</v>
      </c>
      <c r="D225" s="245" t="s">
        <v>8</v>
      </c>
      <c r="E225" s="245" t="s">
        <v>924</v>
      </c>
      <c r="F225" s="245" t="s">
        <v>768</v>
      </c>
      <c r="G225" s="246" t="s">
        <v>6</v>
      </c>
      <c r="H225" s="245" t="s">
        <v>7</v>
      </c>
      <c r="I225" s="245" t="s">
        <v>8</v>
      </c>
      <c r="J225" s="245" t="s">
        <v>924</v>
      </c>
      <c r="K225" s="245" t="s">
        <v>768</v>
      </c>
      <c r="L225" s="350"/>
      <c r="M225" s="372" t="s">
        <v>921</v>
      </c>
      <c r="N225" s="668" t="s">
        <v>1043</v>
      </c>
    </row>
    <row r="226" spans="1:14" ht="14.5">
      <c r="A226" s="77" t="s">
        <v>925</v>
      </c>
      <c r="B226" s="352">
        <f>IF($M226&gt;0,('Amounts Pivot Table'!O$630/$M226),0)</f>
        <v>3778.4354873345451</v>
      </c>
      <c r="C226" s="352">
        <f>IF($M226&gt;0,('Amounts Pivot Table'!O$633/$M226),0)</f>
        <v>119.00839660121225</v>
      </c>
      <c r="D226" s="352">
        <f>IF($M226&gt;0,('Amounts Pivot Table'!O$636/$M226),0)</f>
        <v>1913.6876534945477</v>
      </c>
      <c r="E226" s="352">
        <f>IF($M226&gt;0,('Amounts Pivot Table'!O$639/$M226),0)</f>
        <v>3119.0584940501426</v>
      </c>
      <c r="F226" s="352">
        <f>SUM(B226:E226)</f>
        <v>8930.1900314804479</v>
      </c>
      <c r="G226" s="353"/>
      <c r="H226" s="354"/>
      <c r="I226" s="354"/>
      <c r="J226" s="354"/>
      <c r="K226" s="354"/>
      <c r="L226" s="356"/>
      <c r="M226" s="357">
        <v>1474349.4577777777</v>
      </c>
    </row>
    <row r="227" spans="1:14" ht="12.75" customHeight="1">
      <c r="B227" s="352"/>
      <c r="C227" s="352"/>
      <c r="D227" s="352"/>
      <c r="E227" s="352"/>
      <c r="F227" s="352"/>
      <c r="G227" s="353"/>
      <c r="H227" s="354"/>
      <c r="I227" s="354"/>
      <c r="J227" s="354"/>
      <c r="K227" s="354"/>
      <c r="L227" s="356"/>
      <c r="M227" s="357" t="s">
        <v>421</v>
      </c>
    </row>
    <row r="228" spans="1:14" ht="12.75" customHeight="1">
      <c r="A228" s="77" t="s">
        <v>777</v>
      </c>
      <c r="B228" s="288">
        <f>IF($M228&gt;0,('Amounts Pivot Table'!O$6/$M228),0)</f>
        <v>5443.0884661019827</v>
      </c>
      <c r="C228" s="288">
        <f>IF($M228&gt;0,('Amounts Pivot Table'!O$9/$M228),0)</f>
        <v>0</v>
      </c>
      <c r="D228" s="288">
        <f>IF($M228&gt;0,('Amounts Pivot Table'!O$12/$M228),0)</f>
        <v>35.778939437595184</v>
      </c>
      <c r="E228" s="288">
        <f>IF($M228&gt;0,('Amounts Pivot Table'!O$15/$M228),0)</f>
        <v>4353.4842039518308</v>
      </c>
      <c r="F228" s="288">
        <f t="shared" ref="F228:F246" si="27">SUM(B228:E228)</f>
        <v>9832.3516094914085</v>
      </c>
      <c r="G228" s="359">
        <f>IF(B228&gt;0,RANK(B228,$B$228:$B$246),)</f>
        <v>4</v>
      </c>
      <c r="H228" s="289">
        <f>IF(C228&gt;0,RANK(C228,$C$228:$C$246),)</f>
        <v>0</v>
      </c>
      <c r="I228" s="289">
        <f>IF(D228&gt;0,RANK(D228,$D$228:$D$246),)</f>
        <v>7</v>
      </c>
      <c r="J228" s="289">
        <f>IF(E228&gt;0,RANK(E228,$E$228:$E$246),)</f>
        <v>10</v>
      </c>
      <c r="K228" s="289">
        <f>IF(F228&gt;0,RANK(F228,$F$228:$F$246),)</f>
        <v>7</v>
      </c>
      <c r="L228" s="356"/>
      <c r="M228" s="357">
        <v>55877.9</v>
      </c>
    </row>
    <row r="229" spans="1:14" ht="12.75" customHeight="1">
      <c r="A229" s="77" t="s">
        <v>778</v>
      </c>
      <c r="B229" s="288">
        <f>IF($M229&gt;0,('Amounts Pivot Table'!O$45/$M229),0)</f>
        <v>5796.4693580641233</v>
      </c>
      <c r="C229" s="288">
        <f>IF($M229&gt;0,('Amounts Pivot Table'!O$48/$M229),0)</f>
        <v>70.905425618637679</v>
      </c>
      <c r="D229" s="288">
        <f>IF($M229&gt;0,('Amounts Pivot Table'!O$51/$M229),0)</f>
        <v>986.6988831730763</v>
      </c>
      <c r="E229" s="288">
        <f>IF($M229&gt;0,('Amounts Pivot Table'!O$54/$M229),0)</f>
        <v>4465.5261664439322</v>
      </c>
      <c r="F229" s="288">
        <f t="shared" si="27"/>
        <v>11319.59983329977</v>
      </c>
      <c r="G229" s="359">
        <f>IF(B229&gt;0,RANK(B229,$B$228:$B$246),)</f>
        <v>2</v>
      </c>
      <c r="H229" s="289">
        <f>IF(C229&gt;0,RANK(C229,$C$228:$C$246),)</f>
        <v>3</v>
      </c>
      <c r="I229" s="289">
        <f>IF(D229&gt;0,RANK(D229,$D$228:$D$246),)</f>
        <v>5</v>
      </c>
      <c r="J229" s="289">
        <f>IF(E229&gt;0,RANK(E229,$E$228:$E$246),)</f>
        <v>9</v>
      </c>
      <c r="K229" s="289">
        <f>IF(F229&gt;0,RANK(F229,$F$228:$F$246),)</f>
        <v>4</v>
      </c>
      <c r="L229" s="356"/>
      <c r="M229" s="357">
        <v>30953.76666666667</v>
      </c>
    </row>
    <row r="230" spans="1:14" ht="12.75" customHeight="1">
      <c r="A230" s="77" t="s">
        <v>779</v>
      </c>
      <c r="B230" s="288">
        <f>IF($M230&gt;0,('Amounts Pivot Table'!O$84/$M230),0)</f>
        <v>8333.8350263870016</v>
      </c>
      <c r="C230" s="288">
        <f>IF($M230&gt;0,('Amounts Pivot Table'!O$87/$M230),0)</f>
        <v>0</v>
      </c>
      <c r="D230" s="288">
        <f>IF($M230&gt;0,('Amounts Pivot Table'!O$90/$M230),0)</f>
        <v>0</v>
      </c>
      <c r="E230" s="288">
        <f>IF($M230&gt;0,('Amounts Pivot Table'!O$93/$M230),0)</f>
        <v>5890.4679602905453</v>
      </c>
      <c r="F230" s="288">
        <f t="shared" si="27"/>
        <v>14224.302986677547</v>
      </c>
      <c r="G230" s="359">
        <f>IF(B230&gt;0,RANK(B230,$B$228:$B$246),)</f>
        <v>1</v>
      </c>
      <c r="H230" s="289">
        <f>IF(C230&gt;0,RANK(C230,$C$228:$C$246),)</f>
        <v>0</v>
      </c>
      <c r="I230" s="289">
        <f>IF(D230&gt;0,RANK(D230,$D$228:$D$246),)</f>
        <v>0</v>
      </c>
      <c r="J230" s="289">
        <f>IF(E230&gt;0,RANK(E230,$E$228:$E$246),)</f>
        <v>2</v>
      </c>
      <c r="K230" s="289">
        <f>IF(F230&gt;0,RANK(F230,$F$228:$F$246),)</f>
        <v>1</v>
      </c>
      <c r="L230" s="356"/>
      <c r="M230" s="357">
        <v>8659.5666666666675</v>
      </c>
    </row>
    <row r="231" spans="1:14" ht="12.75" customHeight="1">
      <c r="A231" s="77" t="s">
        <v>780</v>
      </c>
      <c r="B231" s="288">
        <f>IF($M231&gt;0,('Amounts Pivot Table'!O$123/$M231),0)</f>
        <v>3868.0526563813478</v>
      </c>
      <c r="C231" s="288">
        <f>IF($M231&gt;0,('Amounts Pivot Table'!O$126/$M231),0)</f>
        <v>0</v>
      </c>
      <c r="D231" s="288">
        <f>IF($M231&gt;0,('Amounts Pivot Table'!O$129/$M231),0)</f>
        <v>0</v>
      </c>
      <c r="E231" s="288">
        <f>IF($M231&gt;0,('Amounts Pivot Table'!O$132/$M231),0)</f>
        <v>2415.6512906834014</v>
      </c>
      <c r="F231" s="288">
        <f t="shared" si="27"/>
        <v>6283.7039470647487</v>
      </c>
      <c r="G231" s="359">
        <f>IF(B231&gt;0,RANK(B231,$B$228:$B$246),)</f>
        <v>9</v>
      </c>
      <c r="H231" s="289">
        <f>IF(C231&gt;0,RANK(C231,$C$228:$C$246),)</f>
        <v>0</v>
      </c>
      <c r="I231" s="289">
        <f>IF(D231&gt;0,RANK(D231,$D$228:$D$246),)</f>
        <v>0</v>
      </c>
      <c r="J231" s="289">
        <f>IF(E231&gt;0,RANK(E231,$E$228:$E$246),)</f>
        <v>12</v>
      </c>
      <c r="K231" s="289">
        <f>IF(F231&gt;0,RANK(F231,$F$228:$F$246),)</f>
        <v>14</v>
      </c>
      <c r="L231" s="356"/>
      <c r="M231" s="357">
        <v>320467.47888888884</v>
      </c>
    </row>
    <row r="232" spans="1:14" ht="12.75" customHeight="1">
      <c r="B232" s="288"/>
      <c r="C232" s="288"/>
      <c r="D232" s="288"/>
      <c r="E232" s="288"/>
      <c r="F232" s="288"/>
      <c r="G232" s="359"/>
      <c r="H232" s="289"/>
      <c r="I232" s="289"/>
      <c r="J232" s="289"/>
      <c r="K232" s="289"/>
      <c r="L232" s="356"/>
      <c r="M232" s="357"/>
    </row>
    <row r="233" spans="1:14" ht="12.75" customHeight="1">
      <c r="A233" s="77" t="s">
        <v>781</v>
      </c>
      <c r="B233" s="288">
        <f>IF($M233&gt;0,('Amounts Pivot Table'!O$162/$M233),0)</f>
        <v>5221.1437016976024</v>
      </c>
      <c r="C233" s="288">
        <f>IF($M233&gt;0,('Amounts Pivot Table'!O$165/$M233),0)</f>
        <v>0</v>
      </c>
      <c r="D233" s="288">
        <f>IF($M233&gt;0,('Amounts Pivot Table'!O$168/$M233),0)</f>
        <v>0</v>
      </c>
      <c r="E233" s="288">
        <f>IF($M233&gt;0,('Amounts Pivot Table'!O$171/$M233),0)</f>
        <v>3590.1652622366078</v>
      </c>
      <c r="F233" s="288">
        <f t="shared" si="27"/>
        <v>8811.3089639342106</v>
      </c>
      <c r="G233" s="359">
        <f>IF(B233&gt;0,RANK(B233,$B$228:$B$246),)</f>
        <v>5</v>
      </c>
      <c r="H233" s="289">
        <f>IF(C233&gt;0,RANK(C233,$C$228:$C$246),)</f>
        <v>0</v>
      </c>
      <c r="I233" s="289">
        <f>IF(D233&gt;0,RANK(D233,$D$228:$D$246),)</f>
        <v>0</v>
      </c>
      <c r="J233" s="289">
        <f>IF(E233&gt;0,RANK(E233,$E$228:$E$246),)</f>
        <v>11</v>
      </c>
      <c r="K233" s="289">
        <f>IF(F233&gt;0,RANK(F233,$F$228:$F$246),)</f>
        <v>11</v>
      </c>
      <c r="L233" s="356"/>
      <c r="M233" s="357">
        <v>10092.666666666666</v>
      </c>
    </row>
    <row r="234" spans="1:14" ht="12.75" customHeight="1">
      <c r="A234" s="77" t="s">
        <v>782</v>
      </c>
      <c r="B234" s="288">
        <f>IF($M234&gt;0,('Amounts Pivot Table'!O$201/$M234),0)</f>
        <v>3178.81685579226</v>
      </c>
      <c r="C234" s="288">
        <f>IF($M234&gt;0,('Amounts Pivot Table'!O$204/$M234),0)</f>
        <v>0</v>
      </c>
      <c r="D234" s="288">
        <f>IF($M234&gt;0,('Amounts Pivot Table'!O$207/$M234),0)</f>
        <v>0</v>
      </c>
      <c r="E234" s="288">
        <f>IF($M234&gt;0,('Amounts Pivot Table'!O$210/$M234),0)</f>
        <v>5321.3206447140074</v>
      </c>
      <c r="F234" s="288">
        <f t="shared" si="27"/>
        <v>8500.1375005062673</v>
      </c>
      <c r="G234" s="359">
        <f>IF(B234&gt;0,RANK(B234,$B$228:$B$246),)</f>
        <v>11</v>
      </c>
      <c r="H234" s="289">
        <f>IF(C234&gt;0,RANK(C234,$C$228:$C$246),)</f>
        <v>0</v>
      </c>
      <c r="I234" s="289">
        <f>IF(D234&gt;0,RANK(D234,$D$228:$D$246),)</f>
        <v>0</v>
      </c>
      <c r="J234" s="289">
        <f>IF(E234&gt;0,RANK(E234,$E$228:$E$246),)</f>
        <v>3</v>
      </c>
      <c r="K234" s="289">
        <f>IF(F234&gt;0,RANK(F234,$F$228:$F$246),)</f>
        <v>12</v>
      </c>
      <c r="L234" s="356"/>
      <c r="M234" s="357">
        <v>39175.613333333335</v>
      </c>
    </row>
    <row r="235" spans="1:14" ht="12.75" customHeight="1">
      <c r="A235" s="77" t="s">
        <v>813</v>
      </c>
      <c r="B235" s="288">
        <f>IF($M235&gt;0,('Amounts Pivot Table'!O$240/$M235),0)</f>
        <v>2836.5012034834117</v>
      </c>
      <c r="C235" s="288">
        <f>IF($M235&gt;0,('Amounts Pivot Table'!O$243/$M235),0)</f>
        <v>0</v>
      </c>
      <c r="D235" s="288">
        <f>IF($M235&gt;0,('Amounts Pivot Table'!O$246/$M235),0)</f>
        <v>0</v>
      </c>
      <c r="E235" s="288">
        <f>IF($M235&gt;0,('Amounts Pivot Table'!O$249/$M235),0)</f>
        <v>4479.1191156519026</v>
      </c>
      <c r="F235" s="288">
        <f t="shared" si="27"/>
        <v>7315.6203191353143</v>
      </c>
      <c r="G235" s="359">
        <f>IF(B235&gt;0,RANK(B235,$B$228:$B$246),)</f>
        <v>13</v>
      </c>
      <c r="H235" s="289">
        <f>IF(C235&gt;0,RANK(C235,$C$228:$C$246),)</f>
        <v>0</v>
      </c>
      <c r="I235" s="289">
        <f>IF(D235&gt;0,RANK(D235,$D$228:$D$246),)</f>
        <v>0</v>
      </c>
      <c r="J235" s="289">
        <f>IF(E235&gt;0,RANK(E235,$E$228:$E$246),)</f>
        <v>8</v>
      </c>
      <c r="K235" s="289">
        <f>IF(F235&gt;0,RANK(F235,$F$228:$F$246),)</f>
        <v>13</v>
      </c>
      <c r="L235" s="356"/>
      <c r="M235" s="357">
        <v>34753.283333333333</v>
      </c>
    </row>
    <row r="236" spans="1:14" ht="12.75" customHeight="1">
      <c r="A236" s="77" t="s">
        <v>784</v>
      </c>
      <c r="B236" s="288">
        <f>IF($M236&gt;0,('Amounts Pivot Table'!O$279/$M236),0)</f>
        <v>3562.2557960976615</v>
      </c>
      <c r="C236" s="288">
        <f>IF($M236&gt;0,('Amounts Pivot Table'!O$282/$M236),0)</f>
        <v>0</v>
      </c>
      <c r="D236" s="288">
        <f>IF($M236&gt;0,('Amounts Pivot Table'!O$285/$M236),0)</f>
        <v>5370.7120588507696</v>
      </c>
      <c r="E236" s="288">
        <f>IF($M236&gt;0,('Amounts Pivot Table'!O$288/$M236),0)</f>
        <v>4966.3450521676177</v>
      </c>
      <c r="F236" s="288">
        <f t="shared" si="27"/>
        <v>13899.312907116047</v>
      </c>
      <c r="G236" s="359">
        <f>IF(B236&gt;0,RANK(B236,$B$228:$B$246),)</f>
        <v>10</v>
      </c>
      <c r="H236" s="289">
        <f>IF(C236&gt;0,RANK(C236,$C$228:$C$246),)</f>
        <v>0</v>
      </c>
      <c r="I236" s="289">
        <f>IF(D236&gt;0,RANK(D236,$D$228:$D$246),)</f>
        <v>1</v>
      </c>
      <c r="J236" s="289">
        <f>IF(E236&gt;0,RANK(E236,$E$228:$E$246),)</f>
        <v>6</v>
      </c>
      <c r="K236" s="289">
        <f>IF(F236&gt;0,RANK(F236,$F$228:$F$246),)</f>
        <v>2</v>
      </c>
      <c r="L236" s="356"/>
      <c r="M236" s="357">
        <v>83680.583333333328</v>
      </c>
    </row>
    <row r="237" spans="1:14" ht="12.75" customHeight="1">
      <c r="B237" s="288"/>
      <c r="C237" s="288"/>
      <c r="D237" s="288"/>
      <c r="E237" s="288"/>
      <c r="F237" s="288"/>
      <c r="G237" s="359"/>
      <c r="H237" s="289"/>
      <c r="I237" s="289"/>
      <c r="J237" s="289"/>
      <c r="K237" s="289"/>
      <c r="L237" s="356"/>
      <c r="M237" s="357"/>
    </row>
    <row r="238" spans="1:14" ht="12.75" customHeight="1">
      <c r="A238" s="77" t="s">
        <v>785</v>
      </c>
      <c r="B238" s="288">
        <f>IF($M238&gt;0,('Amounts Pivot Table'!O$318/$M238),0)</f>
        <v>0</v>
      </c>
      <c r="C238" s="288">
        <f>IF($M238&gt;0,('Amounts Pivot Table'!O$321/$M238),0)</f>
        <v>0</v>
      </c>
      <c r="D238" s="288">
        <f>IF($M238&gt;0,('Amounts Pivot Table'!O$324/$M238),0)</f>
        <v>0</v>
      </c>
      <c r="E238" s="288">
        <f>IF($M238&gt;0,('Amounts Pivot Table'!O$327/$M238),0)</f>
        <v>0</v>
      </c>
      <c r="F238" s="288">
        <f t="shared" si="27"/>
        <v>0</v>
      </c>
      <c r="G238" s="359">
        <f>IF(B238&gt;0,RANK(B238,$B$228:$B$246),)</f>
        <v>0</v>
      </c>
      <c r="H238" s="289">
        <f>IF(C238&gt;0,RANK(C238,$C$228:$C$246),)</f>
        <v>0</v>
      </c>
      <c r="I238" s="289">
        <f>IF(D238&gt;0,RANK(D238,$D$228:$D$246),)</f>
        <v>0</v>
      </c>
      <c r="J238" s="289">
        <f>IF(E238&gt;0,RANK(E238,$E$228:$E$246),)</f>
        <v>0</v>
      </c>
      <c r="K238" s="289">
        <f>IF(F238&gt;0,RANK(F238,$F$228:$F$246),)</f>
        <v>0</v>
      </c>
      <c r="L238" s="356"/>
      <c r="M238" s="357">
        <v>0</v>
      </c>
    </row>
    <row r="239" spans="1:14" ht="12.75" customHeight="1">
      <c r="A239" s="77" t="s">
        <v>786</v>
      </c>
      <c r="B239" s="288">
        <f>IF($M239&gt;0,('Amounts Pivot Table'!O$357/$M239),0)</f>
        <v>5027.1179546152352</v>
      </c>
      <c r="C239" s="288">
        <f>IF($M239&gt;0,('Amounts Pivot Table'!O$360/$M239),0)</f>
        <v>790.41452465893326</v>
      </c>
      <c r="D239" s="288">
        <f>IF($M239&gt;0,('Amounts Pivot Table'!O$363/$M239),0)</f>
        <v>1496.6959247418054</v>
      </c>
      <c r="E239" s="288">
        <f>IF($M239&gt;0,('Amounts Pivot Table'!O$366/$M239),0)</f>
        <v>1686.8114967330607</v>
      </c>
      <c r="F239" s="288">
        <f t="shared" si="27"/>
        <v>9001.0399007490341</v>
      </c>
      <c r="G239" s="359">
        <f>IF(B239&gt;0,RANK(B239,$B$228:$B$246),)</f>
        <v>7</v>
      </c>
      <c r="H239" s="289">
        <f>IF(C239&gt;0,RANK(C239,$C$228:$C$246),)</f>
        <v>1</v>
      </c>
      <c r="I239" s="289">
        <f>IF(D239&gt;0,RANK(D239,$D$228:$D$246),)</f>
        <v>3</v>
      </c>
      <c r="J239" s="289">
        <f>IF(E239&gt;0,RANK(E239,$E$228:$E$246),)</f>
        <v>14</v>
      </c>
      <c r="K239" s="289">
        <f>IF(F239&gt;0,RANK(F239,$F$228:$F$246),)</f>
        <v>10</v>
      </c>
      <c r="L239" s="356"/>
      <c r="M239" s="357">
        <v>182868.41333333333</v>
      </c>
    </row>
    <row r="240" spans="1:14" ht="12.75" customHeight="1">
      <c r="A240" s="77" t="s">
        <v>787</v>
      </c>
      <c r="B240" s="288">
        <f>IF($M240&gt;0,('Amounts Pivot Table'!O$396/$M240),0)</f>
        <v>0</v>
      </c>
      <c r="C240" s="288">
        <f>IF($M240&gt;0,('Amounts Pivot Table'!O$399/$M240),0)</f>
        <v>0</v>
      </c>
      <c r="D240" s="288">
        <f>IF($M240&gt;0,('Amounts Pivot Table'!O$402/$M240),0)</f>
        <v>0</v>
      </c>
      <c r="E240" s="288">
        <f>IF($M240&gt;0,('Amounts Pivot Table'!O$405/$M240),0)</f>
        <v>0</v>
      </c>
      <c r="F240" s="288">
        <f t="shared" si="27"/>
        <v>0</v>
      </c>
      <c r="G240" s="359">
        <f>IF(B240&gt;0,RANK(B240,$B$228:$B$246),)</f>
        <v>0</v>
      </c>
      <c r="H240" s="289">
        <f>IF(C240&gt;0,RANK(C240,$C$228:$C$246),)</f>
        <v>0</v>
      </c>
      <c r="I240" s="289">
        <f>IF(D240&gt;0,RANK(D240,$D$228:$D$246),)</f>
        <v>0</v>
      </c>
      <c r="J240" s="289">
        <f>IF(E240&gt;0,RANK(E240,$E$228:$E$246),)</f>
        <v>0</v>
      </c>
      <c r="K240" s="289">
        <f>IF(F240&gt;0,RANK(F240,$F$228:$F$246),)</f>
        <v>0</v>
      </c>
      <c r="L240" s="356"/>
      <c r="M240" s="357">
        <v>0</v>
      </c>
    </row>
    <row r="241" spans="1:13" ht="12.75" customHeight="1">
      <c r="A241" s="77" t="s">
        <v>788</v>
      </c>
      <c r="B241" s="288">
        <f>IF($M241&gt;0,('Amounts Pivot Table'!O$435/$M241),0)</f>
        <v>2626.2918309904776</v>
      </c>
      <c r="C241" s="288">
        <f>IF($M241&gt;0,('Amounts Pivot Table'!O$438/$M241),0)</f>
        <v>488.89332034553405</v>
      </c>
      <c r="D241" s="288">
        <f>IF($M241&gt;0,('Amounts Pivot Table'!O$441/$M241),0)</f>
        <v>1406.6567252930063</v>
      </c>
      <c r="E241" s="288">
        <f>IF($M241&gt;0,('Amounts Pivot Table'!O$444/$M241),0)</f>
        <v>6994.8312299499876</v>
      </c>
      <c r="F241" s="288">
        <f t="shared" si="27"/>
        <v>11516.673106579005</v>
      </c>
      <c r="G241" s="359">
        <f>IF(B241&gt;0,RANK(B241,$B$228:$B$246),)</f>
        <v>14</v>
      </c>
      <c r="H241" s="289">
        <f>IF(C241&gt;0,RANK(C241,$C$228:$C$246),)</f>
        <v>2</v>
      </c>
      <c r="I241" s="289">
        <f>IF(D241&gt;0,RANK(D241,$D$228:$D$246),)</f>
        <v>4</v>
      </c>
      <c r="J241" s="289">
        <f>IF(E241&gt;0,RANK(E241,$E$228:$E$246),)</f>
        <v>1</v>
      </c>
      <c r="K241" s="289">
        <f>IF(F241&gt;0,RANK(F241,$F$228:$F$246),)</f>
        <v>3</v>
      </c>
      <c r="L241" s="356"/>
      <c r="M241" s="357">
        <v>57626.733333333337</v>
      </c>
    </row>
    <row r="242" spans="1:13" ht="12.75" customHeight="1">
      <c r="B242" s="288"/>
      <c r="C242" s="288"/>
      <c r="D242" s="288"/>
      <c r="E242" s="288"/>
      <c r="F242" s="288"/>
      <c r="G242" s="359"/>
      <c r="H242" s="289"/>
      <c r="I242" s="289"/>
      <c r="J242" s="289"/>
      <c r="K242" s="289"/>
      <c r="L242" s="356"/>
      <c r="M242" s="357"/>
    </row>
    <row r="243" spans="1:13" ht="12.75" customHeight="1">
      <c r="A243" s="77" t="s">
        <v>789</v>
      </c>
      <c r="B243" s="288">
        <f>IF($M243&gt;0,('Amounts Pivot Table'!O$474/$M243),0)</f>
        <v>5060.8757498179284</v>
      </c>
      <c r="C243" s="288">
        <f>IF($M243&gt;0,('Amounts Pivot Table'!O$477/$M243),0)</f>
        <v>0</v>
      </c>
      <c r="D243" s="288">
        <f>IF($M243&gt;0,('Amounts Pivot Table'!O$480/$M243),0)</f>
        <v>0</v>
      </c>
      <c r="E243" s="288">
        <f>IF($M243&gt;0,('Amounts Pivot Table'!O$483/$M243),0)</f>
        <v>5003.8336610899705</v>
      </c>
      <c r="F243" s="288">
        <f t="shared" si="27"/>
        <v>10064.709410907899</v>
      </c>
      <c r="G243" s="359">
        <f>IF(B243&gt;0,RANK(B243,$B$228:$B$246),)</f>
        <v>6</v>
      </c>
      <c r="H243" s="289">
        <f>IF(C243&gt;0,RANK(C243,$C$228:$C$246),)</f>
        <v>0</v>
      </c>
      <c r="I243" s="289">
        <f>IF(D243&gt;0,RANK(D243,$D$228:$D$246),)</f>
        <v>0</v>
      </c>
      <c r="J243" s="289">
        <f>IF(E243&gt;0,RANK(E243,$E$228:$E$246),)</f>
        <v>4</v>
      </c>
      <c r="K243" s="289">
        <f>IF(F243&gt;0,RANK(F243,$F$228:$F$246),)</f>
        <v>6</v>
      </c>
      <c r="L243" s="356"/>
      <c r="M243" s="357">
        <v>58630.900000000009</v>
      </c>
    </row>
    <row r="244" spans="1:13" s="362" customFormat="1" ht="12.75" customHeight="1">
      <c r="A244" s="77" t="s">
        <v>790</v>
      </c>
      <c r="B244" s="288">
        <f>IF($M244&gt;0,('Amounts Pivot Table'!O$513/$M244),0)</f>
        <v>2867.0473340604408</v>
      </c>
      <c r="C244" s="288">
        <f>IF($M244&gt;0,('Amounts Pivot Table'!O$516/$M244),0)</f>
        <v>0</v>
      </c>
      <c r="D244" s="288">
        <f>IF($M244&gt;0,('Amounts Pivot Table'!O$519/$M244),0)</f>
        <v>4106.6594528536889</v>
      </c>
      <c r="E244" s="288">
        <f>IF($M244&gt;0,('Amounts Pivot Table'!O$522/$M244),0)</f>
        <v>2117.7636406768734</v>
      </c>
      <c r="F244" s="288">
        <f t="shared" si="27"/>
        <v>9091.4704275910044</v>
      </c>
      <c r="G244" s="359">
        <f>IF(B244&gt;0,RANK(B244,$B$228:$B$246),)</f>
        <v>12</v>
      </c>
      <c r="H244" s="289">
        <f>IF(C244&gt;0,RANK(C244,$C$228:$C$246),)</f>
        <v>0</v>
      </c>
      <c r="I244" s="289">
        <f>IF(D244&gt;0,RANK(D244,$D$228:$D$246),)</f>
        <v>2</v>
      </c>
      <c r="J244" s="289">
        <f>IF(E244&gt;0,RANK(E244,$E$228:$E$246),)</f>
        <v>13</v>
      </c>
      <c r="K244" s="289">
        <f>IF(F244&gt;0,RANK(F244,$F$228:$F$246),)</f>
        <v>8</v>
      </c>
      <c r="L244" s="363"/>
      <c r="M244" s="357">
        <v>480475.34222222219</v>
      </c>
    </row>
    <row r="245" spans="1:13" ht="12.75" customHeight="1">
      <c r="A245" s="77" t="s">
        <v>791</v>
      </c>
      <c r="B245" s="288">
        <f>IF($M245&gt;0,('Amounts Pivot Table'!O$552/$M245),0)</f>
        <v>3921.603101250575</v>
      </c>
      <c r="C245" s="288">
        <f>IF($M245&gt;0,('Amounts Pivot Table'!O$555/$M245),0)</f>
        <v>5.5596082666320736</v>
      </c>
      <c r="D245" s="288">
        <f>IF($M245&gt;0,('Amounts Pivot Table'!O$558/$M245),0)</f>
        <v>116.96091884199392</v>
      </c>
      <c r="E245" s="288">
        <f>IF($M245&gt;0,('Amounts Pivot Table'!O$561/$M245),0)</f>
        <v>4989.6462791900494</v>
      </c>
      <c r="F245" s="288">
        <f t="shared" si="27"/>
        <v>9033.769907549251</v>
      </c>
      <c r="G245" s="359">
        <f>IF(B245&gt;0,RANK(B245,$B$228:$B$246),)</f>
        <v>8</v>
      </c>
      <c r="H245" s="289">
        <f>IF(C245&gt;0,RANK(C245,$C$228:$C$246),)</f>
        <v>4</v>
      </c>
      <c r="I245" s="289">
        <f>IF(D245&gt;0,RANK(D245,$D$228:$D$246),)</f>
        <v>6</v>
      </c>
      <c r="J245" s="289">
        <f>IF(E245&gt;0,RANK(E245,$E$228:$E$246),)</f>
        <v>5</v>
      </c>
      <c r="K245" s="289">
        <f>IF(F245&gt;0,RANK(F245,$F$228:$F$246),)</f>
        <v>9</v>
      </c>
      <c r="L245" s="367"/>
      <c r="M245" s="357">
        <v>98927.833333333328</v>
      </c>
    </row>
    <row r="246" spans="1:13" ht="13.5" customHeight="1">
      <c r="A246" s="277" t="s">
        <v>792</v>
      </c>
      <c r="B246" s="296">
        <f>IF($M246&gt;0,('Amounts Pivot Table'!O$591/$M246),0)</f>
        <v>5645.3165225300745</v>
      </c>
      <c r="C246" s="296">
        <f>IF($M246&gt;0,('Amounts Pivot Table'!O$594/$M246),0)</f>
        <v>0</v>
      </c>
      <c r="D246" s="296">
        <f>IF($M246&gt;0,('Amounts Pivot Table'!O$597/$M246),0)</f>
        <v>0</v>
      </c>
      <c r="E246" s="296">
        <f>IF($M246&gt;0,('Amounts Pivot Table'!O$600/$M246),0)</f>
        <v>4927.4672248824154</v>
      </c>
      <c r="F246" s="364">
        <f t="shared" si="27"/>
        <v>10572.78374741249</v>
      </c>
      <c r="G246" s="365">
        <f>IF(B246&gt;0,RANK(B246,$B$228:$B$246),)</f>
        <v>3</v>
      </c>
      <c r="H246" s="366">
        <f>IF(C246&gt;0,RANK(C246,$C$228:$C$246),)</f>
        <v>0</v>
      </c>
      <c r="I246" s="366">
        <f>IF(D246&gt;0,RANK(D246,$D$228:$D$246),)</f>
        <v>0</v>
      </c>
      <c r="J246" s="366">
        <f>IF(E246&gt;0,RANK(E246,$E$228:$E$246),)</f>
        <v>7</v>
      </c>
      <c r="K246" s="366">
        <f>IF(F246&gt;0,RANK(F246,$F$228:$F$246),)</f>
        <v>5</v>
      </c>
      <c r="L246" s="367"/>
      <c r="M246" s="357">
        <v>12159.376666666667</v>
      </c>
    </row>
    <row r="247" spans="1:13" s="362" customFormat="1" ht="34.5" customHeight="1">
      <c r="A247" s="1244" t="s">
        <v>926</v>
      </c>
      <c r="B247" s="1270"/>
      <c r="C247" s="1270"/>
      <c r="D247" s="1270"/>
      <c r="E247" s="1270"/>
      <c r="F247" s="1270"/>
      <c r="G247" s="1270"/>
      <c r="H247" s="1270"/>
      <c r="I247" s="1270"/>
      <c r="J247" s="1270"/>
      <c r="K247" s="1270"/>
      <c r="L247" s="363"/>
      <c r="M247" s="348"/>
    </row>
    <row r="248" spans="1:13" s="397" customFormat="1" ht="13.5" customHeight="1">
      <c r="A248" s="1244" t="s">
        <v>927</v>
      </c>
      <c r="B248" s="1270"/>
      <c r="C248" s="1270"/>
      <c r="D248" s="1270"/>
      <c r="E248" s="1270"/>
      <c r="F248" s="1270"/>
      <c r="G248" s="1270"/>
      <c r="H248" s="1270"/>
      <c r="I248" s="1270"/>
      <c r="J248" s="1270"/>
      <c r="K248" s="1270"/>
      <c r="L248" s="347"/>
      <c r="M248" s="348"/>
    </row>
    <row r="249" spans="1:13" ht="13.5" customHeight="1">
      <c r="A249" s="1244" t="s">
        <v>930</v>
      </c>
      <c r="B249" s="1245"/>
      <c r="C249" s="1245"/>
      <c r="D249" s="1245"/>
      <c r="E249" s="1245"/>
      <c r="F249" s="1245"/>
      <c r="G249" s="1245"/>
      <c r="H249" s="1245"/>
      <c r="I249" s="1245"/>
      <c r="J249" s="1245"/>
      <c r="K249" s="1245"/>
      <c r="L249" s="367"/>
      <c r="M249" s="382"/>
    </row>
    <row r="250" spans="1:13" ht="13">
      <c r="A250" s="368"/>
      <c r="B250" s="369"/>
      <c r="C250" s="369"/>
      <c r="D250" s="369"/>
      <c r="E250" s="369"/>
      <c r="F250" s="369"/>
      <c r="G250" s="369"/>
      <c r="H250" s="369"/>
      <c r="I250" s="369"/>
      <c r="J250" s="369"/>
      <c r="K250" s="370" t="s">
        <v>1814</v>
      </c>
      <c r="L250" s="367"/>
      <c r="M250" s="382"/>
    </row>
    <row r="251" spans="1:13" ht="15.5">
      <c r="A251" s="1228" t="s">
        <v>938</v>
      </c>
      <c r="B251" s="1228"/>
      <c r="C251" s="1228"/>
      <c r="D251" s="1228"/>
      <c r="E251" s="1228"/>
      <c r="F251" s="1228"/>
      <c r="G251" s="1228"/>
      <c r="H251" s="1228"/>
      <c r="I251" s="1228"/>
      <c r="J251" s="1228"/>
      <c r="K251" s="1228"/>
      <c r="L251" s="367"/>
      <c r="M251" s="382"/>
    </row>
    <row r="252" spans="1:13" ht="17.5">
      <c r="A252" s="1228" t="s">
        <v>920</v>
      </c>
      <c r="B252" s="1228"/>
      <c r="C252" s="1228"/>
      <c r="D252" s="1228"/>
      <c r="E252" s="1228"/>
      <c r="F252" s="1228"/>
      <c r="G252" s="1228"/>
      <c r="H252" s="1228"/>
      <c r="I252" s="1228"/>
      <c r="J252" s="1228"/>
      <c r="K252" s="1228"/>
      <c r="L252" s="344"/>
      <c r="M252" s="382"/>
    </row>
    <row r="253" spans="1:13" ht="15.5">
      <c r="A253" s="1228" t="s">
        <v>1486</v>
      </c>
      <c r="B253" s="1228"/>
      <c r="C253" s="1228"/>
      <c r="D253" s="1228"/>
      <c r="E253" s="1228"/>
      <c r="F253" s="1228"/>
      <c r="G253" s="1228"/>
      <c r="H253" s="1228"/>
      <c r="I253" s="1228"/>
      <c r="J253" s="1228"/>
      <c r="K253" s="1228"/>
      <c r="L253" s="344"/>
      <c r="M253" s="348"/>
    </row>
    <row r="254" spans="1:13" ht="9.75" customHeight="1">
      <c r="A254" s="341"/>
      <c r="B254" s="341"/>
      <c r="C254" s="341"/>
      <c r="D254" s="341"/>
      <c r="E254" s="341"/>
      <c r="F254" s="341"/>
      <c r="G254" s="373"/>
      <c r="H254" s="341"/>
      <c r="I254" s="341"/>
      <c r="J254" s="341"/>
      <c r="K254" s="341"/>
      <c r="L254" s="344"/>
      <c r="M254" s="348"/>
    </row>
    <row r="255" spans="1:13" s="399" customFormat="1" ht="13.5" customHeight="1">
      <c r="A255" s="398"/>
      <c r="B255" s="1279" t="s">
        <v>922</v>
      </c>
      <c r="C255" s="1280"/>
      <c r="D255" s="1280"/>
      <c r="E255" s="1280"/>
      <c r="F255" s="1280"/>
      <c r="G255" s="236" t="s">
        <v>923</v>
      </c>
      <c r="H255" s="235"/>
      <c r="I255" s="235"/>
      <c r="J255" s="235"/>
      <c r="K255" s="235"/>
      <c r="L255" s="389"/>
      <c r="M255" s="348"/>
    </row>
    <row r="256" spans="1:13" s="53" customFormat="1" ht="42">
      <c r="A256" s="243"/>
      <c r="B256" s="244" t="s">
        <v>6</v>
      </c>
      <c r="C256" s="245" t="s">
        <v>7</v>
      </c>
      <c r="D256" s="245" t="s">
        <v>8</v>
      </c>
      <c r="E256" s="245" t="s">
        <v>924</v>
      </c>
      <c r="F256" s="245" t="s">
        <v>768</v>
      </c>
      <c r="G256" s="246" t="s">
        <v>6</v>
      </c>
      <c r="H256" s="245" t="s">
        <v>7</v>
      </c>
      <c r="I256" s="245" t="s">
        <v>8</v>
      </c>
      <c r="J256" s="245" t="s">
        <v>924</v>
      </c>
      <c r="K256" s="245" t="s">
        <v>768</v>
      </c>
      <c r="L256" s="350"/>
      <c r="M256" s="372" t="s">
        <v>932</v>
      </c>
    </row>
    <row r="257" spans="1:13" ht="14.5">
      <c r="A257" s="77" t="s">
        <v>925</v>
      </c>
      <c r="B257" s="352">
        <f>IF($M257&gt;0,('Amounts Pivot Table'!J$630/$M257),0)</f>
        <v>3835.8254560392793</v>
      </c>
      <c r="C257" s="352">
        <f>IF($M257&gt;0,('Amounts Pivot Table'!J$633/$M257),0)</f>
        <v>0</v>
      </c>
      <c r="D257" s="352">
        <f>IF($M257&gt;0,('Amounts Pivot Table'!J$636/$M257),0)</f>
        <v>321.81705195031344</v>
      </c>
      <c r="E257" s="352">
        <f>IF($M257&gt;0,('Amounts Pivot Table'!J$639/$M257),0)</f>
        <v>2407.9200284524541</v>
      </c>
      <c r="F257" s="352">
        <f>SUM(B257:E257)</f>
        <v>6565.5625364420466</v>
      </c>
      <c r="G257" s="353"/>
      <c r="H257" s="354"/>
      <c r="I257" s="354"/>
      <c r="J257" s="354"/>
      <c r="K257" s="354"/>
      <c r="L257" s="356"/>
      <c r="M257" s="357">
        <v>328571.5388888889</v>
      </c>
    </row>
    <row r="258" spans="1:13" ht="12.75" customHeight="1">
      <c r="B258" s="352"/>
      <c r="C258" s="352"/>
      <c r="D258" s="352"/>
      <c r="E258" s="352"/>
      <c r="F258" s="352"/>
      <c r="G258" s="353"/>
      <c r="H258" s="354"/>
      <c r="I258" s="354"/>
      <c r="J258" s="354"/>
      <c r="K258" s="354"/>
      <c r="L258" s="356"/>
      <c r="M258" s="357"/>
    </row>
    <row r="259" spans="1:13" ht="12.75" customHeight="1">
      <c r="A259" s="77" t="s">
        <v>777</v>
      </c>
      <c r="B259" s="288">
        <f>IF($M259&gt;0,('Amounts Pivot Table'!J$6/$M259),0)</f>
        <v>0</v>
      </c>
      <c r="C259" s="288">
        <f>IF($M259&gt;0,('Amounts Pivot Table'!J$9/$M259),0)</f>
        <v>0</v>
      </c>
      <c r="D259" s="288">
        <f>IF($M259&gt;0,('Amounts Pivot Table'!J$12/$M259),0)</f>
        <v>0</v>
      </c>
      <c r="E259" s="288">
        <f>IF($M259&gt;0,('Amounts Pivot Table'!J$15/$M259),0)</f>
        <v>0</v>
      </c>
      <c r="F259" s="288">
        <f t="shared" ref="F259:F277" si="28">SUM(B259:E259)</f>
        <v>0</v>
      </c>
      <c r="G259" s="359">
        <f>IF(B259&gt;0,RANK(B259,$B$259:$B$277),)</f>
        <v>0</v>
      </c>
      <c r="H259" s="289">
        <f>IF(C259&gt;0,RANK(C259,$C$259:$C$277),)</f>
        <v>0</v>
      </c>
      <c r="I259" s="289">
        <f>IF(D259&gt;0,RANK(D259,$D$259:$D$277),)</f>
        <v>0</v>
      </c>
      <c r="J259" s="289">
        <f>IF(E259&gt;0,RANK(E259,$E$259:$E$277),)</f>
        <v>0</v>
      </c>
      <c r="K259" s="289">
        <f>IF(F259&gt;0,RANK(F259,$F$259:$F$277),)</f>
        <v>0</v>
      </c>
      <c r="L259" s="356"/>
      <c r="M259" s="357">
        <v>0</v>
      </c>
    </row>
    <row r="260" spans="1:13" ht="12.75" customHeight="1">
      <c r="A260" s="77" t="s">
        <v>778</v>
      </c>
      <c r="B260" s="288">
        <f>IF($M260&gt;0,('Amounts Pivot Table'!J$45/$M260),0)</f>
        <v>0</v>
      </c>
      <c r="C260" s="288">
        <f>IF($M260&gt;0,('Amounts Pivot Table'!J$48/$M260),0)</f>
        <v>0</v>
      </c>
      <c r="D260" s="288">
        <f>IF($M260&gt;0,('Amounts Pivot Table'!J$51/$M260),0)</f>
        <v>0</v>
      </c>
      <c r="E260" s="288">
        <f>IF($M260&gt;0,('Amounts Pivot Table'!J$54/$M260),0)</f>
        <v>0</v>
      </c>
      <c r="F260" s="288">
        <f t="shared" si="28"/>
        <v>0</v>
      </c>
      <c r="G260" s="359">
        <f>IF(B260&gt;0,RANK(B260,$B$259:$B$277),)</f>
        <v>0</v>
      </c>
      <c r="H260" s="289">
        <f>IF(C260&gt;0,RANK(C260,$C$259:$C$277),)</f>
        <v>0</v>
      </c>
      <c r="I260" s="289">
        <f>IF(D260&gt;0,RANK(D260,$D$259:$D$277),)</f>
        <v>0</v>
      </c>
      <c r="J260" s="289">
        <f>IF(E260&gt;0,RANK(E260,$E$259:$E$277),)</f>
        <v>0</v>
      </c>
      <c r="K260" s="289">
        <f>IF(F260&gt;0,RANK(F260,$F$259:$F$277),)</f>
        <v>0</v>
      </c>
      <c r="L260" s="356"/>
      <c r="M260" s="357">
        <v>0</v>
      </c>
    </row>
    <row r="261" spans="1:13" ht="12.75" customHeight="1">
      <c r="A261" s="77" t="s">
        <v>779</v>
      </c>
      <c r="B261" s="288">
        <f>IF($M261&gt;0,('Amounts Pivot Table'!J$84/$M261),0)</f>
        <v>0</v>
      </c>
      <c r="C261" s="288">
        <f>IF($M261&gt;0,('Amounts Pivot Table'!J$87/$M261),0)</f>
        <v>0</v>
      </c>
      <c r="D261" s="288">
        <f>IF($M261&gt;0,('Amounts Pivot Table'!J$90/$M261),0)</f>
        <v>0</v>
      </c>
      <c r="E261" s="288">
        <f>IF($M261&gt;0,('Amounts Pivot Table'!J$93/$M261),0)</f>
        <v>0</v>
      </c>
      <c r="F261" s="288">
        <f t="shared" si="28"/>
        <v>0</v>
      </c>
      <c r="G261" s="359">
        <f>IF(B261&gt;0,RANK(B261,$B$259:$B$277),)</f>
        <v>0</v>
      </c>
      <c r="H261" s="289">
        <f>IF(C261&gt;0,RANK(C261,$C$259:$C$277),)</f>
        <v>0</v>
      </c>
      <c r="I261" s="289">
        <f>IF(D261&gt;0,RANK(D261,$D$259:$D$277),)</f>
        <v>0</v>
      </c>
      <c r="J261" s="289">
        <f>IF(E261&gt;0,RANK(E261,$E$259:$E$277),)</f>
        <v>0</v>
      </c>
      <c r="K261" s="289">
        <f>IF(F261&gt;0,RANK(F261,$F$259:$F$277),)</f>
        <v>0</v>
      </c>
      <c r="L261" s="356"/>
      <c r="M261" s="357">
        <v>0</v>
      </c>
    </row>
    <row r="262" spans="1:13" ht="12.75" customHeight="1">
      <c r="A262" s="77" t="s">
        <v>780</v>
      </c>
      <c r="B262" s="288">
        <f>IF($M262&gt;0,('Amounts Pivot Table'!J$123/$M262),0)</f>
        <v>3891.141667089144</v>
      </c>
      <c r="C262" s="288">
        <f>IF($M262&gt;0,('Amounts Pivot Table'!J$126/$M262),0)</f>
        <v>0</v>
      </c>
      <c r="D262" s="288">
        <f>IF($M262&gt;0,('Amounts Pivot Table'!J$129/$M262),0)</f>
        <v>0</v>
      </c>
      <c r="E262" s="288">
        <f>IF($M262&gt;0,('Amounts Pivot Table'!J$132/$M262),0)</f>
        <v>2426.6174817619726</v>
      </c>
      <c r="F262" s="288">
        <f t="shared" si="28"/>
        <v>6317.7591488511171</v>
      </c>
      <c r="G262" s="359">
        <f>IF(B262&gt;0,RANK(B262,$B$259:$B$277),)</f>
        <v>3</v>
      </c>
      <c r="H262" s="289">
        <f>IF(C262&gt;0,RANK(C262,$C$259:$C$277),)</f>
        <v>0</v>
      </c>
      <c r="I262" s="289">
        <f>IF(D262&gt;0,RANK(D262,$D$259:$D$277),)</f>
        <v>0</v>
      </c>
      <c r="J262" s="289">
        <f>IF(E262&gt;0,RANK(E262,$E$259:$E$277),)</f>
        <v>3</v>
      </c>
      <c r="K262" s="289">
        <f>IF(F262&gt;0,RANK(F262,$F$259:$F$277),)</f>
        <v>4</v>
      </c>
      <c r="L262" s="356"/>
      <c r="M262" s="357">
        <v>288115.04666666669</v>
      </c>
    </row>
    <row r="263" spans="1:13" ht="12.75" customHeight="1">
      <c r="B263" s="288"/>
      <c r="C263" s="288"/>
      <c r="D263" s="288"/>
      <c r="E263" s="288"/>
      <c r="F263" s="288"/>
      <c r="G263" s="359"/>
      <c r="H263" s="289"/>
      <c r="I263" s="289"/>
      <c r="J263" s="289"/>
      <c r="K263" s="289"/>
      <c r="L263" s="356"/>
      <c r="M263" s="357"/>
    </row>
    <row r="264" spans="1:13" ht="12.75" customHeight="1">
      <c r="A264" s="77" t="s">
        <v>781</v>
      </c>
      <c r="B264" s="288">
        <f>IF($M264&gt;0,('Amounts Pivot Table'!J$162/$M264),0)</f>
        <v>5221.1437016976024</v>
      </c>
      <c r="C264" s="288">
        <f>IF($M264&gt;0,('Amounts Pivot Table'!J$165/$M264),0)</f>
        <v>0</v>
      </c>
      <c r="D264" s="288">
        <f>IF($M264&gt;0,('Amounts Pivot Table'!J$168/$M264),0)</f>
        <v>0</v>
      </c>
      <c r="E264" s="288">
        <f>IF($M264&gt;0,('Amounts Pivot Table'!J$171/$M264),0)</f>
        <v>3590.1652622366078</v>
      </c>
      <c r="F264" s="288">
        <f t="shared" si="28"/>
        <v>8811.3089639342106</v>
      </c>
      <c r="G264" s="359">
        <f>IF(B264&gt;0,RANK(B264,$B$259:$B$277),)</f>
        <v>1</v>
      </c>
      <c r="H264" s="289">
        <f>IF(C264&gt;0,RANK(C264,$C$259:$C$277),)</f>
        <v>0</v>
      </c>
      <c r="I264" s="289">
        <f>IF(D264&gt;0,RANK(D264,$D$259:$D$277),)</f>
        <v>0</v>
      </c>
      <c r="J264" s="289">
        <f>IF(E264&gt;0,RANK(E264,$E$259:$E$277),)</f>
        <v>2</v>
      </c>
      <c r="K264" s="289">
        <f>IF(F264&gt;0,RANK(F264,$F$259:$F$277),)</f>
        <v>2</v>
      </c>
      <c r="L264" s="356"/>
      <c r="M264" s="357">
        <v>10092.666666666666</v>
      </c>
    </row>
    <row r="265" spans="1:13" ht="12.75" customHeight="1">
      <c r="A265" s="77" t="s">
        <v>782</v>
      </c>
      <c r="B265" s="288">
        <f>IF($M265&gt;0,('Amounts Pivot Table'!J$201/$M265),0)</f>
        <v>0</v>
      </c>
      <c r="C265" s="288">
        <f>IF($M265&gt;0,('Amounts Pivot Table'!J$204/$M265),0)</f>
        <v>0</v>
      </c>
      <c r="D265" s="288">
        <f>IF($M265&gt;0,('Amounts Pivot Table'!J$207/$M265),0)</f>
        <v>0</v>
      </c>
      <c r="E265" s="288">
        <f>IF($M265&gt;0,('Amounts Pivot Table'!J$210/$M265),0)</f>
        <v>0</v>
      </c>
      <c r="F265" s="288">
        <f t="shared" si="28"/>
        <v>0</v>
      </c>
      <c r="G265" s="359">
        <f>IF(B265&gt;0,RANK(B265,$B$259:$B$277),)</f>
        <v>0</v>
      </c>
      <c r="H265" s="289">
        <f>IF(C265&gt;0,RANK(C265,$C$259:$C$277),)</f>
        <v>0</v>
      </c>
      <c r="I265" s="289">
        <f>IF(D265&gt;0,RANK(D265,$D$259:$D$277),)</f>
        <v>0</v>
      </c>
      <c r="J265" s="289">
        <f>IF(E265&gt;0,RANK(E265,$E$259:$E$277),)</f>
        <v>0</v>
      </c>
      <c r="K265" s="289">
        <f>IF(F265&gt;0,RANK(F265,$F$259:$F$277),)</f>
        <v>0</v>
      </c>
      <c r="L265" s="356"/>
      <c r="M265" s="357">
        <v>0</v>
      </c>
    </row>
    <row r="266" spans="1:13" ht="12.75" customHeight="1">
      <c r="A266" s="77" t="s">
        <v>813</v>
      </c>
      <c r="B266" s="288">
        <f>IF($M266&gt;0,('Amounts Pivot Table'!J$240/$M266),0)</f>
        <v>0</v>
      </c>
      <c r="C266" s="288">
        <f>IF($M266&gt;0,('Amounts Pivot Table'!J$243/$M266),0)</f>
        <v>0</v>
      </c>
      <c r="D266" s="288">
        <f>IF($M266&gt;0,('Amounts Pivot Table'!J$246/$M266),0)</f>
        <v>0</v>
      </c>
      <c r="E266" s="288">
        <f>IF($M266&gt;0,('Amounts Pivot Table'!J$249/$M266),0)</f>
        <v>0</v>
      </c>
      <c r="F266" s="288">
        <f t="shared" si="28"/>
        <v>0</v>
      </c>
      <c r="G266" s="359">
        <f>IF(B266&gt;0,RANK(B266,$B$259:$B$277),)</f>
        <v>0</v>
      </c>
      <c r="H266" s="289">
        <f>IF(C266&gt;0,RANK(C266,$C$259:$C$277),)</f>
        <v>0</v>
      </c>
      <c r="I266" s="289">
        <f>IF(D266&gt;0,RANK(D266,$D$259:$D$277),)</f>
        <v>0</v>
      </c>
      <c r="J266" s="289">
        <f>IF(E266&gt;0,RANK(E266,$E$259:$E$277),)</f>
        <v>0</v>
      </c>
      <c r="K266" s="289">
        <f>IF(F266&gt;0,RANK(F266,$F$259:$F$277),)</f>
        <v>0</v>
      </c>
      <c r="L266" s="356"/>
      <c r="M266" s="357">
        <v>0</v>
      </c>
    </row>
    <row r="267" spans="1:13" ht="12.75" customHeight="1">
      <c r="A267" s="77" t="s">
        <v>784</v>
      </c>
      <c r="B267" s="288">
        <f>IF($M267&gt;0,('Amounts Pivot Table'!J$279/$M267),0)</f>
        <v>0</v>
      </c>
      <c r="C267" s="288">
        <f>IF($M267&gt;0,('Amounts Pivot Table'!J$282/$M267),0)</f>
        <v>0</v>
      </c>
      <c r="D267" s="288">
        <f>IF($M267&gt;0,('Amounts Pivot Table'!J$285/$M267),0)</f>
        <v>0</v>
      </c>
      <c r="E267" s="288">
        <f>IF($M267&gt;0,('Amounts Pivot Table'!J$288/$M267),0)</f>
        <v>0</v>
      </c>
      <c r="F267" s="288">
        <f t="shared" si="28"/>
        <v>0</v>
      </c>
      <c r="G267" s="359">
        <f>IF(B267&gt;0,RANK(B267,$B$259:$B$277),)</f>
        <v>0</v>
      </c>
      <c r="H267" s="289">
        <f>IF(C267&gt;0,RANK(C267,$C$259:$C$277),)</f>
        <v>0</v>
      </c>
      <c r="I267" s="289">
        <f>IF(D267&gt;0,RANK(D267,$D$259:$D$277),)</f>
        <v>0</v>
      </c>
      <c r="J267" s="289">
        <f>IF(E267&gt;0,RANK(E267,$E$259:$E$277),)</f>
        <v>0</v>
      </c>
      <c r="K267" s="289">
        <f>IF(F267&gt;0,RANK(F267,$F$259:$F$277),)</f>
        <v>0</v>
      </c>
      <c r="L267" s="356"/>
      <c r="M267" s="357">
        <v>0</v>
      </c>
    </row>
    <row r="268" spans="1:13" ht="12.75" customHeight="1">
      <c r="B268" s="288"/>
      <c r="C268" s="288"/>
      <c r="D268" s="288"/>
      <c r="E268" s="288"/>
      <c r="F268" s="288"/>
      <c r="G268" s="359"/>
      <c r="H268" s="289"/>
      <c r="I268" s="289"/>
      <c r="J268" s="289"/>
      <c r="K268" s="289"/>
      <c r="L268" s="356"/>
      <c r="M268" s="357"/>
    </row>
    <row r="269" spans="1:13" ht="12.75" customHeight="1">
      <c r="A269" s="77" t="s">
        <v>785</v>
      </c>
      <c r="B269" s="288">
        <f>IF($M269&gt;0,('Amounts Pivot Table'!J$318/$M269),0)</f>
        <v>0</v>
      </c>
      <c r="C269" s="288">
        <f>IF($M269&gt;0,('Amounts Pivot Table'!J$321/$M269),0)</f>
        <v>0</v>
      </c>
      <c r="D269" s="288">
        <f>IF($M269&gt;0,('Amounts Pivot Table'!J$324/$M269),0)</f>
        <v>0</v>
      </c>
      <c r="E269" s="288">
        <f>IF($M269&gt;0,('Amounts Pivot Table'!J$327/$M269),0)</f>
        <v>0</v>
      </c>
      <c r="F269" s="288">
        <f t="shared" si="28"/>
        <v>0</v>
      </c>
      <c r="G269" s="359">
        <f>IF(B269&gt;0,RANK(B269,$B$259:$B$277),)</f>
        <v>0</v>
      </c>
      <c r="H269" s="289">
        <f>IF(C269&gt;0,RANK(C269,$C$259:$C$277),)</f>
        <v>0</v>
      </c>
      <c r="I269" s="289">
        <f>IF(D269&gt;0,RANK(D269,$D$259:$D$277),)</f>
        <v>0</v>
      </c>
      <c r="J269" s="289">
        <f>IF(E269&gt;0,RANK(E269,$E$259:$E$277),)</f>
        <v>0</v>
      </c>
      <c r="K269" s="289">
        <f>IF(F269&gt;0,RANK(F269,$F$259:$F$277),)</f>
        <v>0</v>
      </c>
      <c r="L269" s="356"/>
      <c r="M269" s="357">
        <v>0</v>
      </c>
    </row>
    <row r="270" spans="1:13" ht="12.75" customHeight="1">
      <c r="A270" s="77" t="s">
        <v>786</v>
      </c>
      <c r="B270" s="288">
        <f>IF($M270&gt;0,('Amounts Pivot Table'!J$357/$M270),0)</f>
        <v>0</v>
      </c>
      <c r="C270" s="288">
        <f>IF($M270&gt;0,('Amounts Pivot Table'!J$360/$M270),0)</f>
        <v>0</v>
      </c>
      <c r="D270" s="288">
        <f>IF($M270&gt;0,('Amounts Pivot Table'!J$363/$M270),0)</f>
        <v>0</v>
      </c>
      <c r="E270" s="288">
        <f>IF($M270&gt;0,('Amounts Pivot Table'!J$366/$M270),0)</f>
        <v>0</v>
      </c>
      <c r="F270" s="288">
        <f t="shared" si="28"/>
        <v>0</v>
      </c>
      <c r="G270" s="359">
        <f>IF(B270&gt;0,RANK(B270,$B$259:$B$277),)</f>
        <v>0</v>
      </c>
      <c r="H270" s="289">
        <f>IF(C270&gt;0,RANK(C270,$C$259:$C$277),)</f>
        <v>0</v>
      </c>
      <c r="I270" s="289">
        <f>IF(D270&gt;0,RANK(D270,$D$259:$D$277),)</f>
        <v>0</v>
      </c>
      <c r="J270" s="289">
        <f>IF(E270&gt;0,RANK(E270,$E$259:$E$277),)</f>
        <v>0</v>
      </c>
      <c r="K270" s="289">
        <f>IF(F270&gt;0,RANK(F270,$F$259:$F$277),)</f>
        <v>0</v>
      </c>
      <c r="L270" s="356"/>
      <c r="M270" s="357">
        <v>0</v>
      </c>
    </row>
    <row r="271" spans="1:13" ht="12.75" customHeight="1">
      <c r="A271" s="77" t="s">
        <v>787</v>
      </c>
      <c r="B271" s="288">
        <f>IF($M271&gt;0,('Amounts Pivot Table'!J$396/$M271),0)</f>
        <v>0</v>
      </c>
      <c r="C271" s="288">
        <f>IF($M271&gt;0,('Amounts Pivot Table'!J$399/$M271),0)</f>
        <v>0</v>
      </c>
      <c r="D271" s="288">
        <f>IF($M271&gt;0,('Amounts Pivot Table'!J$402/$M271),0)</f>
        <v>0</v>
      </c>
      <c r="E271" s="288">
        <f>IF($M271&gt;0,('Amounts Pivot Table'!J$405/$M271),0)</f>
        <v>0</v>
      </c>
      <c r="F271" s="288">
        <f t="shared" si="28"/>
        <v>0</v>
      </c>
      <c r="G271" s="359">
        <f>IF(B271&gt;0,RANK(B271,$B$259:$B$277),)</f>
        <v>0</v>
      </c>
      <c r="H271" s="289">
        <f>IF(C271&gt;0,RANK(C271,$C$259:$C$277),)</f>
        <v>0</v>
      </c>
      <c r="I271" s="289">
        <f>IF(D271&gt;0,RANK(D271,$D$259:$D$277),)</f>
        <v>0</v>
      </c>
      <c r="J271" s="289">
        <f>IF(E271&gt;0,RANK(E271,$E$259:$E$277),)</f>
        <v>0</v>
      </c>
      <c r="K271" s="289">
        <f>IF(F271&gt;0,RANK(F271,$F$259:$F$277),)</f>
        <v>0</v>
      </c>
      <c r="L271" s="356"/>
      <c r="M271" s="357">
        <v>0</v>
      </c>
    </row>
    <row r="272" spans="1:13" ht="12.75" customHeight="1">
      <c r="A272" s="77" t="s">
        <v>788</v>
      </c>
      <c r="B272" s="288">
        <f>IF($M272&gt;0,('Amounts Pivot Table'!J$435/$M272),0)</f>
        <v>0</v>
      </c>
      <c r="C272" s="288">
        <f>IF($M272&gt;0,('Amounts Pivot Table'!J$438/$M272),0)</f>
        <v>0</v>
      </c>
      <c r="D272" s="288">
        <f>IF($M272&gt;0,('Amounts Pivot Table'!J$441/$M272),0)</f>
        <v>0</v>
      </c>
      <c r="E272" s="288">
        <f>IF($M272&gt;0,('Amounts Pivot Table'!J$444/$M272),0)</f>
        <v>0</v>
      </c>
      <c r="F272" s="288">
        <f t="shared" si="28"/>
        <v>0</v>
      </c>
      <c r="G272" s="359">
        <f>IF(B272&gt;0,RANK(B272,$B$259:$B$277),)</f>
        <v>0</v>
      </c>
      <c r="H272" s="289">
        <f>IF(C272&gt;0,RANK(C272,$C$259:$C$277),)</f>
        <v>0</v>
      </c>
      <c r="I272" s="289">
        <f>IF(D272&gt;0,RANK(D272,$D$259:$D$277),)</f>
        <v>0</v>
      </c>
      <c r="J272" s="289">
        <f>IF(E272&gt;0,RANK(E272,$E$259:$E$277),)</f>
        <v>0</v>
      </c>
      <c r="K272" s="289">
        <f>IF(F272&gt;0,RANK(F272,$F$259:$F$277),)</f>
        <v>0</v>
      </c>
      <c r="L272" s="356"/>
      <c r="M272" s="357">
        <v>0</v>
      </c>
    </row>
    <row r="273" spans="1:13" ht="12.75" customHeight="1">
      <c r="B273" s="288"/>
      <c r="C273" s="288"/>
      <c r="D273" s="288"/>
      <c r="E273" s="288"/>
      <c r="F273" s="288"/>
      <c r="G273" s="359"/>
      <c r="H273" s="289"/>
      <c r="I273" s="289"/>
      <c r="J273" s="289"/>
      <c r="K273" s="289"/>
      <c r="L273" s="356"/>
      <c r="M273" s="357"/>
    </row>
    <row r="274" spans="1:13" ht="12.75" customHeight="1">
      <c r="A274" s="77" t="s">
        <v>789</v>
      </c>
      <c r="B274" s="288">
        <f>IF($M274&gt;0,('Amounts Pivot Table'!J$474/$M274),0)</f>
        <v>0</v>
      </c>
      <c r="C274" s="288">
        <f>IF($M274&gt;0,('Amounts Pivot Table'!J$477/$M274),0)</f>
        <v>0</v>
      </c>
      <c r="D274" s="288">
        <f>IF($M274&gt;0,('Amounts Pivot Table'!J$480/$M274),0)</f>
        <v>0</v>
      </c>
      <c r="E274" s="288">
        <f>IF($M274&gt;0,('Amounts Pivot Table'!J$483/$M274),0)</f>
        <v>0</v>
      </c>
      <c r="F274" s="288">
        <f t="shared" si="28"/>
        <v>0</v>
      </c>
      <c r="G274" s="359">
        <f>IF(B274&gt;0,RANK(B274,$B$259:$B$277),)</f>
        <v>0</v>
      </c>
      <c r="H274" s="289">
        <f>IF(C274&gt;0,RANK(C274,$C$259:$C$277),)</f>
        <v>0</v>
      </c>
      <c r="I274" s="289">
        <f>IF(D274&gt;0,RANK(D274,$D$259:$D$277),)</f>
        <v>0</v>
      </c>
      <c r="J274" s="289">
        <f>IF(E274&gt;0,RANK(E274,$E$259:$E$277),)</f>
        <v>0</v>
      </c>
      <c r="K274" s="289">
        <f>IF(F274&gt;0,RANK(F274,$F$259:$F$277),)</f>
        <v>0</v>
      </c>
      <c r="L274" s="356"/>
      <c r="M274" s="357">
        <v>0</v>
      </c>
    </row>
    <row r="275" spans="1:13" s="362" customFormat="1" ht="12.75" customHeight="1">
      <c r="A275" s="77" t="s">
        <v>790</v>
      </c>
      <c r="B275" s="288">
        <f>IF($M275&gt;0,('Amounts Pivot Table'!J$513/$M275),0)</f>
        <v>2609.7391438087698</v>
      </c>
      <c r="C275" s="288">
        <f>IF($M275&gt;0,('Amounts Pivot Table'!J$516/$M275),0)</f>
        <v>0</v>
      </c>
      <c r="D275" s="288">
        <f>IF($M275&gt;0,('Amounts Pivot Table'!J$519/$M275),0)</f>
        <v>3847.6870054007791</v>
      </c>
      <c r="E275" s="288">
        <f>IF($M275&gt;0,('Amounts Pivot Table'!J$522/$M275),0)</f>
        <v>1486.7805135290773</v>
      </c>
      <c r="F275" s="288">
        <f t="shared" si="28"/>
        <v>7944.2066627386257</v>
      </c>
      <c r="G275" s="359">
        <f>IF(B275&gt;0,RANK(B275,$B$259:$B$277),)</f>
        <v>4</v>
      </c>
      <c r="H275" s="289">
        <f>IF(C275&gt;0,RANK(C275,$C$259:$C$277),)</f>
        <v>0</v>
      </c>
      <c r="I275" s="289">
        <f>IF(D275&gt;0,RANK(D275,$D$259:$D$277),)</f>
        <v>1</v>
      </c>
      <c r="J275" s="289">
        <f>IF(E275&gt;0,RANK(E275,$E$259:$E$277),)</f>
        <v>4</v>
      </c>
      <c r="K275" s="289">
        <f>IF(F275&gt;0,RANK(F275,$F$259:$F$277),)</f>
        <v>3</v>
      </c>
      <c r="L275" s="363"/>
      <c r="M275" s="357">
        <v>27481.425555555557</v>
      </c>
    </row>
    <row r="276" spans="1:13" ht="12.75" customHeight="1">
      <c r="A276" s="77" t="s">
        <v>791</v>
      </c>
      <c r="B276" s="288">
        <f>IF($M276&gt;0,('Amounts Pivot Table'!J$552/$M276),0)</f>
        <v>0</v>
      </c>
      <c r="C276" s="288">
        <f>IF($M276&gt;0,('Amounts Pivot Table'!J$555/$M276),0)</f>
        <v>0</v>
      </c>
      <c r="D276" s="288">
        <f>IF($M276&gt;0,('Amounts Pivot Table'!J$558/$M276),0)</f>
        <v>0</v>
      </c>
      <c r="E276" s="288">
        <f>IF($M276&gt;0,('Amounts Pivot Table'!J$561/$M276),0)</f>
        <v>0</v>
      </c>
      <c r="F276" s="288">
        <f t="shared" si="28"/>
        <v>0</v>
      </c>
      <c r="G276" s="359">
        <f>IF(B276&gt;0,RANK(B276,$B$259:$B$277),)</f>
        <v>0</v>
      </c>
      <c r="H276" s="289">
        <f>IF(C276&gt;0,RANK(C276,$C$259:$C$277),)</f>
        <v>0</v>
      </c>
      <c r="I276" s="289">
        <f>IF(D276&gt;0,RANK(D276,$D$259:$D$277),)</f>
        <v>0</v>
      </c>
      <c r="J276" s="289">
        <f>IF(E276&gt;0,RANK(E276,$E$259:$E$277),)</f>
        <v>0</v>
      </c>
      <c r="K276" s="289">
        <f>IF(F276&gt;0,RANK(F276,$F$259:$F$277),)</f>
        <v>0</v>
      </c>
      <c r="L276" s="367"/>
      <c r="M276" s="357">
        <v>0</v>
      </c>
    </row>
    <row r="277" spans="1:13" ht="15.75" customHeight="1">
      <c r="A277" s="277" t="s">
        <v>792</v>
      </c>
      <c r="B277" s="296">
        <f>IF($M277&gt;0,('Amounts Pivot Table'!J$591/$M277),0)</f>
        <v>5145.7101720788232</v>
      </c>
      <c r="C277" s="296">
        <f>IF($M277&gt;0,('Amounts Pivot Table'!J$594/$M277),0)</f>
        <v>0</v>
      </c>
      <c r="D277" s="296">
        <f>IF($M277&gt;0,('Amounts Pivot Table'!J$597/$M277),0)</f>
        <v>0</v>
      </c>
      <c r="E277" s="296">
        <f>IF($M277&gt;0,('Amounts Pivot Table'!J$600/$M277),0)</f>
        <v>5181.7204412989176</v>
      </c>
      <c r="F277" s="364">
        <f t="shared" si="28"/>
        <v>10327.430613377741</v>
      </c>
      <c r="G277" s="365">
        <f>IF(B277&gt;0,RANK(B277,$B$259:$B$277),)</f>
        <v>2</v>
      </c>
      <c r="H277" s="366">
        <f>IF(C277&gt;0,RANK(C277,$C$259:$C$277),)</f>
        <v>0</v>
      </c>
      <c r="I277" s="366">
        <f>IF(D277&gt;0,RANK(D277,$D$259:$D$277),)</f>
        <v>0</v>
      </c>
      <c r="J277" s="366">
        <f>IF(E277&gt;0,RANK(E277,$E$259:$E$277),)</f>
        <v>1</v>
      </c>
      <c r="K277" s="366">
        <f>IF(F277&gt;0,RANK(F277,$F$259:$F$277),)</f>
        <v>1</v>
      </c>
      <c r="L277" s="367"/>
      <c r="M277" s="357">
        <v>2882.4</v>
      </c>
    </row>
    <row r="278" spans="1:13" s="362" customFormat="1" ht="34.5" customHeight="1">
      <c r="A278" s="1244" t="s">
        <v>926</v>
      </c>
      <c r="B278" s="1270"/>
      <c r="C278" s="1270"/>
      <c r="D278" s="1270"/>
      <c r="E278" s="1270"/>
      <c r="F278" s="1270"/>
      <c r="G278" s="1270"/>
      <c r="H278" s="1270"/>
      <c r="I278" s="1270"/>
      <c r="J278" s="1270"/>
      <c r="K278" s="1270"/>
      <c r="L278" s="363"/>
      <c r="M278" s="348"/>
    </row>
    <row r="279" spans="1:13" s="397" customFormat="1" ht="13.5" customHeight="1">
      <c r="A279" s="1244" t="s">
        <v>927</v>
      </c>
      <c r="B279" s="1270"/>
      <c r="C279" s="1270"/>
      <c r="D279" s="1270"/>
      <c r="E279" s="1270"/>
      <c r="F279" s="1270"/>
      <c r="G279" s="1270"/>
      <c r="H279" s="1270"/>
      <c r="I279" s="1270"/>
      <c r="J279" s="1270"/>
      <c r="K279" s="1270"/>
      <c r="L279" s="347"/>
      <c r="M279" s="348"/>
    </row>
    <row r="280" spans="1:13" ht="13.5" customHeight="1">
      <c r="A280" s="1244" t="s">
        <v>930</v>
      </c>
      <c r="B280" s="1245"/>
      <c r="C280" s="1245"/>
      <c r="D280" s="1245"/>
      <c r="E280" s="1245"/>
      <c r="F280" s="1245"/>
      <c r="G280" s="1245"/>
      <c r="H280" s="1245"/>
      <c r="I280" s="1245"/>
      <c r="J280" s="1245"/>
      <c r="K280" s="1245"/>
      <c r="L280" s="367"/>
      <c r="M280" s="348"/>
    </row>
    <row r="281" spans="1:13">
      <c r="A281" s="368"/>
      <c r="B281" s="369"/>
      <c r="C281" s="369"/>
      <c r="D281" s="369"/>
      <c r="E281" s="369"/>
      <c r="F281" s="369"/>
      <c r="G281" s="369"/>
      <c r="H281" s="369"/>
      <c r="I281" s="369"/>
      <c r="J281" s="369"/>
      <c r="K281" s="370" t="s">
        <v>1814</v>
      </c>
      <c r="L281" s="367"/>
      <c r="M281" s="348"/>
    </row>
    <row r="282" spans="1:13" ht="15.5">
      <c r="A282" s="1228" t="s">
        <v>939</v>
      </c>
      <c r="B282" s="1228"/>
      <c r="C282" s="1228"/>
      <c r="D282" s="1228"/>
      <c r="E282" s="1228"/>
      <c r="F282" s="1228"/>
      <c r="G282" s="1228"/>
      <c r="H282" s="1228"/>
      <c r="I282" s="1228"/>
      <c r="J282" s="1228"/>
      <c r="K282" s="1228"/>
      <c r="L282" s="367"/>
      <c r="M282" s="348"/>
    </row>
    <row r="283" spans="1:13" ht="17.5">
      <c r="A283" s="1228" t="s">
        <v>920</v>
      </c>
      <c r="B283" s="1228"/>
      <c r="C283" s="1228"/>
      <c r="D283" s="1228"/>
      <c r="E283" s="1228"/>
      <c r="F283" s="1228"/>
      <c r="G283" s="1228"/>
      <c r="H283" s="1228"/>
      <c r="I283" s="1228"/>
      <c r="J283" s="1228"/>
      <c r="K283" s="1228"/>
      <c r="L283" s="344"/>
      <c r="M283" s="348"/>
    </row>
    <row r="284" spans="1:13" ht="15.5">
      <c r="A284" s="1228" t="s">
        <v>1487</v>
      </c>
      <c r="B284" s="1228"/>
      <c r="C284" s="1228"/>
      <c r="D284" s="1228"/>
      <c r="E284" s="1228"/>
      <c r="F284" s="1228"/>
      <c r="G284" s="1228"/>
      <c r="H284" s="1228"/>
      <c r="I284" s="1228"/>
      <c r="J284" s="1228"/>
      <c r="K284" s="1228"/>
      <c r="L284" s="344"/>
      <c r="M284" s="371"/>
    </row>
    <row r="285" spans="1:13" ht="9" customHeight="1">
      <c r="A285" s="341"/>
      <c r="B285" s="341"/>
      <c r="C285" s="341"/>
      <c r="D285" s="341"/>
      <c r="E285" s="341"/>
      <c r="F285" s="341"/>
      <c r="G285" s="373"/>
      <c r="H285" s="341"/>
      <c r="I285" s="341"/>
      <c r="J285" s="341"/>
      <c r="K285" s="341"/>
      <c r="L285" s="344"/>
      <c r="M285" s="348"/>
    </row>
    <row r="286" spans="1:13" ht="16.5" customHeight="1">
      <c r="A286" s="346"/>
      <c r="B286" s="1279" t="s">
        <v>922</v>
      </c>
      <c r="C286" s="1280"/>
      <c r="D286" s="1280"/>
      <c r="E286" s="1280"/>
      <c r="F286" s="1280"/>
      <c r="G286" s="236" t="s">
        <v>923</v>
      </c>
      <c r="H286" s="235"/>
      <c r="I286" s="235"/>
      <c r="J286" s="235"/>
      <c r="K286" s="235"/>
      <c r="L286" s="389"/>
      <c r="M286" s="348"/>
    </row>
    <row r="287" spans="1:13" s="53" customFormat="1" ht="42">
      <c r="A287" s="243"/>
      <c r="B287" s="244" t="s">
        <v>6</v>
      </c>
      <c r="C287" s="245" t="s">
        <v>7</v>
      </c>
      <c r="D287" s="245" t="s">
        <v>8</v>
      </c>
      <c r="E287" s="245" t="s">
        <v>924</v>
      </c>
      <c r="F287" s="245" t="s">
        <v>768</v>
      </c>
      <c r="G287" s="246" t="s">
        <v>6</v>
      </c>
      <c r="H287" s="245" t="s">
        <v>7</v>
      </c>
      <c r="I287" s="245" t="s">
        <v>8</v>
      </c>
      <c r="J287" s="245" t="s">
        <v>924</v>
      </c>
      <c r="K287" s="245" t="s">
        <v>768</v>
      </c>
      <c r="L287" s="350"/>
      <c r="M287" s="348" t="s">
        <v>932</v>
      </c>
    </row>
    <row r="288" spans="1:13" ht="14.5">
      <c r="A288" s="77" t="s">
        <v>925</v>
      </c>
      <c r="B288" s="352">
        <f>IF($M288&gt;0,('Amounts Pivot Table'!K$630/$M288),0)</f>
        <v>2780.1180657307373</v>
      </c>
      <c r="C288" s="352">
        <f>IF($M288&gt;0,('Amounts Pivot Table'!K$633/$M288),0)</f>
        <v>90.956139906457182</v>
      </c>
      <c r="D288" s="352">
        <f>IF($M288&gt;0,('Amounts Pivot Table'!K$636/$M288),0)</f>
        <v>2859.6412050020249</v>
      </c>
      <c r="E288" s="352">
        <f>IF($M288&gt;0,('Amounts Pivot Table'!K$639/$M288),0)</f>
        <v>2596.4034097926083</v>
      </c>
      <c r="F288" s="352">
        <f>SUM(B288:E288)</f>
        <v>8327.1188204318278</v>
      </c>
      <c r="G288" s="353"/>
      <c r="H288" s="354"/>
      <c r="I288" s="354"/>
      <c r="J288" s="354"/>
      <c r="K288" s="354"/>
      <c r="L288" s="356"/>
      <c r="M288" s="357">
        <v>694292.53555555549</v>
      </c>
    </row>
    <row r="289" spans="1:13" s="376" customFormat="1" ht="12.75" customHeight="1">
      <c r="B289" s="380"/>
      <c r="C289" s="380"/>
      <c r="D289" s="380"/>
      <c r="E289" s="380"/>
      <c r="F289" s="380"/>
      <c r="G289" s="387"/>
      <c r="H289" s="388"/>
      <c r="I289" s="388"/>
      <c r="J289" s="388"/>
      <c r="K289" s="388"/>
      <c r="L289" s="381"/>
      <c r="M289" s="357" t="s">
        <v>421</v>
      </c>
    </row>
    <row r="290" spans="1:13" ht="12.75" customHeight="1">
      <c r="A290" s="77" t="s">
        <v>777</v>
      </c>
      <c r="B290" s="288">
        <f>IF($M290&gt;0,('Amounts Pivot Table'!K$6/$M290),0)</f>
        <v>4703.4212149855384</v>
      </c>
      <c r="C290" s="288">
        <f>IF($M290&gt;0,('Amounts Pivot Table'!K$9/$M290),0)</f>
        <v>0</v>
      </c>
      <c r="D290" s="288">
        <f>IF($M290&gt;0,('Amounts Pivot Table'!K$12/$M290),0)</f>
        <v>92.782422160213272</v>
      </c>
      <c r="E290" s="288">
        <f>IF($M290&gt;0,('Amounts Pivot Table'!K$15/$M290),0)</f>
        <v>4247.0302869077468</v>
      </c>
      <c r="F290" s="288">
        <f t="shared" ref="F290:F308" si="29">SUM(B290:E290)</f>
        <v>9043.2339240534984</v>
      </c>
      <c r="G290" s="359">
        <f>IF(B290&gt;0,RANK(B290,$B$290:$B$308),)</f>
        <v>2</v>
      </c>
      <c r="H290" s="289">
        <f>IF(C290&gt;0,RANK(C290,$C$290:$C$308),)</f>
        <v>0</v>
      </c>
      <c r="I290" s="289">
        <f>IF(D290&gt;0,RANK(D290,$D$290:$D$308),)</f>
        <v>6</v>
      </c>
      <c r="J290" s="289">
        <f>IF(E290&gt;0,RANK(E290,$E$290:$E$308),)</f>
        <v>7</v>
      </c>
      <c r="K290" s="289">
        <f>IF(F290&gt;0,RANK(F290,$F$290:$F$308),)</f>
        <v>5</v>
      </c>
      <c r="L290" s="356"/>
      <c r="M290" s="357">
        <v>17667.7</v>
      </c>
    </row>
    <row r="291" spans="1:13" ht="12.75" customHeight="1">
      <c r="A291" s="77" t="s">
        <v>778</v>
      </c>
      <c r="B291" s="288">
        <f>IF($M291&gt;0,('Amounts Pivot Table'!K$45/$M291),0)</f>
        <v>2499.4818436310084</v>
      </c>
      <c r="C291" s="288">
        <f>IF($M291&gt;0,('Amounts Pivot Table'!K$48/$M291),0)</f>
        <v>0</v>
      </c>
      <c r="D291" s="288">
        <f>IF($M291&gt;0,('Amounts Pivot Table'!K$51/$M291),0)</f>
        <v>2189.7761134623802</v>
      </c>
      <c r="E291" s="288">
        <f>IF($M291&gt;0,('Amounts Pivot Table'!K$54/$M291),0)</f>
        <v>4658.6153529778567</v>
      </c>
      <c r="F291" s="288">
        <f t="shared" si="29"/>
        <v>9347.8733100712452</v>
      </c>
      <c r="G291" s="359">
        <f>IF(B291&gt;0,RANK(B291,$B$290:$B$308),)</f>
        <v>8</v>
      </c>
      <c r="H291" s="289">
        <f>IF(C291&gt;0,RANK(C291,$C$290:$C$308),)</f>
        <v>0</v>
      </c>
      <c r="I291" s="289">
        <f>IF(D291&gt;0,RANK(D291,$D$290:$D$308),)</f>
        <v>3</v>
      </c>
      <c r="J291" s="289">
        <f>IF(E291&gt;0,RANK(E291,$E$290:$E$308),)</f>
        <v>5</v>
      </c>
      <c r="K291" s="289">
        <f>IF(F291&gt;0,RANK(F291,$F$290:$F$308),)</f>
        <v>4</v>
      </c>
      <c r="L291" s="356"/>
      <c r="M291" s="357">
        <v>5024.8666666666668</v>
      </c>
    </row>
    <row r="292" spans="1:13" ht="12.75" customHeight="1">
      <c r="A292" s="77" t="s">
        <v>779</v>
      </c>
      <c r="B292" s="288">
        <f>IF($M292&gt;0,('Amounts Pivot Table'!K$84/$M292),0)</f>
        <v>0</v>
      </c>
      <c r="C292" s="288">
        <f>IF($M292&gt;0,('Amounts Pivot Table'!K$87/$M292),0)</f>
        <v>0</v>
      </c>
      <c r="D292" s="288">
        <f>IF($M292&gt;0,('Amounts Pivot Table'!K$90/$M292),0)</f>
        <v>0</v>
      </c>
      <c r="E292" s="288">
        <f>IF($M292&gt;0,('Amounts Pivot Table'!K$93/$M292),0)</f>
        <v>0</v>
      </c>
      <c r="F292" s="288">
        <f t="shared" si="29"/>
        <v>0</v>
      </c>
      <c r="G292" s="359">
        <f>IF(B292&gt;0,RANK(B292,$B$290:$B$308),)</f>
        <v>0</v>
      </c>
      <c r="H292" s="289">
        <f>IF(C292&gt;0,RANK(C292,$C$290:$C$308),)</f>
        <v>0</v>
      </c>
      <c r="I292" s="289">
        <f>IF(D292&gt;0,RANK(D292,$D$290:$D$308),)</f>
        <v>0</v>
      </c>
      <c r="J292" s="289">
        <f>IF(E292&gt;0,RANK(E292,$E$290:$E$308),)</f>
        <v>0</v>
      </c>
      <c r="K292" s="289">
        <f>IF(F292&gt;0,RANK(F292,$F$290:$F$308),)</f>
        <v>0</v>
      </c>
      <c r="L292" s="356"/>
      <c r="M292" s="357">
        <v>0</v>
      </c>
    </row>
    <row r="293" spans="1:13" ht="12.75" customHeight="1">
      <c r="A293" s="77" t="s">
        <v>780</v>
      </c>
      <c r="B293" s="288">
        <f>IF($M293&gt;0,('Amounts Pivot Table'!K$123/$M293),0)</f>
        <v>3336.1785358503485</v>
      </c>
      <c r="C293" s="288">
        <f>IF($M293&gt;0,('Amounts Pivot Table'!K$126/$M293),0)</f>
        <v>0</v>
      </c>
      <c r="D293" s="288">
        <f>IF($M293&gt;0,('Amounts Pivot Table'!K$129/$M293),0)</f>
        <v>0</v>
      </c>
      <c r="E293" s="288">
        <f>IF($M293&gt;0,('Amounts Pivot Table'!K$132/$M293),0)</f>
        <v>2308.4679995213323</v>
      </c>
      <c r="F293" s="288">
        <f t="shared" si="29"/>
        <v>5644.6465353716812</v>
      </c>
      <c r="G293" s="359">
        <f>IF(B293&gt;0,RANK(B293,$B$290:$B$308),)</f>
        <v>4</v>
      </c>
      <c r="H293" s="289">
        <f>IF(C293&gt;0,RANK(C293,$C$290:$C$308),)</f>
        <v>0</v>
      </c>
      <c r="I293" s="289">
        <f>IF(D293&gt;0,RANK(D293,$D$290:$D$308),)</f>
        <v>0</v>
      </c>
      <c r="J293" s="289">
        <f>IF(E293&gt;0,RANK(E293,$E$290:$E$308),)</f>
        <v>8</v>
      </c>
      <c r="K293" s="289">
        <f>IF(F293&gt;0,RANK(F293,$F$290:$F$308),)</f>
        <v>10</v>
      </c>
      <c r="L293" s="356"/>
      <c r="M293" s="357">
        <v>30798.445555555554</v>
      </c>
    </row>
    <row r="294" spans="1:13" ht="12.75" customHeight="1">
      <c r="B294" s="288"/>
      <c r="C294" s="288"/>
      <c r="D294" s="288"/>
      <c r="E294" s="288"/>
      <c r="F294" s="288"/>
      <c r="G294" s="359"/>
      <c r="H294" s="289"/>
      <c r="I294" s="289"/>
      <c r="J294" s="289"/>
      <c r="K294" s="289"/>
      <c r="L294" s="356"/>
      <c r="M294" s="357"/>
    </row>
    <row r="295" spans="1:13" ht="12.75" customHeight="1">
      <c r="A295" s="77" t="s">
        <v>781</v>
      </c>
      <c r="B295" s="288">
        <f>IF($M295&gt;0,('Amounts Pivot Table'!K$162/$M295),0)</f>
        <v>0</v>
      </c>
      <c r="C295" s="288">
        <f>IF($M295&gt;0,('Amounts Pivot Table'!K$165/$M295),0)</f>
        <v>0</v>
      </c>
      <c r="D295" s="288">
        <f>IF($M295&gt;0,('Amounts Pivot Table'!K$168/$M295),0)</f>
        <v>0</v>
      </c>
      <c r="E295" s="288">
        <f>IF($M295&gt;0,('Amounts Pivot Table'!K$171/$M295),0)</f>
        <v>0</v>
      </c>
      <c r="F295" s="288">
        <f t="shared" si="29"/>
        <v>0</v>
      </c>
      <c r="G295" s="359">
        <f>IF(B295&gt;0,RANK(B295,$B$290:$B$308),)</f>
        <v>0</v>
      </c>
      <c r="H295" s="289">
        <f>IF(C295&gt;0,RANK(C295,$C$290:$C$308),)</f>
        <v>0</v>
      </c>
      <c r="I295" s="289">
        <f>IF(D295&gt;0,RANK(D295,$D$290:$D$308),)</f>
        <v>0</v>
      </c>
      <c r="J295" s="289">
        <f>IF(E295&gt;0,RANK(E295,$E$290:$E$308),)</f>
        <v>0</v>
      </c>
      <c r="K295" s="289">
        <f>IF(F295&gt;0,RANK(F295,$F$290:$F$308),)</f>
        <v>0</v>
      </c>
      <c r="L295" s="356"/>
      <c r="M295" s="357">
        <v>0</v>
      </c>
    </row>
    <row r="296" spans="1:13" ht="12.75" customHeight="1">
      <c r="A296" s="77" t="s">
        <v>782</v>
      </c>
      <c r="B296" s="288">
        <f>IF($M296&gt;0,('Amounts Pivot Table'!K$201/$M296),0)</f>
        <v>2429.6589396890099</v>
      </c>
      <c r="C296" s="288">
        <f>IF($M296&gt;0,('Amounts Pivot Table'!K$204/$M296),0)</f>
        <v>0</v>
      </c>
      <c r="D296" s="288">
        <f>IF($M296&gt;0,('Amounts Pivot Table'!K$207/$M296),0)</f>
        <v>0</v>
      </c>
      <c r="E296" s="288">
        <f>IF($M296&gt;0,('Amounts Pivot Table'!K$210/$M296),0)</f>
        <v>5473.0127781173933</v>
      </c>
      <c r="F296" s="288">
        <f t="shared" si="29"/>
        <v>7902.6717178064027</v>
      </c>
      <c r="G296" s="359">
        <f>IF(B296&gt;0,RANK(B296,$B$290:$B$308),)</f>
        <v>9</v>
      </c>
      <c r="H296" s="289">
        <f>IF(C296&gt;0,RANK(C296,$C$290:$C$308),)</f>
        <v>0</v>
      </c>
      <c r="I296" s="289">
        <f>IF(D296&gt;0,RANK(D296,$D$290:$D$308),)</f>
        <v>0</v>
      </c>
      <c r="J296" s="289">
        <f>IF(E296&gt;0,RANK(E296,$E$290:$E$308),)</f>
        <v>2</v>
      </c>
      <c r="K296" s="289">
        <f>IF(F296&gt;0,RANK(F296,$F$290:$F$308),)</f>
        <v>8</v>
      </c>
      <c r="L296" s="356"/>
      <c r="M296" s="357">
        <v>12917.656666666666</v>
      </c>
    </row>
    <row r="297" spans="1:13" ht="12.75" customHeight="1">
      <c r="A297" s="77" t="s">
        <v>813</v>
      </c>
      <c r="B297" s="288">
        <f>IF($M297&gt;0,('Amounts Pivot Table'!K$240/$M297),0)</f>
        <v>2897.6482251141242</v>
      </c>
      <c r="C297" s="288">
        <f>IF($M297&gt;0,('Amounts Pivot Table'!K$243/$M297),0)</f>
        <v>0</v>
      </c>
      <c r="D297" s="288">
        <f>IF($M297&gt;0,('Amounts Pivot Table'!K$246/$M297),0)</f>
        <v>0</v>
      </c>
      <c r="E297" s="288">
        <f>IF($M297&gt;0,('Amounts Pivot Table'!K$249/$M297),0)</f>
        <v>4854.2995646249237</v>
      </c>
      <c r="F297" s="288">
        <f t="shared" si="29"/>
        <v>7751.9477897390479</v>
      </c>
      <c r="G297" s="359">
        <f>IF(B297&gt;0,RANK(B297,$B$290:$B$308),)</f>
        <v>5</v>
      </c>
      <c r="H297" s="289">
        <f>IF(C297&gt;0,RANK(C297,$C$290:$C$308),)</f>
        <v>0</v>
      </c>
      <c r="I297" s="289">
        <f>IF(D297&gt;0,RANK(D297,$D$290:$D$308),)</f>
        <v>0</v>
      </c>
      <c r="J297" s="289">
        <f>IF(E297&gt;0,RANK(E297,$E$290:$E$308),)</f>
        <v>4</v>
      </c>
      <c r="K297" s="289">
        <f>IF(F297&gt;0,RANK(F297,$F$290:$F$308),)</f>
        <v>9</v>
      </c>
      <c r="L297" s="356"/>
      <c r="M297" s="357">
        <v>14677</v>
      </c>
    </row>
    <row r="298" spans="1:13" ht="12.75" customHeight="1">
      <c r="A298" s="77" t="s">
        <v>784</v>
      </c>
      <c r="B298" s="288">
        <f>IF($M298&gt;0,('Amounts Pivot Table'!K$279/$M298),0)</f>
        <v>2851.3580740453376</v>
      </c>
      <c r="C298" s="288">
        <f>IF($M298&gt;0,('Amounts Pivot Table'!K$282/$M298),0)</f>
        <v>0</v>
      </c>
      <c r="D298" s="288">
        <f>IF($M298&gt;0,('Amounts Pivot Table'!K$285/$M298),0)</f>
        <v>5604.3580202738294</v>
      </c>
      <c r="E298" s="288">
        <f>IF($M298&gt;0,('Amounts Pivot Table'!K$288/$M298),0)</f>
        <v>4596.9489145334246</v>
      </c>
      <c r="F298" s="288">
        <f t="shared" si="29"/>
        <v>13052.665008852591</v>
      </c>
      <c r="G298" s="359">
        <f>IF(B298&gt;0,RANK(B298,$B$290:$B$308),)</f>
        <v>6</v>
      </c>
      <c r="H298" s="289">
        <f>IF(C298&gt;0,RANK(C298,$C$290:$C$308),)</f>
        <v>0</v>
      </c>
      <c r="I298" s="289">
        <f>IF(D298&gt;0,RANK(D298,$D$290:$D$308),)</f>
        <v>1</v>
      </c>
      <c r="J298" s="289">
        <f>IF(E298&gt;0,RANK(E298,$E$290:$E$308),)</f>
        <v>6</v>
      </c>
      <c r="K298" s="289">
        <f>IF(F298&gt;0,RANK(F298,$F$290:$F$308),)</f>
        <v>1</v>
      </c>
      <c r="L298" s="356"/>
      <c r="M298" s="357">
        <v>59201.116666666669</v>
      </c>
    </row>
    <row r="299" spans="1:13" ht="12.75" customHeight="1">
      <c r="B299" s="288"/>
      <c r="C299" s="288"/>
      <c r="D299" s="288"/>
      <c r="E299" s="288"/>
      <c r="F299" s="288"/>
      <c r="G299" s="359"/>
      <c r="H299" s="289"/>
      <c r="I299" s="289"/>
      <c r="J299" s="289"/>
      <c r="K299" s="289"/>
      <c r="L299" s="356"/>
      <c r="M299" s="357"/>
    </row>
    <row r="300" spans="1:13" ht="12.75" customHeight="1">
      <c r="A300" s="77" t="s">
        <v>785</v>
      </c>
      <c r="B300" s="288">
        <f>IF($M300&gt;0,('Amounts Pivot Table'!K$318/$M300),0)</f>
        <v>0</v>
      </c>
      <c r="C300" s="288">
        <f>IF($M300&gt;0,('Amounts Pivot Table'!K$321/$M300),0)</f>
        <v>0</v>
      </c>
      <c r="D300" s="288">
        <f>IF($M300&gt;0,('Amounts Pivot Table'!K$324/$M300),0)</f>
        <v>0</v>
      </c>
      <c r="E300" s="288">
        <f>IF($M300&gt;0,('Amounts Pivot Table'!K$327/$M300),0)</f>
        <v>0</v>
      </c>
      <c r="F300" s="288">
        <f t="shared" si="29"/>
        <v>0</v>
      </c>
      <c r="G300" s="359">
        <f>IF(B300&gt;0,RANK(B300,$B$290:$B$308),)</f>
        <v>0</v>
      </c>
      <c r="H300" s="289">
        <f>IF(C300&gt;0,RANK(C300,$C$290:$C$308),)</f>
        <v>0</v>
      </c>
      <c r="I300" s="289">
        <f>IF(D300&gt;0,RANK(D300,$D$290:$D$308),)</f>
        <v>0</v>
      </c>
      <c r="J300" s="289">
        <f>IF(E300&gt;0,RANK(E300,$E$290:$E$308),)</f>
        <v>0</v>
      </c>
      <c r="K300" s="289">
        <f>IF(F300&gt;0,RANK(F300,$F$290:$F$308),)</f>
        <v>0</v>
      </c>
      <c r="L300" s="356"/>
      <c r="M300" s="357">
        <v>0</v>
      </c>
    </row>
    <row r="301" spans="1:13" ht="12.75" customHeight="1">
      <c r="A301" s="77" t="s">
        <v>786</v>
      </c>
      <c r="B301" s="288">
        <f>IF($M301&gt;0,('Amounts Pivot Table'!K$357/$M301),0)</f>
        <v>4635.8342648418193</v>
      </c>
      <c r="C301" s="288">
        <f>IF($M301&gt;0,('Amounts Pivot Table'!K$360/$M301),0)</f>
        <v>606.07202814924995</v>
      </c>
      <c r="D301" s="288">
        <f>IF($M301&gt;0,('Amounts Pivot Table'!K$363/$M301),0)</f>
        <v>1560.699587584176</v>
      </c>
      <c r="E301" s="288">
        <f>IF($M301&gt;0,('Amounts Pivot Table'!K$366/$M301),0)</f>
        <v>1735.5099558250511</v>
      </c>
      <c r="F301" s="288">
        <f t="shared" si="29"/>
        <v>8538.1158364002949</v>
      </c>
      <c r="G301" s="359">
        <f>IF(B301&gt;0,RANK(B301,$B$290:$B$308),)</f>
        <v>3</v>
      </c>
      <c r="H301" s="289">
        <f>IF(C301&gt;0,RANK(C301,$C$290:$C$308),)</f>
        <v>1</v>
      </c>
      <c r="I301" s="289">
        <f>IF(D301&gt;0,RANK(D301,$D$290:$D$308),)</f>
        <v>5</v>
      </c>
      <c r="J301" s="289">
        <f>IF(E301&gt;0,RANK(E301,$E$290:$E$308),)</f>
        <v>10</v>
      </c>
      <c r="K301" s="289">
        <f>IF(F301&gt;0,RANK(F301,$F$290:$F$308),)</f>
        <v>7</v>
      </c>
      <c r="L301" s="356"/>
      <c r="M301" s="357">
        <v>81908.162222222221</v>
      </c>
    </row>
    <row r="302" spans="1:13" ht="12.75" customHeight="1">
      <c r="A302" s="77" t="s">
        <v>787</v>
      </c>
      <c r="B302" s="288">
        <f>IF($M302&gt;0,('Amounts Pivot Table'!K$396/$M302),0)</f>
        <v>0</v>
      </c>
      <c r="C302" s="288">
        <f>IF($M302&gt;0,('Amounts Pivot Table'!K$399/$M302),0)</f>
        <v>0</v>
      </c>
      <c r="D302" s="288">
        <f>IF($M302&gt;0,('Amounts Pivot Table'!K$402/$M302),0)</f>
        <v>0</v>
      </c>
      <c r="E302" s="288">
        <f>IF($M302&gt;0,('Amounts Pivot Table'!K$405/$M302),0)</f>
        <v>0</v>
      </c>
      <c r="F302" s="288">
        <f t="shared" si="29"/>
        <v>0</v>
      </c>
      <c r="G302" s="359">
        <f>IF(B302&gt;0,RANK(B302,$B$290:$B$308),)</f>
        <v>0</v>
      </c>
      <c r="H302" s="289">
        <f>IF(C302&gt;0,RANK(C302,$C$290:$C$308),)</f>
        <v>0</v>
      </c>
      <c r="I302" s="289">
        <f>IF(D302&gt;0,RANK(D302,$D$290:$D$308),)</f>
        <v>0</v>
      </c>
      <c r="J302" s="289">
        <f>IF(E302&gt;0,RANK(E302,$E$290:$E$308),)</f>
        <v>0</v>
      </c>
      <c r="K302" s="289">
        <f>IF(F302&gt;0,RANK(F302,$F$290:$F$308),)</f>
        <v>0</v>
      </c>
      <c r="L302" s="356"/>
      <c r="M302" s="357">
        <v>0</v>
      </c>
    </row>
    <row r="303" spans="1:13" ht="12.75" customHeight="1">
      <c r="A303" s="77" t="s">
        <v>788</v>
      </c>
      <c r="B303" s="288">
        <f>IF($M303&gt;0,('Amounts Pivot Table'!K$435/$M303),0)</f>
        <v>2367.0571368518604</v>
      </c>
      <c r="C303" s="288">
        <f>IF($M303&gt;0,('Amounts Pivot Table'!K$438/$M303),0)</f>
        <v>483.94795296635368</v>
      </c>
      <c r="D303" s="288">
        <f>IF($M303&gt;0,('Amounts Pivot Table'!K$441/$M303),0)</f>
        <v>1609.0242644125929</v>
      </c>
      <c r="E303" s="288">
        <f>IF($M303&gt;0,('Amounts Pivot Table'!K$444/$M303),0)</f>
        <v>7161.9552688336407</v>
      </c>
      <c r="F303" s="288">
        <f t="shared" si="29"/>
        <v>11621.984623064447</v>
      </c>
      <c r="G303" s="359">
        <f>IF(B303&gt;0,RANK(B303,$B$290:$B$308),)</f>
        <v>10</v>
      </c>
      <c r="H303" s="289">
        <f>IF(C303&gt;0,RANK(C303,$C$290:$C$308),)</f>
        <v>2</v>
      </c>
      <c r="I303" s="289">
        <f>IF(D303&gt;0,RANK(D303,$D$290:$D$308),)</f>
        <v>4</v>
      </c>
      <c r="J303" s="289">
        <f>IF(E303&gt;0,RANK(E303,$E$290:$E$308),)</f>
        <v>1</v>
      </c>
      <c r="K303" s="289">
        <f>IF(F303&gt;0,RANK(F303,$F$290:$F$308),)</f>
        <v>2</v>
      </c>
      <c r="L303" s="356"/>
      <c r="M303" s="357">
        <v>27911.933333333334</v>
      </c>
    </row>
    <row r="304" spans="1:13" ht="12.75" customHeight="1">
      <c r="B304" s="288"/>
      <c r="C304" s="288"/>
      <c r="D304" s="288"/>
      <c r="E304" s="288"/>
      <c r="F304" s="288"/>
      <c r="G304" s="359"/>
      <c r="H304" s="289"/>
      <c r="I304" s="289"/>
      <c r="J304" s="289"/>
      <c r="K304" s="289"/>
      <c r="L304" s="356"/>
      <c r="M304" s="357"/>
    </row>
    <row r="305" spans="1:13" ht="12.75" customHeight="1">
      <c r="A305" s="77" t="s">
        <v>789</v>
      </c>
      <c r="B305" s="288">
        <f>IF($M305&gt;0,('Amounts Pivot Table'!K$474/$M305),0)</f>
        <v>4992.3808873584831</v>
      </c>
      <c r="C305" s="288">
        <f>IF($M305&gt;0,('Amounts Pivot Table'!K$477/$M305),0)</f>
        <v>0</v>
      </c>
      <c r="D305" s="288">
        <f>IF($M305&gt;0,('Amounts Pivot Table'!K$480/$M305),0)</f>
        <v>0</v>
      </c>
      <c r="E305" s="288">
        <f>IF($M305&gt;0,('Amounts Pivot Table'!K$483/$M305),0)</f>
        <v>5015.9749193655834</v>
      </c>
      <c r="F305" s="288">
        <f t="shared" si="29"/>
        <v>10008.355806724066</v>
      </c>
      <c r="G305" s="359">
        <f>IF(B305&gt;0,RANK(B305,$B$290:$B$308),)</f>
        <v>1</v>
      </c>
      <c r="H305" s="289">
        <f>IF(C305&gt;0,RANK(C305,$C$290:$C$308),)</f>
        <v>0</v>
      </c>
      <c r="I305" s="289">
        <f>IF(D305&gt;0,RANK(D305,$D$290:$D$308),)</f>
        <v>0</v>
      </c>
      <c r="J305" s="289">
        <f>IF(E305&gt;0,RANK(E305,$E$290:$E$308),)</f>
        <v>3</v>
      </c>
      <c r="K305" s="289">
        <f>IF(F305&gt;0,RANK(F305,$F$290:$F$308),)</f>
        <v>3</v>
      </c>
      <c r="L305" s="356"/>
      <c r="M305" s="357">
        <v>30270.366666666669</v>
      </c>
    </row>
    <row r="306" spans="1:13" s="362" customFormat="1" ht="12.75" customHeight="1">
      <c r="A306" s="77" t="s">
        <v>940</v>
      </c>
      <c r="B306" s="288">
        <f>IF($M306&gt;0,('Amounts Pivot Table'!K$513/$M306),0)</f>
        <v>2525.6510346366313</v>
      </c>
      <c r="C306" s="288">
        <f>IF($M306&gt;0,('Amounts Pivot Table'!K$516/$M306),0)</f>
        <v>0</v>
      </c>
      <c r="D306" s="288">
        <f>IF($M306&gt;0,('Amounts Pivot Table'!K$519/$M306),0)</f>
        <v>4156.4171474261047</v>
      </c>
      <c r="E306" s="288">
        <f>IF($M306&gt;0,('Amounts Pivot Table'!K$522/$M306),0)</f>
        <v>2052.7672493520954</v>
      </c>
      <c r="F306" s="288">
        <f t="shared" si="29"/>
        <v>8734.835431414831</v>
      </c>
      <c r="G306" s="359">
        <f>IF(B306&gt;0,RANK(B306,$B$290:$B$308),)</f>
        <v>7</v>
      </c>
      <c r="H306" s="289">
        <f>IF(C306&gt;0,RANK(C306,$C$290:$C$308),)</f>
        <v>0</v>
      </c>
      <c r="I306" s="289">
        <f>IF(D306&gt;0,RANK(D306,$D$290:$D$308),)</f>
        <v>2</v>
      </c>
      <c r="J306" s="289">
        <f>IF(E306&gt;0,RANK(E306,$E$290:$E$308),)</f>
        <v>9</v>
      </c>
      <c r="K306" s="289">
        <f>IF(F306&gt;0,RANK(F306,$F$290:$F$308),)</f>
        <v>6</v>
      </c>
      <c r="L306" s="363"/>
      <c r="M306" s="357">
        <v>353250.32111111109</v>
      </c>
    </row>
    <row r="307" spans="1:13" ht="12.75" customHeight="1">
      <c r="A307" s="77" t="s">
        <v>791</v>
      </c>
      <c r="B307" s="288">
        <f>IF($M307&gt;0,('Amounts Pivot Table'!K$552/$M307),0)</f>
        <v>0</v>
      </c>
      <c r="C307" s="288">
        <f>IF($M307&gt;0,('Amounts Pivot Table'!K$555/$M307),0)</f>
        <v>0</v>
      </c>
      <c r="D307" s="288">
        <f>IF($M307&gt;0,('Amounts Pivot Table'!K$558/$M307),0)</f>
        <v>0</v>
      </c>
      <c r="E307" s="288">
        <f>IF($M307&gt;0,('Amounts Pivot Table'!K$561/$M307),0)</f>
        <v>0</v>
      </c>
      <c r="F307" s="288">
        <f t="shared" si="29"/>
        <v>0</v>
      </c>
      <c r="G307" s="359">
        <f>IF(B307&gt;0,RANK(B307,$B$290:$B$308),)</f>
        <v>0</v>
      </c>
      <c r="H307" s="289">
        <f>IF(C307&gt;0,RANK(C307,$C$290:$C$308),)</f>
        <v>0</v>
      </c>
      <c r="I307" s="289">
        <f>IF(D307&gt;0,RANK(D307,$D$290:$D$308),)</f>
        <v>0</v>
      </c>
      <c r="J307" s="289">
        <f>IF(E307&gt;0,RANK(E307,$E$290:$E$308),)</f>
        <v>0</v>
      </c>
      <c r="K307" s="289">
        <f>IF(F307&gt;0,RANK(F307,$F$290:$F$308),)</f>
        <v>0</v>
      </c>
      <c r="L307" s="367"/>
      <c r="M307" s="357">
        <v>60664.966666666667</v>
      </c>
    </row>
    <row r="308" spans="1:13" ht="15.75" customHeight="1">
      <c r="A308" s="277" t="s">
        <v>792</v>
      </c>
      <c r="B308" s="296">
        <f>IF($M308&gt;0,('Amounts Pivot Table'!K$591/$M308),0)</f>
        <v>0</v>
      </c>
      <c r="C308" s="296">
        <f>IF($M308&gt;0,('Amounts Pivot Table'!K$594/$M308),0)</f>
        <v>0</v>
      </c>
      <c r="D308" s="296">
        <f>IF($M308&gt;0,('Amounts Pivot Table'!K$597/$M308),0)</f>
        <v>0</v>
      </c>
      <c r="E308" s="296">
        <f>IF($M308&gt;0,('Amounts Pivot Table'!K$600/$M308),0)</f>
        <v>0</v>
      </c>
      <c r="F308" s="364">
        <f t="shared" si="29"/>
        <v>0</v>
      </c>
      <c r="G308" s="365">
        <f>IF(B308&gt;0,RANK(B308,$B$290:$B$308),)</f>
        <v>0</v>
      </c>
      <c r="H308" s="366">
        <f>IF(C308&gt;0,RANK(C308,$C$290:$C$308),)</f>
        <v>0</v>
      </c>
      <c r="I308" s="366">
        <f>IF(D308&gt;0,RANK(D308,$D$290:$D$308),)</f>
        <v>0</v>
      </c>
      <c r="J308" s="366">
        <f>IF(E308&gt;0,RANK(E308,$E$290:$E$308),)</f>
        <v>0</v>
      </c>
      <c r="K308" s="366">
        <f>IF(F308&gt;0,RANK(F308,$F$290:$F$308),)</f>
        <v>0</v>
      </c>
      <c r="L308" s="367"/>
      <c r="M308" s="357">
        <v>0</v>
      </c>
    </row>
    <row r="309" spans="1:13" s="362" customFormat="1" ht="19.5" customHeight="1">
      <c r="A309" s="1272" t="s">
        <v>941</v>
      </c>
      <c r="B309" s="1272"/>
      <c r="C309" s="1272"/>
      <c r="D309" s="1272"/>
      <c r="E309" s="1272"/>
      <c r="F309" s="1272"/>
      <c r="G309" s="1272"/>
      <c r="H309" s="1272"/>
      <c r="I309" s="1272"/>
      <c r="J309" s="1272"/>
      <c r="K309" s="1272"/>
      <c r="L309" s="363"/>
      <c r="M309" s="382"/>
    </row>
    <row r="310" spans="1:13" s="362" customFormat="1" ht="34.5" customHeight="1">
      <c r="A310" s="1244" t="s">
        <v>926</v>
      </c>
      <c r="B310" s="1270"/>
      <c r="C310" s="1270"/>
      <c r="D310" s="1270"/>
      <c r="E310" s="1270"/>
      <c r="F310" s="1270"/>
      <c r="G310" s="1270"/>
      <c r="H310" s="1270"/>
      <c r="I310" s="1270"/>
      <c r="J310" s="1270"/>
      <c r="K310" s="1270"/>
      <c r="L310" s="363"/>
      <c r="M310" s="400"/>
    </row>
    <row r="311" spans="1:13" s="397" customFormat="1" ht="13.5" customHeight="1">
      <c r="A311" s="1244" t="s">
        <v>927</v>
      </c>
      <c r="B311" s="1270"/>
      <c r="C311" s="1270"/>
      <c r="D311" s="1270"/>
      <c r="E311" s="1270"/>
      <c r="F311" s="1270"/>
      <c r="G311" s="1270"/>
      <c r="H311" s="1270"/>
      <c r="I311" s="1270"/>
      <c r="J311" s="1270"/>
      <c r="K311" s="1270"/>
      <c r="L311" s="347"/>
      <c r="M311" s="400"/>
    </row>
    <row r="312" spans="1:13" ht="13.5" customHeight="1">
      <c r="A312" s="1244" t="s">
        <v>930</v>
      </c>
      <c r="B312" s="1245"/>
      <c r="C312" s="1245"/>
      <c r="D312" s="1245"/>
      <c r="E312" s="1245"/>
      <c r="F312" s="1245"/>
      <c r="G312" s="1245"/>
      <c r="H312" s="1245"/>
      <c r="I312" s="1245"/>
      <c r="J312" s="1245"/>
      <c r="K312" s="1245"/>
      <c r="L312" s="367"/>
      <c r="M312" s="400"/>
    </row>
    <row r="313" spans="1:13">
      <c r="A313" s="368"/>
      <c r="B313" s="369"/>
      <c r="C313" s="369"/>
      <c r="D313" s="369"/>
      <c r="E313" s="369"/>
      <c r="F313" s="369"/>
      <c r="G313" s="369"/>
      <c r="H313" s="369"/>
      <c r="I313" s="369"/>
      <c r="J313" s="369"/>
      <c r="K313" s="370" t="s">
        <v>1814</v>
      </c>
      <c r="L313" s="401"/>
      <c r="M313" s="348"/>
    </row>
    <row r="314" spans="1:13" ht="15.5">
      <c r="A314" s="1228" t="s">
        <v>942</v>
      </c>
      <c r="B314" s="1228"/>
      <c r="C314" s="1228"/>
      <c r="D314" s="1228"/>
      <c r="E314" s="1228"/>
      <c r="F314" s="1228"/>
      <c r="G314" s="1228"/>
      <c r="H314" s="1228"/>
      <c r="I314" s="1228"/>
      <c r="J314" s="1228"/>
      <c r="K314" s="1228"/>
      <c r="L314" s="367"/>
      <c r="M314" s="348"/>
    </row>
    <row r="315" spans="1:13" ht="17.5">
      <c r="A315" s="1228" t="s">
        <v>920</v>
      </c>
      <c r="B315" s="1228"/>
      <c r="C315" s="1228"/>
      <c r="D315" s="1228"/>
      <c r="E315" s="1228"/>
      <c r="F315" s="1228"/>
      <c r="G315" s="1228"/>
      <c r="H315" s="1228"/>
      <c r="I315" s="1228"/>
      <c r="J315" s="1228"/>
      <c r="K315" s="1228"/>
      <c r="L315" s="344"/>
      <c r="M315" s="348"/>
    </row>
    <row r="316" spans="1:13" ht="15.5">
      <c r="A316" s="1228" t="s">
        <v>1488</v>
      </c>
      <c r="B316" s="1228"/>
      <c r="C316" s="1228"/>
      <c r="D316" s="1228"/>
      <c r="E316" s="1228"/>
      <c r="F316" s="1228"/>
      <c r="G316" s="1228"/>
      <c r="H316" s="1228"/>
      <c r="I316" s="1228"/>
      <c r="J316" s="1228"/>
      <c r="K316" s="1228"/>
      <c r="L316" s="344"/>
      <c r="M316" s="371"/>
    </row>
    <row r="317" spans="1:13" ht="9" customHeight="1">
      <c r="A317" s="341"/>
      <c r="B317" s="341"/>
      <c r="C317" s="341"/>
      <c r="D317" s="341"/>
      <c r="E317" s="341"/>
      <c r="F317" s="341"/>
      <c r="G317" s="373"/>
      <c r="H317" s="341"/>
      <c r="I317" s="341"/>
      <c r="J317" s="341"/>
      <c r="K317" s="341"/>
      <c r="L317" s="344"/>
      <c r="M317" s="371"/>
    </row>
    <row r="318" spans="1:13" ht="14.25" customHeight="1">
      <c r="A318" s="346"/>
      <c r="B318" s="1279" t="s">
        <v>922</v>
      </c>
      <c r="C318" s="1280"/>
      <c r="D318" s="1280"/>
      <c r="E318" s="1280"/>
      <c r="F318" s="1280"/>
      <c r="G318" s="236" t="s">
        <v>923</v>
      </c>
      <c r="H318" s="235"/>
      <c r="I318" s="235"/>
      <c r="J318" s="235"/>
      <c r="K318" s="235"/>
      <c r="L318" s="389"/>
      <c r="M318" s="348"/>
    </row>
    <row r="319" spans="1:13" s="403" customFormat="1" ht="48" customHeight="1">
      <c r="A319" s="243"/>
      <c r="B319" s="244" t="s">
        <v>6</v>
      </c>
      <c r="C319" s="245" t="s">
        <v>7</v>
      </c>
      <c r="D319" s="245" t="s">
        <v>8</v>
      </c>
      <c r="E319" s="245" t="s">
        <v>924</v>
      </c>
      <c r="F319" s="245" t="s">
        <v>768</v>
      </c>
      <c r="G319" s="246" t="s">
        <v>6</v>
      </c>
      <c r="H319" s="245" t="s">
        <v>7</v>
      </c>
      <c r="I319" s="245" t="s">
        <v>8</v>
      </c>
      <c r="J319" s="245" t="s">
        <v>924</v>
      </c>
      <c r="K319" s="245" t="s">
        <v>768</v>
      </c>
      <c r="L319" s="402"/>
      <c r="M319" s="372" t="s">
        <v>932</v>
      </c>
    </row>
    <row r="320" spans="1:13" ht="14.5">
      <c r="A320" s="77" t="s">
        <v>925</v>
      </c>
      <c r="B320" s="352">
        <f>IF($M320&gt;0,('Amounts Pivot Table'!L$630/$M320),0)</f>
        <v>3856.7188738788145</v>
      </c>
      <c r="C320" s="352">
        <f>IF($M320&gt;0,('Amounts Pivot Table'!L$633/$M320),0)</f>
        <v>212.21601309988336</v>
      </c>
      <c r="D320" s="352">
        <f>IF($M320&gt;0,('Amounts Pivot Table'!L$636/$M320),0)</f>
        <v>1228.5576931263677</v>
      </c>
      <c r="E320" s="352">
        <f>IF($M320&gt;0,('Amounts Pivot Table'!L$639/$M320),0)</f>
        <v>3160.2127572860463</v>
      </c>
      <c r="F320" s="352">
        <f>SUM(B320:E320)</f>
        <v>8457.7053373911112</v>
      </c>
      <c r="G320" s="353"/>
      <c r="H320" s="354"/>
      <c r="I320" s="354"/>
      <c r="J320" s="354"/>
      <c r="K320" s="354"/>
      <c r="L320" s="356"/>
      <c r="M320" s="357">
        <v>319465.44</v>
      </c>
    </row>
    <row r="321" spans="1:13" ht="10.5" customHeight="1">
      <c r="B321" s="352"/>
      <c r="C321" s="352"/>
      <c r="D321" s="352"/>
      <c r="E321" s="352"/>
      <c r="F321" s="352"/>
      <c r="G321" s="353"/>
      <c r="H321" s="354"/>
      <c r="I321" s="354"/>
      <c r="J321" s="354"/>
      <c r="K321" s="354"/>
      <c r="L321" s="356"/>
      <c r="M321" s="357" t="s">
        <v>421</v>
      </c>
    </row>
    <row r="322" spans="1:13" ht="12.75" customHeight="1">
      <c r="A322" s="77" t="s">
        <v>777</v>
      </c>
      <c r="B322" s="288">
        <f>IF($M322&gt;0,('Amounts Pivot Table'!L$6/$M322),0)</f>
        <v>5686.2112706117096</v>
      </c>
      <c r="C322" s="288">
        <f>IF($M322&gt;0,('Amounts Pivot Table'!L$9/$M322),0)</f>
        <v>0</v>
      </c>
      <c r="D322" s="288">
        <f>IF($M322&gt;0,('Amounts Pivot Table'!L$12/$M322),0)</f>
        <v>12.949764506134352</v>
      </c>
      <c r="E322" s="288">
        <f>IF($M322&gt;0,('Amounts Pivot Table'!L$15/$M322),0)</f>
        <v>4366.4346540494398</v>
      </c>
      <c r="F322" s="288">
        <f t="shared" ref="F322:F340" si="30">SUM(B322:E322)</f>
        <v>10065.595689167283</v>
      </c>
      <c r="G322" s="359">
        <f>IF(B322&gt;0,RANK(B322,$B$322:$B$340),)</f>
        <v>2</v>
      </c>
      <c r="H322" s="289">
        <f>IF(C322&gt;0,RANK(C322,$C$322:$C$340),)</f>
        <v>0</v>
      </c>
      <c r="I322" s="289">
        <f>IF(D322&gt;0,RANK(D322,$D$322:$D$340),)</f>
        <v>6</v>
      </c>
      <c r="J322" s="289">
        <f>IF(E322&gt;0,RANK(E322,$E$322:$E$340),)</f>
        <v>7</v>
      </c>
      <c r="K322" s="289">
        <f>IF(F322&gt;0,RANK(F322,$F$322:$F$340),)</f>
        <v>5</v>
      </c>
      <c r="L322" s="356"/>
      <c r="M322" s="357">
        <v>27799.73333333333</v>
      </c>
    </row>
    <row r="323" spans="1:13" ht="12.75" customHeight="1">
      <c r="A323" s="77" t="s">
        <v>778</v>
      </c>
      <c r="B323" s="288">
        <f>IF($M323&gt;0,('Amounts Pivot Table'!L$45/$M323),0)</f>
        <v>5061.2275447514749</v>
      </c>
      <c r="C323" s="288">
        <f>IF($M323&gt;0,('Amounts Pivot Table'!L$48/$M323),0)</f>
        <v>0</v>
      </c>
      <c r="D323" s="288">
        <f>IF($M323&gt;0,('Amounts Pivot Table'!L$51/$M323),0)</f>
        <v>284.92120453955147</v>
      </c>
      <c r="E323" s="288">
        <f>IF($M323&gt;0,('Amounts Pivot Table'!L$54/$M323),0)</f>
        <v>5285.6826554573745</v>
      </c>
      <c r="F323" s="288">
        <f t="shared" si="30"/>
        <v>10631.831404748402</v>
      </c>
      <c r="G323" s="359">
        <f>IF(B323&gt;0,RANK(B323,$B$322:$B$340),)</f>
        <v>6</v>
      </c>
      <c r="H323" s="289">
        <f>IF(C323&gt;0,RANK(C323,$C$322:$C$340),)</f>
        <v>0</v>
      </c>
      <c r="I323" s="289">
        <f>IF(D323&gt;0,RANK(D323,$D$322:$D$340),)</f>
        <v>5</v>
      </c>
      <c r="J323" s="289">
        <f>IF(E323&gt;0,RANK(E323,$E$322:$E$340),)</f>
        <v>4</v>
      </c>
      <c r="K323" s="289">
        <f>IF(F323&gt;0,RANK(F323,$F$322:$F$340),)</f>
        <v>4</v>
      </c>
      <c r="L323" s="356"/>
      <c r="M323" s="357">
        <v>6288.4333333333334</v>
      </c>
    </row>
    <row r="324" spans="1:13" ht="12.75" customHeight="1">
      <c r="A324" s="77" t="s">
        <v>779</v>
      </c>
      <c r="B324" s="288">
        <f>IF($M324&gt;0,('Amounts Pivot Table'!L$84/$M324),0)</f>
        <v>8333.8350263870016</v>
      </c>
      <c r="C324" s="288">
        <f>IF($M324&gt;0,('Amounts Pivot Table'!L$87/$M324),0)</f>
        <v>0</v>
      </c>
      <c r="D324" s="288">
        <f>IF($M324&gt;0,('Amounts Pivot Table'!L$90/$M324),0)</f>
        <v>0</v>
      </c>
      <c r="E324" s="288">
        <f>IF($M324&gt;0,('Amounts Pivot Table'!L$93/$M324),0)</f>
        <v>5890.4679602905453</v>
      </c>
      <c r="F324" s="288">
        <f t="shared" si="30"/>
        <v>14224.302986677547</v>
      </c>
      <c r="G324" s="359">
        <f>IF(B324&gt;0,RANK(B324,$B$322:$B$340),)</f>
        <v>1</v>
      </c>
      <c r="H324" s="289">
        <f>IF(C324&gt;0,RANK(C324,$C$322:$C$340),)</f>
        <v>0</v>
      </c>
      <c r="I324" s="289">
        <f>IF(D324&gt;0,RANK(D324,$D$322:$D$340),)</f>
        <v>0</v>
      </c>
      <c r="J324" s="289">
        <f>IF(E324&gt;0,RANK(E324,$E$322:$E$340),)</f>
        <v>2</v>
      </c>
      <c r="K324" s="289">
        <f>IF(F324&gt;0,RANK(F324,$F$322:$F$340),)</f>
        <v>2</v>
      </c>
      <c r="L324" s="356"/>
      <c r="M324" s="357">
        <v>8659.5666666666675</v>
      </c>
    </row>
    <row r="325" spans="1:13" ht="12.75" customHeight="1">
      <c r="A325" s="77" t="s">
        <v>780</v>
      </c>
      <c r="B325" s="288">
        <f>IF($M325&gt;0,('Amounts Pivot Table'!L$123/$M325),0)</f>
        <v>0</v>
      </c>
      <c r="C325" s="288">
        <f>IF($M325&gt;0,('Amounts Pivot Table'!L$126/$M325),0)</f>
        <v>0</v>
      </c>
      <c r="D325" s="288">
        <f>IF($M325&gt;0,('Amounts Pivot Table'!L$129/$M325),0)</f>
        <v>0</v>
      </c>
      <c r="E325" s="288">
        <f>IF($M325&gt;0,('Amounts Pivot Table'!L$132/$M325),0)</f>
        <v>0</v>
      </c>
      <c r="F325" s="288">
        <f t="shared" si="30"/>
        <v>0</v>
      </c>
      <c r="G325" s="359">
        <f>IF(B325&gt;0,RANK(B325,$B$322:$B$340),)</f>
        <v>0</v>
      </c>
      <c r="H325" s="289">
        <f>IF(C325&gt;0,RANK(C325,$C$322:$C$340),)</f>
        <v>0</v>
      </c>
      <c r="I325" s="289">
        <f>IF(D325&gt;0,RANK(D325,$D$322:$D$340),)</f>
        <v>0</v>
      </c>
      <c r="J325" s="289">
        <f>IF(E325&gt;0,RANK(E325,$E$322:$E$340),)</f>
        <v>0</v>
      </c>
      <c r="K325" s="289">
        <f>IF(F325&gt;0,RANK(F325,$F$322:$F$340),)</f>
        <v>0</v>
      </c>
      <c r="L325" s="356"/>
      <c r="M325" s="357">
        <v>0</v>
      </c>
    </row>
    <row r="326" spans="1:13" ht="10.5" customHeight="1">
      <c r="B326" s="288"/>
      <c r="C326" s="288"/>
      <c r="D326" s="288"/>
      <c r="E326" s="288"/>
      <c r="F326" s="288"/>
      <c r="G326" s="359"/>
      <c r="H326" s="289"/>
      <c r="I326" s="289"/>
      <c r="J326" s="289"/>
      <c r="K326" s="289"/>
      <c r="L326" s="356"/>
      <c r="M326" s="357"/>
    </row>
    <row r="327" spans="1:13" ht="12.75" customHeight="1">
      <c r="A327" s="77" t="s">
        <v>781</v>
      </c>
      <c r="B327" s="288">
        <f>IF($M327&gt;0,('Amounts Pivot Table'!L$162/$M327),0)</f>
        <v>0</v>
      </c>
      <c r="C327" s="288">
        <f>IF($M327&gt;0,('Amounts Pivot Table'!L$165/$M327),0)</f>
        <v>0</v>
      </c>
      <c r="D327" s="288">
        <f>IF($M327&gt;0,('Amounts Pivot Table'!L$168/$M327),0)</f>
        <v>0</v>
      </c>
      <c r="E327" s="288">
        <f>IF($M327&gt;0,('Amounts Pivot Table'!L$171/$M327),0)</f>
        <v>0</v>
      </c>
      <c r="F327" s="288">
        <f t="shared" si="30"/>
        <v>0</v>
      </c>
      <c r="G327" s="359">
        <f>IF(B327&gt;0,RANK(B327,$B$322:$B$340),)</f>
        <v>0</v>
      </c>
      <c r="H327" s="289">
        <f>IF(C327&gt;0,RANK(C327,$C$322:$C$340),)</f>
        <v>0</v>
      </c>
      <c r="I327" s="289">
        <f>IF(D327&gt;0,RANK(D327,$D$322:$D$340),)</f>
        <v>0</v>
      </c>
      <c r="J327" s="289">
        <f>IF(E327&gt;0,RANK(E327,$E$322:$E$340),)</f>
        <v>0</v>
      </c>
      <c r="K327" s="289">
        <f>IF(F327&gt;0,RANK(F327,$F$322:$F$340),)</f>
        <v>0</v>
      </c>
      <c r="L327" s="356"/>
      <c r="M327" s="357">
        <v>0</v>
      </c>
    </row>
    <row r="328" spans="1:13" ht="12.75" customHeight="1">
      <c r="A328" s="77" t="s">
        <v>782</v>
      </c>
      <c r="B328" s="288">
        <f>IF($M328&gt;0,('Amounts Pivot Table'!L$201/$M328),0)</f>
        <v>3097.6606174507701</v>
      </c>
      <c r="C328" s="288">
        <f>IF($M328&gt;0,('Amounts Pivot Table'!L$204/$M328),0)</f>
        <v>0</v>
      </c>
      <c r="D328" s="288">
        <f>IF($M328&gt;0,('Amounts Pivot Table'!L$207/$M328),0)</f>
        <v>0</v>
      </c>
      <c r="E328" s="288">
        <f>IF($M328&gt;0,('Amounts Pivot Table'!L$210/$M328),0)</f>
        <v>5197.5915656403149</v>
      </c>
      <c r="F328" s="288">
        <f t="shared" si="30"/>
        <v>8295.2521830910846</v>
      </c>
      <c r="G328" s="359">
        <f>IF(B328&gt;0,RANK(B328,$B$322:$B$340),)</f>
        <v>8</v>
      </c>
      <c r="H328" s="289">
        <f>IF(C328&gt;0,RANK(C328,$C$322:$C$340),)</f>
        <v>0</v>
      </c>
      <c r="I328" s="289">
        <f>IF(D328&gt;0,RANK(D328,$D$322:$D$340),)</f>
        <v>0</v>
      </c>
      <c r="J328" s="289">
        <f>IF(E328&gt;0,RANK(E328,$E$322:$E$340),)</f>
        <v>5</v>
      </c>
      <c r="K328" s="289">
        <f>IF(F328&gt;0,RANK(F328,$F$322:$F$340),)</f>
        <v>8</v>
      </c>
      <c r="L328" s="356"/>
      <c r="M328" s="357">
        <v>16668.643333333333</v>
      </c>
    </row>
    <row r="329" spans="1:13" ht="12.75" customHeight="1">
      <c r="A329" s="77" t="s">
        <v>813</v>
      </c>
      <c r="B329" s="288">
        <f>IF($M329&gt;0,('Amounts Pivot Table'!L$240/$M329),0)</f>
        <v>2757.1893743264877</v>
      </c>
      <c r="C329" s="288">
        <f>IF($M329&gt;0,('Amounts Pivot Table'!L$243/$M329),0)</f>
        <v>0</v>
      </c>
      <c r="D329" s="288">
        <f>IF($M329&gt;0,('Amounts Pivot Table'!L$246/$M329),0)</f>
        <v>0</v>
      </c>
      <c r="E329" s="288">
        <f>IF($M329&gt;0,('Amounts Pivot Table'!L$249/$M329),0)</f>
        <v>4217.9634092228562</v>
      </c>
      <c r="F329" s="288">
        <f t="shared" si="30"/>
        <v>6975.1527835493434</v>
      </c>
      <c r="G329" s="359">
        <f>IF(B329&gt;0,RANK(B329,$B$322:$B$340),)</f>
        <v>10</v>
      </c>
      <c r="H329" s="289">
        <f>IF(C329&gt;0,RANK(C329,$C$322:$C$340),)</f>
        <v>0</v>
      </c>
      <c r="I329" s="289">
        <f>IF(D329&gt;0,RANK(D329,$D$322:$D$340),)</f>
        <v>0</v>
      </c>
      <c r="J329" s="289">
        <f>IF(E329&gt;0,RANK(E329,$E$322:$E$340),)</f>
        <v>8</v>
      </c>
      <c r="K329" s="289">
        <f>IF(F329&gt;0,RANK(F329,$F$322:$F$340),)</f>
        <v>10</v>
      </c>
      <c r="L329" s="356"/>
      <c r="M329" s="357">
        <v>16564.283333333333</v>
      </c>
    </row>
    <row r="330" spans="1:13" ht="12.75" customHeight="1">
      <c r="A330" s="77" t="s">
        <v>784</v>
      </c>
      <c r="B330" s="288">
        <f>IF($M330&gt;0,('Amounts Pivot Table'!L$279/$M330),0)</f>
        <v>5301.1167999912241</v>
      </c>
      <c r="C330" s="288">
        <f>IF($M330&gt;0,('Amounts Pivot Table'!L$282/$M330),0)</f>
        <v>0</v>
      </c>
      <c r="D330" s="288">
        <f>IF($M330&gt;0,('Amounts Pivot Table'!L$285/$M330),0)</f>
        <v>4308.4948539554471</v>
      </c>
      <c r="E330" s="288">
        <f>IF($M330&gt;0,('Amounts Pivot Table'!L$288/$M330),0)</f>
        <v>5603.5947993824193</v>
      </c>
      <c r="F330" s="288">
        <f t="shared" si="30"/>
        <v>15213.20645332909</v>
      </c>
      <c r="G330" s="359">
        <f>IF(B330&gt;0,RANK(B330,$B$322:$B$340),)</f>
        <v>3</v>
      </c>
      <c r="H330" s="289">
        <f>IF(C330&gt;0,RANK(C330,$C$322:$C$340),)</f>
        <v>0</v>
      </c>
      <c r="I330" s="289">
        <f>IF(D330&gt;0,RANK(D330,$D$322:$D$340),)</f>
        <v>1</v>
      </c>
      <c r="J330" s="289">
        <f>IF(E330&gt;0,RANK(E330,$E$322:$E$340),)</f>
        <v>3</v>
      </c>
      <c r="K330" s="289">
        <f>IF(F330&gt;0,RANK(F330,$F$322:$F$340),)</f>
        <v>1</v>
      </c>
      <c r="L330" s="356"/>
      <c r="M330" s="357">
        <v>18232.45</v>
      </c>
    </row>
    <row r="331" spans="1:13" ht="10.5" customHeight="1">
      <c r="B331" s="288"/>
      <c r="C331" s="288"/>
      <c r="D331" s="288"/>
      <c r="E331" s="288"/>
      <c r="F331" s="288"/>
      <c r="G331" s="359"/>
      <c r="H331" s="289"/>
      <c r="I331" s="289"/>
      <c r="J331" s="289"/>
      <c r="K331" s="289"/>
      <c r="L331" s="356"/>
      <c r="M331" s="357"/>
    </row>
    <row r="332" spans="1:13" ht="12.75" customHeight="1">
      <c r="A332" s="77" t="s">
        <v>785</v>
      </c>
      <c r="B332" s="288">
        <f>IF($M332&gt;0,('Amounts Pivot Table'!L$318/$M332),0)</f>
        <v>0</v>
      </c>
      <c r="C332" s="288">
        <f>IF($M332&gt;0,('Amounts Pivot Table'!L$321/$M332),0)</f>
        <v>0</v>
      </c>
      <c r="D332" s="288">
        <f>IF($M332&gt;0,('Amounts Pivot Table'!L$324/$M332),0)</f>
        <v>0</v>
      </c>
      <c r="E332" s="288">
        <f>IF($M332&gt;0,('Amounts Pivot Table'!L$327/$M332),0)</f>
        <v>0</v>
      </c>
      <c r="F332" s="288">
        <f t="shared" si="30"/>
        <v>0</v>
      </c>
      <c r="G332" s="359">
        <f>IF(B332&gt;0,RANK(B332,$B$322:$B$340),)</f>
        <v>0</v>
      </c>
      <c r="H332" s="289">
        <f>IF(C332&gt;0,RANK(C332,$C$322:$C$340),)</f>
        <v>0</v>
      </c>
      <c r="I332" s="289">
        <f>IF(D332&gt;0,RANK(D332,$D$322:$D$340),)</f>
        <v>0</v>
      </c>
      <c r="J332" s="289">
        <f>IF(E332&gt;0,RANK(E332,$E$322:$E$340),)</f>
        <v>0</v>
      </c>
      <c r="K332" s="289">
        <f>IF(F332&gt;0,RANK(F332,$F$322:$F$340),)</f>
        <v>0</v>
      </c>
      <c r="L332" s="356"/>
      <c r="M332" s="357">
        <v>0</v>
      </c>
    </row>
    <row r="333" spans="1:13" ht="12.75" customHeight="1">
      <c r="A333" s="77" t="s">
        <v>786</v>
      </c>
      <c r="B333" s="288">
        <f>IF($M333&gt;0,('Amounts Pivot Table'!L$357/$M333),0)</f>
        <v>5108.6972479525721</v>
      </c>
      <c r="C333" s="288">
        <f>IF($M333&gt;0,('Amounts Pivot Table'!L$360/$M333),0)</f>
        <v>868.53788071132192</v>
      </c>
      <c r="D333" s="288">
        <f>IF($M333&gt;0,('Amounts Pivot Table'!L$363/$M333),0)</f>
        <v>1380.5008926056084</v>
      </c>
      <c r="E333" s="288">
        <f>IF($M333&gt;0,('Amounts Pivot Table'!L$366/$M333),0)</f>
        <v>1625.2957423731036</v>
      </c>
      <c r="F333" s="288">
        <f t="shared" si="30"/>
        <v>8983.0317636426062</v>
      </c>
      <c r="G333" s="359">
        <f>IF(B333&gt;0,RANK(B333,$B$322:$B$340),)</f>
        <v>4</v>
      </c>
      <c r="H333" s="289">
        <f>IF(C333&gt;0,RANK(C333,$C$322:$C$340),)</f>
        <v>1</v>
      </c>
      <c r="I333" s="289">
        <f>IF(D333&gt;0,RANK(D333,$D$322:$D$340),)</f>
        <v>4</v>
      </c>
      <c r="J333" s="289">
        <f>IF(E333&gt;0,RANK(E333,$E$322:$E$340),)</f>
        <v>11</v>
      </c>
      <c r="K333" s="289">
        <f>IF(F333&gt;0,RANK(F333,$F$322:$F$340),)</f>
        <v>7</v>
      </c>
      <c r="L333" s="356"/>
      <c r="M333" s="357">
        <v>67088.233333333337</v>
      </c>
    </row>
    <row r="334" spans="1:13" ht="12.75" customHeight="1">
      <c r="A334" s="77" t="s">
        <v>787</v>
      </c>
      <c r="B334" s="288">
        <f>IF($M334&gt;0,('Amounts Pivot Table'!L$396/$M334),0)</f>
        <v>0</v>
      </c>
      <c r="C334" s="288">
        <f>IF($M334&gt;0,('Amounts Pivot Table'!L$399/$M334),0)</f>
        <v>0</v>
      </c>
      <c r="D334" s="288">
        <f>IF($M334&gt;0,('Amounts Pivot Table'!L$402/$M334),0)</f>
        <v>0</v>
      </c>
      <c r="E334" s="288">
        <f>IF($M334&gt;0,('Amounts Pivot Table'!L$405/$M334),0)</f>
        <v>0</v>
      </c>
      <c r="F334" s="288">
        <f t="shared" si="30"/>
        <v>0</v>
      </c>
      <c r="G334" s="359">
        <f>IF(B334&gt;0,RANK(B334,$B$322:$B$340),)</f>
        <v>0</v>
      </c>
      <c r="H334" s="289">
        <f>IF(C334&gt;0,RANK(C334,$C$322:$C$340),)</f>
        <v>0</v>
      </c>
      <c r="I334" s="289">
        <f>IF(D334&gt;0,RANK(D334,$D$322:$D$340),)</f>
        <v>0</v>
      </c>
      <c r="J334" s="289">
        <f>IF(E334&gt;0,RANK(E334,$E$322:$E$340),)</f>
        <v>0</v>
      </c>
      <c r="K334" s="289">
        <f>IF(F334&gt;0,RANK(F334,$F$322:$F$340),)</f>
        <v>0</v>
      </c>
      <c r="L334" s="356"/>
      <c r="M334" s="357">
        <v>0</v>
      </c>
    </row>
    <row r="335" spans="1:13" ht="12.75" customHeight="1">
      <c r="A335" s="77" t="s">
        <v>788</v>
      </c>
      <c r="B335" s="288">
        <f>IF($M335&gt;0,('Amounts Pivot Table'!L$435/$M335),0)</f>
        <v>2601.3919271138293</v>
      </c>
      <c r="C335" s="288">
        <f>IF($M335&gt;0,('Amounts Pivot Table'!L$438/$M335),0)</f>
        <v>478.14033866774622</v>
      </c>
      <c r="D335" s="288">
        <f>IF($M335&gt;0,('Amounts Pivot Table'!L$441/$M335),0)</f>
        <v>1419.4882175610701</v>
      </c>
      <c r="E335" s="288">
        <f>IF($M335&gt;0,('Amounts Pivot Table'!L$444/$M335),0)</f>
        <v>6939.858001786688</v>
      </c>
      <c r="F335" s="288">
        <f t="shared" si="30"/>
        <v>11438.878485129333</v>
      </c>
      <c r="G335" s="359">
        <f>IF(B335&gt;0,RANK(B335,$B$322:$B$340),)</f>
        <v>11</v>
      </c>
      <c r="H335" s="289">
        <f>IF(C335&gt;0,RANK(C335,$C$322:$C$340),)</f>
        <v>2</v>
      </c>
      <c r="I335" s="289">
        <f>IF(D335&gt;0,RANK(D335,$D$322:$D$340),)</f>
        <v>3</v>
      </c>
      <c r="J335" s="289">
        <f>IF(E335&gt;0,RANK(E335,$E$322:$E$340),)</f>
        <v>1</v>
      </c>
      <c r="K335" s="289">
        <f>IF(F335&gt;0,RANK(F335,$F$322:$F$340),)</f>
        <v>3</v>
      </c>
      <c r="L335" s="356"/>
      <c r="M335" s="357">
        <v>19925.133333333335</v>
      </c>
    </row>
    <row r="336" spans="1:13" ht="10.5" customHeight="1">
      <c r="B336" s="288"/>
      <c r="C336" s="288"/>
      <c r="D336" s="288"/>
      <c r="E336" s="288"/>
      <c r="F336" s="288"/>
      <c r="G336" s="359"/>
      <c r="H336" s="289"/>
      <c r="I336" s="289"/>
      <c r="J336" s="289"/>
      <c r="K336" s="289"/>
      <c r="L336" s="356"/>
      <c r="M336" s="357"/>
    </row>
    <row r="337" spans="1:13" ht="12.75" customHeight="1">
      <c r="A337" s="77" t="s">
        <v>789</v>
      </c>
      <c r="B337" s="288">
        <f>IF($M337&gt;0,('Amounts Pivot Table'!L$474/$M337),0)</f>
        <v>5070.3214710144557</v>
      </c>
      <c r="C337" s="288">
        <f>IF($M337&gt;0,('Amounts Pivot Table'!L$477/$M337),0)</f>
        <v>0</v>
      </c>
      <c r="D337" s="288">
        <f>IF($M337&gt;0,('Amounts Pivot Table'!L$480/$M337),0)</f>
        <v>0</v>
      </c>
      <c r="E337" s="288">
        <f>IF($M337&gt;0,('Amounts Pivot Table'!L$483/$M337),0)</f>
        <v>4979.2268975615134</v>
      </c>
      <c r="F337" s="288">
        <f t="shared" si="30"/>
        <v>10049.548368575968</v>
      </c>
      <c r="G337" s="359">
        <f>IF(B337&gt;0,RANK(B337,$B$322:$B$340),)</f>
        <v>5</v>
      </c>
      <c r="H337" s="289">
        <f>IF(C337&gt;0,RANK(C337,$C$322:$C$340),)</f>
        <v>0</v>
      </c>
      <c r="I337" s="289">
        <f>IF(D337&gt;0,RANK(D337,$D$322:$D$340),)</f>
        <v>0</v>
      </c>
      <c r="J337" s="289">
        <f>IF(E337&gt;0,RANK(E337,$E$322:$E$340),)</f>
        <v>6</v>
      </c>
      <c r="K337" s="289">
        <f>IF(F337&gt;0,RANK(F337,$F$322:$F$340),)</f>
        <v>6</v>
      </c>
      <c r="L337" s="356"/>
      <c r="M337" s="357">
        <v>26590.26666666667</v>
      </c>
    </row>
    <row r="338" spans="1:13" s="362" customFormat="1" ht="12.75" customHeight="1">
      <c r="A338" s="77" t="s">
        <v>940</v>
      </c>
      <c r="B338" s="288">
        <f>IF($M338&gt;0,('Amounts Pivot Table'!L$513/$M338),0)</f>
        <v>2792.3294376886106</v>
      </c>
      <c r="C338" s="288">
        <f>IF($M338&gt;0,('Amounts Pivot Table'!L$516/$M338),0)</f>
        <v>0</v>
      </c>
      <c r="D338" s="288">
        <f>IF($M338&gt;0,('Amounts Pivot Table'!L$519/$M338),0)</f>
        <v>2231.5523879351013</v>
      </c>
      <c r="E338" s="288">
        <f>IF($M338&gt;0,('Amounts Pivot Table'!L$522/$M338),0)</f>
        <v>1847.7100671994619</v>
      </c>
      <c r="F338" s="288">
        <f t="shared" si="30"/>
        <v>6871.591892823174</v>
      </c>
      <c r="G338" s="359">
        <f>IF(B338&gt;0,RANK(B338,$B$322:$B$340),)</f>
        <v>9</v>
      </c>
      <c r="H338" s="289">
        <f>IF(C338&gt;0,RANK(C338,$C$322:$C$340),)</f>
        <v>0</v>
      </c>
      <c r="I338" s="289">
        <f>IF(D338&gt;0,RANK(D338,$D$322:$D$340),)</f>
        <v>2</v>
      </c>
      <c r="J338" s="289">
        <f>IF(E338&gt;0,RANK(E338,$E$322:$E$340),)</f>
        <v>10</v>
      </c>
      <c r="K338" s="289">
        <f>IF(F338&gt;0,RANK(F338,$F$322:$F$340),)</f>
        <v>11</v>
      </c>
      <c r="L338" s="363"/>
      <c r="M338" s="357">
        <v>85535.406666666677</v>
      </c>
    </row>
    <row r="339" spans="1:13" ht="12.75" customHeight="1">
      <c r="A339" s="77" t="s">
        <v>791</v>
      </c>
      <c r="B339" s="288">
        <f>IF($M339&gt;0,('Amounts Pivot Table'!L$552/$M339),0)</f>
        <v>0</v>
      </c>
      <c r="C339" s="288">
        <f>IF($M339&gt;0,('Amounts Pivot Table'!L$555/$M339),0)</f>
        <v>0</v>
      </c>
      <c r="D339" s="288">
        <f>IF($M339&gt;0,('Amounts Pivot Table'!L$558/$M339),0)</f>
        <v>0</v>
      </c>
      <c r="E339" s="288">
        <f>IF($M339&gt;0,('Amounts Pivot Table'!L$561/$M339),0)</f>
        <v>0</v>
      </c>
      <c r="F339" s="288">
        <f t="shared" si="30"/>
        <v>0</v>
      </c>
      <c r="G339" s="359">
        <f>IF(B339&gt;0,RANK(B339,$B$322:$B$340),)</f>
        <v>0</v>
      </c>
      <c r="H339" s="289">
        <f>IF(C339&gt;0,RANK(C339,$C$322:$C$340),)</f>
        <v>0</v>
      </c>
      <c r="I339" s="289">
        <f>IF(D339&gt;0,RANK(D339,$D$322:$D$340),)</f>
        <v>0</v>
      </c>
      <c r="J339" s="289">
        <f>IF(E339&gt;0,RANK(E339,$E$322:$E$340),)</f>
        <v>0</v>
      </c>
      <c r="K339" s="289">
        <f>IF(F339&gt;0,RANK(F339,$F$322:$F$340),)</f>
        <v>0</v>
      </c>
      <c r="L339" s="367"/>
      <c r="M339" s="357">
        <v>23934.799999999996</v>
      </c>
    </row>
    <row r="340" spans="1:13" ht="15" customHeight="1">
      <c r="A340" s="277" t="s">
        <v>792</v>
      </c>
      <c r="B340" s="296">
        <f>IF($M340&gt;0,('Amounts Pivot Table'!L$591/$M340),0)</f>
        <v>3594.6192087179656</v>
      </c>
      <c r="C340" s="296">
        <f>IF($M340&gt;0,('Amounts Pivot Table'!L$594/$M340),0)</f>
        <v>0</v>
      </c>
      <c r="D340" s="296">
        <f>IF($M340&gt;0,('Amounts Pivot Table'!L$597/$M340),0)</f>
        <v>0</v>
      </c>
      <c r="E340" s="296">
        <f>IF($M340&gt;0,('Amounts Pivot Table'!L$600/$M340),0)</f>
        <v>3449.3869606929575</v>
      </c>
      <c r="F340" s="364">
        <f t="shared" si="30"/>
        <v>7044.0061694109227</v>
      </c>
      <c r="G340" s="365">
        <f>IF(B340&gt;0,RANK(B340,$B$322:$B$340),)</f>
        <v>7</v>
      </c>
      <c r="H340" s="366">
        <f>IF(C340&gt;0,RANK(C340,$C$322:$C$340),)</f>
        <v>0</v>
      </c>
      <c r="I340" s="366">
        <f>IF(D340&gt;0,RANK(D340,$D$322:$D$340),)</f>
        <v>0</v>
      </c>
      <c r="J340" s="366">
        <f>IF(E340&gt;0,RANK(E340,$E$322:$E$340),)</f>
        <v>9</v>
      </c>
      <c r="K340" s="366">
        <f>IF(F340&gt;0,RANK(F340,$F$322:$F$340),)</f>
        <v>9</v>
      </c>
      <c r="L340" s="367"/>
      <c r="M340" s="357">
        <v>2178.4899999999998</v>
      </c>
    </row>
    <row r="341" spans="1:13" s="362" customFormat="1" ht="13.5" customHeight="1">
      <c r="A341" s="1272" t="s">
        <v>941</v>
      </c>
      <c r="B341" s="1272"/>
      <c r="C341" s="1272"/>
      <c r="D341" s="1272"/>
      <c r="E341" s="1272"/>
      <c r="F341" s="1272"/>
      <c r="G341" s="1272"/>
      <c r="H341" s="1272"/>
      <c r="I341" s="1272"/>
      <c r="J341" s="1272"/>
      <c r="K341" s="1272"/>
      <c r="L341" s="363"/>
      <c r="M341" s="404"/>
    </row>
    <row r="342" spans="1:13" s="362" customFormat="1" ht="34.5" customHeight="1">
      <c r="A342" s="1244" t="s">
        <v>926</v>
      </c>
      <c r="B342" s="1270"/>
      <c r="C342" s="1270"/>
      <c r="D342" s="1270"/>
      <c r="E342" s="1270"/>
      <c r="F342" s="1270"/>
      <c r="G342" s="1270"/>
      <c r="H342" s="1270"/>
      <c r="I342" s="1270"/>
      <c r="J342" s="1270"/>
      <c r="K342" s="1270"/>
      <c r="L342" s="363"/>
      <c r="M342" s="400"/>
    </row>
    <row r="343" spans="1:13" s="397" customFormat="1" ht="13.5" customHeight="1">
      <c r="A343" s="1244" t="s">
        <v>927</v>
      </c>
      <c r="B343" s="1270"/>
      <c r="C343" s="1270"/>
      <c r="D343" s="1270"/>
      <c r="E343" s="1270"/>
      <c r="F343" s="1270"/>
      <c r="G343" s="1270"/>
      <c r="H343" s="1270"/>
      <c r="I343" s="1270"/>
      <c r="J343" s="1270"/>
      <c r="K343" s="1270"/>
      <c r="L343" s="347"/>
      <c r="M343" s="400"/>
    </row>
    <row r="344" spans="1:13" ht="13.5" customHeight="1">
      <c r="A344" s="1244" t="s">
        <v>930</v>
      </c>
      <c r="B344" s="1245"/>
      <c r="C344" s="1245"/>
      <c r="D344" s="1245"/>
      <c r="E344" s="1245"/>
      <c r="F344" s="1245"/>
      <c r="G344" s="1245"/>
      <c r="H344" s="1245"/>
      <c r="I344" s="1245"/>
      <c r="J344" s="1245"/>
      <c r="K344" s="1245"/>
      <c r="L344" s="367"/>
      <c r="M344" s="400"/>
    </row>
    <row r="345" spans="1:13">
      <c r="A345" s="368"/>
      <c r="B345" s="369"/>
      <c r="C345" s="369"/>
      <c r="D345" s="369"/>
      <c r="E345" s="369"/>
      <c r="F345" s="369"/>
      <c r="G345" s="369"/>
      <c r="H345" s="369"/>
      <c r="I345" s="369"/>
      <c r="J345" s="369"/>
      <c r="K345" s="370" t="s">
        <v>1814</v>
      </c>
      <c r="L345" s="401"/>
      <c r="M345" s="400"/>
    </row>
    <row r="346" spans="1:13" ht="15.5">
      <c r="A346" s="1228" t="s">
        <v>943</v>
      </c>
      <c r="B346" s="1228"/>
      <c r="C346" s="1228"/>
      <c r="D346" s="1228"/>
      <c r="E346" s="1228"/>
      <c r="F346" s="1228"/>
      <c r="G346" s="1228"/>
      <c r="H346" s="1228"/>
      <c r="I346" s="1228"/>
      <c r="J346" s="1228"/>
      <c r="K346" s="1228"/>
      <c r="L346" s="367"/>
      <c r="M346" s="400"/>
    </row>
    <row r="347" spans="1:13" ht="17.5">
      <c r="A347" s="1228" t="s">
        <v>920</v>
      </c>
      <c r="B347" s="1228"/>
      <c r="C347" s="1228"/>
      <c r="D347" s="1228"/>
      <c r="E347" s="1228"/>
      <c r="F347" s="1228"/>
      <c r="G347" s="1228"/>
      <c r="H347" s="1228"/>
      <c r="I347" s="1228"/>
      <c r="J347" s="1228"/>
      <c r="K347" s="1228"/>
      <c r="L347" s="344"/>
      <c r="M347" s="400"/>
    </row>
    <row r="348" spans="1:13" ht="15.5">
      <c r="A348" s="1228" t="s">
        <v>1489</v>
      </c>
      <c r="B348" s="1228"/>
      <c r="C348" s="1228"/>
      <c r="D348" s="1228"/>
      <c r="E348" s="1228"/>
      <c r="F348" s="1228"/>
      <c r="G348" s="1228"/>
      <c r="H348" s="1228"/>
      <c r="I348" s="1228"/>
      <c r="J348" s="1228"/>
      <c r="K348" s="1228"/>
      <c r="L348" s="344"/>
      <c r="M348" s="400"/>
    </row>
    <row r="349" spans="1:13" ht="8.25" customHeight="1">
      <c r="A349" s="341"/>
      <c r="B349" s="341"/>
      <c r="C349" s="341"/>
      <c r="D349" s="341"/>
      <c r="E349" s="341"/>
      <c r="F349" s="341"/>
      <c r="G349" s="373"/>
      <c r="H349" s="341"/>
      <c r="I349" s="341"/>
      <c r="J349" s="341"/>
      <c r="K349" s="341"/>
      <c r="L349" s="344"/>
      <c r="M349" s="400"/>
    </row>
    <row r="350" spans="1:13" ht="17.25" customHeight="1">
      <c r="A350" s="346"/>
      <c r="B350" s="1279" t="s">
        <v>922</v>
      </c>
      <c r="C350" s="1280"/>
      <c r="D350" s="1280"/>
      <c r="E350" s="1280"/>
      <c r="F350" s="1280"/>
      <c r="G350" s="236" t="s">
        <v>923</v>
      </c>
      <c r="H350" s="235"/>
      <c r="I350" s="235"/>
      <c r="J350" s="235"/>
      <c r="K350" s="235"/>
      <c r="L350" s="389"/>
      <c r="M350" s="400"/>
    </row>
    <row r="351" spans="1:13" s="53" customFormat="1" ht="42">
      <c r="A351" s="243"/>
      <c r="B351" s="244" t="s">
        <v>6</v>
      </c>
      <c r="C351" s="245" t="s">
        <v>7</v>
      </c>
      <c r="D351" s="245" t="s">
        <v>8</v>
      </c>
      <c r="E351" s="245" t="s">
        <v>924</v>
      </c>
      <c r="F351" s="245" t="s">
        <v>768</v>
      </c>
      <c r="G351" s="246" t="s">
        <v>6</v>
      </c>
      <c r="H351" s="245" t="s">
        <v>7</v>
      </c>
      <c r="I351" s="245" t="s">
        <v>8</v>
      </c>
      <c r="J351" s="245" t="s">
        <v>924</v>
      </c>
      <c r="K351" s="245" t="s">
        <v>768</v>
      </c>
      <c r="L351" s="350"/>
      <c r="M351" s="372" t="s">
        <v>932</v>
      </c>
    </row>
    <row r="352" spans="1:13" ht="14.5">
      <c r="A352" s="77" t="s">
        <v>925</v>
      </c>
      <c r="B352" s="352">
        <f>IF($M352&gt;0,('Amounts Pivot Table'!M$630/$M352),0)</f>
        <v>5149.8128527702493</v>
      </c>
      <c r="C352" s="352">
        <f>IF($M352&gt;0,('Amounts Pivot Table'!M$633/$M352),0)</f>
        <v>333.01115642048325</v>
      </c>
      <c r="D352" s="352">
        <f>IF($M352&gt;0,('Amounts Pivot Table'!M$636/$M352),0)</f>
        <v>1133.7602957613753</v>
      </c>
      <c r="E352" s="352">
        <f>IF($M352&gt;0,('Amounts Pivot Table'!M$639/$M352),0)</f>
        <v>3416.1292689036404</v>
      </c>
      <c r="F352" s="352">
        <f>SUM(B352:E352)</f>
        <v>10032.713573855748</v>
      </c>
      <c r="G352" s="353"/>
      <c r="H352" s="354"/>
      <c r="I352" s="354"/>
      <c r="J352" s="354"/>
      <c r="K352" s="354"/>
      <c r="L352" s="356"/>
      <c r="M352" s="357">
        <v>132019.94333333333</v>
      </c>
    </row>
    <row r="353" spans="1:13" s="376" customFormat="1" ht="9" customHeight="1">
      <c r="B353" s="380"/>
      <c r="C353" s="380"/>
      <c r="D353" s="380"/>
      <c r="E353" s="380"/>
      <c r="F353" s="380"/>
      <c r="G353" s="387"/>
      <c r="H353" s="388"/>
      <c r="I353" s="388"/>
      <c r="J353" s="388"/>
      <c r="K353" s="388"/>
      <c r="L353" s="381"/>
      <c r="M353" s="357" t="s">
        <v>421</v>
      </c>
    </row>
    <row r="354" spans="1:13" ht="12.75" customHeight="1">
      <c r="A354" s="77" t="s">
        <v>777</v>
      </c>
      <c r="B354" s="288">
        <f>IF($M354&gt;0,('Amounts Pivot Table'!M$6/$M354),0)</f>
        <v>6049.1583150291053</v>
      </c>
      <c r="C354" s="288">
        <f>IF($M354&gt;0,('Amounts Pivot Table'!M$9/$M354),0)</f>
        <v>0</v>
      </c>
      <c r="D354" s="288">
        <f>IF($M354&gt;0,('Amounts Pivot Table'!M$12/$M354),0)</f>
        <v>0</v>
      </c>
      <c r="E354" s="288">
        <f>IF($M354&gt;0,('Amounts Pivot Table'!M$15/$M354),0)</f>
        <v>4499.5657255198294</v>
      </c>
      <c r="F354" s="288">
        <f t="shared" ref="F354:F372" si="31">SUM(B354:E354)</f>
        <v>10548.724040548936</v>
      </c>
      <c r="G354" s="359">
        <f>IF(B354&gt;0,RANK(B354,$B$354:$B$372),)</f>
        <v>6</v>
      </c>
      <c r="H354" s="289">
        <f>IF(C354&gt;0,RANK(C354,$C$354:$C$372),)</f>
        <v>0</v>
      </c>
      <c r="I354" s="289">
        <f>IF(D354&gt;0,RANK(D354,$D$354:$D$372),)</f>
        <v>0</v>
      </c>
      <c r="J354" s="289">
        <f>IF(E354&gt;0,RANK(E354,$E$354:$E$372),)</f>
        <v>6</v>
      </c>
      <c r="K354" s="289">
        <f>IF(F354&gt;0,RANK(F354,$F$354:$F$372),)</f>
        <v>8</v>
      </c>
      <c r="L354" s="356"/>
      <c r="M354" s="357">
        <v>10410.466666666667</v>
      </c>
    </row>
    <row r="355" spans="1:13" ht="12.75" customHeight="1">
      <c r="A355" s="77" t="s">
        <v>778</v>
      </c>
      <c r="B355" s="288">
        <f>IF($M355&gt;0,('Amounts Pivot Table'!M$45/$M355),0)</f>
        <v>6875.3867864646791</v>
      </c>
      <c r="C355" s="288">
        <f>IF($M355&gt;0,('Amounts Pivot Table'!M$48/$M355),0)</f>
        <v>111.74836307351826</v>
      </c>
      <c r="D355" s="288">
        <f>IF($M355&gt;0,('Amounts Pivot Table'!M$51/$M355),0)</f>
        <v>903.59390645843428</v>
      </c>
      <c r="E355" s="288">
        <f>IF($M355&gt;0,('Amounts Pivot Table'!M$54/$M355),0)</f>
        <v>4153.5301774906902</v>
      </c>
      <c r="F355" s="288">
        <f t="shared" si="31"/>
        <v>12044.259233487322</v>
      </c>
      <c r="G355" s="359">
        <f>IF(B355&gt;0,RANK(B355,$B$354:$B$372),)</f>
        <v>2</v>
      </c>
      <c r="H355" s="289">
        <f>IF(C355&gt;0,RANK(C355,$C$354:$C$372),)</f>
        <v>3</v>
      </c>
      <c r="I355" s="289">
        <f>IF(D355&gt;0,RANK(D355,$D$354:$D$372),)</f>
        <v>4</v>
      </c>
      <c r="J355" s="289">
        <f>IF(E355&gt;0,RANK(E355,$E$354:$E$372),)</f>
        <v>7</v>
      </c>
      <c r="K355" s="289">
        <f>IF(F355&gt;0,RANK(F355,$F$354:$F$372),)</f>
        <v>3</v>
      </c>
      <c r="L355" s="356"/>
      <c r="M355" s="357">
        <v>19640.466666666671</v>
      </c>
    </row>
    <row r="356" spans="1:13" ht="12.75" customHeight="1">
      <c r="A356" s="77" t="s">
        <v>779</v>
      </c>
      <c r="B356" s="288">
        <f>IF($M356&gt;0,('Amounts Pivot Table'!M$84/$M356),0)</f>
        <v>0</v>
      </c>
      <c r="C356" s="288">
        <f>IF($M356&gt;0,('Amounts Pivot Table'!M$87/$M356),0)</f>
        <v>0</v>
      </c>
      <c r="D356" s="288">
        <f>IF($M356&gt;0,('Amounts Pivot Table'!M$90/$M356),0)</f>
        <v>0</v>
      </c>
      <c r="E356" s="288">
        <f>IF($M356&gt;0,('Amounts Pivot Table'!M$93/$M356),0)</f>
        <v>0</v>
      </c>
      <c r="F356" s="288">
        <f t="shared" si="31"/>
        <v>0</v>
      </c>
      <c r="G356" s="359">
        <f>IF(B356&gt;0,RANK(B356,$B$354:$B$372),)</f>
        <v>0</v>
      </c>
      <c r="H356" s="289">
        <f>IF(C356&gt;0,RANK(C356,$C$354:$C$372),)</f>
        <v>0</v>
      </c>
      <c r="I356" s="289">
        <f>IF(D356&gt;0,RANK(D356,$D$354:$D$372),)</f>
        <v>0</v>
      </c>
      <c r="J356" s="289">
        <f>IF(E356&gt;0,RANK(E356,$E$354:$E$372),)</f>
        <v>0</v>
      </c>
      <c r="K356" s="289">
        <f>IF(F356&gt;0,RANK(F356,$F$354:$F$372),)</f>
        <v>0</v>
      </c>
      <c r="L356" s="356"/>
      <c r="M356" s="357">
        <v>0</v>
      </c>
    </row>
    <row r="357" spans="1:13" ht="12.75" customHeight="1">
      <c r="A357" s="77" t="s">
        <v>780</v>
      </c>
      <c r="B357" s="288">
        <f>IF($M357&gt;0,('Amounts Pivot Table'!M$123/$M357),0)</f>
        <v>10128.469785240542</v>
      </c>
      <c r="C357" s="288">
        <f>IF($M357&gt;0,('Amounts Pivot Table'!M$126/$M357),0)</f>
        <v>0</v>
      </c>
      <c r="D357" s="288">
        <f>IF($M357&gt;0,('Amounts Pivot Table'!M$129/$M357),0)</f>
        <v>0</v>
      </c>
      <c r="E357" s="288">
        <f>IF($M357&gt;0,('Amounts Pivot Table'!M$132/$M357),0)</f>
        <v>2506.74222859055</v>
      </c>
      <c r="F357" s="288">
        <f t="shared" si="31"/>
        <v>12635.212013831093</v>
      </c>
      <c r="G357" s="359">
        <f>IF(B357&gt;0,RANK(B357,$B$354:$B$372),)</f>
        <v>1</v>
      </c>
      <c r="H357" s="289">
        <f>IF(C357&gt;0,RANK(C357,$C$354:$C$372),)</f>
        <v>0</v>
      </c>
      <c r="I357" s="289">
        <f>IF(D357&gt;0,RANK(D357,$D$354:$D$372),)</f>
        <v>0</v>
      </c>
      <c r="J357" s="289">
        <f>IF(E357&gt;0,RANK(E357,$E$354:$E$372),)</f>
        <v>10</v>
      </c>
      <c r="K357" s="289">
        <f>IF(F357&gt;0,RANK(F357,$F$354:$F$372),)</f>
        <v>2</v>
      </c>
      <c r="L357" s="356"/>
      <c r="M357" s="357">
        <v>1553.9866666666667</v>
      </c>
    </row>
    <row r="358" spans="1:13" s="376" customFormat="1" ht="9" customHeight="1">
      <c r="B358" s="380"/>
      <c r="C358" s="380"/>
      <c r="D358" s="380"/>
      <c r="E358" s="380"/>
      <c r="F358" s="380"/>
      <c r="G358" s="387"/>
      <c r="H358" s="388"/>
      <c r="I358" s="388"/>
      <c r="J358" s="388"/>
      <c r="K358" s="388"/>
      <c r="L358" s="381"/>
      <c r="M358" s="357"/>
    </row>
    <row r="359" spans="1:13" ht="12.75" customHeight="1">
      <c r="A359" s="77" t="s">
        <v>781</v>
      </c>
      <c r="B359" s="288">
        <f>IF($M359&gt;0,('Amounts Pivot Table'!M$162/$M359),0)</f>
        <v>0</v>
      </c>
      <c r="C359" s="288">
        <f>IF($M359&gt;0,('Amounts Pivot Table'!M$165/$M359),0)</f>
        <v>0</v>
      </c>
      <c r="D359" s="288">
        <f>IF($M359&gt;0,('Amounts Pivot Table'!M$168/$M359),0)</f>
        <v>0</v>
      </c>
      <c r="E359" s="288">
        <f>IF($M359&gt;0,('Amounts Pivot Table'!M$171/$M359),0)</f>
        <v>0</v>
      </c>
      <c r="F359" s="288">
        <f t="shared" si="31"/>
        <v>0</v>
      </c>
      <c r="G359" s="359">
        <f>IF(B359&gt;0,RANK(B359,$B$354:$B$372),)</f>
        <v>0</v>
      </c>
      <c r="H359" s="289">
        <f>IF(C359&gt;0,RANK(C359,$C$354:$C$372),)</f>
        <v>0</v>
      </c>
      <c r="I359" s="289">
        <f>IF(D359&gt;0,RANK(D359,$D$354:$D$372),)</f>
        <v>0</v>
      </c>
      <c r="J359" s="289">
        <f>IF(E359&gt;0,RANK(E359,$E$354:$E$372),)</f>
        <v>0</v>
      </c>
      <c r="K359" s="289">
        <f>IF(F359&gt;0,RANK(F359,$F$354:$F$372),)</f>
        <v>0</v>
      </c>
      <c r="L359" s="356"/>
      <c r="M359" s="357">
        <v>0</v>
      </c>
    </row>
    <row r="360" spans="1:13" ht="12.75" customHeight="1">
      <c r="A360" s="77" t="s">
        <v>782</v>
      </c>
      <c r="B360" s="288">
        <f>IF($M360&gt;0,('Amounts Pivot Table'!M$201/$M360),0)</f>
        <v>4329.0690956669123</v>
      </c>
      <c r="C360" s="288">
        <f>IF($M360&gt;0,('Amounts Pivot Table'!M$204/$M360),0)</f>
        <v>0</v>
      </c>
      <c r="D360" s="288">
        <f>IF($M360&gt;0,('Amounts Pivot Table'!M$207/$M360),0)</f>
        <v>0</v>
      </c>
      <c r="E360" s="288">
        <f>IF($M360&gt;0,('Amounts Pivot Table'!M$210/$M360),0)</f>
        <v>5332.0501919845492</v>
      </c>
      <c r="F360" s="288">
        <f t="shared" si="31"/>
        <v>9661.1192876514615</v>
      </c>
      <c r="G360" s="359">
        <f>IF(B360&gt;0,RANK(B360,$B$354:$B$372),)</f>
        <v>9</v>
      </c>
      <c r="H360" s="289">
        <f>IF(C360&gt;0,RANK(C360,$C$354:$C$372),)</f>
        <v>0</v>
      </c>
      <c r="I360" s="289">
        <f>IF(D360&gt;0,RANK(D360,$D$354:$D$372),)</f>
        <v>0</v>
      </c>
      <c r="J360" s="289">
        <f>IF(E360&gt;0,RANK(E360,$E$354:$E$372),)</f>
        <v>3</v>
      </c>
      <c r="K360" s="289">
        <f>IF(F360&gt;0,RANK(F360,$F$354:$F$372),)</f>
        <v>10</v>
      </c>
      <c r="L360" s="356"/>
      <c r="M360" s="357">
        <v>9589.3133333333335</v>
      </c>
    </row>
    <row r="361" spans="1:13" ht="12.75" customHeight="1">
      <c r="A361" s="77" t="s">
        <v>813</v>
      </c>
      <c r="B361" s="288">
        <f>IF($M361&gt;0,('Amounts Pivot Table'!M$240/$M361),0)</f>
        <v>2955.0344533029611</v>
      </c>
      <c r="C361" s="288">
        <f>IF($M361&gt;0,('Amounts Pivot Table'!M$243/$M361),0)</f>
        <v>0</v>
      </c>
      <c r="D361" s="288">
        <f>IF($M361&gt;0,('Amounts Pivot Table'!M$246/$M361),0)</f>
        <v>0</v>
      </c>
      <c r="E361" s="288">
        <f>IF($M361&gt;0,('Amounts Pivot Table'!M$249/$M361),0)</f>
        <v>4142.9384965831432</v>
      </c>
      <c r="F361" s="288">
        <f t="shared" si="31"/>
        <v>7097.9729498861043</v>
      </c>
      <c r="G361" s="359">
        <f>IF(B361&gt;0,RANK(B361,$B$354:$B$372),)</f>
        <v>11</v>
      </c>
      <c r="H361" s="289">
        <f>IF(C361&gt;0,RANK(C361,$C$354:$C$372),)</f>
        <v>0</v>
      </c>
      <c r="I361" s="289">
        <f>IF(D361&gt;0,RANK(D361,$D$354:$D$372),)</f>
        <v>0</v>
      </c>
      <c r="J361" s="289">
        <f>IF(E361&gt;0,RANK(E361,$E$354:$E$372),)</f>
        <v>8</v>
      </c>
      <c r="K361" s="289">
        <f>IF(F361&gt;0,RANK(F361,$F$354:$F$372),)</f>
        <v>11</v>
      </c>
      <c r="L361" s="356"/>
      <c r="M361" s="357">
        <v>3512</v>
      </c>
    </row>
    <row r="362" spans="1:13" ht="12.75" customHeight="1">
      <c r="A362" s="77" t="s">
        <v>784</v>
      </c>
      <c r="B362" s="288">
        <f>IF($M362&gt;0,('Amounts Pivot Table'!M$279/$M362),0)</f>
        <v>5224.2079285845775</v>
      </c>
      <c r="C362" s="288">
        <f>IF($M362&gt;0,('Amounts Pivot Table'!M$282/$M362),0)</f>
        <v>0</v>
      </c>
      <c r="D362" s="288">
        <f>IF($M362&gt;0,('Amounts Pivot Table'!M$285/$M362),0)</f>
        <v>6256.6902067920419</v>
      </c>
      <c r="E362" s="288">
        <f>IF($M362&gt;0,('Amounts Pivot Table'!M$288/$M362),0)</f>
        <v>6607.1346055850663</v>
      </c>
      <c r="F362" s="288">
        <f t="shared" si="31"/>
        <v>18088.032740961688</v>
      </c>
      <c r="G362" s="359">
        <f>IF(B362&gt;0,RANK(B362,$B$354:$B$372),)</f>
        <v>8</v>
      </c>
      <c r="H362" s="289">
        <f>IF(C362&gt;0,RANK(C362,$C$354:$C$372),)</f>
        <v>0</v>
      </c>
      <c r="I362" s="289">
        <f>IF(D362&gt;0,RANK(D362,$D$354:$D$372),)</f>
        <v>1</v>
      </c>
      <c r="J362" s="289">
        <f>IF(E362&gt;0,RANK(E362,$E$354:$E$372),)</f>
        <v>2</v>
      </c>
      <c r="K362" s="289">
        <f>IF(F362&gt;0,RANK(F362,$F$354:$F$372),)</f>
        <v>1</v>
      </c>
      <c r="L362" s="356"/>
      <c r="M362" s="357">
        <v>6247.0166666666664</v>
      </c>
    </row>
    <row r="363" spans="1:13" s="376" customFormat="1" ht="10.5" customHeight="1">
      <c r="B363" s="380"/>
      <c r="C363" s="380"/>
      <c r="D363" s="380"/>
      <c r="E363" s="380"/>
      <c r="F363" s="380"/>
      <c r="G363" s="387"/>
      <c r="H363" s="388"/>
      <c r="I363" s="388"/>
      <c r="J363" s="388"/>
      <c r="K363" s="388"/>
      <c r="L363" s="381"/>
      <c r="M363" s="357"/>
    </row>
    <row r="364" spans="1:13" ht="12.75" customHeight="1">
      <c r="A364" s="77" t="s">
        <v>785</v>
      </c>
      <c r="B364" s="288">
        <f>IF($M364&gt;0,('Amounts Pivot Table'!M$318/$M364),0)</f>
        <v>0</v>
      </c>
      <c r="C364" s="288">
        <f>IF($M364&gt;0,('Amounts Pivot Table'!M$321/$M364),0)</f>
        <v>0</v>
      </c>
      <c r="D364" s="288">
        <f>IF($M364&gt;0,('Amounts Pivot Table'!M$324/$M364),0)</f>
        <v>0</v>
      </c>
      <c r="E364" s="288">
        <f>IF($M364&gt;0,('Amounts Pivot Table'!M$327/$M364),0)</f>
        <v>0</v>
      </c>
      <c r="F364" s="288">
        <f t="shared" si="31"/>
        <v>0</v>
      </c>
      <c r="G364" s="359">
        <f>IF(B364&gt;0,RANK(B364,$B$354:$B$372),)</f>
        <v>0</v>
      </c>
      <c r="H364" s="289">
        <f>IF(C364&gt;0,RANK(C364,$C$354:$C$372),)</f>
        <v>0</v>
      </c>
      <c r="I364" s="289">
        <f>IF(D364&gt;0,RANK(D364,$D$354:$D$372),)</f>
        <v>0</v>
      </c>
      <c r="J364" s="289">
        <f>IF(E364&gt;0,RANK(E364,$E$354:$E$372),)</f>
        <v>0</v>
      </c>
      <c r="K364" s="289">
        <f>IF(F364&gt;0,RANK(F364,$F$354:$F$372),)</f>
        <v>0</v>
      </c>
      <c r="L364" s="356"/>
      <c r="M364" s="357">
        <v>0</v>
      </c>
    </row>
    <row r="365" spans="1:13" ht="12.75" customHeight="1">
      <c r="A365" s="77" t="s">
        <v>786</v>
      </c>
      <c r="B365" s="288">
        <f>IF($M365&gt;0,('Amounts Pivot Table'!M$357/$M365),0)</f>
        <v>5811.7277598132787</v>
      </c>
      <c r="C365" s="288">
        <f>IF($M365&gt;0,('Amounts Pivot Table'!M$360/$M365),0)</f>
        <v>1081.4511329181057</v>
      </c>
      <c r="D365" s="288">
        <f>IF($M365&gt;0,('Amounts Pivot Table'!M$363/$M365),0)</f>
        <v>1572.0648338503995</v>
      </c>
      <c r="E365" s="288">
        <f>IF($M365&gt;0,('Amounts Pivot Table'!M$366/$M365),0)</f>
        <v>1690.8910291602219</v>
      </c>
      <c r="F365" s="288">
        <f t="shared" si="31"/>
        <v>10156.134755742007</v>
      </c>
      <c r="G365" s="359">
        <f>IF(B365&gt;0,RANK(B365,$B$354:$B$372),)</f>
        <v>7</v>
      </c>
      <c r="H365" s="289">
        <f>IF(C365&gt;0,RANK(C365,$C$354:$C$372),)</f>
        <v>1</v>
      </c>
      <c r="I365" s="289">
        <f>IF(D365&gt;0,RANK(D365,$D$354:$D$372),)</f>
        <v>3</v>
      </c>
      <c r="J365" s="289">
        <f>IF(E365&gt;0,RANK(E365,$E$354:$E$372),)</f>
        <v>11</v>
      </c>
      <c r="K365" s="289">
        <f>IF(F365&gt;0,RANK(F365,$F$354:$F$372),)</f>
        <v>9</v>
      </c>
      <c r="L365" s="356"/>
      <c r="M365" s="357">
        <v>33872.017777777779</v>
      </c>
    </row>
    <row r="366" spans="1:13" ht="12.75" customHeight="1">
      <c r="A366" s="77" t="s">
        <v>787</v>
      </c>
      <c r="B366" s="288">
        <f>IF($M366&gt;0,('Amounts Pivot Table'!M$396/$M366),0)</f>
        <v>0</v>
      </c>
      <c r="C366" s="288">
        <f>IF($M366&gt;0,('Amounts Pivot Table'!M$399/$M366),0)</f>
        <v>0</v>
      </c>
      <c r="D366" s="288">
        <f>IF($M366&gt;0,('Amounts Pivot Table'!M$402/$M366),0)</f>
        <v>0</v>
      </c>
      <c r="E366" s="288">
        <f>IF($M366&gt;0,('Amounts Pivot Table'!M$405/$M366),0)</f>
        <v>0</v>
      </c>
      <c r="F366" s="288">
        <f t="shared" si="31"/>
        <v>0</v>
      </c>
      <c r="G366" s="359">
        <f>IF(B366&gt;0,RANK(B366,$B$354:$B$372),)</f>
        <v>0</v>
      </c>
      <c r="H366" s="289">
        <f>IF(C366&gt;0,RANK(C366,$C$354:$C$372),)</f>
        <v>0</v>
      </c>
      <c r="I366" s="289">
        <f>IF(D366&gt;0,RANK(D366,$D$354:$D$372),)</f>
        <v>0</v>
      </c>
      <c r="J366" s="289">
        <f>IF(E366&gt;0,RANK(E366,$E$354:$E$372),)</f>
        <v>0</v>
      </c>
      <c r="K366" s="289">
        <f>IF(F366&gt;0,RANK(F366,$F$354:$F$372),)</f>
        <v>0</v>
      </c>
      <c r="L366" s="356"/>
      <c r="M366" s="357">
        <v>0</v>
      </c>
    </row>
    <row r="367" spans="1:13" ht="12.75" customHeight="1">
      <c r="A367" s="77" t="s">
        <v>788</v>
      </c>
      <c r="B367" s="288">
        <f>IF($M367&gt;0,('Amounts Pivot Table'!M$435/$M367),0)</f>
        <v>3416.0914910279544</v>
      </c>
      <c r="C367" s="288">
        <f>IF($M367&gt;0,('Amounts Pivot Table'!M$438/$M367),0)</f>
        <v>524.87915829616259</v>
      </c>
      <c r="D367" s="288">
        <f>IF($M367&gt;0,('Amounts Pivot Table'!M$441/$M367),0)</f>
        <v>803.55769689127987</v>
      </c>
      <c r="E367" s="288">
        <f>IF($M367&gt;0,('Amounts Pivot Table'!M$444/$M367),0)</f>
        <v>6630.221662296979</v>
      </c>
      <c r="F367" s="288">
        <f t="shared" si="31"/>
        <v>11374.750008512376</v>
      </c>
      <c r="G367" s="359">
        <f>IF(B367&gt;0,RANK(B367,$B$354:$B$372),)</f>
        <v>10</v>
      </c>
      <c r="H367" s="289">
        <f>IF(C367&gt;0,RANK(C367,$C$354:$C$372),)</f>
        <v>2</v>
      </c>
      <c r="I367" s="289">
        <f>IF(D367&gt;0,RANK(D367,$D$354:$D$372),)</f>
        <v>5</v>
      </c>
      <c r="J367" s="289">
        <f>IF(E367&gt;0,RANK(E367,$E$354:$E$372),)</f>
        <v>1</v>
      </c>
      <c r="K367" s="289">
        <f>IF(F367&gt;0,RANK(F367,$F$354:$F$372),)</f>
        <v>5</v>
      </c>
      <c r="L367" s="356"/>
      <c r="M367" s="357">
        <v>9789.6666666666679</v>
      </c>
    </row>
    <row r="368" spans="1:13" s="376" customFormat="1" ht="10.5" customHeight="1">
      <c r="B368" s="380"/>
      <c r="C368" s="380"/>
      <c r="D368" s="380"/>
      <c r="E368" s="380"/>
      <c r="F368" s="380"/>
      <c r="G368" s="387"/>
      <c r="H368" s="388"/>
      <c r="I368" s="388"/>
      <c r="J368" s="388"/>
      <c r="K368" s="388"/>
      <c r="L368" s="381"/>
      <c r="M368" s="357"/>
    </row>
    <row r="369" spans="1:14" ht="12.75" customHeight="1">
      <c r="A369" s="77" t="s">
        <v>789</v>
      </c>
      <c r="B369" s="288">
        <f>IF($M369&gt;0,('Amounts Pivot Table'!M$474/$M369),0)</f>
        <v>6090.2123973789257</v>
      </c>
      <c r="C369" s="288">
        <f>IF($M369&gt;0,('Amounts Pivot Table'!M$477/$M369),0)</f>
        <v>0</v>
      </c>
      <c r="D369" s="288">
        <f>IF($M369&gt;0,('Amounts Pivot Table'!M$480/$M369),0)</f>
        <v>0</v>
      </c>
      <c r="E369" s="288">
        <f>IF($M369&gt;0,('Amounts Pivot Table'!M$483/$M369),0)</f>
        <v>5165.8318897341269</v>
      </c>
      <c r="F369" s="288">
        <f t="shared" si="31"/>
        <v>11256.044287113053</v>
      </c>
      <c r="G369" s="359">
        <f>IF(B369&gt;0,RANK(B369,$B$354:$B$372),)</f>
        <v>4</v>
      </c>
      <c r="H369" s="289">
        <f>IF(C369&gt;0,RANK(C369,$C$354:$C$372),)</f>
        <v>0</v>
      </c>
      <c r="I369" s="289">
        <f>IF(D369&gt;0,RANK(D369,$D$354:$D$372),)</f>
        <v>0</v>
      </c>
      <c r="J369" s="289">
        <f>IF(E369&gt;0,RANK(E369,$E$354:$E$372),)</f>
        <v>5</v>
      </c>
      <c r="K369" s="289">
        <f>IF(F369&gt;0,RANK(F369,$F$354:$F$372),)</f>
        <v>6</v>
      </c>
      <c r="L369" s="356"/>
      <c r="M369" s="357">
        <v>1770.2666666666667</v>
      </c>
    </row>
    <row r="370" spans="1:14" s="362" customFormat="1" ht="12.75" customHeight="1">
      <c r="A370" s="77" t="s">
        <v>940</v>
      </c>
      <c r="B370" s="288">
        <f>IF($M370&gt;0,('Amounts Pivot Table'!M$513/$M370),0)</f>
        <v>6073.7827794143768</v>
      </c>
      <c r="C370" s="288">
        <f>IF($M370&gt;0,('Amounts Pivot Table'!M$516/$M370),0)</f>
        <v>0</v>
      </c>
      <c r="D370" s="288">
        <f>IF($M370&gt;0,('Amounts Pivot Table'!M$519/$M370),0)</f>
        <v>2233.2716891745536</v>
      </c>
      <c r="E370" s="288">
        <f>IF($M370&gt;0,('Amounts Pivot Table'!M$522/$M370),0)</f>
        <v>2590.5058194140006</v>
      </c>
      <c r="F370" s="288">
        <f t="shared" si="31"/>
        <v>10897.560288002931</v>
      </c>
      <c r="G370" s="359">
        <f>IF(B370&gt;0,RANK(B370,$B$354:$B$372),)</f>
        <v>5</v>
      </c>
      <c r="H370" s="289">
        <f>IF(C370&gt;0,RANK(C370,$C$354:$C$372),)</f>
        <v>0</v>
      </c>
      <c r="I370" s="289">
        <f>IF(D370&gt;0,RANK(D370,$D$354:$D$372),)</f>
        <v>2</v>
      </c>
      <c r="J370" s="289">
        <f>IF(E370&gt;0,RANK(E370,$E$354:$E$372),)</f>
        <v>9</v>
      </c>
      <c r="K370" s="289">
        <f>IF(F370&gt;0,RANK(F370,$F$354:$F$372),)</f>
        <v>7</v>
      </c>
      <c r="L370" s="363"/>
      <c r="M370" s="357">
        <v>14208.188888888884</v>
      </c>
    </row>
    <row r="371" spans="1:14" ht="12.75" customHeight="1">
      <c r="A371" s="77" t="s">
        <v>944</v>
      </c>
      <c r="B371" s="288">
        <f>IF($M371&gt;0,('Amounts Pivot Table'!M$552/$M371),0)</f>
        <v>575.42613332340716</v>
      </c>
      <c r="C371" s="288">
        <f>IF($M371&gt;0,('Amounts Pivot Table'!M$555/$M371),0)</f>
        <v>0</v>
      </c>
      <c r="D371" s="288">
        <f>IF($M371&gt;0,('Amounts Pivot Table'!M$558/$M371),0)</f>
        <v>0</v>
      </c>
      <c r="E371" s="288">
        <f>IF($M371&gt;0,('Amounts Pivot Table'!M$561/$M371),0)</f>
        <v>427.74699773405109</v>
      </c>
      <c r="F371" s="288">
        <f>SUM(B371:E371)</f>
        <v>1003.1731310574582</v>
      </c>
      <c r="G371" s="359">
        <f>IF(B371&gt;0,RANK(B371,$B$354:$B$372),)</f>
        <v>12</v>
      </c>
      <c r="H371" s="289">
        <f>IF(C371&gt;0,RANK(C371,$C$354:$C$372),)</f>
        <v>0</v>
      </c>
      <c r="I371" s="289">
        <f>IF(D371&gt;0,RANK(D371,$D$354:$D$372),)</f>
        <v>0</v>
      </c>
      <c r="J371" s="289">
        <f>IF(E371&gt;0,RANK(E371,$E$354:$E$372),)</f>
        <v>12</v>
      </c>
      <c r="K371" s="289">
        <f>IF(F371&gt;0,RANK(F371,$F$354:$F$372),)</f>
        <v>12</v>
      </c>
      <c r="L371" s="367"/>
      <c r="M371" s="357">
        <v>14328.066666666668</v>
      </c>
    </row>
    <row r="372" spans="1:14" ht="13.5" customHeight="1">
      <c r="A372" s="277" t="s">
        <v>792</v>
      </c>
      <c r="B372" s="296">
        <f>IF($M372&gt;0,('Amounts Pivot Table'!M$591/$M372),0)</f>
        <v>6477.5346012718201</v>
      </c>
      <c r="C372" s="296">
        <f>IF($M372&gt;0,('Amounts Pivot Table'!M$594/$M372),0)</f>
        <v>0</v>
      </c>
      <c r="D372" s="296">
        <f>IF($M372&gt;0,('Amounts Pivot Table'!M$597/$M372),0)</f>
        <v>0</v>
      </c>
      <c r="E372" s="296">
        <f>IF($M372&gt;0,('Amounts Pivot Table'!M$600/$M372),0)</f>
        <v>5277.8410046084937</v>
      </c>
      <c r="F372" s="364">
        <f t="shared" si="31"/>
        <v>11755.375605880314</v>
      </c>
      <c r="G372" s="365">
        <f>IF(B372&gt;0,RANK(B372,$B$354:$B$372),)</f>
        <v>3</v>
      </c>
      <c r="H372" s="366">
        <f>IF(C372&gt;0,RANK(C372,$C$354:$C$372),)</f>
        <v>0</v>
      </c>
      <c r="I372" s="366">
        <f>IF(D372&gt;0,RANK(D372,$D$354:$D$372),)</f>
        <v>0</v>
      </c>
      <c r="J372" s="366">
        <f>IF(E372&gt;0,RANK(E372,$E$354:$E$372),)</f>
        <v>4</v>
      </c>
      <c r="K372" s="366">
        <f>IF(F372&gt;0,RANK(F372,$F$354:$F$372),)</f>
        <v>4</v>
      </c>
      <c r="L372" s="367"/>
      <c r="M372" s="357">
        <v>7098.4866666666667</v>
      </c>
    </row>
    <row r="373" spans="1:14" s="362" customFormat="1" ht="12" customHeight="1">
      <c r="A373" s="1272" t="s">
        <v>941</v>
      </c>
      <c r="B373" s="1272"/>
      <c r="C373" s="1272"/>
      <c r="D373" s="1272"/>
      <c r="E373" s="1272"/>
      <c r="F373" s="1272"/>
      <c r="G373" s="1272"/>
      <c r="H373" s="1272"/>
      <c r="I373" s="1272"/>
      <c r="J373" s="1272"/>
      <c r="K373" s="1272"/>
      <c r="L373" s="363"/>
      <c r="M373" s="404"/>
    </row>
    <row r="374" spans="1:14" s="362" customFormat="1" ht="13.5" customHeight="1">
      <c r="A374" s="405" t="s">
        <v>945</v>
      </c>
      <c r="B374" s="396"/>
      <c r="C374" s="396"/>
      <c r="D374" s="396"/>
      <c r="E374" s="396"/>
      <c r="F374" s="396"/>
      <c r="G374" s="396"/>
      <c r="H374" s="396"/>
      <c r="I374" s="396"/>
      <c r="J374" s="396"/>
      <c r="K374" s="396"/>
      <c r="L374" s="363"/>
      <c r="M374" s="404"/>
    </row>
    <row r="375" spans="1:14" s="362" customFormat="1" ht="34.5" customHeight="1">
      <c r="A375" s="1244" t="s">
        <v>926</v>
      </c>
      <c r="B375" s="1270"/>
      <c r="C375" s="1270"/>
      <c r="D375" s="1270"/>
      <c r="E375" s="1270"/>
      <c r="F375" s="1270"/>
      <c r="G375" s="1270"/>
      <c r="H375" s="1270"/>
      <c r="I375" s="1270"/>
      <c r="J375" s="1270"/>
      <c r="K375" s="1270"/>
      <c r="L375" s="363"/>
      <c r="M375" s="400"/>
    </row>
    <row r="376" spans="1:14" s="397" customFormat="1" ht="13.5" customHeight="1">
      <c r="A376" s="1244" t="s">
        <v>927</v>
      </c>
      <c r="B376" s="1270"/>
      <c r="C376" s="1270"/>
      <c r="D376" s="1270"/>
      <c r="E376" s="1270"/>
      <c r="F376" s="1270"/>
      <c r="G376" s="1270"/>
      <c r="H376" s="1270"/>
      <c r="I376" s="1270"/>
      <c r="J376" s="1270"/>
      <c r="K376" s="1270"/>
      <c r="L376" s="347"/>
      <c r="M376" s="400"/>
    </row>
    <row r="377" spans="1:14" ht="13.5" customHeight="1">
      <c r="A377" s="1244" t="s">
        <v>930</v>
      </c>
      <c r="B377" s="1245"/>
      <c r="C377" s="1245"/>
      <c r="D377" s="1245"/>
      <c r="E377" s="1245"/>
      <c r="F377" s="1245"/>
      <c r="G377" s="1245"/>
      <c r="H377" s="1245"/>
      <c r="I377" s="1245"/>
      <c r="J377" s="1245"/>
      <c r="K377" s="1245"/>
      <c r="L377" s="367"/>
      <c r="M377" s="400"/>
    </row>
    <row r="378" spans="1:14">
      <c r="A378" s="368"/>
      <c r="B378" s="369"/>
      <c r="C378" s="369"/>
      <c r="D378" s="369"/>
      <c r="E378" s="369"/>
      <c r="F378" s="369"/>
      <c r="G378" s="369"/>
      <c r="H378" s="369"/>
      <c r="I378" s="369"/>
      <c r="J378" s="369"/>
      <c r="K378" s="370" t="s">
        <v>1814</v>
      </c>
      <c r="L378" s="367"/>
      <c r="M378" s="400"/>
    </row>
    <row r="379" spans="1:14" ht="15.5">
      <c r="A379" s="1228" t="s">
        <v>946</v>
      </c>
      <c r="B379" s="1228"/>
      <c r="C379" s="1228"/>
      <c r="D379" s="1228"/>
      <c r="E379" s="1228"/>
      <c r="F379" s="1228"/>
      <c r="G379" s="1228"/>
      <c r="H379" s="1228"/>
      <c r="I379" s="1228"/>
      <c r="J379" s="1228"/>
      <c r="K379" s="1228"/>
      <c r="M379" s="400"/>
    </row>
    <row r="380" spans="1:14" ht="17.5">
      <c r="A380" s="1228" t="s">
        <v>920</v>
      </c>
      <c r="B380" s="1228"/>
      <c r="C380" s="1228"/>
      <c r="D380" s="1228"/>
      <c r="E380" s="1228"/>
      <c r="F380" s="1228"/>
      <c r="G380" s="1228"/>
      <c r="H380" s="1228"/>
      <c r="I380" s="1228"/>
      <c r="J380" s="1228"/>
      <c r="K380" s="1228"/>
      <c r="L380" s="344"/>
      <c r="M380" s="400"/>
    </row>
    <row r="381" spans="1:14" ht="15.5">
      <c r="A381" s="1228" t="s">
        <v>1490</v>
      </c>
      <c r="B381" s="1228"/>
      <c r="C381" s="1228"/>
      <c r="D381" s="1228"/>
      <c r="E381" s="1228"/>
      <c r="F381" s="1228"/>
      <c r="G381" s="1228"/>
      <c r="H381" s="1228"/>
      <c r="I381" s="1228"/>
      <c r="J381" s="1228"/>
      <c r="K381" s="1228"/>
      <c r="L381" s="344"/>
      <c r="M381" s="400"/>
    </row>
    <row r="382" spans="1:14" ht="10.5" customHeight="1">
      <c r="A382" s="341"/>
      <c r="B382" s="341"/>
      <c r="C382" s="341"/>
      <c r="D382" s="341"/>
      <c r="E382" s="341"/>
      <c r="F382" s="341"/>
      <c r="G382" s="373"/>
      <c r="H382" s="341"/>
      <c r="I382" s="341"/>
      <c r="J382" s="341"/>
      <c r="K382" s="341"/>
      <c r="L382" s="344"/>
      <c r="M382" s="348"/>
    </row>
    <row r="383" spans="1:14" ht="17.25" customHeight="1">
      <c r="A383" s="346"/>
      <c r="B383" s="1279" t="s">
        <v>922</v>
      </c>
      <c r="C383" s="1280"/>
      <c r="D383" s="1280"/>
      <c r="E383" s="1280"/>
      <c r="F383" s="1280"/>
      <c r="G383" s="236" t="s">
        <v>923</v>
      </c>
      <c r="H383" s="235"/>
      <c r="I383" s="235"/>
      <c r="J383" s="235"/>
      <c r="K383" s="235"/>
      <c r="L383" s="389"/>
      <c r="M383" s="348"/>
    </row>
    <row r="384" spans="1:14" s="53" customFormat="1" ht="42">
      <c r="A384" s="243"/>
      <c r="B384" s="244" t="s">
        <v>6</v>
      </c>
      <c r="C384" s="245" t="s">
        <v>7</v>
      </c>
      <c r="D384" s="245" t="s">
        <v>8</v>
      </c>
      <c r="E384" s="245" t="s">
        <v>924</v>
      </c>
      <c r="F384" s="245" t="s">
        <v>768</v>
      </c>
      <c r="G384" s="246" t="s">
        <v>6</v>
      </c>
      <c r="H384" s="245" t="s">
        <v>7</v>
      </c>
      <c r="I384" s="245" t="s">
        <v>8</v>
      </c>
      <c r="J384" s="245" t="s">
        <v>924</v>
      </c>
      <c r="K384" s="245" t="s">
        <v>768</v>
      </c>
      <c r="L384" s="350"/>
      <c r="M384" s="372" t="s">
        <v>932</v>
      </c>
      <c r="N384" s="668" t="s">
        <v>1045</v>
      </c>
    </row>
    <row r="385" spans="1:13" ht="14.5">
      <c r="A385" s="77" t="s">
        <v>925</v>
      </c>
      <c r="B385" s="352">
        <f>IF($M385&gt;0,('Amounts Pivot Table'!N$630/$M385),0)</f>
        <v>2660.8584123565556</v>
      </c>
      <c r="C385" s="352">
        <f>IF($M385&gt;0,('Amounts Pivot Table'!N$633/$M385),0)</f>
        <v>3.1256771511181674</v>
      </c>
      <c r="D385" s="352">
        <f>IF($M385&gt;0,('Amounts Pivot Table'!N$636/$M385),0)</f>
        <v>1069.0736129245199</v>
      </c>
      <c r="E385" s="352">
        <f>IF($M385&gt;0,('Amounts Pivot Table'!N$639/$M385),0)</f>
        <v>3092.5378808707064</v>
      </c>
      <c r="F385" s="352">
        <f>SUM(B385:E385)</f>
        <v>6825.5955833029002</v>
      </c>
      <c r="G385" s="353"/>
      <c r="H385" s="354"/>
      <c r="I385" s="354"/>
      <c r="J385" s="354"/>
      <c r="K385" s="354"/>
      <c r="L385" s="356"/>
      <c r="M385" s="357">
        <v>175961.87111111113</v>
      </c>
    </row>
    <row r="386" spans="1:13" s="376" customFormat="1">
      <c r="B386" s="380"/>
      <c r="C386" s="380"/>
      <c r="D386" s="380"/>
      <c r="E386" s="380"/>
      <c r="F386" s="380"/>
      <c r="G386" s="387"/>
      <c r="H386" s="388"/>
      <c r="I386" s="388"/>
      <c r="J386" s="388"/>
      <c r="K386" s="388"/>
      <c r="L386" s="381"/>
      <c r="M386" s="357"/>
    </row>
    <row r="387" spans="1:13" ht="12.75" customHeight="1">
      <c r="A387" s="77" t="s">
        <v>777</v>
      </c>
      <c r="B387" s="288">
        <f>IF($M387&gt;0,('Amounts Pivot Table'!N$6/$M387),0)</f>
        <v>0</v>
      </c>
      <c r="C387" s="288">
        <f>IF($M387&gt;0,('Amounts Pivot Table'!N$9/$M387),0)</f>
        <v>0</v>
      </c>
      <c r="D387" s="288">
        <f>IF($M387&gt;0,('Amounts Pivot Table'!N$12/$M387),0)</f>
        <v>0</v>
      </c>
      <c r="E387" s="288">
        <f>IF($M387&gt;0,('Amounts Pivot Table'!N$15/$M387),0)</f>
        <v>0</v>
      </c>
      <c r="F387" s="288">
        <f t="shared" ref="F387:F405" si="32">SUM(B387:E387)</f>
        <v>0</v>
      </c>
      <c r="G387" s="359">
        <f t="shared" ref="G387:G405" si="33">IF(B387&gt;0,RANK(B387,$B$387:$B$405),)</f>
        <v>0</v>
      </c>
      <c r="H387" s="289">
        <f t="shared" ref="H387:H405" si="34">IF(C387&gt;0,RANK(C387,$C$387:$C$405),)</f>
        <v>0</v>
      </c>
      <c r="I387" s="289">
        <f t="shared" ref="I387:I405" si="35">IF(D387&gt;0,RANK(D387,$D$387:$D$405),)</f>
        <v>0</v>
      </c>
      <c r="J387" s="289">
        <f t="shared" ref="J387:J405" si="36">IF(E387&gt;0,RANK(E387,$E$387:$E$405),)</f>
        <v>0</v>
      </c>
      <c r="K387" s="289">
        <f t="shared" ref="K387:K405" si="37">IF(F387&gt;0,RANK(F387,$F$387:$F$405),)</f>
        <v>0</v>
      </c>
      <c r="L387" s="356"/>
      <c r="M387" s="357"/>
    </row>
    <row r="388" spans="1:13" ht="12.75" customHeight="1">
      <c r="A388" s="77" t="s">
        <v>778</v>
      </c>
      <c r="B388" s="288">
        <f>IF($M388&gt;0,('Amounts Pivot Table'!N$45/$M388),0)</f>
        <v>0</v>
      </c>
      <c r="C388" s="288">
        <f>IF($M388&gt;0,('Amounts Pivot Table'!N$48/$M388),0)</f>
        <v>0</v>
      </c>
      <c r="D388" s="288">
        <f>IF($M388&gt;0,('Amounts Pivot Table'!N$51/$M388),0)</f>
        <v>0</v>
      </c>
      <c r="E388" s="288">
        <f>IF($M388&gt;0,('Amounts Pivot Table'!N$54/$M388),0)</f>
        <v>0</v>
      </c>
      <c r="F388" s="288">
        <f t="shared" si="32"/>
        <v>0</v>
      </c>
      <c r="G388" s="359">
        <f t="shared" si="33"/>
        <v>0</v>
      </c>
      <c r="H388" s="289">
        <f t="shared" si="34"/>
        <v>0</v>
      </c>
      <c r="I388" s="289">
        <f t="shared" si="35"/>
        <v>0</v>
      </c>
      <c r="J388" s="289">
        <f t="shared" si="36"/>
        <v>0</v>
      </c>
      <c r="K388" s="289">
        <f t="shared" si="37"/>
        <v>0</v>
      </c>
      <c r="L388" s="356"/>
      <c r="M388" s="357"/>
    </row>
    <row r="389" spans="1:13" ht="12.75" customHeight="1">
      <c r="A389" s="77" t="s">
        <v>779</v>
      </c>
      <c r="B389" s="288">
        <f>IF($M389&gt;0,('Amounts Pivot Table'!N$84/$M389),0)</f>
        <v>0</v>
      </c>
      <c r="C389" s="288">
        <f>IF($M389&gt;0,('Amounts Pivot Table'!N$87/$M389),0)</f>
        <v>0</v>
      </c>
      <c r="D389" s="288">
        <f>IF($M389&gt;0,('Amounts Pivot Table'!N$90/$M389),0)</f>
        <v>0</v>
      </c>
      <c r="E389" s="288">
        <f>IF($M389&gt;0,('Amounts Pivot Table'!N$93/$M389),0)</f>
        <v>0</v>
      </c>
      <c r="F389" s="288">
        <f t="shared" si="32"/>
        <v>0</v>
      </c>
      <c r="G389" s="359">
        <f t="shared" si="33"/>
        <v>0</v>
      </c>
      <c r="H389" s="289">
        <f t="shared" si="34"/>
        <v>0</v>
      </c>
      <c r="I389" s="289">
        <f t="shared" si="35"/>
        <v>0</v>
      </c>
      <c r="J389" s="289">
        <f t="shared" si="36"/>
        <v>0</v>
      </c>
      <c r="K389" s="289">
        <f t="shared" si="37"/>
        <v>0</v>
      </c>
      <c r="L389" s="356"/>
      <c r="M389" s="357"/>
    </row>
    <row r="390" spans="1:13" ht="12.75" customHeight="1">
      <c r="A390" s="77" t="s">
        <v>780</v>
      </c>
      <c r="B390" s="288">
        <f>IF($M390&gt;0,('Amounts Pivot Table'!N$123/$M390),0)</f>
        <v>0</v>
      </c>
      <c r="C390" s="288">
        <f>IF($M390&gt;0,('Amounts Pivot Table'!N$126/$M390),0)</f>
        <v>0</v>
      </c>
      <c r="D390" s="288">
        <f>IF($M390&gt;0,('Amounts Pivot Table'!N$129/$M390),0)</f>
        <v>0</v>
      </c>
      <c r="E390" s="288">
        <f>IF($M390&gt;0,('Amounts Pivot Table'!N$132/$M390),0)</f>
        <v>0</v>
      </c>
      <c r="F390" s="288">
        <f t="shared" si="32"/>
        <v>0</v>
      </c>
      <c r="G390" s="359">
        <f t="shared" si="33"/>
        <v>0</v>
      </c>
      <c r="H390" s="289">
        <f t="shared" si="34"/>
        <v>0</v>
      </c>
      <c r="I390" s="289">
        <f t="shared" si="35"/>
        <v>0</v>
      </c>
      <c r="J390" s="289">
        <f t="shared" si="36"/>
        <v>0</v>
      </c>
      <c r="K390" s="289">
        <f t="shared" si="37"/>
        <v>0</v>
      </c>
      <c r="L390" s="356"/>
      <c r="M390" s="357"/>
    </row>
    <row r="391" spans="1:13" s="376" customFormat="1">
      <c r="B391" s="380"/>
      <c r="C391" s="380"/>
      <c r="D391" s="380"/>
      <c r="E391" s="380"/>
      <c r="F391" s="380"/>
      <c r="G391" s="387"/>
      <c r="H391" s="388"/>
      <c r="I391" s="388"/>
      <c r="J391" s="388"/>
      <c r="K391" s="388"/>
      <c r="L391" s="381"/>
      <c r="M391" s="357"/>
    </row>
    <row r="392" spans="1:13" ht="12.75" customHeight="1">
      <c r="A392" s="77" t="s">
        <v>781</v>
      </c>
      <c r="B392" s="288">
        <f>IF($M392&gt;0,('Amounts Pivot Table'!N$162/$M392),0)</f>
        <v>0</v>
      </c>
      <c r="C392" s="288">
        <f>IF($M392&gt;0,('Amounts Pivot Table'!N$165/$M392),0)</f>
        <v>0</v>
      </c>
      <c r="D392" s="288">
        <f>IF($M392&gt;0,('Amounts Pivot Table'!N$168/$M392),0)</f>
        <v>0</v>
      </c>
      <c r="E392" s="288">
        <f>IF($M392&gt;0,('Amounts Pivot Table'!N$171/$M392),0)</f>
        <v>0</v>
      </c>
      <c r="F392" s="288">
        <f t="shared" si="32"/>
        <v>0</v>
      </c>
      <c r="G392" s="359">
        <f t="shared" si="33"/>
        <v>0</v>
      </c>
      <c r="H392" s="289">
        <f t="shared" si="34"/>
        <v>0</v>
      </c>
      <c r="I392" s="289">
        <f t="shared" si="35"/>
        <v>0</v>
      </c>
      <c r="J392" s="289">
        <f t="shared" si="36"/>
        <v>0</v>
      </c>
      <c r="K392" s="289">
        <f t="shared" si="37"/>
        <v>0</v>
      </c>
      <c r="L392" s="356"/>
      <c r="M392" s="357"/>
    </row>
    <row r="393" spans="1:13" ht="12.75" customHeight="1">
      <c r="A393" s="77" t="s">
        <v>782</v>
      </c>
      <c r="B393" s="288">
        <f>IF($M393&gt;0,('Amounts Pivot Table'!N$201/$M393),0)</f>
        <v>0</v>
      </c>
      <c r="C393" s="288">
        <f>IF($M393&gt;0,('Amounts Pivot Table'!N$204/$M393),0)</f>
        <v>0</v>
      </c>
      <c r="D393" s="288">
        <f>IF($M393&gt;0,('Amounts Pivot Table'!N$207/$M393),0)</f>
        <v>0</v>
      </c>
      <c r="E393" s="288">
        <f>IF($M393&gt;0,('Amounts Pivot Table'!N$210/$M393),0)</f>
        <v>0</v>
      </c>
      <c r="F393" s="288">
        <f t="shared" si="32"/>
        <v>0</v>
      </c>
      <c r="G393" s="359">
        <f t="shared" si="33"/>
        <v>0</v>
      </c>
      <c r="H393" s="289">
        <f t="shared" si="34"/>
        <v>0</v>
      </c>
      <c r="I393" s="289">
        <f t="shared" si="35"/>
        <v>0</v>
      </c>
      <c r="J393" s="289">
        <f t="shared" si="36"/>
        <v>0</v>
      </c>
      <c r="K393" s="289">
        <f t="shared" si="37"/>
        <v>0</v>
      </c>
      <c r="L393" s="356"/>
      <c r="M393" s="357"/>
    </row>
    <row r="394" spans="1:13" ht="12.75" customHeight="1">
      <c r="A394" s="77" t="s">
        <v>813</v>
      </c>
      <c r="B394" s="288">
        <f>IF($M394&gt;0,('Amounts Pivot Table'!N$240/$M394),0)</f>
        <v>0</v>
      </c>
      <c r="C394" s="288">
        <f>IF($M394&gt;0,('Amounts Pivot Table'!N$243/$M394),0)</f>
        <v>0</v>
      </c>
      <c r="D394" s="288">
        <f>IF($M394&gt;0,('Amounts Pivot Table'!N$246/$M394),0)</f>
        <v>0</v>
      </c>
      <c r="E394" s="288">
        <f>IF($M394&gt;0,('Amounts Pivot Table'!N$249/$M394),0)</f>
        <v>0</v>
      </c>
      <c r="F394" s="288">
        <f t="shared" si="32"/>
        <v>0</v>
      </c>
      <c r="G394" s="359">
        <f t="shared" si="33"/>
        <v>0</v>
      </c>
      <c r="H394" s="289">
        <f t="shared" si="34"/>
        <v>0</v>
      </c>
      <c r="I394" s="289">
        <f t="shared" si="35"/>
        <v>0</v>
      </c>
      <c r="J394" s="289">
        <f t="shared" si="36"/>
        <v>0</v>
      </c>
      <c r="K394" s="289">
        <f t="shared" si="37"/>
        <v>0</v>
      </c>
      <c r="L394" s="356"/>
      <c r="M394" s="357"/>
    </row>
    <row r="395" spans="1:13" ht="12.75" customHeight="1">
      <c r="A395" s="77" t="s">
        <v>784</v>
      </c>
      <c r="B395" s="288">
        <f>IF($M395&gt;0,('Amounts Pivot Table'!N$279/$M395),0)</f>
        <v>0</v>
      </c>
      <c r="C395" s="288">
        <f>IF($M395&gt;0,('Amounts Pivot Table'!N$282/$M395),0)</f>
        <v>0</v>
      </c>
      <c r="D395" s="288">
        <f>IF($M395&gt;0,('Amounts Pivot Table'!N$285/$M395),0)</f>
        <v>0</v>
      </c>
      <c r="E395" s="288">
        <f>IF($M395&gt;0,('Amounts Pivot Table'!N$288/$M395),0)</f>
        <v>0</v>
      </c>
      <c r="F395" s="288">
        <f t="shared" si="32"/>
        <v>0</v>
      </c>
      <c r="G395" s="359">
        <f t="shared" si="33"/>
        <v>0</v>
      </c>
      <c r="H395" s="289">
        <f t="shared" si="34"/>
        <v>0</v>
      </c>
      <c r="I395" s="289">
        <f t="shared" si="35"/>
        <v>0</v>
      </c>
      <c r="J395" s="289">
        <f t="shared" si="36"/>
        <v>0</v>
      </c>
      <c r="K395" s="289">
        <f t="shared" si="37"/>
        <v>0</v>
      </c>
      <c r="L395" s="356"/>
      <c r="M395" s="357"/>
    </row>
    <row r="396" spans="1:13" s="376" customFormat="1">
      <c r="B396" s="380"/>
      <c r="C396" s="380"/>
      <c r="D396" s="380"/>
      <c r="E396" s="380"/>
      <c r="F396" s="380"/>
      <c r="G396" s="387"/>
      <c r="H396" s="388"/>
      <c r="I396" s="388"/>
      <c r="J396" s="388"/>
      <c r="K396" s="388"/>
      <c r="L396" s="381"/>
      <c r="M396" s="357"/>
    </row>
    <row r="397" spans="1:13" ht="12.75" customHeight="1">
      <c r="A397" s="77" t="s">
        <v>785</v>
      </c>
      <c r="B397" s="288">
        <f>IF($M397&gt;0,('Amounts Pivot Table'!N$318/$M397),0)</f>
        <v>0</v>
      </c>
      <c r="C397" s="288">
        <f>IF($M397&gt;0,('Amounts Pivot Table'!N$321/$M397),0)</f>
        <v>0</v>
      </c>
      <c r="D397" s="288">
        <f>IF($M397&gt;0,('Amounts Pivot Table'!N$324/$M397),0)</f>
        <v>0</v>
      </c>
      <c r="E397" s="288">
        <f>IF($M397&gt;0,('Amounts Pivot Table'!N$327/$M397),0)</f>
        <v>0</v>
      </c>
      <c r="F397" s="288">
        <f t="shared" si="32"/>
        <v>0</v>
      </c>
      <c r="G397" s="359">
        <f t="shared" si="33"/>
        <v>0</v>
      </c>
      <c r="H397" s="289">
        <f t="shared" si="34"/>
        <v>0</v>
      </c>
      <c r="I397" s="289">
        <f t="shared" si="35"/>
        <v>0</v>
      </c>
      <c r="J397" s="289">
        <f t="shared" si="36"/>
        <v>0</v>
      </c>
      <c r="K397" s="289">
        <f t="shared" si="37"/>
        <v>0</v>
      </c>
      <c r="L397" s="356"/>
      <c r="M397" s="357"/>
    </row>
    <row r="398" spans="1:13" ht="12.75" customHeight="1">
      <c r="A398" s="77" t="s">
        <v>786</v>
      </c>
      <c r="B398" s="288">
        <f>IF($M398&gt;0,('Amounts Pivot Table'!N$357/$M398),0)</f>
        <v>0</v>
      </c>
      <c r="C398" s="288">
        <f>IF($M398&gt;0,('Amounts Pivot Table'!N$360/$M398),0)</f>
        <v>0</v>
      </c>
      <c r="D398" s="288">
        <f>IF($M398&gt;0,('Amounts Pivot Table'!N$363/$M398),0)</f>
        <v>0</v>
      </c>
      <c r="E398" s="288">
        <f>IF($M398&gt;0,('Amounts Pivot Table'!N$366/$M398),0)</f>
        <v>0</v>
      </c>
      <c r="F398" s="288">
        <f t="shared" si="32"/>
        <v>0</v>
      </c>
      <c r="G398" s="359">
        <f t="shared" si="33"/>
        <v>0</v>
      </c>
      <c r="H398" s="289">
        <f t="shared" si="34"/>
        <v>0</v>
      </c>
      <c r="I398" s="289">
        <f t="shared" si="35"/>
        <v>0</v>
      </c>
      <c r="J398" s="289">
        <f t="shared" si="36"/>
        <v>0</v>
      </c>
      <c r="K398" s="289">
        <f t="shared" si="37"/>
        <v>0</v>
      </c>
      <c r="L398" s="356"/>
      <c r="M398" s="357"/>
    </row>
    <row r="399" spans="1:13" ht="12.75" customHeight="1">
      <c r="A399" s="77" t="s">
        <v>787</v>
      </c>
      <c r="B399" s="288">
        <f>IF($M399&gt;0,('Amounts Pivot Table'!N$396/$M399),0)</f>
        <v>0</v>
      </c>
      <c r="C399" s="288">
        <f>IF($M399&gt;0,('Amounts Pivot Table'!N$399/$M399),0)</f>
        <v>0</v>
      </c>
      <c r="D399" s="288">
        <f>IF($M399&gt;0,('Amounts Pivot Table'!N$402/$M399),0)</f>
        <v>0</v>
      </c>
      <c r="E399" s="288">
        <f>IF($M399&gt;0,('Amounts Pivot Table'!N$405/$M399),0)</f>
        <v>0</v>
      </c>
      <c r="F399" s="288">
        <f t="shared" si="32"/>
        <v>0</v>
      </c>
      <c r="G399" s="359">
        <f t="shared" si="33"/>
        <v>0</v>
      </c>
      <c r="H399" s="289">
        <f t="shared" si="34"/>
        <v>0</v>
      </c>
      <c r="I399" s="289">
        <f t="shared" si="35"/>
        <v>0</v>
      </c>
      <c r="J399" s="289">
        <f t="shared" si="36"/>
        <v>0</v>
      </c>
      <c r="K399" s="289">
        <f t="shared" si="37"/>
        <v>0</v>
      </c>
      <c r="L399" s="356"/>
      <c r="M399" s="357"/>
    </row>
    <row r="400" spans="1:13" ht="12.75" customHeight="1">
      <c r="A400" s="77" t="s">
        <v>788</v>
      </c>
      <c r="B400" s="288">
        <f>IF($M400&gt;0,('Amounts Pivot Table'!N$435/$M400),0)</f>
        <v>0</v>
      </c>
      <c r="C400" s="288">
        <f>IF($M400&gt;0,('Amounts Pivot Table'!N$438/$M400),0)</f>
        <v>0</v>
      </c>
      <c r="D400" s="288">
        <f>IF($M400&gt;0,('Amounts Pivot Table'!N$441/$M400),0)</f>
        <v>0</v>
      </c>
      <c r="E400" s="288">
        <f>IF($M400&gt;0,('Amounts Pivot Table'!N$444/$M400),0)</f>
        <v>0</v>
      </c>
      <c r="F400" s="288">
        <f t="shared" si="32"/>
        <v>0</v>
      </c>
      <c r="G400" s="359">
        <f t="shared" si="33"/>
        <v>0</v>
      </c>
      <c r="H400" s="289">
        <f t="shared" si="34"/>
        <v>0</v>
      </c>
      <c r="I400" s="289">
        <f t="shared" si="35"/>
        <v>0</v>
      </c>
      <c r="J400" s="289">
        <f t="shared" si="36"/>
        <v>0</v>
      </c>
      <c r="K400" s="289">
        <f t="shared" si="37"/>
        <v>0</v>
      </c>
      <c r="L400" s="356"/>
      <c r="M400" s="357"/>
    </row>
    <row r="401" spans="1:14" s="376" customFormat="1">
      <c r="B401" s="380"/>
      <c r="C401" s="380"/>
      <c r="D401" s="380"/>
      <c r="E401" s="380"/>
      <c r="F401" s="380"/>
      <c r="G401" s="387"/>
      <c r="H401" s="388"/>
      <c r="I401" s="388"/>
      <c r="J401" s="388"/>
      <c r="K401" s="388"/>
      <c r="L401" s="381"/>
      <c r="M401" s="357"/>
    </row>
    <row r="402" spans="1:14" ht="12.75" customHeight="1">
      <c r="A402" s="77" t="s">
        <v>789</v>
      </c>
      <c r="B402" s="288">
        <f>IF($M402&gt;0,('Amounts Pivot Table'!N$474/$M402),0)</f>
        <v>0</v>
      </c>
      <c r="C402" s="288">
        <f>IF($M402&gt;0,('Amounts Pivot Table'!N$477/$M402),0)</f>
        <v>0</v>
      </c>
      <c r="D402" s="288">
        <f>IF($M402&gt;0,('Amounts Pivot Table'!N$480/$M402),0)</f>
        <v>0</v>
      </c>
      <c r="E402" s="288">
        <f>IF($M402&gt;0,('Amounts Pivot Table'!N$483/$M402),0)</f>
        <v>0</v>
      </c>
      <c r="F402" s="288">
        <f t="shared" si="32"/>
        <v>0</v>
      </c>
      <c r="G402" s="359">
        <f t="shared" si="33"/>
        <v>0</v>
      </c>
      <c r="H402" s="289">
        <f t="shared" si="34"/>
        <v>0</v>
      </c>
      <c r="I402" s="289">
        <f t="shared" si="35"/>
        <v>0</v>
      </c>
      <c r="J402" s="289">
        <f t="shared" si="36"/>
        <v>0</v>
      </c>
      <c r="K402" s="289">
        <f t="shared" si="37"/>
        <v>0</v>
      </c>
      <c r="L402" s="356"/>
      <c r="M402" s="357"/>
    </row>
    <row r="403" spans="1:14" s="362" customFormat="1" ht="12.75" customHeight="1">
      <c r="A403" s="77" t="s">
        <v>790</v>
      </c>
      <c r="B403" s="288">
        <f>IF($M403&gt;0,('Amounts Pivot Table'!N$513/$M403),0)</f>
        <v>1130.299280213474</v>
      </c>
      <c r="C403" s="288">
        <f>IF($M403&gt;0,('Amounts Pivot Table'!N$516/$M403),0)</f>
        <v>0</v>
      </c>
      <c r="D403" s="288">
        <f>IF($M403&gt;0,('Amounts Pivot Table'!N$519/$M403),0)</f>
        <v>2254.8277020547089</v>
      </c>
      <c r="E403" s="288">
        <f>IF($M403&gt;0,('Amounts Pivot Table'!N$522/$M403),0)</f>
        <v>723.94704903304807</v>
      </c>
      <c r="F403" s="288">
        <f t="shared" si="32"/>
        <v>4109.0740313012311</v>
      </c>
      <c r="G403" s="359">
        <f t="shared" si="33"/>
        <v>2</v>
      </c>
      <c r="H403" s="289">
        <f t="shared" si="34"/>
        <v>0</v>
      </c>
      <c r="I403" s="289">
        <f t="shared" si="35"/>
        <v>1</v>
      </c>
      <c r="J403" s="289">
        <f t="shared" si="36"/>
        <v>2</v>
      </c>
      <c r="K403" s="289">
        <f t="shared" si="37"/>
        <v>2</v>
      </c>
      <c r="L403" s="363"/>
      <c r="M403" s="357">
        <v>78296.671111111122</v>
      </c>
    </row>
    <row r="404" spans="1:14" ht="12.75" customHeight="1">
      <c r="A404" s="77" t="s">
        <v>947</v>
      </c>
      <c r="B404" s="288">
        <f>IF($M404&gt;0,('Amounts Pivot Table'!N$552/$M404),0)</f>
        <v>3887.8838521807156</v>
      </c>
      <c r="C404" s="288">
        <f>IF($M404&gt;0,('Amounts Pivot Table'!N$555/$M404),0)</f>
        <v>5.6314838857648377</v>
      </c>
      <c r="D404" s="288">
        <f>IF($M404&gt;0,('Amounts Pivot Table'!N$558/$M404),0)</f>
        <v>118.47301071122878</v>
      </c>
      <c r="E404" s="288">
        <f>IF($M404&gt;0,('Amounts Pivot Table'!N$561/$M404),0)</f>
        <v>4991.4002940658493</v>
      </c>
      <c r="F404" s="288">
        <f t="shared" si="32"/>
        <v>9003.3886408435574</v>
      </c>
      <c r="G404" s="359">
        <f t="shared" si="33"/>
        <v>1</v>
      </c>
      <c r="H404" s="289">
        <f t="shared" si="34"/>
        <v>1</v>
      </c>
      <c r="I404" s="289">
        <f t="shared" si="35"/>
        <v>2</v>
      </c>
      <c r="J404" s="289">
        <f t="shared" si="36"/>
        <v>1</v>
      </c>
      <c r="K404" s="289">
        <f t="shared" si="37"/>
        <v>1</v>
      </c>
      <c r="L404" s="367"/>
      <c r="M404" s="357">
        <v>97665.2</v>
      </c>
    </row>
    <row r="405" spans="1:14" ht="13.5" customHeight="1">
      <c r="A405" s="277" t="s">
        <v>792</v>
      </c>
      <c r="B405" s="296">
        <f>IF($M405&gt;0,('Amounts Pivot Table'!N$591/$M405),0)</f>
        <v>0</v>
      </c>
      <c r="C405" s="296">
        <f>IF($M405&gt;0,('Amounts Pivot Table'!N$594/$M405),0)</f>
        <v>0</v>
      </c>
      <c r="D405" s="296">
        <f>IF($M405&gt;0,('Amounts Pivot Table'!N$597/$M405),0)</f>
        <v>0</v>
      </c>
      <c r="E405" s="296">
        <f>IF($M405&gt;0,('Amounts Pivot Table'!N$600/$M405),0)</f>
        <v>0</v>
      </c>
      <c r="F405" s="364">
        <f t="shared" si="32"/>
        <v>0</v>
      </c>
      <c r="G405" s="365">
        <f t="shared" si="33"/>
        <v>0</v>
      </c>
      <c r="H405" s="366">
        <f t="shared" si="34"/>
        <v>0</v>
      </c>
      <c r="I405" s="366">
        <f t="shared" si="35"/>
        <v>0</v>
      </c>
      <c r="J405" s="366">
        <f t="shared" si="36"/>
        <v>0</v>
      </c>
      <c r="K405" s="366">
        <f t="shared" si="37"/>
        <v>0</v>
      </c>
      <c r="L405" s="367"/>
      <c r="M405" s="357"/>
    </row>
    <row r="406" spans="1:14" s="362" customFormat="1" ht="17.25" customHeight="1">
      <c r="A406" s="1272" t="s">
        <v>948</v>
      </c>
      <c r="B406" s="1272"/>
      <c r="C406" s="1272"/>
      <c r="D406" s="1272"/>
      <c r="E406" s="1272"/>
      <c r="F406" s="1272"/>
      <c r="G406" s="1272"/>
      <c r="H406" s="1272"/>
      <c r="I406" s="1272"/>
      <c r="J406" s="1272"/>
      <c r="K406" s="1272"/>
      <c r="L406" s="363"/>
      <c r="M406" s="382"/>
    </row>
    <row r="407" spans="1:14" s="362" customFormat="1" ht="34.5" customHeight="1">
      <c r="A407" s="1244" t="s">
        <v>926</v>
      </c>
      <c r="B407" s="1270"/>
      <c r="C407" s="1270"/>
      <c r="D407" s="1270"/>
      <c r="E407" s="1270"/>
      <c r="F407" s="1270"/>
      <c r="G407" s="1270"/>
      <c r="H407" s="1270"/>
      <c r="I407" s="1270"/>
      <c r="J407" s="1270"/>
      <c r="K407" s="1270"/>
      <c r="L407" s="363"/>
      <c r="M407" s="348"/>
    </row>
    <row r="408" spans="1:14" s="397" customFormat="1" ht="13.5" customHeight="1">
      <c r="A408" s="1244" t="s">
        <v>927</v>
      </c>
      <c r="B408" s="1270"/>
      <c r="C408" s="1270"/>
      <c r="D408" s="1270"/>
      <c r="E408" s="1270"/>
      <c r="F408" s="1270"/>
      <c r="G408" s="1270"/>
      <c r="H408" s="1270"/>
      <c r="I408" s="1270"/>
      <c r="J408" s="1270"/>
      <c r="K408" s="1270"/>
      <c r="L408" s="347"/>
      <c r="M408" s="348"/>
    </row>
    <row r="409" spans="1:14" ht="13.5" customHeight="1">
      <c r="A409" s="1244" t="s">
        <v>930</v>
      </c>
      <c r="B409" s="1245"/>
      <c r="C409" s="1245"/>
      <c r="D409" s="1245"/>
      <c r="E409" s="1245"/>
      <c r="F409" s="1245"/>
      <c r="G409" s="1245"/>
      <c r="H409" s="1245"/>
      <c r="I409" s="1245"/>
      <c r="J409" s="1245"/>
      <c r="K409" s="1245"/>
      <c r="L409" s="367"/>
      <c r="M409" s="348"/>
    </row>
    <row r="410" spans="1:14">
      <c r="A410" s="368"/>
      <c r="B410" s="369"/>
      <c r="C410" s="369"/>
      <c r="D410" s="369"/>
      <c r="E410" s="369"/>
      <c r="F410" s="369"/>
      <c r="G410" s="369"/>
      <c r="H410" s="369"/>
      <c r="I410" s="369"/>
      <c r="J410" s="369"/>
      <c r="K410" s="370" t="s">
        <v>1814</v>
      </c>
      <c r="L410" s="367"/>
      <c r="M410" s="348"/>
    </row>
    <row r="411" spans="1:14" ht="18.75" customHeight="1">
      <c r="A411" s="1228" t="s">
        <v>949</v>
      </c>
      <c r="B411" s="1228"/>
      <c r="C411" s="1228"/>
      <c r="D411" s="1228"/>
      <c r="E411" s="1228"/>
      <c r="F411" s="1228"/>
      <c r="G411" s="1228"/>
      <c r="H411" s="1228"/>
      <c r="I411" s="1228"/>
      <c r="J411" s="1228"/>
      <c r="K411" s="1228"/>
      <c r="L411" s="367"/>
      <c r="M411" s="348"/>
    </row>
    <row r="412" spans="1:14" ht="17.5">
      <c r="A412" s="1228" t="s">
        <v>920</v>
      </c>
      <c r="B412" s="1228"/>
      <c r="C412" s="1228"/>
      <c r="D412" s="1228"/>
      <c r="E412" s="1228"/>
      <c r="F412" s="1228"/>
      <c r="G412" s="1228"/>
      <c r="H412" s="1228"/>
      <c r="I412" s="1228"/>
      <c r="J412" s="1228"/>
      <c r="K412" s="1228"/>
      <c r="L412" s="344"/>
      <c r="M412" s="348"/>
    </row>
    <row r="413" spans="1:14" ht="15.75" customHeight="1">
      <c r="A413" s="1228" t="s">
        <v>1491</v>
      </c>
      <c r="B413" s="1228"/>
      <c r="C413" s="1228"/>
      <c r="D413" s="1228"/>
      <c r="E413" s="1228"/>
      <c r="F413" s="1228"/>
      <c r="G413" s="1228"/>
      <c r="H413" s="1228"/>
      <c r="I413" s="1228"/>
      <c r="J413" s="1228"/>
      <c r="K413" s="1228"/>
      <c r="L413" s="406"/>
      <c r="M413" s="371"/>
    </row>
    <row r="414" spans="1:14" ht="15.75" customHeight="1">
      <c r="A414" s="341"/>
      <c r="B414" s="341"/>
      <c r="C414" s="341"/>
      <c r="D414" s="341"/>
      <c r="E414" s="341"/>
      <c r="F414" s="341"/>
      <c r="G414" s="373"/>
      <c r="H414" s="341"/>
      <c r="I414" s="341"/>
      <c r="J414" s="341"/>
      <c r="K414" s="341"/>
      <c r="L414" s="344"/>
      <c r="M414" s="348"/>
    </row>
    <row r="415" spans="1:14" ht="12" customHeight="1">
      <c r="A415" s="346"/>
      <c r="B415" s="1279" t="s">
        <v>922</v>
      </c>
      <c r="C415" s="1280"/>
      <c r="D415" s="1280"/>
      <c r="E415" s="1280"/>
      <c r="F415" s="1280"/>
      <c r="G415" s="236" t="s">
        <v>923</v>
      </c>
      <c r="H415" s="235"/>
      <c r="I415" s="235"/>
      <c r="J415" s="235"/>
      <c r="K415" s="235"/>
      <c r="L415" s="389"/>
      <c r="M415" s="348"/>
    </row>
    <row r="416" spans="1:14" s="53" customFormat="1" ht="42">
      <c r="A416" s="243"/>
      <c r="B416" s="244" t="s">
        <v>6</v>
      </c>
      <c r="C416" s="245" t="s">
        <v>7</v>
      </c>
      <c r="D416" s="245" t="s">
        <v>8</v>
      </c>
      <c r="E416" s="245" t="s">
        <v>924</v>
      </c>
      <c r="F416" s="245" t="s">
        <v>768</v>
      </c>
      <c r="G416" s="246" t="s">
        <v>6</v>
      </c>
      <c r="H416" s="245" t="s">
        <v>7</v>
      </c>
      <c r="I416" s="245" t="s">
        <v>8</v>
      </c>
      <c r="J416" s="245" t="s">
        <v>924</v>
      </c>
      <c r="K416" s="245" t="s">
        <v>768</v>
      </c>
      <c r="L416" s="350"/>
      <c r="M416" s="372" t="s">
        <v>921</v>
      </c>
      <c r="N416" s="668" t="s">
        <v>1044</v>
      </c>
    </row>
    <row r="417" spans="1:13" ht="14.5">
      <c r="A417" s="77" t="s">
        <v>925</v>
      </c>
      <c r="B417" s="352">
        <f>IF(M417&gt;0,('Amounts Pivot Table'!S$630/M417),0)</f>
        <v>4894.4930407258807</v>
      </c>
      <c r="C417" s="352">
        <f>IF(M417&gt;0,('Amounts Pivot Table'!S$633/M417),0)</f>
        <v>0</v>
      </c>
      <c r="D417" s="407">
        <f>IF(M417&gt;0,('Amounts Pivot Table'!S$636/M417),0)</f>
        <v>0</v>
      </c>
      <c r="E417" s="352">
        <f>IF(M417&gt;0,('Amounts Pivot Table'!S$639/M417),0)</f>
        <v>3894.4765173365818</v>
      </c>
      <c r="F417" s="352">
        <f>SUM(B417:E417)</f>
        <v>8788.969558062463</v>
      </c>
      <c r="G417" s="353"/>
      <c r="H417" s="354"/>
      <c r="I417" s="354"/>
      <c r="J417" s="354"/>
      <c r="K417" s="354"/>
      <c r="L417" s="356"/>
      <c r="M417" s="357">
        <v>116713.54456666668</v>
      </c>
    </row>
    <row r="418" spans="1:13" ht="12.75" customHeight="1">
      <c r="B418" s="352"/>
      <c r="C418" s="352"/>
      <c r="D418" s="352"/>
      <c r="E418" s="352"/>
      <c r="F418" s="352"/>
      <c r="G418" s="353"/>
      <c r="H418" s="354"/>
      <c r="I418" s="354"/>
      <c r="J418" s="354"/>
      <c r="K418" s="354"/>
      <c r="L418" s="356"/>
      <c r="M418" s="357" t="s">
        <v>421</v>
      </c>
    </row>
    <row r="419" spans="1:13" ht="12.75" customHeight="1">
      <c r="A419" s="77" t="s">
        <v>777</v>
      </c>
      <c r="B419" s="288">
        <f>IF($M419&gt;0,('Amounts Pivot Table'!S$6/$M419),0)</f>
        <v>9150.4420247730613</v>
      </c>
      <c r="C419" s="288">
        <f>IF($M419&gt;0,('Amounts Pivot Table'!S$9/$M419),0)</f>
        <v>0</v>
      </c>
      <c r="D419" s="288">
        <f>IF($M419&gt;0,('Amounts Pivot Table'!S$12/$M419),0)</f>
        <v>0</v>
      </c>
      <c r="E419" s="288">
        <f>IF($M419&gt;0,('Amounts Pivot Table'!S$15/$M419),0)</f>
        <v>4943.7100344318733</v>
      </c>
      <c r="F419" s="288">
        <f t="shared" ref="F419:F437" si="38">SUM(B419:E419)</f>
        <v>14094.152059204935</v>
      </c>
      <c r="G419" s="359">
        <f t="shared" ref="G419:G437" si="39">IF(B419&gt;0,RANK(B419,$B$419:$B$437),)</f>
        <v>1</v>
      </c>
      <c r="H419" s="289">
        <f t="shared" ref="H419:H437" si="40">IF(C419&gt;0,RANK(C419,$C$419:$C$437),)</f>
        <v>0</v>
      </c>
      <c r="I419" s="289">
        <f t="shared" ref="I419:I437" si="41">IF(D419&gt;0,RANK(D419,$D$419:$D$437),)</f>
        <v>0</v>
      </c>
      <c r="J419" s="289">
        <f t="shared" ref="J419:J437" si="42">IF(E419&gt;0,RANK(E419,$E$419:$E$437),)</f>
        <v>2</v>
      </c>
      <c r="K419" s="289">
        <f t="shared" ref="K419:K437" si="43">IF(F419&gt;0,RANK(F419,$F$419:$F$437),)</f>
        <v>1</v>
      </c>
      <c r="L419" s="356"/>
      <c r="M419" s="357">
        <v>2981.7333333333336</v>
      </c>
    </row>
    <row r="420" spans="1:13" ht="12.75" customHeight="1">
      <c r="A420" s="77" t="s">
        <v>778</v>
      </c>
      <c r="B420" s="288">
        <f>IF($M420&gt;0,('Amounts Pivot Table'!S$45/$M420),0)</f>
        <v>0</v>
      </c>
      <c r="C420" s="288">
        <f>IF($M420&gt;0,('Amounts Pivot Table'!S$48/$M420),0)</f>
        <v>0</v>
      </c>
      <c r="D420" s="288">
        <f>IF($M420&gt;0,('Amounts Pivot Table'!S$51/$M420),0)</f>
        <v>0</v>
      </c>
      <c r="E420" s="288">
        <f>IF($M420&gt;0,('Amounts Pivot Table'!S$54/$M420),0)</f>
        <v>0</v>
      </c>
      <c r="F420" s="288">
        <f t="shared" si="38"/>
        <v>0</v>
      </c>
      <c r="G420" s="359">
        <f t="shared" si="39"/>
        <v>0</v>
      </c>
      <c r="H420" s="289">
        <f t="shared" si="40"/>
        <v>0</v>
      </c>
      <c r="I420" s="289">
        <f t="shared" si="41"/>
        <v>0</v>
      </c>
      <c r="J420" s="289">
        <f t="shared" si="42"/>
        <v>0</v>
      </c>
      <c r="K420" s="289">
        <f t="shared" si="43"/>
        <v>0</v>
      </c>
      <c r="L420" s="356"/>
      <c r="M420" s="357">
        <v>0</v>
      </c>
    </row>
    <row r="421" spans="1:13" ht="12.75" customHeight="1">
      <c r="A421" s="77" t="s">
        <v>779</v>
      </c>
      <c r="B421" s="288">
        <f>IF($M421&gt;0,('Amounts Pivot Table'!S$84/$M421),0)</f>
        <v>0</v>
      </c>
      <c r="C421" s="288">
        <f>IF($M421&gt;0,('Amounts Pivot Table'!S$87/$M421),0)</f>
        <v>0</v>
      </c>
      <c r="D421" s="288">
        <f>IF($M421&gt;0,('Amounts Pivot Table'!S$90/$M421),0)</f>
        <v>0</v>
      </c>
      <c r="E421" s="288">
        <f>IF($M421&gt;0,('Amounts Pivot Table'!S$93/$M421),0)</f>
        <v>0</v>
      </c>
      <c r="F421" s="288">
        <f t="shared" si="38"/>
        <v>0</v>
      </c>
      <c r="G421" s="359">
        <f t="shared" si="39"/>
        <v>0</v>
      </c>
      <c r="H421" s="289">
        <f t="shared" si="40"/>
        <v>0</v>
      </c>
      <c r="I421" s="289">
        <f t="shared" si="41"/>
        <v>0</v>
      </c>
      <c r="J421" s="289">
        <f t="shared" si="42"/>
        <v>0</v>
      </c>
      <c r="K421" s="289">
        <f t="shared" si="43"/>
        <v>0</v>
      </c>
      <c r="L421" s="356"/>
      <c r="M421" s="357">
        <v>0</v>
      </c>
    </row>
    <row r="422" spans="1:13" ht="12.75" customHeight="1">
      <c r="A422" s="77" t="s">
        <v>780</v>
      </c>
      <c r="B422" s="288">
        <f>IF($M422&gt;0,('Amounts Pivot Table'!S$123/$M422),0)</f>
        <v>0</v>
      </c>
      <c r="C422" s="288">
        <f>IF($M422&gt;0,('Amounts Pivot Table'!S$126/$M422),0)</f>
        <v>0</v>
      </c>
      <c r="D422" s="288">
        <f>IF($M422&gt;0,('Amounts Pivot Table'!S$129/$M422),0)</f>
        <v>0</v>
      </c>
      <c r="E422" s="288">
        <f>IF($M422&gt;0,('Amounts Pivot Table'!S$132/$M422),0)</f>
        <v>0</v>
      </c>
      <c r="F422" s="288">
        <f t="shared" si="38"/>
        <v>0</v>
      </c>
      <c r="G422" s="359">
        <f t="shared" si="39"/>
        <v>0</v>
      </c>
      <c r="H422" s="289">
        <f t="shared" si="40"/>
        <v>0</v>
      </c>
      <c r="I422" s="289">
        <f t="shared" si="41"/>
        <v>0</v>
      </c>
      <c r="J422" s="289">
        <f t="shared" si="42"/>
        <v>0</v>
      </c>
      <c r="K422" s="289">
        <f t="shared" si="43"/>
        <v>0</v>
      </c>
      <c r="L422" s="356"/>
      <c r="M422" s="357">
        <v>0</v>
      </c>
    </row>
    <row r="423" spans="1:13" ht="12.75" customHeight="1">
      <c r="B423" s="288"/>
      <c r="C423" s="288"/>
      <c r="D423" s="288"/>
      <c r="E423" s="288"/>
      <c r="F423" s="288"/>
      <c r="G423" s="359"/>
      <c r="H423" s="289"/>
      <c r="I423" s="289"/>
      <c r="J423" s="289"/>
      <c r="K423" s="289"/>
      <c r="L423" s="356"/>
      <c r="M423" s="357"/>
    </row>
    <row r="424" spans="1:13" ht="12.75" customHeight="1">
      <c r="A424" s="77" t="s">
        <v>781</v>
      </c>
      <c r="B424" s="288">
        <f>IF($M424&gt;0,('Amounts Pivot Table'!S$162/$M424),0)</f>
        <v>4572.2370939903485</v>
      </c>
      <c r="C424" s="288">
        <f>IF($M424&gt;0,('Amounts Pivot Table'!S$165/$M424),0)</f>
        <v>0</v>
      </c>
      <c r="D424" s="288">
        <f>IF($M424&gt;0,('Amounts Pivot Table'!S$168/$M424),0)</f>
        <v>0</v>
      </c>
      <c r="E424" s="288">
        <f>IF($M424&gt;0,('Amounts Pivot Table'!S$171/$M424),0)</f>
        <v>4607.659782071838</v>
      </c>
      <c r="F424" s="288">
        <f t="shared" si="38"/>
        <v>9179.8968760621865</v>
      </c>
      <c r="G424" s="359">
        <f t="shared" si="39"/>
        <v>4</v>
      </c>
      <c r="H424" s="289">
        <f t="shared" si="40"/>
        <v>0</v>
      </c>
      <c r="I424" s="289">
        <f t="shared" si="41"/>
        <v>0</v>
      </c>
      <c r="J424" s="289">
        <f t="shared" si="42"/>
        <v>3</v>
      </c>
      <c r="K424" s="361">
        <f t="shared" si="43"/>
        <v>2</v>
      </c>
      <c r="L424" s="356"/>
      <c r="M424" s="357">
        <v>67961.233333333337</v>
      </c>
    </row>
    <row r="425" spans="1:13" ht="12.75" customHeight="1">
      <c r="A425" s="77" t="s">
        <v>782</v>
      </c>
      <c r="B425" s="288">
        <f>IF($M425&gt;0,('Amounts Pivot Table'!S$201/$M425),0)</f>
        <v>2954.5711939291059</v>
      </c>
      <c r="C425" s="288">
        <f>IF($M425&gt;0,('Amounts Pivot Table'!S$204/$M425),0)</f>
        <v>0</v>
      </c>
      <c r="D425" s="288">
        <f>IF($M425&gt;0,('Amounts Pivot Table'!S$207/$M425),0)</f>
        <v>0</v>
      </c>
      <c r="E425" s="288">
        <f>IF($M425&gt;0,('Amounts Pivot Table'!S$210/$M425),0)</f>
        <v>5274.568035780273</v>
      </c>
      <c r="F425" s="288">
        <f t="shared" si="38"/>
        <v>8229.1392297093789</v>
      </c>
      <c r="G425" s="359">
        <f t="shared" si="39"/>
        <v>6</v>
      </c>
      <c r="H425" s="289">
        <f t="shared" si="40"/>
        <v>0</v>
      </c>
      <c r="I425" s="289">
        <f t="shared" si="41"/>
        <v>0</v>
      </c>
      <c r="J425" s="289">
        <f t="shared" si="42"/>
        <v>1</v>
      </c>
      <c r="K425" s="289">
        <f t="shared" si="43"/>
        <v>4</v>
      </c>
      <c r="L425" s="356"/>
      <c r="M425" s="357">
        <v>5150.6966666666667</v>
      </c>
    </row>
    <row r="426" spans="1:13" ht="12.75" customHeight="1">
      <c r="A426" s="77" t="s">
        <v>813</v>
      </c>
      <c r="B426" s="288">
        <f>IF($M426&gt;0,('Amounts Pivot Table'!S$240/$M426),0)</f>
        <v>3646.4473691762855</v>
      </c>
      <c r="C426" s="288">
        <f>IF($M426&gt;0,('Amounts Pivot Table'!S$243/$M426),0)</f>
        <v>0</v>
      </c>
      <c r="D426" s="288">
        <f>IF($M426&gt;0,('Amounts Pivot Table'!S$246/$M426),0)</f>
        <v>0</v>
      </c>
      <c r="E426" s="288">
        <f>IF($M426&gt;0,('Amounts Pivot Table'!S$249/$M426),0)</f>
        <v>3993.9599249238049</v>
      </c>
      <c r="F426" s="288">
        <f t="shared" si="38"/>
        <v>7640.4072941000904</v>
      </c>
      <c r="G426" s="359">
        <f t="shared" si="39"/>
        <v>5</v>
      </c>
      <c r="H426" s="289">
        <f t="shared" si="40"/>
        <v>0</v>
      </c>
      <c r="I426" s="289">
        <f t="shared" si="41"/>
        <v>0</v>
      </c>
      <c r="J426" s="289">
        <f t="shared" si="42"/>
        <v>4</v>
      </c>
      <c r="K426" s="289">
        <f t="shared" si="43"/>
        <v>5</v>
      </c>
      <c r="L426" s="356"/>
      <c r="M426" s="357">
        <v>8711.15</v>
      </c>
    </row>
    <row r="427" spans="1:13" ht="12.75" customHeight="1">
      <c r="A427" s="77" t="s">
        <v>784</v>
      </c>
      <c r="B427" s="288">
        <f>IF($M427&gt;0,('Amounts Pivot Table'!S$279/$M427),0)</f>
        <v>0</v>
      </c>
      <c r="C427" s="288">
        <f>IF($M427&gt;0,('Amounts Pivot Table'!S$282/$M427),0)</f>
        <v>0</v>
      </c>
      <c r="D427" s="288">
        <f>IF($M427&gt;0,('Amounts Pivot Table'!S$285/$M427),0)</f>
        <v>0</v>
      </c>
      <c r="E427" s="288">
        <f>IF($M427&gt;0,('Amounts Pivot Table'!S$288/$M427),0)</f>
        <v>0</v>
      </c>
      <c r="F427" s="288">
        <f t="shared" si="38"/>
        <v>0</v>
      </c>
      <c r="G427" s="359">
        <f t="shared" si="39"/>
        <v>0</v>
      </c>
      <c r="H427" s="289">
        <f t="shared" si="40"/>
        <v>0</v>
      </c>
      <c r="I427" s="289">
        <f t="shared" si="41"/>
        <v>0</v>
      </c>
      <c r="J427" s="289">
        <f t="shared" si="42"/>
        <v>0</v>
      </c>
      <c r="K427" s="289">
        <f t="shared" si="43"/>
        <v>0</v>
      </c>
      <c r="L427" s="356"/>
      <c r="M427" s="357">
        <v>0</v>
      </c>
    </row>
    <row r="428" spans="1:13" ht="12.75" customHeight="1">
      <c r="B428" s="288"/>
      <c r="C428" s="288"/>
      <c r="D428" s="288"/>
      <c r="E428" s="288"/>
      <c r="F428" s="288"/>
      <c r="G428" s="359"/>
      <c r="H428" s="289"/>
      <c r="I428" s="289"/>
      <c r="J428" s="289"/>
      <c r="K428" s="289"/>
      <c r="L428" s="356"/>
      <c r="M428" s="357"/>
    </row>
    <row r="429" spans="1:13" ht="12.75" customHeight="1">
      <c r="A429" s="77" t="s">
        <v>785</v>
      </c>
      <c r="B429" s="288">
        <f>IF($M429&gt;0,('Amounts Pivot Table'!S$318/$M429),0)</f>
        <v>0</v>
      </c>
      <c r="C429" s="288">
        <f>IF($M429&gt;0,('Amounts Pivot Table'!S$321/$M429),0)</f>
        <v>0</v>
      </c>
      <c r="D429" s="288">
        <f>IF($M429&gt;0,('Amounts Pivot Table'!S$324/$M429),0)</f>
        <v>0</v>
      </c>
      <c r="E429" s="288">
        <f>IF($M429&gt;0,('Amounts Pivot Table'!S$327/$M429),0)</f>
        <v>0</v>
      </c>
      <c r="F429" s="288">
        <f t="shared" si="38"/>
        <v>0</v>
      </c>
      <c r="G429" s="359">
        <f t="shared" si="39"/>
        <v>0</v>
      </c>
      <c r="H429" s="289">
        <f t="shared" si="40"/>
        <v>0</v>
      </c>
      <c r="I429" s="289">
        <f t="shared" si="41"/>
        <v>0</v>
      </c>
      <c r="J429" s="289">
        <f t="shared" si="42"/>
        <v>0</v>
      </c>
      <c r="K429" s="289">
        <f t="shared" si="43"/>
        <v>0</v>
      </c>
      <c r="L429" s="356"/>
      <c r="M429" s="357">
        <v>0</v>
      </c>
    </row>
    <row r="430" spans="1:13" ht="12.75" customHeight="1">
      <c r="A430" s="77" t="s">
        <v>786</v>
      </c>
      <c r="B430" s="288">
        <f>IF($M430&gt;0,('Amounts Pivot Table'!S$357/$M430),0)</f>
        <v>0</v>
      </c>
      <c r="C430" s="288">
        <f>IF($M430&gt;0,('Amounts Pivot Table'!S$360/$M430),0)</f>
        <v>0</v>
      </c>
      <c r="D430" s="288">
        <f>IF($M430&gt;0,('Amounts Pivot Table'!S$363/$M430),0)</f>
        <v>0</v>
      </c>
      <c r="E430" s="288">
        <f>IF($M430&gt;0,('Amounts Pivot Table'!S$366/$M430),0)</f>
        <v>0</v>
      </c>
      <c r="F430" s="288">
        <f t="shared" si="38"/>
        <v>0</v>
      </c>
      <c r="G430" s="359">
        <f t="shared" si="39"/>
        <v>0</v>
      </c>
      <c r="H430" s="289">
        <f t="shared" si="40"/>
        <v>0</v>
      </c>
      <c r="I430" s="289">
        <f t="shared" si="41"/>
        <v>0</v>
      </c>
      <c r="J430" s="289">
        <f t="shared" si="42"/>
        <v>0</v>
      </c>
      <c r="K430" s="289">
        <f t="shared" si="43"/>
        <v>0</v>
      </c>
      <c r="L430" s="356"/>
      <c r="M430" s="357">
        <v>0</v>
      </c>
    </row>
    <row r="431" spans="1:13" ht="12.75" customHeight="1">
      <c r="A431" s="77" t="s">
        <v>787</v>
      </c>
      <c r="B431" s="288">
        <f>IF($M431&gt;0,('Amounts Pivot Table'!S$396/$M431),0)</f>
        <v>5322.3697373420737</v>
      </c>
      <c r="C431" s="288">
        <f>IF($M431&gt;0,('Amounts Pivot Table'!S$399/$M431),0)</f>
        <v>0</v>
      </c>
      <c r="D431" s="288">
        <f>IF($M431&gt;0,('Amounts Pivot Table'!S$402/$M431),0)</f>
        <v>0</v>
      </c>
      <c r="E431" s="288">
        <f>IF($M431&gt;0,('Amounts Pivot Table'!S$405/$M431),0)</f>
        <v>1340.6331183325779</v>
      </c>
      <c r="F431" s="288">
        <f t="shared" si="38"/>
        <v>6663.0028556746511</v>
      </c>
      <c r="G431" s="359">
        <f t="shared" si="39"/>
        <v>3</v>
      </c>
      <c r="H431" s="289">
        <f t="shared" si="40"/>
        <v>0</v>
      </c>
      <c r="I431" s="289">
        <f t="shared" si="41"/>
        <v>0</v>
      </c>
      <c r="J431" s="289">
        <f t="shared" si="42"/>
        <v>6</v>
      </c>
      <c r="K431" s="289">
        <f t="shared" si="43"/>
        <v>6</v>
      </c>
      <c r="L431" s="356"/>
      <c r="M431" s="357">
        <v>19050.594566666667</v>
      </c>
    </row>
    <row r="432" spans="1:13" ht="12.75" customHeight="1">
      <c r="A432" s="77" t="s">
        <v>788</v>
      </c>
      <c r="B432" s="288">
        <f>IF($M432&gt;0,('Amounts Pivot Table'!S$435/$M432),0)</f>
        <v>0</v>
      </c>
      <c r="C432" s="288">
        <f>IF($M432&gt;0,('Amounts Pivot Table'!S$438/$M432),0)</f>
        <v>0</v>
      </c>
      <c r="D432" s="288">
        <f>IF($M432&gt;0,('Amounts Pivot Table'!S$441/$M432),0)</f>
        <v>0</v>
      </c>
      <c r="E432" s="288">
        <f>IF($M432&gt;0,('Amounts Pivot Table'!S$444/$M432),0)</f>
        <v>0</v>
      </c>
      <c r="F432" s="288">
        <f t="shared" si="38"/>
        <v>0</v>
      </c>
      <c r="G432" s="359">
        <f t="shared" si="39"/>
        <v>0</v>
      </c>
      <c r="H432" s="289">
        <f t="shared" si="40"/>
        <v>0</v>
      </c>
      <c r="I432" s="289">
        <f t="shared" si="41"/>
        <v>0</v>
      </c>
      <c r="J432" s="289">
        <f t="shared" si="42"/>
        <v>0</v>
      </c>
      <c r="K432" s="289">
        <f t="shared" si="43"/>
        <v>0</v>
      </c>
      <c r="L432" s="356"/>
      <c r="M432" s="357">
        <v>0</v>
      </c>
    </row>
    <row r="433" spans="1:13" ht="12.75" customHeight="1">
      <c r="B433" s="288"/>
      <c r="C433" s="288"/>
      <c r="D433" s="288"/>
      <c r="E433" s="288"/>
      <c r="F433" s="288"/>
      <c r="G433" s="359"/>
      <c r="H433" s="289"/>
      <c r="I433" s="289"/>
      <c r="J433" s="289"/>
      <c r="K433" s="289"/>
      <c r="L433" s="356"/>
      <c r="M433" s="357"/>
    </row>
    <row r="434" spans="1:13" ht="12.75" customHeight="1">
      <c r="A434" s="77" t="s">
        <v>789</v>
      </c>
      <c r="B434" s="288">
        <f>IF($M434&gt;0,('Amounts Pivot Table'!S$474/$M434),0)</f>
        <v>5916.5726708457751</v>
      </c>
      <c r="C434" s="288">
        <f>IF($M434&gt;0,('Amounts Pivot Table'!S$477/$M434),0)</f>
        <v>0</v>
      </c>
      <c r="D434" s="288">
        <f>IF($M434&gt;0,('Amounts Pivot Table'!S$480/$M434),0)</f>
        <v>0</v>
      </c>
      <c r="E434" s="288">
        <f>IF($M434&gt;0,('Amounts Pivot Table'!S$483/$M434),0)</f>
        <v>3045.1962842723965</v>
      </c>
      <c r="F434" s="288">
        <f t="shared" si="38"/>
        <v>8961.768955118172</v>
      </c>
      <c r="G434" s="359">
        <f t="shared" si="39"/>
        <v>2</v>
      </c>
      <c r="H434" s="289">
        <f t="shared" si="40"/>
        <v>0</v>
      </c>
      <c r="I434" s="289">
        <f t="shared" si="41"/>
        <v>0</v>
      </c>
      <c r="J434" s="289">
        <f t="shared" si="42"/>
        <v>5</v>
      </c>
      <c r="K434" s="289">
        <f t="shared" si="43"/>
        <v>3</v>
      </c>
      <c r="L434" s="356"/>
      <c r="M434" s="357">
        <v>12858.136666666669</v>
      </c>
    </row>
    <row r="435" spans="1:13" s="362" customFormat="1" ht="12.75" customHeight="1">
      <c r="A435" s="77" t="s">
        <v>790</v>
      </c>
      <c r="B435" s="288">
        <f>IF($M435&gt;0,('Amounts Pivot Table'!S$513/$M435),0)</f>
        <v>0</v>
      </c>
      <c r="C435" s="288">
        <f>IF($M435&gt;0,('Amounts Pivot Table'!S$516/$M435),0)</f>
        <v>0</v>
      </c>
      <c r="D435" s="288">
        <f>IF($M435&gt;0,('Amounts Pivot Table'!S$519/$M435),0)</f>
        <v>0</v>
      </c>
      <c r="E435" s="288">
        <f>IF($M435&gt;0,('Amounts Pivot Table'!S$522/$M435),0)</f>
        <v>0</v>
      </c>
      <c r="F435" s="288">
        <f t="shared" si="38"/>
        <v>0</v>
      </c>
      <c r="G435" s="359">
        <f t="shared" si="39"/>
        <v>0</v>
      </c>
      <c r="H435" s="289">
        <f t="shared" si="40"/>
        <v>0</v>
      </c>
      <c r="I435" s="289">
        <f t="shared" si="41"/>
        <v>0</v>
      </c>
      <c r="J435" s="289">
        <f t="shared" si="42"/>
        <v>0</v>
      </c>
      <c r="K435" s="289">
        <f t="shared" si="43"/>
        <v>0</v>
      </c>
      <c r="L435" s="363"/>
      <c r="M435" s="357">
        <v>0</v>
      </c>
    </row>
    <row r="436" spans="1:13" ht="12.75" customHeight="1">
      <c r="A436" s="77" t="s">
        <v>791</v>
      </c>
      <c r="B436" s="288">
        <f>IF($M436&gt;0,('Amounts Pivot Table'!S$552/$M436),0)</f>
        <v>0</v>
      </c>
      <c r="C436" s="288">
        <f>IF($M436&gt;0,('Amounts Pivot Table'!S$555/$M436),0)</f>
        <v>0</v>
      </c>
      <c r="D436" s="288">
        <f>IF($M436&gt;0,('Amounts Pivot Table'!S$558/$M436),0)</f>
        <v>0</v>
      </c>
      <c r="E436" s="288">
        <f>IF($M436&gt;0,('Amounts Pivot Table'!S$561/$M436),0)</f>
        <v>0</v>
      </c>
      <c r="F436" s="288">
        <f t="shared" si="38"/>
        <v>0</v>
      </c>
      <c r="G436" s="359">
        <f t="shared" si="39"/>
        <v>0</v>
      </c>
      <c r="H436" s="289">
        <f t="shared" si="40"/>
        <v>0</v>
      </c>
      <c r="I436" s="289">
        <f t="shared" si="41"/>
        <v>0</v>
      </c>
      <c r="J436" s="289">
        <f t="shared" si="42"/>
        <v>0</v>
      </c>
      <c r="K436" s="289">
        <f t="shared" si="43"/>
        <v>0</v>
      </c>
      <c r="L436" s="367"/>
      <c r="M436" s="357">
        <v>0</v>
      </c>
    </row>
    <row r="437" spans="1:13" ht="15" customHeight="1">
      <c r="A437" s="277" t="s">
        <v>792</v>
      </c>
      <c r="B437" s="296">
        <f>IF($M437&gt;0,('Amounts Pivot Table'!S$591/$M437),0)</f>
        <v>0</v>
      </c>
      <c r="C437" s="296">
        <f>IF($M437&gt;0,('Amounts Pivot Table'!S$594/$M437),0)</f>
        <v>0</v>
      </c>
      <c r="D437" s="296">
        <f>IF($M437&gt;0,('Amounts Pivot Table'!S$597/$M437),0)</f>
        <v>0</v>
      </c>
      <c r="E437" s="296">
        <f>IF($M437&gt;0,('Amounts Pivot Table'!S$600/$M437),0)</f>
        <v>0</v>
      </c>
      <c r="F437" s="364">
        <f t="shared" si="38"/>
        <v>0</v>
      </c>
      <c r="G437" s="365">
        <f t="shared" si="39"/>
        <v>0</v>
      </c>
      <c r="H437" s="366">
        <f t="shared" si="40"/>
        <v>0</v>
      </c>
      <c r="I437" s="366">
        <f t="shared" si="41"/>
        <v>0</v>
      </c>
      <c r="J437" s="366">
        <f t="shared" si="42"/>
        <v>0</v>
      </c>
      <c r="K437" s="366">
        <f t="shared" si="43"/>
        <v>0</v>
      </c>
      <c r="L437" s="367"/>
      <c r="M437" s="357">
        <v>0</v>
      </c>
    </row>
    <row r="438" spans="1:13" s="362" customFormat="1" ht="34.5" customHeight="1">
      <c r="A438" s="1244" t="s">
        <v>926</v>
      </c>
      <c r="B438" s="1270"/>
      <c r="C438" s="1270"/>
      <c r="D438" s="1270"/>
      <c r="E438" s="1270"/>
      <c r="F438" s="1270"/>
      <c r="G438" s="1270"/>
      <c r="H438" s="1270"/>
      <c r="I438" s="1270"/>
      <c r="J438" s="1270"/>
      <c r="K438" s="1270"/>
      <c r="L438" s="363"/>
      <c r="M438" s="348"/>
    </row>
    <row r="439" spans="1:13" s="397" customFormat="1" ht="13.5" customHeight="1">
      <c r="A439" s="1244" t="s">
        <v>927</v>
      </c>
      <c r="B439" s="1270"/>
      <c r="C439" s="1270"/>
      <c r="D439" s="1270"/>
      <c r="E439" s="1270"/>
      <c r="F439" s="1270"/>
      <c r="G439" s="1270"/>
      <c r="H439" s="1270"/>
      <c r="I439" s="1270"/>
      <c r="J439" s="1270"/>
      <c r="K439" s="1270"/>
      <c r="L439" s="347"/>
      <c r="M439" s="348"/>
    </row>
    <row r="440" spans="1:13" ht="13.5" customHeight="1">
      <c r="A440" s="1244" t="s">
        <v>930</v>
      </c>
      <c r="B440" s="1245"/>
      <c r="C440" s="1245"/>
      <c r="D440" s="1245"/>
      <c r="E440" s="1245"/>
      <c r="F440" s="1245"/>
      <c r="G440" s="1245"/>
      <c r="H440" s="1245"/>
      <c r="I440" s="1245"/>
      <c r="J440" s="1245"/>
      <c r="K440" s="1245"/>
      <c r="L440" s="367"/>
      <c r="M440" s="348"/>
    </row>
    <row r="441" spans="1:13">
      <c r="A441" s="368"/>
      <c r="B441" s="369"/>
      <c r="C441" s="369"/>
      <c r="D441" s="369"/>
      <c r="E441" s="369"/>
      <c r="F441" s="369"/>
      <c r="G441" s="369"/>
      <c r="H441" s="369"/>
      <c r="I441" s="369"/>
      <c r="J441" s="369"/>
      <c r="K441" s="370" t="s">
        <v>1814</v>
      </c>
      <c r="M441" s="348"/>
    </row>
    <row r="442" spans="1:13" ht="18.75" customHeight="1">
      <c r="A442" s="1228" t="s">
        <v>950</v>
      </c>
      <c r="B442" s="1228"/>
      <c r="C442" s="1228"/>
      <c r="D442" s="1228"/>
      <c r="E442" s="1228"/>
      <c r="F442" s="1228"/>
      <c r="G442" s="1228"/>
      <c r="H442" s="1228"/>
      <c r="I442" s="1228"/>
      <c r="J442" s="1228"/>
      <c r="K442" s="1228"/>
      <c r="L442" s="367"/>
      <c r="M442" s="348"/>
    </row>
    <row r="443" spans="1:13" ht="17.5">
      <c r="A443" s="1228" t="s">
        <v>920</v>
      </c>
      <c r="B443" s="1228"/>
      <c r="C443" s="1228"/>
      <c r="D443" s="1228"/>
      <c r="E443" s="1228"/>
      <c r="F443" s="1228"/>
      <c r="G443" s="1228"/>
      <c r="H443" s="1228"/>
      <c r="I443" s="1228"/>
      <c r="J443" s="1228"/>
      <c r="K443" s="1228"/>
      <c r="L443" s="344"/>
      <c r="M443" s="348"/>
    </row>
    <row r="444" spans="1:13" ht="15.75" customHeight="1">
      <c r="A444" s="1228" t="s">
        <v>1492</v>
      </c>
      <c r="B444" s="1228"/>
      <c r="C444" s="1228"/>
      <c r="D444" s="1228"/>
      <c r="E444" s="1228"/>
      <c r="F444" s="1228"/>
      <c r="G444" s="1228"/>
      <c r="H444" s="1228"/>
      <c r="I444" s="1228"/>
      <c r="J444" s="1228"/>
      <c r="K444" s="1228"/>
      <c r="L444" s="344"/>
      <c r="M444" s="371"/>
    </row>
    <row r="445" spans="1:13" s="376" customFormat="1" ht="8">
      <c r="A445" s="391"/>
      <c r="B445" s="391"/>
      <c r="C445" s="391"/>
      <c r="D445" s="391"/>
      <c r="E445" s="391"/>
      <c r="F445" s="391"/>
      <c r="G445" s="392"/>
      <c r="H445" s="391"/>
      <c r="I445" s="391"/>
      <c r="J445" s="391"/>
      <c r="K445" s="391"/>
      <c r="L445" s="393"/>
      <c r="M445" s="408"/>
    </row>
    <row r="446" spans="1:13" ht="14.25" customHeight="1">
      <c r="A446" s="346"/>
      <c r="B446" s="1279" t="s">
        <v>922</v>
      </c>
      <c r="C446" s="1280"/>
      <c r="D446" s="1280"/>
      <c r="E446" s="1280"/>
      <c r="F446" s="1280"/>
      <c r="G446" s="236" t="s">
        <v>923</v>
      </c>
      <c r="H446" s="235"/>
      <c r="I446" s="235"/>
      <c r="J446" s="235"/>
      <c r="K446" s="235"/>
      <c r="L446" s="389"/>
      <c r="M446" s="348"/>
    </row>
    <row r="447" spans="1:13" s="53" customFormat="1" ht="42">
      <c r="A447" s="243"/>
      <c r="B447" s="244" t="s">
        <v>6</v>
      </c>
      <c r="C447" s="245" t="s">
        <v>7</v>
      </c>
      <c r="D447" s="245" t="s">
        <v>8</v>
      </c>
      <c r="E447" s="245" t="s">
        <v>924</v>
      </c>
      <c r="F447" s="245" t="s">
        <v>768</v>
      </c>
      <c r="G447" s="246" t="s">
        <v>6</v>
      </c>
      <c r="H447" s="245" t="s">
        <v>7</v>
      </c>
      <c r="I447" s="245" t="s">
        <v>8</v>
      </c>
      <c r="J447" s="245" t="s">
        <v>924</v>
      </c>
      <c r="K447" s="245" t="s">
        <v>768</v>
      </c>
      <c r="L447" s="350"/>
      <c r="M447" s="372" t="s">
        <v>932</v>
      </c>
    </row>
    <row r="448" spans="1:13" ht="14.5">
      <c r="A448" s="77" t="s">
        <v>925</v>
      </c>
      <c r="B448" s="352">
        <f>IF($M448&gt;0,('Amounts Pivot Table'!P$630/$M448),0)</f>
        <v>4299.6429206446983</v>
      </c>
      <c r="C448" s="352">
        <f>IF($M448&gt;0,('Amounts Pivot Table'!P$633/$M448),0)</f>
        <v>0</v>
      </c>
      <c r="D448" s="352">
        <f>IF($M448&gt;0,('Amounts Pivot Table'!P$636/$M448),0)</f>
        <v>0</v>
      </c>
      <c r="E448" s="352">
        <f>IF($M448&gt;0,('Amounts Pivot Table'!P$639/$M448),0)</f>
        <v>4431.607190448557</v>
      </c>
      <c r="F448" s="352">
        <f>SUM(B448:E448)</f>
        <v>8731.2501110932553</v>
      </c>
      <c r="G448" s="409"/>
      <c r="H448" s="354"/>
      <c r="I448" s="354"/>
      <c r="J448" s="354"/>
      <c r="K448" s="354"/>
      <c r="L448" s="356"/>
      <c r="M448" s="357">
        <v>86195.101044444455</v>
      </c>
    </row>
    <row r="449" spans="1:13" s="376" customFormat="1">
      <c r="A449" s="391"/>
      <c r="B449" s="391"/>
      <c r="C449" s="391"/>
      <c r="D449" s="391"/>
      <c r="E449" s="391"/>
      <c r="F449" s="391"/>
      <c r="G449" s="410"/>
      <c r="H449" s="391"/>
      <c r="I449" s="391"/>
      <c r="J449" s="391"/>
      <c r="K449" s="391"/>
      <c r="L449" s="393"/>
      <c r="M449" s="357"/>
    </row>
    <row r="450" spans="1:13" ht="12.75" customHeight="1">
      <c r="A450" s="77" t="s">
        <v>777</v>
      </c>
      <c r="B450" s="288">
        <f>IF($M450&gt;0,('Amounts Pivot Table'!P$6/$M450),0)</f>
        <v>6092.3966438865955</v>
      </c>
      <c r="C450" s="288">
        <f>IF($M450&gt;0,('Amounts Pivot Table'!P$9/$M450),0)</f>
        <v>0</v>
      </c>
      <c r="D450" s="288">
        <f>IF($M450&gt;0,('Amounts Pivot Table'!P$12/$M450),0)</f>
        <v>0</v>
      </c>
      <c r="E450" s="288">
        <f>IF($M450&gt;0,('Amounts Pivot Table'!P$15/$M450),0)</f>
        <v>4659.6867176398946</v>
      </c>
      <c r="F450" s="288">
        <f t="shared" ref="F450:F468" si="44">SUM(B450:E450)</f>
        <v>10752.083361526489</v>
      </c>
      <c r="G450" s="359">
        <f>IF(B450&gt;0,RANK(B450,$B$450:$B$468),)</f>
        <v>1</v>
      </c>
      <c r="H450" s="289">
        <f>IF(C450&gt;0,RANK(C450,$C$450:$C$468),)</f>
        <v>0</v>
      </c>
      <c r="I450" s="289">
        <f>IF(D450&gt;0,RANK(D450,$D$450:$D$468),)</f>
        <v>0</v>
      </c>
      <c r="J450" s="289">
        <f>IF(E450&gt;0,RANK(E450,$E$450:$E$468),)</f>
        <v>2</v>
      </c>
      <c r="K450" s="289">
        <f>IF(F450&gt;0,RANK(F450,$F$450:$F$468),)</f>
        <v>1</v>
      </c>
      <c r="L450" s="356"/>
      <c r="M450" s="357">
        <v>1477.9</v>
      </c>
    </row>
    <row r="451" spans="1:13" ht="12.75" customHeight="1">
      <c r="A451" s="77" t="s">
        <v>778</v>
      </c>
      <c r="B451" s="288">
        <f>IF($M451&gt;0,('Amounts Pivot Table'!P$45/$M451),0)</f>
        <v>0</v>
      </c>
      <c r="C451" s="288">
        <f>IF($M451&gt;0,('Amounts Pivot Table'!P$48/$M451),0)</f>
        <v>0</v>
      </c>
      <c r="D451" s="288">
        <f>IF($M451&gt;0,('Amounts Pivot Table'!P$51/$M451),0)</f>
        <v>0</v>
      </c>
      <c r="E451" s="288">
        <f>IF($M451&gt;0,('Amounts Pivot Table'!P$54/$M451),0)</f>
        <v>0</v>
      </c>
      <c r="F451" s="288">
        <f t="shared" si="44"/>
        <v>0</v>
      </c>
      <c r="G451" s="359">
        <f>IF(B451&gt;0,RANK(B451,$B$450:$B$468),)</f>
        <v>0</v>
      </c>
      <c r="H451" s="289">
        <f>IF(C451&gt;0,RANK(C451,$C$450:$C$468),)</f>
        <v>0</v>
      </c>
      <c r="I451" s="289">
        <f>IF(D451&gt;0,RANK(D451,$D$450:$D$468),)</f>
        <v>0</v>
      </c>
      <c r="J451" s="289">
        <f>IF(E451&gt;0,RANK(E451,$E$450:$E$468),)</f>
        <v>0</v>
      </c>
      <c r="K451" s="289">
        <f>IF(F451&gt;0,RANK(F451,$F$450:$F$468),)</f>
        <v>0</v>
      </c>
      <c r="L451" s="356"/>
      <c r="M451" s="357">
        <v>0</v>
      </c>
    </row>
    <row r="452" spans="1:13" ht="12.75" customHeight="1">
      <c r="A452" s="77" t="s">
        <v>779</v>
      </c>
      <c r="B452" s="288">
        <f>IF($M452&gt;0,('Amounts Pivot Table'!P$84/$M452),0)</f>
        <v>0</v>
      </c>
      <c r="C452" s="288">
        <f>IF($M452&gt;0,('Amounts Pivot Table'!P$87/$M452),0)</f>
        <v>0</v>
      </c>
      <c r="D452" s="288">
        <f>IF($M452&gt;0,('Amounts Pivot Table'!P$90/$M452),0)</f>
        <v>0</v>
      </c>
      <c r="E452" s="288">
        <f>IF($M452&gt;0,('Amounts Pivot Table'!P$93/$M452),0)</f>
        <v>0</v>
      </c>
      <c r="F452" s="288">
        <f t="shared" si="44"/>
        <v>0</v>
      </c>
      <c r="G452" s="359">
        <f>IF(B452&gt;0,RANK(B452,$B$450:$B$468),)</f>
        <v>0</v>
      </c>
      <c r="H452" s="289">
        <f>IF(C452&gt;0,RANK(C452,$C$450:$C$468),)</f>
        <v>0</v>
      </c>
      <c r="I452" s="289">
        <f>IF(D452&gt;0,RANK(D452,$D$450:$D$468),)</f>
        <v>0</v>
      </c>
      <c r="J452" s="289">
        <f>IF(E452&gt;0,RANK(E452,$E$450:$E$468),)</f>
        <v>0</v>
      </c>
      <c r="K452" s="289">
        <f>IF(F452&gt;0,RANK(F452,$F$450:$F$468),)</f>
        <v>0</v>
      </c>
      <c r="L452" s="381"/>
      <c r="M452" s="357">
        <v>0</v>
      </c>
    </row>
    <row r="453" spans="1:13" ht="12.75" customHeight="1">
      <c r="A453" s="77" t="s">
        <v>780</v>
      </c>
      <c r="B453" s="288">
        <f>IF($M453&gt;0,('Amounts Pivot Table'!P$123/$M453),0)</f>
        <v>0</v>
      </c>
      <c r="C453" s="288">
        <f>IF($M453&gt;0,('Amounts Pivot Table'!P$126/$M453),0)</f>
        <v>0</v>
      </c>
      <c r="D453" s="288">
        <f>IF($M453&gt;0,('Amounts Pivot Table'!P$129/$M453),0)</f>
        <v>0</v>
      </c>
      <c r="E453" s="288">
        <f>IF($M453&gt;0,('Amounts Pivot Table'!P$132/$M453),0)</f>
        <v>0</v>
      </c>
      <c r="F453" s="288">
        <f t="shared" si="44"/>
        <v>0</v>
      </c>
      <c r="G453" s="359">
        <f>IF(B453&gt;0,RANK(B453,$B$450:$B$468),)</f>
        <v>0</v>
      </c>
      <c r="H453" s="289">
        <f>IF(C453&gt;0,RANK(C453,$C$450:$C$468),)</f>
        <v>0</v>
      </c>
      <c r="I453" s="289">
        <f>IF(D453&gt;0,RANK(D453,$D$450:$D$468),)</f>
        <v>0</v>
      </c>
      <c r="J453" s="289">
        <f>IF(E453&gt;0,RANK(E453,$E$450:$E$468),)</f>
        <v>0</v>
      </c>
      <c r="K453" s="289">
        <f>IF(F453&gt;0,RANK(F453,$F$450:$F$468),)</f>
        <v>0</v>
      </c>
      <c r="L453" s="356"/>
      <c r="M453" s="357">
        <v>0</v>
      </c>
    </row>
    <row r="454" spans="1:13" s="376" customFormat="1">
      <c r="A454" s="391"/>
      <c r="B454" s="391"/>
      <c r="C454" s="391"/>
      <c r="D454" s="391"/>
      <c r="E454" s="391"/>
      <c r="F454" s="391"/>
      <c r="G454" s="410"/>
      <c r="H454" s="391"/>
      <c r="I454" s="391"/>
      <c r="J454" s="391"/>
      <c r="K454" s="391"/>
      <c r="L454" s="393"/>
      <c r="M454" s="357"/>
    </row>
    <row r="455" spans="1:13" ht="12.75" customHeight="1">
      <c r="A455" s="77" t="s">
        <v>781</v>
      </c>
      <c r="B455" s="288">
        <f>IF($M455&gt;0,('Amounts Pivot Table'!P$162/$M455),0)</f>
        <v>4572.2370939903485</v>
      </c>
      <c r="C455" s="288">
        <f>IF($M455&gt;0,('Amounts Pivot Table'!P$165/$M455),0)</f>
        <v>0</v>
      </c>
      <c r="D455" s="288">
        <f>IF($M455&gt;0,('Amounts Pivot Table'!P$168/$M455),0)</f>
        <v>0</v>
      </c>
      <c r="E455" s="288">
        <f>IF($M455&gt;0,('Amounts Pivot Table'!P$171/$M455),0)</f>
        <v>4607.659782071838</v>
      </c>
      <c r="F455" s="288">
        <f t="shared" si="44"/>
        <v>9179.8968760621865</v>
      </c>
      <c r="G455" s="359">
        <f>IF(B455&gt;0,RANK(B455,$B$450:$B$468),)</f>
        <v>2</v>
      </c>
      <c r="H455" s="289">
        <f>IF(C455&gt;0,RANK(C455,$C$450:$C$468),)</f>
        <v>0</v>
      </c>
      <c r="I455" s="289">
        <f>IF(D455&gt;0,RANK(D455,$D$450:$D$468),)</f>
        <v>0</v>
      </c>
      <c r="J455" s="289">
        <f>IF(E455&gt;0,RANK(E455,$E$450:$E$468),)</f>
        <v>3</v>
      </c>
      <c r="K455" s="289">
        <f>IF(F455&gt;0,RANK(F455,$F$450:$F$468),)</f>
        <v>2</v>
      </c>
      <c r="L455" s="381"/>
      <c r="M455" s="357">
        <v>67961.233333333337</v>
      </c>
    </row>
    <row r="456" spans="1:13" ht="12.75" customHeight="1">
      <c r="A456" s="77" t="s">
        <v>782</v>
      </c>
      <c r="B456" s="288">
        <f>IF($M456&gt;0,('Amounts Pivot Table'!P$201/$M456),0)</f>
        <v>2954.5711939291059</v>
      </c>
      <c r="C456" s="288">
        <f>IF($M456&gt;0,('Amounts Pivot Table'!P$204/$M456),0)</f>
        <v>0</v>
      </c>
      <c r="D456" s="288">
        <f>IF($M456&gt;0,('Amounts Pivot Table'!P$207/$M456),0)</f>
        <v>0</v>
      </c>
      <c r="E456" s="288">
        <f>IF($M456&gt;0,('Amounts Pivot Table'!P$210/$M456),0)</f>
        <v>5274.568035780273</v>
      </c>
      <c r="F456" s="288">
        <f t="shared" si="44"/>
        <v>8229.1392297093789</v>
      </c>
      <c r="G456" s="359">
        <f>IF(B456&gt;0,RANK(B456,$B$450:$B$468),)</f>
        <v>4</v>
      </c>
      <c r="H456" s="289">
        <f>IF(C456&gt;0,RANK(C456,$C$450:$C$468),)</f>
        <v>0</v>
      </c>
      <c r="I456" s="289">
        <f>IF(D456&gt;0,RANK(D456,$D$450:$D$468),)</f>
        <v>0</v>
      </c>
      <c r="J456" s="289">
        <f>IF(E456&gt;0,RANK(E456,$E$450:$E$468),)</f>
        <v>1</v>
      </c>
      <c r="K456" s="289">
        <f>IF(F456&gt;0,RANK(F456,$F$450:$F$468),)</f>
        <v>3</v>
      </c>
      <c r="L456" s="356"/>
      <c r="M456" s="357">
        <v>5150.6966666666667</v>
      </c>
    </row>
    <row r="457" spans="1:13" ht="12.75" customHeight="1">
      <c r="A457" s="77" t="s">
        <v>813</v>
      </c>
      <c r="B457" s="288">
        <f>IF($M457&gt;0,('Amounts Pivot Table'!P$240/$M457),0)</f>
        <v>3456.8786713220243</v>
      </c>
      <c r="C457" s="288">
        <f>IF($M457&gt;0,('Amounts Pivot Table'!P$243/$M457),0)</f>
        <v>0</v>
      </c>
      <c r="D457" s="288">
        <f>IF($M457&gt;0,('Amounts Pivot Table'!P$246/$M457),0)</f>
        <v>0</v>
      </c>
      <c r="E457" s="288">
        <f>IF($M457&gt;0,('Amounts Pivot Table'!P$249/$M457),0)</f>
        <v>4069.6762583089899</v>
      </c>
      <c r="F457" s="288">
        <f t="shared" si="44"/>
        <v>7526.5549296310146</v>
      </c>
      <c r="G457" s="359">
        <f>IF(B457&gt;0,RANK(B457,$B$450:$B$468),)</f>
        <v>3</v>
      </c>
      <c r="H457" s="289">
        <f>IF(C457&gt;0,RANK(C457,$C$450:$C$468),)</f>
        <v>0</v>
      </c>
      <c r="I457" s="289">
        <f>IF(D457&gt;0,RANK(D457,$D$450:$D$468),)</f>
        <v>0</v>
      </c>
      <c r="J457" s="289">
        <f>IF(E457&gt;0,RANK(E457,$E$450:$E$468),)</f>
        <v>4</v>
      </c>
      <c r="K457" s="289">
        <f>IF(F457&gt;0,RANK(F457,$F$450:$F$468),)</f>
        <v>4</v>
      </c>
      <c r="L457" s="356"/>
      <c r="M457" s="357">
        <v>7890.55</v>
      </c>
    </row>
    <row r="458" spans="1:13" ht="12.75" customHeight="1">
      <c r="A458" s="77" t="s">
        <v>784</v>
      </c>
      <c r="B458" s="288">
        <f>IF($M458&gt;0,('Amounts Pivot Table'!P$279/$M458),0)</f>
        <v>0</v>
      </c>
      <c r="C458" s="288">
        <f>IF($M458&gt;0,('Amounts Pivot Table'!P$282/$M458),0)</f>
        <v>0</v>
      </c>
      <c r="D458" s="288">
        <f>IF($M458&gt;0,('Amounts Pivot Table'!P$285/$M458),0)</f>
        <v>0</v>
      </c>
      <c r="E458" s="288">
        <f>IF($M458&gt;0,('Amounts Pivot Table'!P$288/$M458),0)</f>
        <v>0</v>
      </c>
      <c r="F458" s="288">
        <f t="shared" si="44"/>
        <v>0</v>
      </c>
      <c r="G458" s="359">
        <f>IF(B458&gt;0,RANK(B458,$B$450:$B$468),)</f>
        <v>0</v>
      </c>
      <c r="H458" s="289">
        <f>IF(C458&gt;0,RANK(C458,$C$450:$C$468),)</f>
        <v>0</v>
      </c>
      <c r="I458" s="289">
        <f>IF(D458&gt;0,RANK(D458,$D$450:$D$468),)</f>
        <v>0</v>
      </c>
      <c r="J458" s="289">
        <f>IF(E458&gt;0,RANK(E458,$E$450:$E$468),)</f>
        <v>0</v>
      </c>
      <c r="K458" s="289">
        <f>IF(F458&gt;0,RANK(F458,$F$450:$F$468),)</f>
        <v>0</v>
      </c>
      <c r="L458" s="381"/>
      <c r="M458" s="357">
        <v>0</v>
      </c>
    </row>
    <row r="459" spans="1:13" s="376" customFormat="1">
      <c r="A459" s="391"/>
      <c r="B459" s="391"/>
      <c r="C459" s="391"/>
      <c r="D459" s="391"/>
      <c r="E459" s="391"/>
      <c r="F459" s="391"/>
      <c r="G459" s="410"/>
      <c r="H459" s="391"/>
      <c r="I459" s="391"/>
      <c r="J459" s="391"/>
      <c r="K459" s="391"/>
      <c r="L459" s="393"/>
      <c r="M459" s="357"/>
    </row>
    <row r="460" spans="1:13" ht="12.75" customHeight="1">
      <c r="A460" s="77" t="s">
        <v>785</v>
      </c>
      <c r="B460" s="288">
        <f>IF($M460&gt;0,('Amounts Pivot Table'!P$318/$M460),0)</f>
        <v>0</v>
      </c>
      <c r="C460" s="288">
        <f>IF($M460&gt;0,('Amounts Pivot Table'!P$321/$M460),0)</f>
        <v>0</v>
      </c>
      <c r="D460" s="288">
        <f>IF($M460&gt;0,('Amounts Pivot Table'!P$324/$M460),0)</f>
        <v>0</v>
      </c>
      <c r="E460" s="288">
        <f>IF($M460&gt;0,('Amounts Pivot Table'!P$327/$M460),0)</f>
        <v>0</v>
      </c>
      <c r="F460" s="288">
        <f t="shared" si="44"/>
        <v>0</v>
      </c>
      <c r="G460" s="359">
        <f>IF(B460&gt;0,RANK(B460,$B$450:$B$468),)</f>
        <v>0</v>
      </c>
      <c r="H460" s="289">
        <f>IF(C460&gt;0,RANK(C460,$C$450:$C$468),)</f>
        <v>0</v>
      </c>
      <c r="I460" s="289">
        <f>IF(D460&gt;0,RANK(D460,$D$450:$D$468),)</f>
        <v>0</v>
      </c>
      <c r="J460" s="289">
        <f>IF(E460&gt;0,RANK(E460,$E$450:$E$468),)</f>
        <v>0</v>
      </c>
      <c r="K460" s="289">
        <f>IF(F460&gt;0,RANK(F460,$F$450:$F$468),)</f>
        <v>0</v>
      </c>
      <c r="L460" s="356"/>
      <c r="M460" s="357">
        <v>0</v>
      </c>
    </row>
    <row r="461" spans="1:13" ht="12.75" customHeight="1">
      <c r="A461" s="77" t="s">
        <v>786</v>
      </c>
      <c r="B461" s="288">
        <f>IF($M461&gt;0,('Amounts Pivot Table'!P$357/$M461),0)</f>
        <v>0</v>
      </c>
      <c r="C461" s="288">
        <f>IF($M461&gt;0,('Amounts Pivot Table'!P$360/$M461),0)</f>
        <v>0</v>
      </c>
      <c r="D461" s="288">
        <f>IF($M461&gt;0,('Amounts Pivot Table'!P$363/$M461),0)</f>
        <v>0</v>
      </c>
      <c r="E461" s="288">
        <f>IF($M461&gt;0,('Amounts Pivot Table'!P$366/$M461),0)</f>
        <v>0</v>
      </c>
      <c r="F461" s="288">
        <f t="shared" si="44"/>
        <v>0</v>
      </c>
      <c r="G461" s="359">
        <f>IF(B461&gt;0,RANK(B461,$B$450:$B$468),)</f>
        <v>0</v>
      </c>
      <c r="H461" s="289">
        <f>IF(C461&gt;0,RANK(C461,$C$450:$C$468),)</f>
        <v>0</v>
      </c>
      <c r="I461" s="289">
        <f>IF(D461&gt;0,RANK(D461,$D$450:$D$468),)</f>
        <v>0</v>
      </c>
      <c r="J461" s="289">
        <f>IF(E461&gt;0,RANK(E461,$E$450:$E$468),)</f>
        <v>0</v>
      </c>
      <c r="K461" s="289">
        <f>IF(F461&gt;0,RANK(F461,$F$450:$F$468),)</f>
        <v>0</v>
      </c>
      <c r="L461" s="381"/>
      <c r="M461" s="357">
        <v>0</v>
      </c>
    </row>
    <row r="462" spans="1:13" ht="12.75" customHeight="1">
      <c r="A462" s="77" t="s">
        <v>787</v>
      </c>
      <c r="B462" s="288">
        <f>IF($M462&gt;0,('Amounts Pivot Table'!P$396/$M462),0)</f>
        <v>2254.4241949269863</v>
      </c>
      <c r="C462" s="288">
        <f>IF($M462&gt;0,('Amounts Pivot Table'!P$399/$M462),0)</f>
        <v>0</v>
      </c>
      <c r="D462" s="288">
        <f>IF($M462&gt;0,('Amounts Pivot Table'!P$402/$M462),0)</f>
        <v>0</v>
      </c>
      <c r="E462" s="288">
        <f>IF($M462&gt;0,('Amounts Pivot Table'!P$405/$M462),0)</f>
        <v>719.93373607410763</v>
      </c>
      <c r="F462" s="288">
        <f t="shared" si="44"/>
        <v>2974.3579310010937</v>
      </c>
      <c r="G462" s="359">
        <f>IF(B462&gt;0,RANK(B462,$B$450:$B$468),)</f>
        <v>5</v>
      </c>
      <c r="H462" s="289">
        <f>IF(C462&gt;0,RANK(C462,$C$450:$C$468),)</f>
        <v>0</v>
      </c>
      <c r="I462" s="289">
        <f>IF(D462&gt;0,RANK(D462,$D$450:$D$468),)</f>
        <v>0</v>
      </c>
      <c r="J462" s="289">
        <f>IF(E462&gt;0,RANK(E462,$E$450:$E$468),)</f>
        <v>5</v>
      </c>
      <c r="K462" s="289">
        <f>IF(F462&gt;0,RANK(F462,$F$450:$F$468),)</f>
        <v>5</v>
      </c>
      <c r="L462" s="356"/>
      <c r="M462" s="357">
        <v>3714.7210444444445</v>
      </c>
    </row>
    <row r="463" spans="1:13" ht="12.75" customHeight="1">
      <c r="A463" s="77" t="s">
        <v>788</v>
      </c>
      <c r="B463" s="288">
        <f>IF($M463&gt;0,('Amounts Pivot Table'!P$435/$M463),0)</f>
        <v>0</v>
      </c>
      <c r="C463" s="288">
        <f>IF($M463&gt;0,('Amounts Pivot Table'!P$438/$M463),0)</f>
        <v>0</v>
      </c>
      <c r="D463" s="288">
        <f>IF($M463&gt;0,('Amounts Pivot Table'!P$441/$M463),0)</f>
        <v>0</v>
      </c>
      <c r="E463" s="288">
        <f>IF($M463&gt;0,('Amounts Pivot Table'!P$444/$M463),0)</f>
        <v>0</v>
      </c>
      <c r="F463" s="288">
        <f t="shared" si="44"/>
        <v>0</v>
      </c>
      <c r="G463" s="359">
        <f>IF(B463&gt;0,RANK(B463,$B$450:$B$468),)</f>
        <v>0</v>
      </c>
      <c r="H463" s="289">
        <f>IF(C463&gt;0,RANK(C463,$C$450:$C$468),)</f>
        <v>0</v>
      </c>
      <c r="I463" s="289">
        <f>IF(D463&gt;0,RANK(D463,$D$450:$D$468),)</f>
        <v>0</v>
      </c>
      <c r="J463" s="289">
        <f>IF(E463&gt;0,RANK(E463,$E$450:$E$468),)</f>
        <v>0</v>
      </c>
      <c r="K463" s="289">
        <f>IF(F463&gt;0,RANK(F463,$F$450:$F$468),)</f>
        <v>0</v>
      </c>
      <c r="L463" s="356"/>
      <c r="M463" s="357">
        <v>0</v>
      </c>
    </row>
    <row r="464" spans="1:13" s="376" customFormat="1">
      <c r="A464" s="391"/>
      <c r="B464" s="391"/>
      <c r="C464" s="391"/>
      <c r="D464" s="391"/>
      <c r="E464" s="391"/>
      <c r="F464" s="391"/>
      <c r="G464" s="410"/>
      <c r="H464" s="391"/>
      <c r="I464" s="391"/>
      <c r="J464" s="391"/>
      <c r="K464" s="391"/>
      <c r="L464" s="393"/>
      <c r="M464" s="357"/>
    </row>
    <row r="465" spans="1:13" ht="12.75" customHeight="1">
      <c r="A465" s="77" t="s">
        <v>789</v>
      </c>
      <c r="B465" s="288">
        <f>IF($M465&gt;0,('Amounts Pivot Table'!P$474/$M465),0)</f>
        <v>0</v>
      </c>
      <c r="C465" s="288">
        <f>IF($M465&gt;0,('Amounts Pivot Table'!P$477/$M465),0)</f>
        <v>0</v>
      </c>
      <c r="D465" s="288">
        <f>IF($M465&gt;0,('Amounts Pivot Table'!P$480/$M465),0)</f>
        <v>0</v>
      </c>
      <c r="E465" s="288">
        <f>IF($M465&gt;0,('Amounts Pivot Table'!P$483/$M465),0)</f>
        <v>0</v>
      </c>
      <c r="F465" s="288">
        <f t="shared" si="44"/>
        <v>0</v>
      </c>
      <c r="G465" s="359">
        <f>IF(B465&gt;0,RANK(B465,$B$450:$B$468),)</f>
        <v>0</v>
      </c>
      <c r="H465" s="289">
        <f>IF(C465&gt;0,RANK(C465,$C$450:$C$468),)</f>
        <v>0</v>
      </c>
      <c r="I465" s="289">
        <f>IF(D465&gt;0,RANK(D465,$D$450:$D$468),)</f>
        <v>0</v>
      </c>
      <c r="J465" s="289">
        <f>IF(E465&gt;0,RANK(E465,$E$450:$E$468),)</f>
        <v>0</v>
      </c>
      <c r="K465" s="289">
        <f>IF(F465&gt;0,RANK(F465,$F$450:$F$468),)</f>
        <v>0</v>
      </c>
      <c r="L465" s="356"/>
      <c r="M465" s="357">
        <v>0</v>
      </c>
    </row>
    <row r="466" spans="1:13" s="362" customFormat="1" ht="12.75" customHeight="1">
      <c r="A466" s="77" t="s">
        <v>790</v>
      </c>
      <c r="B466" s="288">
        <f>IF($M466&gt;0,('Amounts Pivot Table'!P$513/$M466),0)</f>
        <v>0</v>
      </c>
      <c r="C466" s="288">
        <f>IF($M466&gt;0,('Amounts Pivot Table'!P$516/$M466),0)</f>
        <v>0</v>
      </c>
      <c r="D466" s="288">
        <f>IF($M466&gt;0,('Amounts Pivot Table'!P$519/$M466),0)</f>
        <v>0</v>
      </c>
      <c r="E466" s="288">
        <f>IF($M466&gt;0,('Amounts Pivot Table'!P$522/$M466),0)</f>
        <v>0</v>
      </c>
      <c r="F466" s="288">
        <f t="shared" si="44"/>
        <v>0</v>
      </c>
      <c r="G466" s="359">
        <f>IF(B466&gt;0,RANK(B466,$B$450:$B$468),)</f>
        <v>0</v>
      </c>
      <c r="H466" s="289">
        <f>IF(C466&gt;0,RANK(C466,$C$450:$C$468),)</f>
        <v>0</v>
      </c>
      <c r="I466" s="289">
        <f>IF(D466&gt;0,RANK(D466,$D$450:$D$468),)</f>
        <v>0</v>
      </c>
      <c r="J466" s="289">
        <f>IF(E466&gt;0,RANK(E466,$E$450:$E$468),)</f>
        <v>0</v>
      </c>
      <c r="K466" s="289">
        <f>IF(F466&gt;0,RANK(F466,$F$450:$F$468),)</f>
        <v>0</v>
      </c>
      <c r="L466" s="356"/>
      <c r="M466" s="357">
        <v>0</v>
      </c>
    </row>
    <row r="467" spans="1:13" ht="12.75" customHeight="1">
      <c r="A467" s="77" t="s">
        <v>791</v>
      </c>
      <c r="B467" s="288">
        <f>IF($M467&gt;0,('Amounts Pivot Table'!P$552/$M467),0)</f>
        <v>0</v>
      </c>
      <c r="C467" s="288">
        <f>IF($M467&gt;0,('Amounts Pivot Table'!P$555/$M467),0)</f>
        <v>0</v>
      </c>
      <c r="D467" s="288">
        <f>IF($M467&gt;0,('Amounts Pivot Table'!P$558/$M467),0)</f>
        <v>0</v>
      </c>
      <c r="E467" s="288">
        <f>IF($M467&gt;0,('Amounts Pivot Table'!P$561/$M467),0)</f>
        <v>0</v>
      </c>
      <c r="F467" s="288">
        <f t="shared" si="44"/>
        <v>0</v>
      </c>
      <c r="G467" s="359">
        <f>IF(B467&gt;0,RANK(B467,$B$450:$B$468),)</f>
        <v>0</v>
      </c>
      <c r="H467" s="289">
        <f>IF(C467&gt;0,RANK(C467,$C$450:$C$468),)</f>
        <v>0</v>
      </c>
      <c r="I467" s="289">
        <f>IF(D467&gt;0,RANK(D467,$D$450:$D$468),)</f>
        <v>0</v>
      </c>
      <c r="J467" s="289">
        <f>IF(E467&gt;0,RANK(E467,$E$450:$E$468),)</f>
        <v>0</v>
      </c>
      <c r="K467" s="289">
        <f>IF(F467&gt;0,RANK(F467,$F$450:$F$468),)</f>
        <v>0</v>
      </c>
      <c r="L467" s="381"/>
      <c r="M467" s="357">
        <v>0</v>
      </c>
    </row>
    <row r="468" spans="1:13" ht="17.25" customHeight="1">
      <c r="A468" s="277" t="s">
        <v>792</v>
      </c>
      <c r="B468" s="296">
        <f>IF($M468&gt;0,('Amounts Pivot Table'!P$591/$M468),0)</f>
        <v>0</v>
      </c>
      <c r="C468" s="296">
        <f>IF($M468&gt;0,('Amounts Pivot Table'!P$594/$M468),0)</f>
        <v>0</v>
      </c>
      <c r="D468" s="296">
        <f>IF($M468&gt;0,('Amounts Pivot Table'!P$597/$M468),0)</f>
        <v>0</v>
      </c>
      <c r="E468" s="296">
        <f>IF($M468&gt;0,('Amounts Pivot Table'!P$600/$M468),0)</f>
        <v>0</v>
      </c>
      <c r="F468" s="364">
        <f t="shared" si="44"/>
        <v>0</v>
      </c>
      <c r="G468" s="365">
        <f>IF(B468&gt;0,RANK(B468,$B$450:$B$468),)</f>
        <v>0</v>
      </c>
      <c r="H468" s="366">
        <f>IF(C468&gt;0,RANK(C468,$C$450:$C$468),)</f>
        <v>0</v>
      </c>
      <c r="I468" s="366">
        <f>IF(D468&gt;0,RANK(D468,$D$450:$D$468),)</f>
        <v>0</v>
      </c>
      <c r="J468" s="366">
        <f>IF(E468&gt;0,RANK(E468,$E$450:$E$468),)</f>
        <v>0</v>
      </c>
      <c r="K468" s="366">
        <f>IF(F468&gt;0,RANK(F468,$F$450:$F$468),)</f>
        <v>0</v>
      </c>
      <c r="L468" s="356"/>
      <c r="M468" s="357">
        <v>0</v>
      </c>
    </row>
    <row r="469" spans="1:13" s="362" customFormat="1" ht="34.5" customHeight="1">
      <c r="A469" s="1244" t="s">
        <v>926</v>
      </c>
      <c r="B469" s="1270"/>
      <c r="C469" s="1270"/>
      <c r="D469" s="1270"/>
      <c r="E469" s="1270"/>
      <c r="F469" s="1270"/>
      <c r="G469" s="1270"/>
      <c r="H469" s="1270"/>
      <c r="I469" s="1270"/>
      <c r="J469" s="1270"/>
      <c r="K469" s="1270"/>
      <c r="L469" s="363"/>
      <c r="M469" s="348"/>
    </row>
    <row r="470" spans="1:13" s="397" customFormat="1" ht="13.5" customHeight="1">
      <c r="A470" s="1244" t="s">
        <v>927</v>
      </c>
      <c r="B470" s="1270"/>
      <c r="C470" s="1270"/>
      <c r="D470" s="1270"/>
      <c r="E470" s="1270"/>
      <c r="F470" s="1270"/>
      <c r="G470" s="1270"/>
      <c r="H470" s="1270"/>
      <c r="I470" s="1270"/>
      <c r="J470" s="1270"/>
      <c r="K470" s="1270"/>
      <c r="L470" s="347"/>
      <c r="M470" s="348"/>
    </row>
    <row r="471" spans="1:13" ht="13.5" customHeight="1">
      <c r="A471" s="1244" t="s">
        <v>930</v>
      </c>
      <c r="B471" s="1245"/>
      <c r="C471" s="1245"/>
      <c r="D471" s="1245"/>
      <c r="E471" s="1245"/>
      <c r="F471" s="1245"/>
      <c r="G471" s="1245"/>
      <c r="H471" s="1245"/>
      <c r="I471" s="1245"/>
      <c r="J471" s="1245"/>
      <c r="K471" s="1245"/>
      <c r="L471" s="367"/>
      <c r="M471" s="348"/>
    </row>
    <row r="472" spans="1:13">
      <c r="A472" s="368"/>
      <c r="B472" s="369"/>
      <c r="C472" s="369"/>
      <c r="D472" s="369"/>
      <c r="E472" s="369"/>
      <c r="F472" s="369"/>
      <c r="G472" s="369"/>
      <c r="H472" s="369"/>
      <c r="I472" s="369"/>
      <c r="J472" s="369"/>
      <c r="K472" s="370" t="s">
        <v>1814</v>
      </c>
      <c r="L472" s="367"/>
      <c r="M472" s="348"/>
    </row>
    <row r="473" spans="1:13" ht="18.75" customHeight="1">
      <c r="A473" s="1228" t="s">
        <v>951</v>
      </c>
      <c r="B473" s="1228"/>
      <c r="C473" s="1228"/>
      <c r="D473" s="1228"/>
      <c r="E473" s="1228"/>
      <c r="F473" s="1228"/>
      <c r="G473" s="1228"/>
      <c r="H473" s="1228"/>
      <c r="I473" s="1228"/>
      <c r="J473" s="1228"/>
      <c r="K473" s="1228"/>
      <c r="L473" s="367"/>
      <c r="M473" s="348"/>
    </row>
    <row r="474" spans="1:13" ht="17.5">
      <c r="A474" s="1228" t="s">
        <v>920</v>
      </c>
      <c r="B474" s="1228"/>
      <c r="C474" s="1228"/>
      <c r="D474" s="1228"/>
      <c r="E474" s="1228"/>
      <c r="F474" s="1228"/>
      <c r="G474" s="1228"/>
      <c r="H474" s="1228"/>
      <c r="I474" s="1228"/>
      <c r="J474" s="1228"/>
      <c r="K474" s="1228"/>
      <c r="L474" s="344"/>
      <c r="M474" s="348"/>
    </row>
    <row r="475" spans="1:13" ht="15.75" customHeight="1">
      <c r="A475" s="1228" t="s">
        <v>1493</v>
      </c>
      <c r="B475" s="1228"/>
      <c r="C475" s="1228"/>
      <c r="D475" s="1228"/>
      <c r="E475" s="1228"/>
      <c r="F475" s="1228"/>
      <c r="G475" s="1228"/>
      <c r="H475" s="1228"/>
      <c r="I475" s="1228"/>
      <c r="J475" s="1228"/>
      <c r="K475" s="1228"/>
      <c r="L475" s="344"/>
      <c r="M475" s="348"/>
    </row>
    <row r="476" spans="1:13" ht="9.75" customHeight="1">
      <c r="A476" s="341"/>
      <c r="B476" s="341"/>
      <c r="C476" s="341"/>
      <c r="D476" s="341"/>
      <c r="E476" s="341"/>
      <c r="F476" s="341"/>
      <c r="G476" s="373"/>
      <c r="H476" s="341"/>
      <c r="I476" s="341"/>
      <c r="J476" s="341"/>
      <c r="K476" s="341"/>
      <c r="L476" s="344"/>
      <c r="M476" s="348"/>
    </row>
    <row r="477" spans="1:13" s="399" customFormat="1" ht="15.75" customHeight="1">
      <c r="A477" s="398"/>
      <c r="B477" s="1279" t="s">
        <v>922</v>
      </c>
      <c r="C477" s="1280"/>
      <c r="D477" s="1280"/>
      <c r="E477" s="1280"/>
      <c r="F477" s="1280"/>
      <c r="G477" s="1281" t="s">
        <v>923</v>
      </c>
      <c r="H477" s="1282"/>
      <c r="I477" s="1282"/>
      <c r="J477" s="1282"/>
      <c r="K477" s="1282"/>
      <c r="L477" s="389"/>
      <c r="M477" s="348"/>
    </row>
    <row r="478" spans="1:13" s="53" customFormat="1" ht="47.25" customHeight="1">
      <c r="A478" s="243"/>
      <c r="B478" s="244" t="s">
        <v>6</v>
      </c>
      <c r="C478" s="245" t="s">
        <v>7</v>
      </c>
      <c r="D478" s="245" t="s">
        <v>8</v>
      </c>
      <c r="E478" s="245" t="s">
        <v>924</v>
      </c>
      <c r="F478" s="245" t="s">
        <v>768</v>
      </c>
      <c r="G478" s="246" t="s">
        <v>6</v>
      </c>
      <c r="H478" s="245" t="s">
        <v>7</v>
      </c>
      <c r="I478" s="245" t="s">
        <v>8</v>
      </c>
      <c r="J478" s="245" t="s">
        <v>924</v>
      </c>
      <c r="K478" s="245" t="s">
        <v>768</v>
      </c>
      <c r="L478" s="350"/>
      <c r="M478" s="348" t="s">
        <v>932</v>
      </c>
    </row>
    <row r="479" spans="1:13" ht="16.5" customHeight="1">
      <c r="A479" s="77" t="s">
        <v>925</v>
      </c>
      <c r="B479" s="352">
        <f>IF($M479&gt;0,('Amounts Pivot Table'!Q$630/$M479),0)</f>
        <v>6286.8253784423205</v>
      </c>
      <c r="C479" s="352">
        <f>IF($M479&gt;0,('Amounts Pivot Table'!Q$633/$M479),0)</f>
        <v>0</v>
      </c>
      <c r="D479" s="352">
        <f>IF($M479&gt;0,('Amounts Pivot Table'!Q$636/$M479),0)</f>
        <v>0</v>
      </c>
      <c r="E479" s="352">
        <f>IF($M479&gt;0,('Amounts Pivot Table'!Q$639/$M479),0)</f>
        <v>2377.4252717017821</v>
      </c>
      <c r="F479" s="352">
        <f>SUM(B479:E479)</f>
        <v>8664.2506501441021</v>
      </c>
      <c r="G479" s="353"/>
      <c r="H479" s="354"/>
      <c r="I479" s="354"/>
      <c r="J479" s="354"/>
      <c r="K479" s="354"/>
      <c r="L479" s="356"/>
      <c r="M479" s="357">
        <v>30518.447777777783</v>
      </c>
    </row>
    <row r="480" spans="1:13" s="376" customFormat="1">
      <c r="B480" s="377"/>
      <c r="C480" s="377"/>
      <c r="D480" s="377"/>
      <c r="E480" s="377"/>
      <c r="F480" s="377"/>
      <c r="G480" s="378"/>
      <c r="H480" s="379"/>
      <c r="I480" s="379"/>
      <c r="J480" s="379"/>
      <c r="K480" s="379"/>
      <c r="L480" s="381"/>
      <c r="M480" s="357" t="s">
        <v>421</v>
      </c>
    </row>
    <row r="481" spans="1:13" ht="12.75" customHeight="1">
      <c r="A481" s="77" t="s">
        <v>777</v>
      </c>
      <c r="B481" s="288">
        <f>IF($M481&gt;0,('Amounts Pivot Table'!Q$6/$M481),0)</f>
        <v>12155.751967194947</v>
      </c>
      <c r="C481" s="288">
        <f>IF($M481&gt;0,('Amounts Pivot Table'!Q$9/$M481),0)</f>
        <v>0</v>
      </c>
      <c r="D481" s="288">
        <f>IF($M481&gt;0,('Amounts Pivot Table'!Q$12/$M481),0)</f>
        <v>0</v>
      </c>
      <c r="E481" s="288">
        <f>IF($M481&gt;0,('Amounts Pivot Table'!Q$15/$M481),0)</f>
        <v>5222.8354205918213</v>
      </c>
      <c r="F481" s="288">
        <f t="shared" ref="F481:F499" si="45">SUM(B481:E481)</f>
        <v>17378.587387786767</v>
      </c>
      <c r="G481" s="359">
        <f>IF(B481&gt;0,RANK(B481,$B$481:$B$499),)</f>
        <v>1</v>
      </c>
      <c r="H481" s="289">
        <f>IF(C481&gt;0,RANK(C481,$C$481:$C$499),)</f>
        <v>0</v>
      </c>
      <c r="I481" s="289">
        <f>IF(D481&gt;0,RANK(D481,$D$481:$D$499),)</f>
        <v>0</v>
      </c>
      <c r="J481" s="289">
        <f>IF(E481&gt;0,RANK(E481,$E$481:$E$499),)</f>
        <v>1</v>
      </c>
      <c r="K481" s="289">
        <f>IF(F481&gt;0,RANK(F481,$F$481:$F$499),)</f>
        <v>1</v>
      </c>
      <c r="L481" s="356"/>
      <c r="M481" s="357">
        <v>1503.8333333333333</v>
      </c>
    </row>
    <row r="482" spans="1:13" ht="12.75" customHeight="1">
      <c r="A482" s="77" t="s">
        <v>778</v>
      </c>
      <c r="B482" s="288">
        <f>IF($M482&gt;0,('Amounts Pivot Table'!Q$45/$M482),0)</f>
        <v>0</v>
      </c>
      <c r="C482" s="288">
        <f>IF($M482&gt;0,('Amounts Pivot Table'!Q$48/$M482),0)</f>
        <v>0</v>
      </c>
      <c r="D482" s="288">
        <f>IF($M482&gt;0,('Amounts Pivot Table'!Q$51/$M482),0)</f>
        <v>0</v>
      </c>
      <c r="E482" s="288">
        <f>IF($M482&gt;0,('Amounts Pivot Table'!Q$54/$M482),0)</f>
        <v>0</v>
      </c>
      <c r="F482" s="288">
        <f t="shared" si="45"/>
        <v>0</v>
      </c>
      <c r="G482" s="359">
        <f>IF(B482&gt;0,RANK(B482,$B$481:$B$499),)</f>
        <v>0</v>
      </c>
      <c r="H482" s="289">
        <f>IF(C482&gt;0,RANK(C482,$C$481:$C$499),)</f>
        <v>0</v>
      </c>
      <c r="I482" s="289">
        <f>IF(D482&gt;0,RANK(D482,$D$481:$D$499),)</f>
        <v>0</v>
      </c>
      <c r="J482" s="289">
        <f>IF(E482&gt;0,RANK(E482,$E$481:$E$499),)</f>
        <v>0</v>
      </c>
      <c r="K482" s="289">
        <f>IF(F482&gt;0,RANK(F482,$F$481:$F$499),)</f>
        <v>0</v>
      </c>
      <c r="L482" s="356"/>
      <c r="M482" s="357">
        <v>0</v>
      </c>
    </row>
    <row r="483" spans="1:13" ht="12.75" customHeight="1">
      <c r="A483" s="77" t="s">
        <v>779</v>
      </c>
      <c r="B483" s="288">
        <f>IF($M483&gt;0,('Amounts Pivot Table'!Q$84/$M483),0)</f>
        <v>0</v>
      </c>
      <c r="C483" s="288">
        <f>IF($M483&gt;0,('Amounts Pivot Table'!Q$87/$M483),0)</f>
        <v>0</v>
      </c>
      <c r="D483" s="288">
        <f>IF($M483&gt;0,('Amounts Pivot Table'!Q$90/$M483),0)</f>
        <v>0</v>
      </c>
      <c r="E483" s="288">
        <f>IF($M483&gt;0,('Amounts Pivot Table'!Q$93/$M483),0)</f>
        <v>0</v>
      </c>
      <c r="F483" s="288">
        <f t="shared" si="45"/>
        <v>0</v>
      </c>
      <c r="G483" s="359">
        <f>IF(B483&gt;0,RANK(B483,$B$481:$B$499),)</f>
        <v>0</v>
      </c>
      <c r="H483" s="289">
        <f>IF(C483&gt;0,RANK(C483,$C$481:$C$499),)</f>
        <v>0</v>
      </c>
      <c r="I483" s="289">
        <f>IF(D483&gt;0,RANK(D483,$D$481:$D$499),)</f>
        <v>0</v>
      </c>
      <c r="J483" s="289">
        <f>IF(E483&gt;0,RANK(E483,$E$481:$E$499),)</f>
        <v>0</v>
      </c>
      <c r="K483" s="289">
        <f>IF(F483&gt;0,RANK(F483,$F$481:$F$499),)</f>
        <v>0</v>
      </c>
      <c r="L483" s="356"/>
      <c r="M483" s="357">
        <v>0</v>
      </c>
    </row>
    <row r="484" spans="1:13" ht="12.75" customHeight="1">
      <c r="A484" s="77" t="s">
        <v>780</v>
      </c>
      <c r="B484" s="288">
        <f>IF($M484&gt;0,('Amounts Pivot Table'!Q$123/$M484),0)</f>
        <v>0</v>
      </c>
      <c r="C484" s="288">
        <f>IF($M484&gt;0,('Amounts Pivot Table'!Q$126/$M484),0)</f>
        <v>0</v>
      </c>
      <c r="D484" s="288">
        <f>IF($M484&gt;0,('Amounts Pivot Table'!Q$129/$M484),0)</f>
        <v>0</v>
      </c>
      <c r="E484" s="288">
        <f>IF($M484&gt;0,('Amounts Pivot Table'!Q$132/$M484),0)</f>
        <v>0</v>
      </c>
      <c r="F484" s="288">
        <f t="shared" si="45"/>
        <v>0</v>
      </c>
      <c r="G484" s="359">
        <f>IF(B484&gt;0,RANK(B484,$B$481:$B$499),)</f>
        <v>0</v>
      </c>
      <c r="H484" s="289">
        <f>IF(C484&gt;0,RANK(C484,$C$481:$C$499),)</f>
        <v>0</v>
      </c>
      <c r="I484" s="289">
        <f>IF(D484&gt;0,RANK(D484,$D$481:$D$499),)</f>
        <v>0</v>
      </c>
      <c r="J484" s="289">
        <f>IF(E484&gt;0,RANK(E484,$E$481:$E$499),)</f>
        <v>0</v>
      </c>
      <c r="K484" s="289">
        <f>IF(F484&gt;0,RANK(F484,$F$481:$F$499),)</f>
        <v>0</v>
      </c>
      <c r="L484" s="356"/>
      <c r="M484" s="357">
        <v>0</v>
      </c>
    </row>
    <row r="485" spans="1:13" s="376" customFormat="1">
      <c r="B485" s="380"/>
      <c r="C485" s="380"/>
      <c r="D485" s="380"/>
      <c r="E485" s="380"/>
      <c r="F485" s="380"/>
      <c r="G485" s="387"/>
      <c r="H485" s="388"/>
      <c r="I485" s="388"/>
      <c r="J485" s="388"/>
      <c r="K485" s="388"/>
      <c r="L485" s="381"/>
      <c r="M485" s="357"/>
    </row>
    <row r="486" spans="1:13" ht="12.75" customHeight="1">
      <c r="A486" s="77" t="s">
        <v>781</v>
      </c>
      <c r="B486" s="288">
        <f>IF($M486&gt;0,('Amounts Pivot Table'!Q$162/$M486),0)</f>
        <v>0</v>
      </c>
      <c r="C486" s="288">
        <f>IF($M486&gt;0,('Amounts Pivot Table'!Q$165/$M486),0)</f>
        <v>0</v>
      </c>
      <c r="D486" s="288">
        <f>IF($M486&gt;0,('Amounts Pivot Table'!Q$168/$M486),0)</f>
        <v>0</v>
      </c>
      <c r="E486" s="288">
        <f>IF($M486&gt;0,('Amounts Pivot Table'!Q$171/$M486),0)</f>
        <v>0</v>
      </c>
      <c r="F486" s="288">
        <f t="shared" si="45"/>
        <v>0</v>
      </c>
      <c r="G486" s="359">
        <f>IF(B486&gt;0,RANK(B486,$B$481:$B$499),)</f>
        <v>0</v>
      </c>
      <c r="H486" s="289">
        <f>IF(C486&gt;0,RANK(C486,$C$481:$C$499),)</f>
        <v>0</v>
      </c>
      <c r="I486" s="289">
        <f>IF(D486&gt;0,RANK(D486,$D$481:$D$499),)</f>
        <v>0</v>
      </c>
      <c r="J486" s="289">
        <f>IF(E486&gt;0,RANK(E486,$E$481:$E$499),)</f>
        <v>0</v>
      </c>
      <c r="K486" s="289">
        <f>IF(F486&gt;0,RANK(F486,$F$481:$F$499),)</f>
        <v>0</v>
      </c>
      <c r="L486" s="356"/>
      <c r="M486" s="357">
        <v>0</v>
      </c>
    </row>
    <row r="487" spans="1:13" ht="12.75" customHeight="1">
      <c r="A487" s="77" t="s">
        <v>782</v>
      </c>
      <c r="B487" s="288">
        <f>IF($M487&gt;0,('Amounts Pivot Table'!Q$201/$M487),0)</f>
        <v>0</v>
      </c>
      <c r="C487" s="288">
        <f>IF($M487&gt;0,('Amounts Pivot Table'!Q$204/$M487),0)</f>
        <v>0</v>
      </c>
      <c r="D487" s="288">
        <f>IF($M487&gt;0,('Amounts Pivot Table'!Q$207/$M487),0)</f>
        <v>0</v>
      </c>
      <c r="E487" s="288">
        <f>IF($M487&gt;0,('Amounts Pivot Table'!Q$210/$M487),0)</f>
        <v>0</v>
      </c>
      <c r="F487" s="288">
        <f t="shared" si="45"/>
        <v>0</v>
      </c>
      <c r="G487" s="359">
        <f>IF(B487&gt;0,RANK(B487,$B$481:$B$499),)</f>
        <v>0</v>
      </c>
      <c r="H487" s="289">
        <f>IF(C487&gt;0,RANK(C487,$C$481:$C$499),)</f>
        <v>0</v>
      </c>
      <c r="I487" s="289">
        <f>IF(D487&gt;0,RANK(D487,$D$481:$D$499),)</f>
        <v>0</v>
      </c>
      <c r="J487" s="289">
        <f>IF(E487&gt;0,RANK(E487,$E$481:$E$499),)</f>
        <v>0</v>
      </c>
      <c r="K487" s="289">
        <f>IF(F487&gt;0,RANK(F487,$F$481:$F$499),)</f>
        <v>0</v>
      </c>
      <c r="L487" s="356"/>
      <c r="M487" s="357">
        <v>0</v>
      </c>
    </row>
    <row r="488" spans="1:13" ht="12.75" customHeight="1">
      <c r="A488" s="77" t="s">
        <v>813</v>
      </c>
      <c r="B488" s="288">
        <f>IF($M488&gt;0,('Amounts Pivot Table'!Q$240/$M488),0)</f>
        <v>5469.261515963929</v>
      </c>
      <c r="C488" s="288">
        <f>IF($M488&gt;0,('Amounts Pivot Table'!Q$243/$M488),0)</f>
        <v>0</v>
      </c>
      <c r="D488" s="288">
        <f>IF($M488&gt;0,('Amounts Pivot Table'!Q$246/$M488),0)</f>
        <v>0</v>
      </c>
      <c r="E488" s="288">
        <f>IF($M488&gt;0,('Amounts Pivot Table'!Q$249/$M488),0)</f>
        <v>3265.9029978064827</v>
      </c>
      <c r="F488" s="288">
        <f t="shared" si="45"/>
        <v>8735.1645137704108</v>
      </c>
      <c r="G488" s="359">
        <f>IF(B488&gt;0,RANK(B488,$B$481:$B$499),)</f>
        <v>4</v>
      </c>
      <c r="H488" s="289">
        <f>IF(C488&gt;0,RANK(C488,$C$481:$C$499),)</f>
        <v>0</v>
      </c>
      <c r="I488" s="289">
        <f>IF(D488&gt;0,RANK(D488,$D$481:$D$499),)</f>
        <v>0</v>
      </c>
      <c r="J488" s="289">
        <f>IF(E488&gt;0,RANK(E488,$E$481:$E$499),)</f>
        <v>2</v>
      </c>
      <c r="K488" s="289">
        <f>IF(F488&gt;0,RANK(F488,$F$481:$F$499),)</f>
        <v>3</v>
      </c>
      <c r="L488" s="356"/>
      <c r="M488" s="357">
        <v>820.6</v>
      </c>
    </row>
    <row r="489" spans="1:13" ht="12.75" customHeight="1">
      <c r="A489" s="77" t="s">
        <v>784</v>
      </c>
      <c r="B489" s="288">
        <f>IF($M489&gt;0,('Amounts Pivot Table'!Q$279/$M489),0)</f>
        <v>0</v>
      </c>
      <c r="C489" s="288">
        <f>IF($M489&gt;0,('Amounts Pivot Table'!Q$282/$M489),0)</f>
        <v>0</v>
      </c>
      <c r="D489" s="288">
        <f>IF($M489&gt;0,('Amounts Pivot Table'!Q$285/$M489),0)</f>
        <v>0</v>
      </c>
      <c r="E489" s="288">
        <f>IF($M489&gt;0,('Amounts Pivot Table'!Q$288/$M489),0)</f>
        <v>0</v>
      </c>
      <c r="F489" s="288">
        <f t="shared" si="45"/>
        <v>0</v>
      </c>
      <c r="G489" s="359">
        <f>IF(B489&gt;0,RANK(B489,$B$481:$B$499),)</f>
        <v>0</v>
      </c>
      <c r="H489" s="289">
        <f>IF(C489&gt;0,RANK(C489,$C$481:$C$499),)</f>
        <v>0</v>
      </c>
      <c r="I489" s="289">
        <f>IF(D489&gt;0,RANK(D489,$D$481:$D$499),)</f>
        <v>0</v>
      </c>
      <c r="J489" s="289">
        <f>IF(E489&gt;0,RANK(E489,$E$481:$E$499),)</f>
        <v>0</v>
      </c>
      <c r="K489" s="289">
        <f>IF(F489&gt;0,RANK(F489,$F$481:$F$499),)</f>
        <v>0</v>
      </c>
      <c r="L489" s="356"/>
      <c r="M489" s="357">
        <v>0</v>
      </c>
    </row>
    <row r="490" spans="1:13" s="376" customFormat="1">
      <c r="B490" s="380"/>
      <c r="C490" s="380"/>
      <c r="D490" s="380"/>
      <c r="E490" s="380"/>
      <c r="F490" s="380"/>
      <c r="G490" s="387"/>
      <c r="H490" s="388"/>
      <c r="I490" s="388"/>
      <c r="J490" s="388"/>
      <c r="K490" s="388"/>
      <c r="L490" s="381"/>
      <c r="M490" s="357"/>
    </row>
    <row r="491" spans="1:13" ht="12.75" customHeight="1">
      <c r="A491" s="77" t="s">
        <v>785</v>
      </c>
      <c r="B491" s="288">
        <f>IF($M491&gt;0,('Amounts Pivot Table'!Q$318/$M491),0)</f>
        <v>0</v>
      </c>
      <c r="C491" s="288">
        <f>IF($M491&gt;0,('Amounts Pivot Table'!Q$321/$M491),0)</f>
        <v>0</v>
      </c>
      <c r="D491" s="288">
        <f>IF($M491&gt;0,('Amounts Pivot Table'!Q$324/$M491),0)</f>
        <v>0</v>
      </c>
      <c r="E491" s="288">
        <f>IF($M491&gt;0,('Amounts Pivot Table'!Q$327/$M491),0)</f>
        <v>0</v>
      </c>
      <c r="F491" s="288">
        <f t="shared" si="45"/>
        <v>0</v>
      </c>
      <c r="G491" s="359">
        <f>IF(B491&gt;0,RANK(B491,$B$481:$B$499),)</f>
        <v>0</v>
      </c>
      <c r="H491" s="289">
        <f>IF(C491&gt;0,RANK(C491,$C$481:$C$499),)</f>
        <v>0</v>
      </c>
      <c r="I491" s="289">
        <f>IF(D491&gt;0,RANK(D491,$D$481:$D$499),)</f>
        <v>0</v>
      </c>
      <c r="J491" s="289">
        <f>IF(E491&gt;0,RANK(E491,$E$481:$E$499),)</f>
        <v>0</v>
      </c>
      <c r="K491" s="289">
        <f>IF(F491&gt;0,RANK(F491,$F$481:$F$499),)</f>
        <v>0</v>
      </c>
      <c r="L491" s="356"/>
      <c r="M491" s="357">
        <v>0</v>
      </c>
    </row>
    <row r="492" spans="1:13" ht="12.75" customHeight="1">
      <c r="A492" s="77" t="s">
        <v>786</v>
      </c>
      <c r="B492" s="288">
        <f>IF($M492&gt;0,('Amounts Pivot Table'!Q$357/$M492),0)</f>
        <v>0</v>
      </c>
      <c r="C492" s="288">
        <f>IF($M492&gt;0,('Amounts Pivot Table'!Q$360/$M492),0)</f>
        <v>0</v>
      </c>
      <c r="D492" s="288">
        <f>IF($M492&gt;0,('Amounts Pivot Table'!Q$363/$M492),0)</f>
        <v>0</v>
      </c>
      <c r="E492" s="288">
        <f>IF($M492&gt;0,('Amounts Pivot Table'!Q$366/$M492),0)</f>
        <v>0</v>
      </c>
      <c r="F492" s="288">
        <f t="shared" si="45"/>
        <v>0</v>
      </c>
      <c r="G492" s="359">
        <f>IF(B492&gt;0,RANK(B492,$B$481:$B$499),)</f>
        <v>0</v>
      </c>
      <c r="H492" s="289">
        <f>IF(C492&gt;0,RANK(C492,$C$481:$C$499),)</f>
        <v>0</v>
      </c>
      <c r="I492" s="289">
        <f>IF(D492&gt;0,RANK(D492,$D$481:$D$499),)</f>
        <v>0</v>
      </c>
      <c r="J492" s="289">
        <f>IF(E492&gt;0,RANK(E492,$E$481:$E$499),)</f>
        <v>0</v>
      </c>
      <c r="K492" s="289">
        <f>IF(F492&gt;0,RANK(F492,$F$481:$F$499),)</f>
        <v>0</v>
      </c>
      <c r="L492" s="356"/>
      <c r="M492" s="357">
        <v>0</v>
      </c>
    </row>
    <row r="493" spans="1:13" ht="12.75" customHeight="1">
      <c r="A493" s="77" t="s">
        <v>787</v>
      </c>
      <c r="B493" s="288">
        <f>IF($M493&gt;0,('Amounts Pivot Table'!Q$396/$M493),0)</f>
        <v>6065.4989787926488</v>
      </c>
      <c r="C493" s="288">
        <f>IF($M493&gt;0,('Amounts Pivot Table'!Q$399/$M493),0)</f>
        <v>0</v>
      </c>
      <c r="D493" s="288">
        <f>IF($M493&gt;0,('Amounts Pivot Table'!Q$402/$M493),0)</f>
        <v>0</v>
      </c>
      <c r="E493" s="288">
        <f>IF($M493&gt;0,('Amounts Pivot Table'!Q$405/$M493),0)</f>
        <v>1490.981170515907</v>
      </c>
      <c r="F493" s="288">
        <f t="shared" si="45"/>
        <v>7556.4801493085561</v>
      </c>
      <c r="G493" s="359">
        <f>IF(B493&gt;0,RANK(B493,$B$481:$B$499),)</f>
        <v>2</v>
      </c>
      <c r="H493" s="289">
        <f>IF(C493&gt;0,RANK(C493,$C$481:$C$499),)</f>
        <v>0</v>
      </c>
      <c r="I493" s="289">
        <f>IF(D493&gt;0,RANK(D493,$D$481:$D$499),)</f>
        <v>0</v>
      </c>
      <c r="J493" s="289">
        <f>IF(E493&gt;0,RANK(E493,$E$481:$E$499),)</f>
        <v>4</v>
      </c>
      <c r="K493" s="289">
        <f>IF(F493&gt;0,RANK(F493,$F$481:$F$499),)</f>
        <v>4</v>
      </c>
      <c r="L493" s="356"/>
      <c r="M493" s="357">
        <v>15335.87777777778</v>
      </c>
    </row>
    <row r="494" spans="1:13" ht="12.75" customHeight="1">
      <c r="A494" s="77" t="s">
        <v>788</v>
      </c>
      <c r="B494" s="288">
        <f>IF($M494&gt;0,('Amounts Pivot Table'!Q$435/$M494),0)</f>
        <v>0</v>
      </c>
      <c r="C494" s="288">
        <f>IF($M494&gt;0,('Amounts Pivot Table'!Q$438/$M494),0)</f>
        <v>0</v>
      </c>
      <c r="D494" s="288">
        <f>IF($M494&gt;0,('Amounts Pivot Table'!Q$441/$M494),0)</f>
        <v>0</v>
      </c>
      <c r="E494" s="288">
        <f>IF($M494&gt;0,('Amounts Pivot Table'!Q$444/$M494),0)</f>
        <v>0</v>
      </c>
      <c r="F494" s="288">
        <f t="shared" si="45"/>
        <v>0</v>
      </c>
      <c r="G494" s="359">
        <f>IF(B494&gt;0,RANK(B494,$B$481:$B$499),)</f>
        <v>0</v>
      </c>
      <c r="H494" s="289">
        <f>IF(C494&gt;0,RANK(C494,$C$481:$C$499),)</f>
        <v>0</v>
      </c>
      <c r="I494" s="289">
        <f>IF(D494&gt;0,RANK(D494,$D$481:$D$499),)</f>
        <v>0</v>
      </c>
      <c r="J494" s="289">
        <f>IF(E494&gt;0,RANK(E494,$E$481:$E$499),)</f>
        <v>0</v>
      </c>
      <c r="K494" s="289">
        <f>IF(F494&gt;0,RANK(F494,$F$481:$F$499),)</f>
        <v>0</v>
      </c>
      <c r="L494" s="356"/>
      <c r="M494" s="357">
        <v>0</v>
      </c>
    </row>
    <row r="495" spans="1:13" s="376" customFormat="1">
      <c r="B495" s="380"/>
      <c r="C495" s="380"/>
      <c r="D495" s="380"/>
      <c r="E495" s="380"/>
      <c r="F495" s="380"/>
      <c r="G495" s="387"/>
      <c r="H495" s="388"/>
      <c r="I495" s="388"/>
      <c r="J495" s="388"/>
      <c r="K495" s="388"/>
      <c r="L495" s="381"/>
      <c r="M495" s="357"/>
    </row>
    <row r="496" spans="1:13" ht="12.75" customHeight="1">
      <c r="A496" s="77" t="s">
        <v>789</v>
      </c>
      <c r="B496" s="288">
        <f>IF($M496&gt;0,('Amounts Pivot Table'!Q$474/$M496),0)</f>
        <v>5916.5726708457751</v>
      </c>
      <c r="C496" s="288">
        <f>IF($M496&gt;0,('Amounts Pivot Table'!Q$477/$M496),0)</f>
        <v>0</v>
      </c>
      <c r="D496" s="288">
        <f>IF($M496&gt;0,('Amounts Pivot Table'!Q$480/$M496),0)</f>
        <v>0</v>
      </c>
      <c r="E496" s="288">
        <f>IF($M496&gt;0,('Amounts Pivot Table'!Q$483/$M496),0)</f>
        <v>3045.1962842723965</v>
      </c>
      <c r="F496" s="288">
        <f t="shared" si="45"/>
        <v>8961.768955118172</v>
      </c>
      <c r="G496" s="359">
        <f>IF(B496&gt;0,RANK(B496,$B$481:$B$499),)</f>
        <v>3</v>
      </c>
      <c r="H496" s="289">
        <f>IF(C496&gt;0,RANK(C496,$C$481:$C$499),)</f>
        <v>0</v>
      </c>
      <c r="I496" s="289">
        <f>IF(D496&gt;0,RANK(D496,$D$481:$D$499),)</f>
        <v>0</v>
      </c>
      <c r="J496" s="289">
        <f>IF(E496&gt;0,RANK(E496,$E$481:$E$499),)</f>
        <v>3</v>
      </c>
      <c r="K496" s="289">
        <f>IF(F496&gt;0,RANK(F496,$F$481:$F$499),)</f>
        <v>2</v>
      </c>
      <c r="L496" s="356"/>
      <c r="M496" s="357">
        <v>12858.136666666669</v>
      </c>
    </row>
    <row r="497" spans="1:13" ht="12.75" customHeight="1">
      <c r="A497" s="77" t="s">
        <v>790</v>
      </c>
      <c r="B497" s="288">
        <f>IF($M497&gt;0,('Amounts Pivot Table'!Q$513/$M497),0)</f>
        <v>0</v>
      </c>
      <c r="C497" s="288">
        <f>IF($M497&gt;0,('Amounts Pivot Table'!Q$516/$M497),0)</f>
        <v>0</v>
      </c>
      <c r="D497" s="288">
        <f>IF($M497&gt;0,('Amounts Pivot Table'!Q$519/$M497),0)</f>
        <v>0</v>
      </c>
      <c r="E497" s="288">
        <f>IF($M497&gt;0,('Amounts Pivot Table'!Q$522/$M497),0)</f>
        <v>0</v>
      </c>
      <c r="F497" s="288">
        <f t="shared" si="45"/>
        <v>0</v>
      </c>
      <c r="G497" s="359">
        <f>IF(B497&gt;0,RANK(B497,$B$481:$B$499),)</f>
        <v>0</v>
      </c>
      <c r="H497" s="289">
        <f>IF(C497&gt;0,RANK(C497,$C$481:$C$499),)</f>
        <v>0</v>
      </c>
      <c r="I497" s="289">
        <f>IF(D497&gt;0,RANK(D497,$D$481:$D$499),)</f>
        <v>0</v>
      </c>
      <c r="J497" s="289">
        <f>IF(E497&gt;0,RANK(E497,$E$481:$E$499),)</f>
        <v>0</v>
      </c>
      <c r="K497" s="289">
        <f>IF(F497&gt;0,RANK(F497,$F$481:$F$499),)</f>
        <v>0</v>
      </c>
      <c r="L497" s="356"/>
      <c r="M497" s="357">
        <v>0</v>
      </c>
    </row>
    <row r="498" spans="1:13" ht="12.75" customHeight="1">
      <c r="A498" s="77" t="s">
        <v>791</v>
      </c>
      <c r="B498" s="288">
        <f>IF($M498&gt;0,('Amounts Pivot Table'!Q$552/$M498),0)</f>
        <v>0</v>
      </c>
      <c r="C498" s="288">
        <f>IF($M498&gt;0,('Amounts Pivot Table'!Q$555/$M498),0)</f>
        <v>0</v>
      </c>
      <c r="D498" s="288">
        <f>IF($M498&gt;0,('Amounts Pivot Table'!Q$558/$M498),0)</f>
        <v>0</v>
      </c>
      <c r="E498" s="288">
        <f>IF($M498&gt;0,('Amounts Pivot Table'!Q$561/$M498),0)</f>
        <v>0</v>
      </c>
      <c r="F498" s="288">
        <f t="shared" si="45"/>
        <v>0</v>
      </c>
      <c r="G498" s="359">
        <f>IF(B498&gt;0,RANK(B498,$B$481:$B$499),)</f>
        <v>0</v>
      </c>
      <c r="H498" s="289">
        <f>IF(C498&gt;0,RANK(C498,$C$481:$C$499),)</f>
        <v>0</v>
      </c>
      <c r="I498" s="289">
        <f>IF(D498&gt;0,RANK(D498,$D$481:$D$499),)</f>
        <v>0</v>
      </c>
      <c r="J498" s="289">
        <f>IF(E498&gt;0,RANK(E498,$E$481:$E$499),)</f>
        <v>0</v>
      </c>
      <c r="K498" s="289">
        <f>IF(F498&gt;0,RANK(F498,$F$481:$F$499),)</f>
        <v>0</v>
      </c>
      <c r="L498" s="356"/>
      <c r="M498" s="357">
        <v>0</v>
      </c>
    </row>
    <row r="499" spans="1:13" ht="12.75" customHeight="1">
      <c r="A499" s="277" t="s">
        <v>792</v>
      </c>
      <c r="B499" s="296">
        <f>IF($M499&gt;0,('Amounts Pivot Table'!Q$591/$M499),0)</f>
        <v>0</v>
      </c>
      <c r="C499" s="296">
        <f>IF($M499&gt;0,('Amounts Pivot Table'!Q$594/$M499),0)</f>
        <v>0</v>
      </c>
      <c r="D499" s="296">
        <f>IF($M499&gt;0,('Amounts Pivot Table'!Q$597/$M499),0)</f>
        <v>0</v>
      </c>
      <c r="E499" s="296">
        <f>IF($M499&gt;0,('Amounts Pivot Table'!Q$600/$M499),0)</f>
        <v>0</v>
      </c>
      <c r="F499" s="296">
        <f t="shared" si="45"/>
        <v>0</v>
      </c>
      <c r="G499" s="365">
        <f>IF(B499&gt;0,RANK(B499,$B$481:$B$499),)</f>
        <v>0</v>
      </c>
      <c r="H499" s="366">
        <f>IF(C499&gt;0,RANK(C499,$C$481:$C$499),)</f>
        <v>0</v>
      </c>
      <c r="I499" s="366">
        <f>IF(D499&gt;0,RANK(D499,$D$481:$D$499),)</f>
        <v>0</v>
      </c>
      <c r="J499" s="366">
        <f>IF(E499&gt;0,RANK(E499,$E$481:$E$499),)</f>
        <v>0</v>
      </c>
      <c r="K499" s="366">
        <f>IF(F499&gt;0,RANK(F499,$F$481:$F$499),)</f>
        <v>0</v>
      </c>
      <c r="L499" s="356"/>
      <c r="M499" s="357">
        <v>0</v>
      </c>
    </row>
    <row r="500" spans="1:13" s="362" customFormat="1" ht="34.5" customHeight="1">
      <c r="A500" s="1244" t="s">
        <v>926</v>
      </c>
      <c r="B500" s="1270"/>
      <c r="C500" s="1270"/>
      <c r="D500" s="1270"/>
      <c r="E500" s="1270"/>
      <c r="F500" s="1270"/>
      <c r="G500" s="1270"/>
      <c r="H500" s="1270"/>
      <c r="I500" s="1270"/>
      <c r="J500" s="1270"/>
      <c r="K500" s="1270"/>
      <c r="L500" s="363"/>
      <c r="M500" s="348"/>
    </row>
    <row r="501" spans="1:13" s="397" customFormat="1" ht="13.5" customHeight="1">
      <c r="A501" s="1244" t="s">
        <v>927</v>
      </c>
      <c r="B501" s="1270"/>
      <c r="C501" s="1270"/>
      <c r="D501" s="1270"/>
      <c r="E501" s="1270"/>
      <c r="F501" s="1270"/>
      <c r="G501" s="1270"/>
      <c r="H501" s="1270"/>
      <c r="I501" s="1270"/>
      <c r="J501" s="1270"/>
      <c r="K501" s="1270"/>
      <c r="L501" s="347"/>
      <c r="M501" s="348"/>
    </row>
    <row r="502" spans="1:13" ht="13.5" customHeight="1">
      <c r="A502" s="1244" t="s">
        <v>930</v>
      </c>
      <c r="B502" s="1245"/>
      <c r="C502" s="1245"/>
      <c r="D502" s="1245"/>
      <c r="E502" s="1245"/>
      <c r="F502" s="1245"/>
      <c r="G502" s="1245"/>
      <c r="H502" s="1245"/>
      <c r="I502" s="1245"/>
      <c r="J502" s="1245"/>
      <c r="K502" s="1245"/>
      <c r="L502" s="367"/>
      <c r="M502" s="348"/>
    </row>
    <row r="503" spans="1:13">
      <c r="A503" s="368"/>
      <c r="B503" s="369"/>
      <c r="C503" s="369"/>
      <c r="D503" s="369"/>
      <c r="E503" s="369"/>
      <c r="F503" s="369"/>
      <c r="G503" s="369"/>
      <c r="H503" s="369"/>
      <c r="I503" s="369"/>
      <c r="J503" s="369"/>
      <c r="K503" s="370" t="s">
        <v>1814</v>
      </c>
      <c r="L503" s="367"/>
      <c r="M503" s="348"/>
    </row>
    <row r="504" spans="1:13" ht="18.75" customHeight="1">
      <c r="A504" s="1228" t="s">
        <v>952</v>
      </c>
      <c r="B504" s="1228"/>
      <c r="C504" s="1228"/>
      <c r="D504" s="1228"/>
      <c r="E504" s="1228"/>
      <c r="F504" s="1228"/>
      <c r="G504" s="1228"/>
      <c r="H504" s="1228"/>
      <c r="I504" s="1228"/>
      <c r="J504" s="1228"/>
      <c r="K504" s="1228"/>
      <c r="L504" s="367"/>
      <c r="M504" s="348"/>
    </row>
    <row r="505" spans="1:13" ht="17.5">
      <c r="A505" s="1228" t="s">
        <v>920</v>
      </c>
      <c r="B505" s="1228"/>
      <c r="C505" s="1228"/>
      <c r="D505" s="1228"/>
      <c r="E505" s="1228"/>
      <c r="F505" s="1228"/>
      <c r="G505" s="1228"/>
      <c r="H505" s="1228"/>
      <c r="I505" s="1228"/>
      <c r="J505" s="1228"/>
      <c r="K505" s="1228"/>
      <c r="L505" s="344"/>
      <c r="M505" s="348"/>
    </row>
    <row r="506" spans="1:13" ht="15.75" customHeight="1">
      <c r="A506" s="1228" t="s">
        <v>953</v>
      </c>
      <c r="B506" s="1228"/>
      <c r="C506" s="1228"/>
      <c r="D506" s="1228"/>
      <c r="E506" s="1228"/>
      <c r="F506" s="1228"/>
      <c r="G506" s="1228"/>
      <c r="H506" s="1228"/>
      <c r="I506" s="1228"/>
      <c r="J506" s="1228"/>
      <c r="K506" s="1228"/>
      <c r="L506" s="344"/>
      <c r="M506" s="371"/>
    </row>
    <row r="507" spans="1:13" ht="15.75" customHeight="1">
      <c r="A507" s="341"/>
      <c r="B507" s="341"/>
      <c r="C507" s="341"/>
      <c r="D507" s="341"/>
      <c r="E507" s="341"/>
      <c r="F507" s="341"/>
      <c r="G507" s="373"/>
      <c r="H507" s="341"/>
      <c r="I507" s="341"/>
      <c r="J507" s="341"/>
      <c r="K507" s="341"/>
      <c r="L507" s="344"/>
      <c r="M507" s="348"/>
    </row>
    <row r="508" spans="1:13" s="399" customFormat="1" ht="15.75" customHeight="1">
      <c r="A508" s="398"/>
      <c r="B508" s="1279" t="s">
        <v>922</v>
      </c>
      <c r="C508" s="1280"/>
      <c r="D508" s="1280"/>
      <c r="E508" s="1280"/>
      <c r="F508" s="1280"/>
      <c r="G508" s="1281" t="s">
        <v>923</v>
      </c>
      <c r="H508" s="1282"/>
      <c r="I508" s="1282"/>
      <c r="J508" s="1282"/>
      <c r="K508" s="1282"/>
      <c r="L508" s="389"/>
      <c r="M508" s="348"/>
    </row>
    <row r="509" spans="1:13" s="53" customFormat="1" ht="47.25" customHeight="1">
      <c r="A509" s="243"/>
      <c r="B509" s="244" t="s">
        <v>6</v>
      </c>
      <c r="C509" s="245" t="s">
        <v>7</v>
      </c>
      <c r="D509" s="245" t="s">
        <v>8</v>
      </c>
      <c r="E509" s="245" t="s">
        <v>924</v>
      </c>
      <c r="F509" s="245" t="s">
        <v>768</v>
      </c>
      <c r="G509" s="246" t="s">
        <v>6</v>
      </c>
      <c r="H509" s="245" t="s">
        <v>7</v>
      </c>
      <c r="I509" s="245" t="s">
        <v>8</v>
      </c>
      <c r="J509" s="245" t="s">
        <v>924</v>
      </c>
      <c r="K509" s="245" t="s">
        <v>768</v>
      </c>
      <c r="L509" s="350"/>
      <c r="M509" s="372" t="s">
        <v>932</v>
      </c>
    </row>
    <row r="510" spans="1:13" ht="14.5">
      <c r="A510" s="77" t="s">
        <v>925</v>
      </c>
      <c r="B510" s="352">
        <f>IF($M510&gt;0,('Amounts Pivot Table'!R$630/$M510),0)</f>
        <v>0</v>
      </c>
      <c r="C510" s="352">
        <f>IF($M510&gt;0,('Amounts Pivot Table'!R$633/$M510),0)</f>
        <v>0</v>
      </c>
      <c r="D510" s="352">
        <f>IF($M510&gt;0,('Amounts Pivot Table'!R$636/$M510),0)</f>
        <v>0</v>
      </c>
      <c r="E510" s="352">
        <f>IF($M510&gt;0,('Amounts Pivot Table'!R$639/$M510),0)</f>
        <v>0</v>
      </c>
      <c r="F510" s="352">
        <f>SUM(B510:E510)</f>
        <v>0</v>
      </c>
      <c r="G510" s="353"/>
      <c r="H510" s="354"/>
      <c r="I510" s="354"/>
      <c r="J510" s="354"/>
      <c r="K510" s="354"/>
      <c r="L510" s="356"/>
      <c r="M510" s="348"/>
    </row>
    <row r="511" spans="1:13" s="376" customFormat="1">
      <c r="B511" s="380"/>
      <c r="C511" s="380"/>
      <c r="D511" s="380"/>
      <c r="E511" s="380"/>
      <c r="F511" s="380">
        <f>SUM(B511:E511)</f>
        <v>0</v>
      </c>
      <c r="G511" s="387"/>
      <c r="H511" s="388"/>
      <c r="I511" s="388"/>
      <c r="J511" s="388"/>
      <c r="K511" s="388"/>
      <c r="L511" s="381"/>
      <c r="M511" s="348">
        <f>+'[1]NEW-Tables 80-86'!AZ194</f>
        <v>0</v>
      </c>
    </row>
    <row r="512" spans="1:13" ht="12.75" customHeight="1">
      <c r="A512" s="77" t="s">
        <v>777</v>
      </c>
      <c r="B512" s="288">
        <f>IF($M512&gt;0,('Amounts Pivot Table'!R$6/$M512),0)</f>
        <v>0</v>
      </c>
      <c r="C512" s="288">
        <f>IF($M512&gt;0,('Amounts Pivot Table'!R$9/$M512),0)</f>
        <v>0</v>
      </c>
      <c r="D512" s="288">
        <f>IF($M512&gt;0,('Amounts Pivot Table'!R$12/$M512),0)</f>
        <v>0</v>
      </c>
      <c r="E512" s="288">
        <f>IF($M512&gt;0,('Amounts Pivot Table'!R$15/$M512),0)</f>
        <v>0</v>
      </c>
      <c r="F512" s="288">
        <f t="shared" ref="F512:F530" si="46">SUM(B512:E512)</f>
        <v>0</v>
      </c>
      <c r="G512" s="359">
        <f>IF(B512&gt;0,RANK(B512,$B$512:$B$530),)</f>
        <v>0</v>
      </c>
      <c r="H512" s="289">
        <f>IF(C512&gt;0,RANK(C512,$C$512:$C$530),)</f>
        <v>0</v>
      </c>
      <c r="I512" s="289">
        <f>IF(D512&gt;0,RANK(D512,$D$512:$D$530),)</f>
        <v>0</v>
      </c>
      <c r="J512" s="289">
        <f>IF(E512&gt;0,RANK(E512,$E$512:$E$530),)</f>
        <v>0</v>
      </c>
      <c r="K512" s="289">
        <f>IF(F512&gt;0,RANK(F512,$F$512:$F$530),)</f>
        <v>0</v>
      </c>
      <c r="L512" s="356"/>
      <c r="M512" s="348">
        <f>+'[1]NEW-Tables 80-86'!AZ195</f>
        <v>0</v>
      </c>
    </row>
    <row r="513" spans="1:13" ht="12.75" customHeight="1">
      <c r="A513" s="77" t="s">
        <v>778</v>
      </c>
      <c r="B513" s="288">
        <f>IF($M513&gt;0,('Amounts Pivot Table'!R$45/$M513),0)</f>
        <v>0</v>
      </c>
      <c r="C513" s="288">
        <f>IF($M513&gt;0,('Amounts Pivot Table'!R$48/$M513),0)</f>
        <v>0</v>
      </c>
      <c r="D513" s="288">
        <f>IF($M513&gt;0,('Amounts Pivot Table'!R$51/$M513),0)</f>
        <v>0</v>
      </c>
      <c r="E513" s="288">
        <f>IF($M513&gt;0,('Amounts Pivot Table'!R$54/$M513),0)</f>
        <v>0</v>
      </c>
      <c r="F513" s="288">
        <f t="shared" si="46"/>
        <v>0</v>
      </c>
      <c r="G513" s="359">
        <f>IF(B513&gt;0,RANK(B513,$B$512:$B$530),)</f>
        <v>0</v>
      </c>
      <c r="H513" s="289">
        <f>IF(C513&gt;0,RANK(C513,$C$512:$C$530),)</f>
        <v>0</v>
      </c>
      <c r="I513" s="289">
        <f>IF(D513&gt;0,RANK(D513,$D$512:$D$530),)</f>
        <v>0</v>
      </c>
      <c r="J513" s="289">
        <f>IF(E513&gt;0,RANK(E513,$E$512:$E$530),)</f>
        <v>0</v>
      </c>
      <c r="K513" s="289">
        <f>IF(F513&gt;0,RANK(F513,$F$512:$F$530),)</f>
        <v>0</v>
      </c>
      <c r="L513" s="356"/>
      <c r="M513" s="348">
        <f>+'[1]NEW-Tables 80-86'!AZ196</f>
        <v>0</v>
      </c>
    </row>
    <row r="514" spans="1:13" ht="12.75" customHeight="1">
      <c r="A514" s="77" t="s">
        <v>779</v>
      </c>
      <c r="B514" s="288">
        <f>IF($M514&gt;0,('Amounts Pivot Table'!R$84/$M514),0)</f>
        <v>0</v>
      </c>
      <c r="C514" s="288">
        <f>IF($M514&gt;0,('Amounts Pivot Table'!R$87/$M514),0)</f>
        <v>0</v>
      </c>
      <c r="D514" s="288">
        <f>IF($M514&gt;0,('Amounts Pivot Table'!R$90/$M514),0)</f>
        <v>0</v>
      </c>
      <c r="E514" s="288">
        <f>IF($M514&gt;0,('Amounts Pivot Table'!R$93/$M514),0)</f>
        <v>0</v>
      </c>
      <c r="F514" s="288">
        <f t="shared" si="46"/>
        <v>0</v>
      </c>
      <c r="G514" s="359">
        <f>IF(B514&gt;0,RANK(B514,$B$512:$B$530),)</f>
        <v>0</v>
      </c>
      <c r="H514" s="289">
        <f>IF(C514&gt;0,RANK(C514,$C$512:$C$530),)</f>
        <v>0</v>
      </c>
      <c r="I514" s="289">
        <f>IF(D514&gt;0,RANK(D514,$D$512:$D$530),)</f>
        <v>0</v>
      </c>
      <c r="J514" s="289">
        <f>IF(E514&gt;0,RANK(E514,$E$512:$E$530),)</f>
        <v>0</v>
      </c>
      <c r="K514" s="289">
        <f>IF(F514&gt;0,RANK(F514,$F$512:$F$530),)</f>
        <v>0</v>
      </c>
      <c r="L514" s="356"/>
      <c r="M514" s="348">
        <f>+'[1]NEW-Tables 80-86'!AZ197</f>
        <v>0</v>
      </c>
    </row>
    <row r="515" spans="1:13" ht="12.75" customHeight="1">
      <c r="A515" s="77" t="s">
        <v>780</v>
      </c>
      <c r="B515" s="288">
        <f>IF($M515&gt;0,('Amounts Pivot Table'!R$123/$M515),0)</f>
        <v>0</v>
      </c>
      <c r="C515" s="288">
        <f>IF($M515&gt;0,('Amounts Pivot Table'!R$126/$M515),0)</f>
        <v>0</v>
      </c>
      <c r="D515" s="288">
        <f>IF($M515&gt;0,('Amounts Pivot Table'!R$129/$M515),0)</f>
        <v>0</v>
      </c>
      <c r="E515" s="288">
        <f>IF($M515&gt;0,('Amounts Pivot Table'!R$132/$M515),0)</f>
        <v>0</v>
      </c>
      <c r="F515" s="288">
        <f t="shared" si="46"/>
        <v>0</v>
      </c>
      <c r="G515" s="359">
        <f>IF(B515&gt;0,RANK(B515,$B$512:$B$530),)</f>
        <v>0</v>
      </c>
      <c r="H515" s="289">
        <f>IF(C515&gt;0,RANK(C515,$C$512:$C$530),)</f>
        <v>0</v>
      </c>
      <c r="I515" s="289">
        <f>IF(D515&gt;0,RANK(D515,$D$512:$D$530),)</f>
        <v>0</v>
      </c>
      <c r="J515" s="289">
        <f>IF(E515&gt;0,RANK(E515,$E$512:$E$530),)</f>
        <v>0</v>
      </c>
      <c r="K515" s="289">
        <f>IF(F515&gt;0,RANK(F515,$F$512:$F$530),)</f>
        <v>0</v>
      </c>
      <c r="L515" s="356"/>
      <c r="M515" s="348">
        <f>+'[1]NEW-Tables 80-86'!AZ198</f>
        <v>0</v>
      </c>
    </row>
    <row r="516" spans="1:13" s="376" customFormat="1">
      <c r="B516" s="380"/>
      <c r="C516" s="380"/>
      <c r="D516" s="380"/>
      <c r="E516" s="380"/>
      <c r="F516" s="380">
        <f t="shared" si="46"/>
        <v>0</v>
      </c>
      <c r="G516" s="387"/>
      <c r="H516" s="388"/>
      <c r="I516" s="388"/>
      <c r="J516" s="388"/>
      <c r="K516" s="388"/>
      <c r="L516" s="381"/>
      <c r="M516" s="348">
        <f>+'[1]NEW-Tables 80-86'!AZ199</f>
        <v>0</v>
      </c>
    </row>
    <row r="517" spans="1:13" ht="12.75" customHeight="1">
      <c r="A517" s="77" t="s">
        <v>781</v>
      </c>
      <c r="B517" s="288">
        <f>IF($M517&gt;0,('Amounts Pivot Table'!R$162/$M517),0)</f>
        <v>0</v>
      </c>
      <c r="C517" s="288">
        <f>IF($M517&gt;0,('Amounts Pivot Table'!R$165/$M517),0)</f>
        <v>0</v>
      </c>
      <c r="D517" s="288">
        <f>IF($M517&gt;0,('Amounts Pivot Table'!R$168/$M517),0)</f>
        <v>0</v>
      </c>
      <c r="E517" s="288">
        <f>IF($M517&gt;0,('Amounts Pivot Table'!R$171/$M517),0)</f>
        <v>0</v>
      </c>
      <c r="F517" s="288">
        <f t="shared" si="46"/>
        <v>0</v>
      </c>
      <c r="G517" s="359">
        <f>IF(B517&gt;0,RANK(B517,$B$512:$B$530),)</f>
        <v>0</v>
      </c>
      <c r="H517" s="289">
        <f>IF(C517&gt;0,RANK(C517,$C$512:$C$530),)</f>
        <v>0</v>
      </c>
      <c r="I517" s="289">
        <f>IF(D517&gt;0,RANK(D517,$D$512:$D$530),)</f>
        <v>0</v>
      </c>
      <c r="J517" s="289">
        <f>IF(E517&gt;0,RANK(E517,$E$512:$E$530),)</f>
        <v>0</v>
      </c>
      <c r="K517" s="289">
        <f>IF(F517&gt;0,RANK(F517,$F$512:$F$530),)</f>
        <v>0</v>
      </c>
      <c r="L517" s="356"/>
      <c r="M517" s="348">
        <f>+'[1]NEW-Tables 80-86'!AZ200</f>
        <v>0</v>
      </c>
    </row>
    <row r="518" spans="1:13" ht="12.75" customHeight="1">
      <c r="A518" s="77" t="s">
        <v>782</v>
      </c>
      <c r="B518" s="288">
        <f>IF($M518&gt;0,('Amounts Pivot Table'!R$201/$M518),0)</f>
        <v>0</v>
      </c>
      <c r="C518" s="288">
        <f>IF($M518&gt;0,('Amounts Pivot Table'!R$204/$M518),0)</f>
        <v>0</v>
      </c>
      <c r="D518" s="288">
        <f>IF($M518&gt;0,('Amounts Pivot Table'!R$207/$M518),0)</f>
        <v>0</v>
      </c>
      <c r="E518" s="288">
        <f>IF($M518&gt;0,('Amounts Pivot Table'!R$210/$M518),0)</f>
        <v>0</v>
      </c>
      <c r="F518" s="288">
        <f t="shared" si="46"/>
        <v>0</v>
      </c>
      <c r="G518" s="359">
        <f>IF(B518&gt;0,RANK(B518,$B$512:$B$530),)</f>
        <v>0</v>
      </c>
      <c r="H518" s="289">
        <f>IF(C518&gt;0,RANK(C518,$C$512:$C$530),)</f>
        <v>0</v>
      </c>
      <c r="I518" s="289">
        <f>IF(D518&gt;0,RANK(D518,$D$512:$D$530),)</f>
        <v>0</v>
      </c>
      <c r="J518" s="289">
        <f>IF(E518&gt;0,RANK(E518,$E$512:$E$530),)</f>
        <v>0</v>
      </c>
      <c r="K518" s="289">
        <f>IF(F518&gt;0,RANK(F518,$F$512:$F$530),)</f>
        <v>0</v>
      </c>
      <c r="L518" s="356"/>
      <c r="M518" s="348">
        <f>+'[1]NEW-Tables 80-86'!AZ201</f>
        <v>0</v>
      </c>
    </row>
    <row r="519" spans="1:13" ht="12.75" customHeight="1">
      <c r="A519" s="77" t="s">
        <v>813</v>
      </c>
      <c r="B519" s="288">
        <f>IF($M519&gt;0,('Amounts Pivot Table'!R$240/$M519),0)</f>
        <v>0</v>
      </c>
      <c r="C519" s="288">
        <f>IF($M519&gt;0,('Amounts Pivot Table'!R$243/$M519),0)</f>
        <v>0</v>
      </c>
      <c r="D519" s="288">
        <f>IF($M519&gt;0,('Amounts Pivot Table'!R$246/$M519),0)</f>
        <v>0</v>
      </c>
      <c r="E519" s="288">
        <f>IF($M519&gt;0,('Amounts Pivot Table'!R$249/$M519),0)</f>
        <v>0</v>
      </c>
      <c r="F519" s="288">
        <f t="shared" si="46"/>
        <v>0</v>
      </c>
      <c r="G519" s="359">
        <f>IF(B519&gt;0,RANK(B519,$B$512:$B$530),)</f>
        <v>0</v>
      </c>
      <c r="H519" s="289">
        <f>IF(C519&gt;0,RANK(C519,$C$512:$C$530),)</f>
        <v>0</v>
      </c>
      <c r="I519" s="289">
        <f>IF(D519&gt;0,RANK(D519,$D$512:$D$530),)</f>
        <v>0</v>
      </c>
      <c r="J519" s="289">
        <f>IF(E519&gt;0,RANK(E519,$E$512:$E$530),)</f>
        <v>0</v>
      </c>
      <c r="K519" s="289">
        <f>IF(F519&gt;0,RANK(F519,$F$512:$F$530),)</f>
        <v>0</v>
      </c>
      <c r="L519" s="356"/>
      <c r="M519" s="348">
        <f>+'[1]NEW-Tables 80-86'!AZ202</f>
        <v>0</v>
      </c>
    </row>
    <row r="520" spans="1:13" ht="12.75" customHeight="1">
      <c r="A520" s="77" t="s">
        <v>784</v>
      </c>
      <c r="B520" s="288">
        <f>IF($M520&gt;0,('Amounts Pivot Table'!R$279/$M520),0)</f>
        <v>0</v>
      </c>
      <c r="C520" s="288">
        <f>IF($M520&gt;0,('Amounts Pivot Table'!R$282/$M520),0)</f>
        <v>0</v>
      </c>
      <c r="D520" s="288">
        <f>IF($M520&gt;0,('Amounts Pivot Table'!R$285/$M520),0)</f>
        <v>0</v>
      </c>
      <c r="E520" s="288">
        <f>IF($M520&gt;0,('Amounts Pivot Table'!R$288/$M520),0)</f>
        <v>0</v>
      </c>
      <c r="F520" s="288">
        <f t="shared" si="46"/>
        <v>0</v>
      </c>
      <c r="G520" s="359">
        <f>IF(B520&gt;0,RANK(B520,$B$512:$B$530),)</f>
        <v>0</v>
      </c>
      <c r="H520" s="289">
        <f>IF(C520&gt;0,RANK(C520,$C$512:$C$530),)</f>
        <v>0</v>
      </c>
      <c r="I520" s="289">
        <f>IF(D520&gt;0,RANK(D520,$D$512:$D$530),)</f>
        <v>0</v>
      </c>
      <c r="J520" s="289">
        <f>IF(E520&gt;0,RANK(E520,$E$512:$E$530),)</f>
        <v>0</v>
      </c>
      <c r="K520" s="289">
        <f>IF(F520&gt;0,RANK(F520,$F$512:$F$530),)</f>
        <v>0</v>
      </c>
      <c r="L520" s="356"/>
      <c r="M520" s="348">
        <f>+'[1]NEW-Tables 80-86'!AZ203</f>
        <v>0</v>
      </c>
    </row>
    <row r="521" spans="1:13" s="376" customFormat="1">
      <c r="B521" s="380"/>
      <c r="C521" s="380"/>
      <c r="D521" s="380"/>
      <c r="E521" s="380"/>
      <c r="F521" s="380">
        <f>SUM(B521:E521)</f>
        <v>0</v>
      </c>
      <c r="G521" s="387"/>
      <c r="H521" s="388"/>
      <c r="I521" s="388"/>
      <c r="J521" s="388"/>
      <c r="K521" s="388"/>
      <c r="L521" s="381"/>
      <c r="M521" s="348">
        <f>+'[1]NEW-Tables 80-86'!AZ204</f>
        <v>0</v>
      </c>
    </row>
    <row r="522" spans="1:13" ht="12.75" customHeight="1">
      <c r="A522" s="77" t="s">
        <v>785</v>
      </c>
      <c r="B522" s="288">
        <f>IF($M522&gt;0,('Amounts Pivot Table'!R$318/$M522),0)</f>
        <v>0</v>
      </c>
      <c r="C522" s="288">
        <f>IF($M522&gt;0,('Amounts Pivot Table'!R$321/$M522),0)</f>
        <v>0</v>
      </c>
      <c r="D522" s="288">
        <f>IF($M522&gt;0,('Amounts Pivot Table'!R$324/$M522),0)</f>
        <v>0</v>
      </c>
      <c r="E522" s="288">
        <f>IF($M522&gt;0,('Amounts Pivot Table'!R$327/$M522),0)</f>
        <v>0</v>
      </c>
      <c r="F522" s="288">
        <f t="shared" si="46"/>
        <v>0</v>
      </c>
      <c r="G522" s="359">
        <f>IF(B522&gt;0,RANK(B522,$B$512:$B$530),)</f>
        <v>0</v>
      </c>
      <c r="H522" s="289">
        <f>IF(C522&gt;0,RANK(C522,$C$512:$C$530),)</f>
        <v>0</v>
      </c>
      <c r="I522" s="289">
        <f>IF(D522&gt;0,RANK(D522,$D$512:$D$530),)</f>
        <v>0</v>
      </c>
      <c r="J522" s="289">
        <f>IF(E522&gt;0,RANK(E522,$E$512:$E$530),)</f>
        <v>0</v>
      </c>
      <c r="K522" s="289">
        <f>IF(F522&gt;0,RANK(F522,$F$512:$F$530),)</f>
        <v>0</v>
      </c>
      <c r="L522" s="356"/>
      <c r="M522" s="348">
        <f>+'[1]NEW-Tables 80-86'!AZ205</f>
        <v>0</v>
      </c>
    </row>
    <row r="523" spans="1:13" ht="12.75" customHeight="1">
      <c r="A523" s="77" t="s">
        <v>786</v>
      </c>
      <c r="B523" s="288">
        <f>IF($M523&gt;0,('Amounts Pivot Table'!R$357/$M523),0)</f>
        <v>0</v>
      </c>
      <c r="C523" s="288">
        <f>IF($M523&gt;0,('Amounts Pivot Table'!R$360/$M523),0)</f>
        <v>0</v>
      </c>
      <c r="D523" s="288">
        <f>IF($M523&gt;0,('Amounts Pivot Table'!R$363/$M523),0)</f>
        <v>0</v>
      </c>
      <c r="E523" s="288">
        <f>IF($M523&gt;0,('Amounts Pivot Table'!R$366/$M523),0)</f>
        <v>0</v>
      </c>
      <c r="F523" s="288">
        <f t="shared" si="46"/>
        <v>0</v>
      </c>
      <c r="G523" s="359">
        <f>IF(B523&gt;0,RANK(B523,$B$512:$B$530),)</f>
        <v>0</v>
      </c>
      <c r="H523" s="289">
        <f>IF(C523&gt;0,RANK(C523,$C$512:$C$530),)</f>
        <v>0</v>
      </c>
      <c r="I523" s="289">
        <f>IF(D523&gt;0,RANK(D523,$D$512:$D$530),)</f>
        <v>0</v>
      </c>
      <c r="J523" s="289">
        <f>IF(E523&gt;0,RANK(E523,$E$512:$E$530),)</f>
        <v>0</v>
      </c>
      <c r="K523" s="289">
        <f>IF(F523&gt;0,RANK(F523,$F$512:$F$530),)</f>
        <v>0</v>
      </c>
      <c r="L523" s="356"/>
      <c r="M523" s="348">
        <f>+'[1]NEW-Tables 80-86'!AZ206</f>
        <v>0</v>
      </c>
    </row>
    <row r="524" spans="1:13" ht="12.75" customHeight="1">
      <c r="A524" s="77" t="s">
        <v>787</v>
      </c>
      <c r="B524" s="288">
        <f>IF($M524&gt;0,('Amounts Pivot Table'!R$396/$M524),0)</f>
        <v>0</v>
      </c>
      <c r="C524" s="288">
        <f>IF($M524&gt;0,('Amounts Pivot Table'!R$399/$M524),0)</f>
        <v>0</v>
      </c>
      <c r="D524" s="288">
        <f>IF($M524&gt;0,('Amounts Pivot Table'!R$402/$M524),0)</f>
        <v>0</v>
      </c>
      <c r="E524" s="288">
        <f>IF($M524&gt;0,('Amounts Pivot Table'!R$405/$M524),0)</f>
        <v>0</v>
      </c>
      <c r="F524" s="288">
        <f t="shared" si="46"/>
        <v>0</v>
      </c>
      <c r="G524" s="359">
        <f>IF(B524&gt;0,RANK(B524,$B$512:$B$530),)</f>
        <v>0</v>
      </c>
      <c r="H524" s="289">
        <f>IF(C524&gt;0,RANK(C524,$C$512:$C$530),)</f>
        <v>0</v>
      </c>
      <c r="I524" s="289">
        <f>IF(D524&gt;0,RANK(D524,$D$512:$D$530),)</f>
        <v>0</v>
      </c>
      <c r="J524" s="289">
        <f>IF(E524&gt;0,RANK(E524,$E$512:$E$530),)</f>
        <v>0</v>
      </c>
      <c r="K524" s="289">
        <f>IF(F524&gt;0,RANK(F524,$F$512:$F$530),)</f>
        <v>0</v>
      </c>
      <c r="L524" s="356"/>
      <c r="M524" s="348">
        <f>+'[1]NEW-Tables 80-86'!AZ207</f>
        <v>0</v>
      </c>
    </row>
    <row r="525" spans="1:13" ht="12.75" customHeight="1">
      <c r="A525" s="77" t="s">
        <v>788</v>
      </c>
      <c r="B525" s="288">
        <f>IF($M525&gt;0,('Amounts Pivot Table'!R$435/$M525),0)</f>
        <v>0</v>
      </c>
      <c r="C525" s="288">
        <f>IF($M525&gt;0,('Amounts Pivot Table'!R$438/$M525),0)</f>
        <v>0</v>
      </c>
      <c r="D525" s="288">
        <f>IF($M525&gt;0,('Amounts Pivot Table'!R$441/$M525),0)</f>
        <v>0</v>
      </c>
      <c r="E525" s="288">
        <f>IF($M525&gt;0,('Amounts Pivot Table'!R$444/$M525),0)</f>
        <v>0</v>
      </c>
      <c r="F525" s="288">
        <f t="shared" si="46"/>
        <v>0</v>
      </c>
      <c r="G525" s="359">
        <f>IF(B525&gt;0,RANK(B525,$B$512:$B$530),)</f>
        <v>0</v>
      </c>
      <c r="H525" s="289">
        <f>IF(C525&gt;0,RANK(C525,$C$512:$C$530),)</f>
        <v>0</v>
      </c>
      <c r="I525" s="289">
        <f>IF(D525&gt;0,RANK(D525,$D$512:$D$530),)</f>
        <v>0</v>
      </c>
      <c r="J525" s="289">
        <f>IF(E525&gt;0,RANK(E525,$E$512:$E$530),)</f>
        <v>0</v>
      </c>
      <c r="K525" s="289">
        <f>IF(F525&gt;0,RANK(F525,$F$512:$F$530),)</f>
        <v>0</v>
      </c>
      <c r="L525" s="356"/>
      <c r="M525" s="348">
        <f>+'[1]NEW-Tables 80-86'!AZ208</f>
        <v>0</v>
      </c>
    </row>
    <row r="526" spans="1:13" s="376" customFormat="1">
      <c r="B526" s="380"/>
      <c r="C526" s="380"/>
      <c r="D526" s="380"/>
      <c r="E526" s="380"/>
      <c r="F526" s="380">
        <f>SUM(B526:E526)</f>
        <v>0</v>
      </c>
      <c r="G526" s="387"/>
      <c r="H526" s="388"/>
      <c r="I526" s="388"/>
      <c r="J526" s="388"/>
      <c r="K526" s="388"/>
      <c r="L526" s="381"/>
      <c r="M526" s="348">
        <f>+'[1]NEW-Tables 80-86'!AZ209</f>
        <v>0</v>
      </c>
    </row>
    <row r="527" spans="1:13" ht="12.75" customHeight="1">
      <c r="A527" s="77" t="s">
        <v>789</v>
      </c>
      <c r="B527" s="288">
        <f>IF($M527&gt;0,('Amounts Pivot Table'!R$474/$M527),0)</f>
        <v>0</v>
      </c>
      <c r="C527" s="288">
        <f>IF($M527&gt;0,('Amounts Pivot Table'!R$477/$M527),0)</f>
        <v>0</v>
      </c>
      <c r="D527" s="288">
        <f>IF($M527&gt;0,('Amounts Pivot Table'!R$480/$M527),0)</f>
        <v>0</v>
      </c>
      <c r="E527" s="288">
        <f>IF($M527&gt;0,('Amounts Pivot Table'!R$483/$M527),0)</f>
        <v>0</v>
      </c>
      <c r="F527" s="288">
        <f t="shared" si="46"/>
        <v>0</v>
      </c>
      <c r="G527" s="359">
        <f>IF(B527&gt;0,RANK(B527,$B$512:$B$530),)</f>
        <v>0</v>
      </c>
      <c r="H527" s="289">
        <f>IF(C527&gt;0,RANK(C527,$C$512:$C$530),)</f>
        <v>0</v>
      </c>
      <c r="I527" s="289">
        <f>IF(D527&gt;0,RANK(D527,$D$512:$D$530),)</f>
        <v>0</v>
      </c>
      <c r="J527" s="289">
        <f>IF(E527&gt;0,RANK(E527,$E$512:$E$530),)</f>
        <v>0</v>
      </c>
      <c r="K527" s="289">
        <f>IF(F527&gt;0,RANK(F527,$F$512:$F$530),)</f>
        <v>0</v>
      </c>
      <c r="L527" s="356"/>
      <c r="M527" s="348">
        <f>+'[1]NEW-Tables 80-86'!AZ210</f>
        <v>0</v>
      </c>
    </row>
    <row r="528" spans="1:13" s="362" customFormat="1" ht="12.75" customHeight="1">
      <c r="A528" s="77" t="s">
        <v>790</v>
      </c>
      <c r="B528" s="288">
        <f>IF($M528&gt;0,('Amounts Pivot Table'!R$513/$M528),0)</f>
        <v>0</v>
      </c>
      <c r="C528" s="288">
        <f>IF($M528&gt;0,('Amounts Pivot Table'!R$516/$M528),0)</f>
        <v>0</v>
      </c>
      <c r="D528" s="288">
        <f>IF($M528&gt;0,('Amounts Pivot Table'!R$519/$M528),0)</f>
        <v>0</v>
      </c>
      <c r="E528" s="288">
        <f>IF($M528&gt;0,('Amounts Pivot Table'!R$522/$M528),0)</f>
        <v>0</v>
      </c>
      <c r="F528" s="288">
        <f t="shared" si="46"/>
        <v>0</v>
      </c>
      <c r="G528" s="359">
        <f>IF(B528&gt;0,RANK(B528,$B$512:$B$530),)</f>
        <v>0</v>
      </c>
      <c r="H528" s="289">
        <f>IF(C528&gt;0,RANK(C528,$C$512:$C$530),)</f>
        <v>0</v>
      </c>
      <c r="I528" s="289">
        <f>IF(D528&gt;0,RANK(D528,$D$512:$D$530),)</f>
        <v>0</v>
      </c>
      <c r="J528" s="289">
        <f>IF(E528&gt;0,RANK(E528,$E$512:$E$530),)</f>
        <v>0</v>
      </c>
      <c r="K528" s="289">
        <f>IF(F528&gt;0,RANK(F528,$F$512:$F$530),)</f>
        <v>0</v>
      </c>
      <c r="L528" s="363"/>
      <c r="M528" s="348">
        <f>+'[1]NEW-Tables 80-86'!AZ211</f>
        <v>0</v>
      </c>
    </row>
    <row r="529" spans="1:13" ht="12.75" customHeight="1">
      <c r="A529" s="77" t="s">
        <v>791</v>
      </c>
      <c r="B529" s="288">
        <f>IF($M529&gt;0,('Amounts Pivot Table'!R$552/$M529),0)</f>
        <v>0</v>
      </c>
      <c r="C529" s="288">
        <f>IF($M529&gt;0,('Amounts Pivot Table'!R$555/$M529),0)</f>
        <v>0</v>
      </c>
      <c r="D529" s="288">
        <f>IF($M529&gt;0,('Amounts Pivot Table'!R$558/$M529),0)</f>
        <v>0</v>
      </c>
      <c r="E529" s="288">
        <f>IF($M529&gt;0,('Amounts Pivot Table'!R$561/$M529),0)</f>
        <v>0</v>
      </c>
      <c r="F529" s="288">
        <f t="shared" si="46"/>
        <v>0</v>
      </c>
      <c r="G529" s="359">
        <f>IF(B529&gt;0,RANK(B529,$B$512:$B$530),)</f>
        <v>0</v>
      </c>
      <c r="H529" s="289">
        <f>IF(C529&gt;0,RANK(C529,$C$512:$C$530),)</f>
        <v>0</v>
      </c>
      <c r="I529" s="289">
        <f>IF(D529&gt;0,RANK(D529,$D$512:$D$530),)</f>
        <v>0</v>
      </c>
      <c r="J529" s="289">
        <f>IF(E529&gt;0,RANK(E529,$E$512:$E$530),)</f>
        <v>0</v>
      </c>
      <c r="K529" s="289">
        <f>IF(F529&gt;0,RANK(F529,$F$512:$F$530),)</f>
        <v>0</v>
      </c>
      <c r="L529" s="367"/>
      <c r="M529" s="348">
        <f>+'[1]NEW-Tables 80-86'!AZ212</f>
        <v>0</v>
      </c>
    </row>
    <row r="530" spans="1:13" ht="15" customHeight="1">
      <c r="A530" s="277" t="s">
        <v>792</v>
      </c>
      <c r="B530" s="296">
        <f>IF($M530&gt;0,('Amounts Pivot Table'!R$591/$M530),0)</f>
        <v>0</v>
      </c>
      <c r="C530" s="296">
        <f>IF($M530&gt;0,('Amounts Pivot Table'!R$594/$M530),0)</f>
        <v>0</v>
      </c>
      <c r="D530" s="296">
        <f>IF($M530&gt;0,('Amounts Pivot Table'!R$597/$M530),0)</f>
        <v>0</v>
      </c>
      <c r="E530" s="296">
        <f>IF($M530&gt;0,('Amounts Pivot Table'!R$600/$M530),0)</f>
        <v>0</v>
      </c>
      <c r="F530" s="364">
        <f t="shared" si="46"/>
        <v>0</v>
      </c>
      <c r="G530" s="365">
        <f>IF(B530&gt;0,RANK(B530,$B$512:$B$530),)</f>
        <v>0</v>
      </c>
      <c r="H530" s="366">
        <f>IF(C530&gt;0,RANK(C530,$C$512:$C$530),)</f>
        <v>0</v>
      </c>
      <c r="I530" s="366">
        <f>IF(D530&gt;0,RANK(D530,$D$512:$D$530),)</f>
        <v>0</v>
      </c>
      <c r="J530" s="366">
        <f>IF(E530&gt;0,RANK(E530,$E$512:$E$530),)</f>
        <v>0</v>
      </c>
      <c r="K530" s="366">
        <f>IF(F530&gt;0,RANK(F530,$F$512:$F$530),)</f>
        <v>0</v>
      </c>
      <c r="L530" s="367"/>
      <c r="M530" s="348">
        <f>+'[1]NEW-Tables 80-86'!AZ213</f>
        <v>0</v>
      </c>
    </row>
    <row r="531" spans="1:13" s="362" customFormat="1" ht="34.5" customHeight="1">
      <c r="A531" s="1244" t="s">
        <v>926</v>
      </c>
      <c r="B531" s="1270"/>
      <c r="C531" s="1270"/>
      <c r="D531" s="1270"/>
      <c r="E531" s="1270"/>
      <c r="F531" s="1270"/>
      <c r="G531" s="1270"/>
      <c r="H531" s="1270"/>
      <c r="I531" s="1270"/>
      <c r="J531" s="1270"/>
      <c r="K531" s="1270"/>
      <c r="L531" s="363"/>
      <c r="M531" s="348"/>
    </row>
    <row r="532" spans="1:13" s="397" customFormat="1" ht="13.5" customHeight="1">
      <c r="A532" s="1244" t="s">
        <v>927</v>
      </c>
      <c r="B532" s="1270"/>
      <c r="C532" s="1270"/>
      <c r="D532" s="1270"/>
      <c r="E532" s="1270"/>
      <c r="F532" s="1270"/>
      <c r="G532" s="1270"/>
      <c r="H532" s="1270"/>
      <c r="I532" s="1270"/>
      <c r="J532" s="1270"/>
      <c r="K532" s="1270"/>
      <c r="L532" s="347"/>
      <c r="M532" s="411"/>
    </row>
    <row r="533" spans="1:13" ht="13.5" customHeight="1">
      <c r="A533" s="1244" t="s">
        <v>930</v>
      </c>
      <c r="B533" s="1245"/>
      <c r="C533" s="1245"/>
      <c r="D533" s="1245"/>
      <c r="E533" s="1245"/>
      <c r="F533" s="1245"/>
      <c r="G533" s="1245"/>
      <c r="H533" s="1245"/>
      <c r="I533" s="1245"/>
      <c r="J533" s="1245"/>
      <c r="K533" s="1245"/>
      <c r="L533" s="367"/>
      <c r="M533" s="382"/>
    </row>
    <row r="534" spans="1:13" ht="13.5" customHeight="1">
      <c r="A534" s="368"/>
      <c r="B534" s="369"/>
      <c r="C534" s="369"/>
      <c r="D534" s="369"/>
      <c r="E534" s="369"/>
      <c r="F534" s="369"/>
      <c r="G534" s="369"/>
      <c r="H534" s="369"/>
      <c r="I534" s="369"/>
      <c r="J534" s="369"/>
      <c r="K534" s="369"/>
      <c r="L534" s="367"/>
      <c r="M534" s="382"/>
    </row>
    <row r="535" spans="1:13">
      <c r="K535" s="370"/>
    </row>
  </sheetData>
  <mergeCells count="115">
    <mergeCell ref="A533:K533"/>
    <mergeCell ref="A505:K505"/>
    <mergeCell ref="A506:K506"/>
    <mergeCell ref="B508:F508"/>
    <mergeCell ref="G508:K508"/>
    <mergeCell ref="A531:K531"/>
    <mergeCell ref="A532:K532"/>
    <mergeCell ref="B477:F477"/>
    <mergeCell ref="G477:K477"/>
    <mergeCell ref="A500:K500"/>
    <mergeCell ref="A501:K501"/>
    <mergeCell ref="A502:K502"/>
    <mergeCell ref="A504:K504"/>
    <mergeCell ref="A469:K469"/>
    <mergeCell ref="A470:K470"/>
    <mergeCell ref="A471:K471"/>
    <mergeCell ref="A473:K473"/>
    <mergeCell ref="A474:K474"/>
    <mergeCell ref="A475:K475"/>
    <mergeCell ref="A439:K439"/>
    <mergeCell ref="A440:K440"/>
    <mergeCell ref="A442:K442"/>
    <mergeCell ref="A443:K443"/>
    <mergeCell ref="A444:K444"/>
    <mergeCell ref="B446:F446"/>
    <mergeCell ref="A409:K409"/>
    <mergeCell ref="A411:K411"/>
    <mergeCell ref="A412:K412"/>
    <mergeCell ref="A413:K413"/>
    <mergeCell ref="B415:F415"/>
    <mergeCell ref="A438:K438"/>
    <mergeCell ref="A380:K380"/>
    <mergeCell ref="A381:K381"/>
    <mergeCell ref="B383:F383"/>
    <mergeCell ref="A406:K406"/>
    <mergeCell ref="A407:K407"/>
    <mergeCell ref="A408:K408"/>
    <mergeCell ref="B350:F350"/>
    <mergeCell ref="A373:K373"/>
    <mergeCell ref="A375:K375"/>
    <mergeCell ref="A376:K376"/>
    <mergeCell ref="A377:K377"/>
    <mergeCell ref="A379:K379"/>
    <mergeCell ref="A342:K342"/>
    <mergeCell ref="A343:K343"/>
    <mergeCell ref="A344:K344"/>
    <mergeCell ref="A346:K346"/>
    <mergeCell ref="A347:K347"/>
    <mergeCell ref="A348:K348"/>
    <mergeCell ref="A312:K312"/>
    <mergeCell ref="A314:K314"/>
    <mergeCell ref="A315:K315"/>
    <mergeCell ref="A316:K316"/>
    <mergeCell ref="B318:F318"/>
    <mergeCell ref="A341:K341"/>
    <mergeCell ref="A283:K283"/>
    <mergeCell ref="A284:K284"/>
    <mergeCell ref="B286:F286"/>
    <mergeCell ref="A309:K309"/>
    <mergeCell ref="A310:K310"/>
    <mergeCell ref="A311:K311"/>
    <mergeCell ref="A253:K253"/>
    <mergeCell ref="B255:F255"/>
    <mergeCell ref="A278:K278"/>
    <mergeCell ref="A279:K279"/>
    <mergeCell ref="A280:K280"/>
    <mergeCell ref="A282:K282"/>
    <mergeCell ref="B224:F224"/>
    <mergeCell ref="A247:K247"/>
    <mergeCell ref="A248:K248"/>
    <mergeCell ref="A249:K249"/>
    <mergeCell ref="A251:K251"/>
    <mergeCell ref="A252:K252"/>
    <mergeCell ref="A191:I191"/>
    <mergeCell ref="A216:I216"/>
    <mergeCell ref="A217:I217"/>
    <mergeCell ref="A220:K220"/>
    <mergeCell ref="A221:K221"/>
    <mergeCell ref="A222:K222"/>
    <mergeCell ref="A160:I160"/>
    <mergeCell ref="A185:I185"/>
    <mergeCell ref="A186:I186"/>
    <mergeCell ref="A187:K187"/>
    <mergeCell ref="A189:I189"/>
    <mergeCell ref="A190:I190"/>
    <mergeCell ref="A129:I129"/>
    <mergeCell ref="A154:I154"/>
    <mergeCell ref="A155:I155"/>
    <mergeCell ref="A156:I156"/>
    <mergeCell ref="A158:I158"/>
    <mergeCell ref="A159:I159"/>
    <mergeCell ref="A97:I97"/>
    <mergeCell ref="A98:I98"/>
    <mergeCell ref="A123:I123"/>
    <mergeCell ref="A124:I124"/>
    <mergeCell ref="A127:I127"/>
    <mergeCell ref="A128:I128"/>
    <mergeCell ref="A91:I91"/>
    <mergeCell ref="A92:I92"/>
    <mergeCell ref="A96:I96"/>
    <mergeCell ref="A32:I32"/>
    <mergeCell ref="A33:I33"/>
    <mergeCell ref="A34:I34"/>
    <mergeCell ref="A59:I59"/>
    <mergeCell ref="A60:I60"/>
    <mergeCell ref="A61:K61"/>
    <mergeCell ref="A2:I2"/>
    <mergeCell ref="B5:E5"/>
    <mergeCell ref="F5:I5"/>
    <mergeCell ref="A28:I28"/>
    <mergeCell ref="A29:I29"/>
    <mergeCell ref="A30:I30"/>
    <mergeCell ref="A64:I64"/>
    <mergeCell ref="A65:I65"/>
    <mergeCell ref="A66:I66"/>
  </mergeCells>
  <printOptions horizontalCentered="1"/>
  <pageMargins left="0.5" right="0.5" top="0.85" bottom="0.42" header="0.85" footer="0.4"/>
  <pageSetup scale="93" firstPageNumber="117" orientation="landscape" useFirstPageNumber="1" r:id="rId1"/>
  <headerFooter alignWithMargins="0">
    <oddHeader>&amp;R&amp;"Arial,Regular"&amp;8SREB-State Data Exchange</oddHeader>
    <oddFooter>&amp;C&amp;"Arial,Regular"C-&amp;P</oddFooter>
  </headerFooter>
  <rowBreaks count="16" manualBreakCount="16">
    <brk id="33" max="10" man="1"/>
    <brk id="63" max="10" man="1"/>
    <brk id="95" max="10" man="1"/>
    <brk id="126" max="10" man="1"/>
    <brk id="157" max="10" man="1"/>
    <brk id="188" max="10" man="1"/>
    <brk id="219" max="10" man="1"/>
    <brk id="250" max="10" man="1"/>
    <brk id="281" max="10" man="1"/>
    <brk id="313" max="10" man="1"/>
    <brk id="345" max="10" man="1"/>
    <brk id="378" max="10" man="1"/>
    <brk id="410" max="10" man="1"/>
    <brk id="441" max="10" man="1"/>
    <brk id="472" max="10" man="1"/>
    <brk id="503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indexed="18"/>
  </sheetPr>
  <dimension ref="A1:AJ3499"/>
  <sheetViews>
    <sheetView topLeftCell="A2" zoomScaleNormal="100" workbookViewId="0">
      <pane xSplit="11" ySplit="16" topLeftCell="L18" activePane="bottomRight" state="frozen"/>
      <selection activeCell="A2" sqref="A2"/>
      <selection pane="topRight" activeCell="L2" sqref="L2"/>
      <selection pane="bottomLeft" activeCell="A18" sqref="A18"/>
      <selection pane="bottomRight" activeCell="C25" sqref="C25"/>
    </sheetView>
  </sheetViews>
  <sheetFormatPr defaultColWidth="9" defaultRowHeight="13"/>
  <cols>
    <col min="1" max="1" width="3.765625" style="14" customWidth="1"/>
    <col min="2" max="2" width="6" style="16" customWidth="1"/>
    <col min="3" max="3" width="35.765625" style="14" customWidth="1"/>
    <col min="4" max="4" width="13.3046875" style="14" customWidth="1"/>
    <col min="5" max="5" width="7.53515625" style="47" customWidth="1"/>
    <col min="6" max="6" width="8.07421875" style="48" customWidth="1"/>
    <col min="7" max="7" width="12.69140625" style="14" customWidth="1"/>
    <col min="8" max="8" width="12.765625" style="49" customWidth="1"/>
    <col min="9" max="9" width="12.69140625" style="14" customWidth="1"/>
    <col min="10" max="10" width="12.69140625" style="49" customWidth="1"/>
    <col min="11" max="11" width="12.69140625" style="14" customWidth="1"/>
    <col min="12" max="12" width="12.69140625" style="49" customWidth="1"/>
    <col min="13" max="15" width="12.69140625" style="21" customWidth="1"/>
    <col min="16" max="16" width="15.3046875" style="49" customWidth="1"/>
    <col min="17" max="17" width="12.69140625" style="49" customWidth="1"/>
    <col min="18" max="18" width="13.53515625" style="22" customWidth="1"/>
    <col min="19" max="19" width="12.69140625" style="14" customWidth="1"/>
    <col min="20" max="20" width="12.69140625" style="22" customWidth="1"/>
    <col min="21" max="21" width="13.07421875" style="14" customWidth="1"/>
    <col min="22" max="28" width="10.765625" style="49" customWidth="1"/>
    <col min="29" max="29" width="10.765625" style="14" customWidth="1"/>
    <col min="30" max="30" width="10.765625" style="49" customWidth="1"/>
    <col min="31" max="32" width="10.765625" style="14" customWidth="1"/>
    <col min="33" max="34" width="10.765625" style="49" customWidth="1"/>
    <col min="35" max="35" width="12.69140625" style="14" customWidth="1"/>
    <col min="36" max="36" width="12.69140625" style="49" customWidth="1"/>
    <col min="37" max="37" width="9" style="14" customWidth="1"/>
    <col min="38" max="16384" width="9" style="14"/>
  </cols>
  <sheetData>
    <row r="1" spans="1:36" s="50" customFormat="1" hidden="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669">
        <f>SUM(M1:N1)</f>
        <v>0</v>
      </c>
      <c r="P1" s="20"/>
      <c r="Q1" s="20"/>
      <c r="R1" s="694">
        <f>SUM(P1:Q1)</f>
        <v>0</v>
      </c>
      <c r="S1" s="669">
        <f>SUM(G1,I1,K1,M1)</f>
        <v>0</v>
      </c>
      <c r="T1" s="670">
        <f>SUM(H1,J1,L1,P1)</f>
        <v>0</v>
      </c>
      <c r="U1" s="20"/>
      <c r="V1" s="20"/>
      <c r="W1" s="20"/>
      <c r="X1" s="20"/>
      <c r="Y1" s="695">
        <f>SUM(W1:X1)</f>
        <v>0</v>
      </c>
      <c r="Z1" s="20"/>
      <c r="AA1" s="20"/>
      <c r="AB1" s="696">
        <f>SUM(Z1:AA1)</f>
        <v>0</v>
      </c>
      <c r="AC1" s="20"/>
      <c r="AD1" s="20"/>
      <c r="AE1" s="20"/>
      <c r="AF1" s="20"/>
      <c r="AG1" s="20"/>
      <c r="AH1" s="20"/>
      <c r="AI1" s="671">
        <f>SUM(S1,U1,W1,AC1,AE1)</f>
        <v>0</v>
      </c>
      <c r="AJ1" s="697">
        <f>SUM(T1,V1,Z1,AD1,AG1)</f>
        <v>0</v>
      </c>
    </row>
    <row r="2" spans="1:36" s="13" customFormat="1" ht="16.149999999999999" customHeight="1" thickBot="1">
      <c r="A2" s="15" t="s">
        <v>0</v>
      </c>
      <c r="B2" s="15"/>
      <c r="C2" s="15"/>
      <c r="D2" s="15"/>
      <c r="E2" s="15"/>
      <c r="F2" s="15"/>
      <c r="G2" s="16"/>
      <c r="H2" s="17"/>
      <c r="I2" s="16"/>
      <c r="J2" s="17"/>
      <c r="K2" s="16"/>
      <c r="L2" s="17"/>
      <c r="M2" s="18"/>
      <c r="N2" s="18"/>
      <c r="O2" s="18"/>
      <c r="P2" s="17"/>
      <c r="Q2" s="17"/>
      <c r="R2" s="19"/>
      <c r="S2" s="16"/>
      <c r="T2" s="19"/>
      <c r="U2" s="16"/>
      <c r="V2" s="17"/>
      <c r="W2" s="18"/>
      <c r="X2" s="18"/>
      <c r="Y2" s="18"/>
      <c r="Z2" s="17"/>
      <c r="AA2" s="17"/>
      <c r="AB2" s="19"/>
      <c r="AC2" s="16"/>
      <c r="AD2" s="17"/>
      <c r="AE2" s="16"/>
      <c r="AF2" s="16"/>
      <c r="AG2" s="17"/>
      <c r="AH2" s="17"/>
      <c r="AI2" s="16"/>
      <c r="AJ2" s="19"/>
    </row>
    <row r="3" spans="1:36" s="13" customFormat="1" ht="16.149999999999999" customHeight="1" thickTop="1">
      <c r="A3" s="7" t="s">
        <v>1</v>
      </c>
      <c r="B3" s="1"/>
      <c r="C3" s="8"/>
      <c r="D3" s="8"/>
      <c r="E3" s="5"/>
      <c r="F3" s="3"/>
      <c r="G3" s="1"/>
      <c r="H3" s="2"/>
      <c r="I3" s="1"/>
      <c r="J3" s="2"/>
      <c r="K3" s="1"/>
      <c r="L3" s="2"/>
      <c r="M3" s="9"/>
      <c r="N3" s="9"/>
      <c r="O3" s="9"/>
      <c r="P3" s="2"/>
      <c r="Q3" s="2"/>
      <c r="R3" s="10"/>
      <c r="S3" s="8"/>
      <c r="T3" s="10"/>
      <c r="U3" s="8"/>
      <c r="V3" s="2"/>
      <c r="W3" s="9"/>
      <c r="X3" s="9"/>
      <c r="Y3" s="9"/>
      <c r="Z3" s="2"/>
      <c r="AA3" s="2"/>
      <c r="AB3" s="10"/>
      <c r="AC3" s="8"/>
      <c r="AD3" s="2"/>
      <c r="AE3" s="8"/>
      <c r="AF3" s="8"/>
      <c r="AG3" s="2"/>
      <c r="AH3" s="2"/>
      <c r="AI3" s="8"/>
      <c r="AJ3" s="10"/>
    </row>
    <row r="4" spans="1:36" s="13" customFormat="1" ht="27.75" customHeight="1">
      <c r="A4" s="698" t="s">
        <v>1047</v>
      </c>
      <c r="B4" s="699"/>
      <c r="C4" s="700"/>
      <c r="D4" s="700"/>
      <c r="E4" s="701"/>
      <c r="F4" s="702"/>
      <c r="G4" s="672" t="s">
        <v>2</v>
      </c>
      <c r="H4" s="673"/>
      <c r="I4" s="4"/>
      <c r="J4" s="2"/>
      <c r="K4" s="4"/>
      <c r="L4" s="2"/>
      <c r="P4" s="2"/>
      <c r="Q4" s="2"/>
      <c r="S4" s="703"/>
      <c r="T4" s="704"/>
      <c r="U4" s="674" t="s">
        <v>3</v>
      </c>
      <c r="V4" s="2"/>
      <c r="W4" s="675"/>
      <c r="X4" s="675"/>
      <c r="Y4" s="675"/>
      <c r="Z4" s="2"/>
      <c r="AA4" s="2"/>
      <c r="AB4" s="22"/>
      <c r="AC4" s="676"/>
      <c r="AD4" s="2"/>
      <c r="AE4" s="676"/>
      <c r="AF4" s="676"/>
      <c r="AG4" s="2"/>
      <c r="AH4" s="2"/>
      <c r="AI4" s="23" t="s">
        <v>4</v>
      </c>
      <c r="AJ4" s="705"/>
    </row>
    <row r="5" spans="1:36" s="13" customFormat="1" ht="41.25" customHeight="1">
      <c r="A5" s="1298" t="s">
        <v>5</v>
      </c>
      <c r="B5" s="1299"/>
      <c r="C5" s="1299"/>
      <c r="D5" s="1299"/>
      <c r="E5" s="1299"/>
      <c r="F5" s="24"/>
      <c r="G5" s="1300" t="s">
        <v>6</v>
      </c>
      <c r="H5" s="1301"/>
      <c r="I5" s="1302" t="s">
        <v>7</v>
      </c>
      <c r="J5" s="1302"/>
      <c r="K5" s="1300" t="s">
        <v>8</v>
      </c>
      <c r="L5" s="1301"/>
      <c r="M5" s="677" t="s">
        <v>9</v>
      </c>
      <c r="N5" s="678"/>
      <c r="O5" s="678"/>
      <c r="P5" s="677" t="s">
        <v>9</v>
      </c>
      <c r="Q5" s="678"/>
      <c r="R5" s="678"/>
      <c r="S5" s="1296" t="s">
        <v>10</v>
      </c>
      <c r="T5" s="1297"/>
      <c r="U5" s="1285" t="s">
        <v>11</v>
      </c>
      <c r="V5" s="1286"/>
      <c r="W5" s="1286"/>
      <c r="X5" s="1286"/>
      <c r="Y5" s="1286"/>
      <c r="Z5" s="1286"/>
      <c r="AA5" s="1286"/>
      <c r="AB5" s="1286"/>
      <c r="AC5" s="679" t="s">
        <v>12</v>
      </c>
      <c r="AD5" s="680"/>
      <c r="AE5" s="676"/>
      <c r="AF5" s="676"/>
      <c r="AG5" s="681"/>
      <c r="AH5" s="682"/>
      <c r="AI5" s="683" t="s">
        <v>13</v>
      </c>
      <c r="AJ5" s="684"/>
    </row>
    <row r="6" spans="1:36" s="13" customFormat="1" ht="13.5" customHeight="1">
      <c r="A6" s="25"/>
      <c r="B6" s="26"/>
      <c r="C6" s="27"/>
      <c r="D6" s="27"/>
      <c r="E6" s="28"/>
      <c r="F6" s="24"/>
      <c r="G6" s="1302"/>
      <c r="H6" s="1287"/>
      <c r="I6" s="1302"/>
      <c r="J6" s="1302"/>
      <c r="K6" s="1302"/>
      <c r="L6" s="1287"/>
      <c r="M6" s="1303" t="s">
        <v>14</v>
      </c>
      <c r="N6" s="1283" t="s">
        <v>15</v>
      </c>
      <c r="O6" s="1290" t="s">
        <v>16</v>
      </c>
      <c r="P6" s="1292" t="s">
        <v>14</v>
      </c>
      <c r="Q6" s="1292" t="s">
        <v>15</v>
      </c>
      <c r="R6" s="1294" t="s">
        <v>16</v>
      </c>
      <c r="S6" s="1296"/>
      <c r="T6" s="1297"/>
      <c r="U6" s="29"/>
      <c r="V6" s="30"/>
      <c r="W6" s="685" t="s">
        <v>17</v>
      </c>
      <c r="X6" s="12"/>
      <c r="Y6" s="12"/>
      <c r="Z6" s="12"/>
      <c r="AA6" s="12"/>
      <c r="AB6" s="12"/>
      <c r="AC6" s="706"/>
      <c r="AD6" s="707"/>
      <c r="AE6" s="1287" t="s">
        <v>18</v>
      </c>
      <c r="AF6" s="1288"/>
      <c r="AG6" s="1288"/>
      <c r="AH6" s="1289"/>
      <c r="AI6" s="11"/>
      <c r="AJ6" s="686"/>
    </row>
    <row r="7" spans="1:36" s="13" customFormat="1" ht="39" customHeight="1">
      <c r="A7" s="25"/>
      <c r="B7" s="31" t="s">
        <v>19</v>
      </c>
      <c r="C7" s="27"/>
      <c r="D7" s="27"/>
      <c r="E7" s="32"/>
      <c r="F7" s="33"/>
      <c r="G7" s="1302"/>
      <c r="H7" s="1287"/>
      <c r="I7" s="1302"/>
      <c r="J7" s="1302"/>
      <c r="K7" s="1302"/>
      <c r="L7" s="1287"/>
      <c r="M7" s="1304"/>
      <c r="N7" s="1284"/>
      <c r="O7" s="1291"/>
      <c r="P7" s="1293"/>
      <c r="Q7" s="1293"/>
      <c r="R7" s="1295"/>
      <c r="S7" s="1296"/>
      <c r="T7" s="1297"/>
      <c r="U7" s="34" t="s">
        <v>20</v>
      </c>
      <c r="V7" s="708" t="s">
        <v>20</v>
      </c>
      <c r="W7" s="709" t="s">
        <v>14</v>
      </c>
      <c r="X7" s="709" t="s">
        <v>15</v>
      </c>
      <c r="Y7" s="710" t="s">
        <v>16</v>
      </c>
      <c r="Z7" s="711" t="s">
        <v>14</v>
      </c>
      <c r="AA7" s="711" t="s">
        <v>15</v>
      </c>
      <c r="AB7" s="712" t="s">
        <v>16</v>
      </c>
      <c r="AC7" s="688" t="s">
        <v>20</v>
      </c>
      <c r="AD7" s="6"/>
      <c r="AE7" s="709" t="s">
        <v>14</v>
      </c>
      <c r="AF7" s="709" t="s">
        <v>15</v>
      </c>
      <c r="AG7" s="711" t="s">
        <v>14</v>
      </c>
      <c r="AH7" s="711" t="s">
        <v>15</v>
      </c>
      <c r="AI7" s="11"/>
      <c r="AJ7" s="686"/>
    </row>
    <row r="8" spans="1:36" s="13" customFormat="1" ht="26.5" customHeight="1">
      <c r="A8" s="35" t="s">
        <v>20</v>
      </c>
      <c r="B8" s="36"/>
      <c r="C8" s="37" t="s">
        <v>21</v>
      </c>
      <c r="D8" s="37" t="s">
        <v>22</v>
      </c>
      <c r="E8" s="35" t="s">
        <v>23</v>
      </c>
      <c r="F8" s="38" t="s">
        <v>24</v>
      </c>
      <c r="G8" s="809" t="s">
        <v>1422</v>
      </c>
      <c r="H8" s="810" t="s">
        <v>1779</v>
      </c>
      <c r="I8" s="809" t="s">
        <v>1422</v>
      </c>
      <c r="J8" s="810" t="s">
        <v>1779</v>
      </c>
      <c r="K8" s="811" t="s">
        <v>1422</v>
      </c>
      <c r="L8" s="810" t="s">
        <v>1779</v>
      </c>
      <c r="M8" s="811" t="s">
        <v>1422</v>
      </c>
      <c r="N8" s="811" t="s">
        <v>1422</v>
      </c>
      <c r="O8" s="812" t="s">
        <v>1422</v>
      </c>
      <c r="P8" s="813" t="s">
        <v>1779</v>
      </c>
      <c r="Q8" s="814" t="s">
        <v>1779</v>
      </c>
      <c r="R8" s="815" t="s">
        <v>1779</v>
      </c>
      <c r="S8" s="816" t="s">
        <v>1422</v>
      </c>
      <c r="T8" s="817" t="s">
        <v>1779</v>
      </c>
      <c r="U8" s="811" t="s">
        <v>1422</v>
      </c>
      <c r="V8" s="810" t="s">
        <v>1779</v>
      </c>
      <c r="W8" s="811" t="s">
        <v>1422</v>
      </c>
      <c r="X8" s="811" t="s">
        <v>1422</v>
      </c>
      <c r="Y8" s="818" t="s">
        <v>1422</v>
      </c>
      <c r="Z8" s="814" t="s">
        <v>1779</v>
      </c>
      <c r="AA8" s="814" t="s">
        <v>1779</v>
      </c>
      <c r="AB8" s="815" t="s">
        <v>1779</v>
      </c>
      <c r="AC8" s="809" t="s">
        <v>1422</v>
      </c>
      <c r="AD8" s="810" t="s">
        <v>1779</v>
      </c>
      <c r="AE8" s="811" t="s">
        <v>1422</v>
      </c>
      <c r="AF8" s="811" t="s">
        <v>1422</v>
      </c>
      <c r="AG8" s="814" t="s">
        <v>1779</v>
      </c>
      <c r="AH8" s="814" t="s">
        <v>1779</v>
      </c>
      <c r="AI8" s="819" t="s">
        <v>1422</v>
      </c>
      <c r="AJ8" s="820" t="s">
        <v>1779</v>
      </c>
    </row>
    <row r="9" spans="1:36" s="33" customFormat="1" ht="39.65" hidden="1" customHeight="1">
      <c r="A9" s="39" t="s">
        <v>25</v>
      </c>
      <c r="B9" s="40" t="s">
        <v>26</v>
      </c>
      <c r="C9" s="39" t="s">
        <v>27</v>
      </c>
      <c r="D9" s="39" t="s">
        <v>28</v>
      </c>
      <c r="E9" s="41" t="s">
        <v>29</v>
      </c>
      <c r="F9" s="42" t="s">
        <v>30</v>
      </c>
      <c r="G9" s="43" t="s">
        <v>31</v>
      </c>
      <c r="H9" s="43" t="s">
        <v>32</v>
      </c>
      <c r="I9" s="43" t="s">
        <v>33</v>
      </c>
      <c r="J9" s="43" t="s">
        <v>34</v>
      </c>
      <c r="K9" s="43" t="s">
        <v>35</v>
      </c>
      <c r="L9" s="43" t="s">
        <v>36</v>
      </c>
      <c r="M9" s="43" t="s">
        <v>37</v>
      </c>
      <c r="N9" s="43" t="s">
        <v>38</v>
      </c>
      <c r="O9" s="713" t="s">
        <v>39</v>
      </c>
      <c r="P9" s="43" t="s">
        <v>40</v>
      </c>
      <c r="Q9" s="43" t="s">
        <v>41</v>
      </c>
      <c r="R9" s="43" t="s">
        <v>42</v>
      </c>
      <c r="S9" s="714" t="s">
        <v>43</v>
      </c>
      <c r="T9" s="44" t="s">
        <v>44</v>
      </c>
      <c r="U9" s="45" t="s">
        <v>45</v>
      </c>
      <c r="V9" s="43" t="s">
        <v>46</v>
      </c>
      <c r="W9" s="43" t="s">
        <v>47</v>
      </c>
      <c r="X9" s="43" t="s">
        <v>48</v>
      </c>
      <c r="Y9" s="43" t="s">
        <v>49</v>
      </c>
      <c r="Z9" s="43" t="s">
        <v>50</v>
      </c>
      <c r="AA9" s="43" t="s">
        <v>51</v>
      </c>
      <c r="AB9" s="43" t="s">
        <v>52</v>
      </c>
      <c r="AC9" s="713" t="s">
        <v>53</v>
      </c>
      <c r="AD9" s="43" t="s">
        <v>54</v>
      </c>
      <c r="AE9" s="43" t="s">
        <v>55</v>
      </c>
      <c r="AF9" s="43" t="s">
        <v>56</v>
      </c>
      <c r="AG9" s="43" t="s">
        <v>57</v>
      </c>
      <c r="AH9" s="43" t="s">
        <v>58</v>
      </c>
      <c r="AI9" s="44" t="s">
        <v>59</v>
      </c>
      <c r="AJ9" s="687" t="s">
        <v>60</v>
      </c>
    </row>
    <row r="10" spans="1:36" s="13" customFormat="1" ht="12.75" customHeight="1">
      <c r="A10" s="821" t="s">
        <v>61</v>
      </c>
      <c r="B10" s="822" t="s">
        <v>62</v>
      </c>
      <c r="C10" s="822" t="s">
        <v>63</v>
      </c>
      <c r="D10" s="823"/>
      <c r="E10" s="693">
        <v>100858</v>
      </c>
      <c r="F10" s="46">
        <v>1</v>
      </c>
      <c r="G10" s="730">
        <v>157684470</v>
      </c>
      <c r="H10" s="731">
        <v>163186246</v>
      </c>
      <c r="I10" s="730"/>
      <c r="J10" s="731"/>
      <c r="K10" s="730"/>
      <c r="L10" s="731"/>
      <c r="M10" s="730">
        <v>529614307</v>
      </c>
      <c r="N10" s="730">
        <v>31091169</v>
      </c>
      <c r="O10" s="732">
        <f t="shared" ref="O10:O73" si="0">SUM(M10:N10)</f>
        <v>560705476</v>
      </c>
      <c r="P10" s="731">
        <v>541022190</v>
      </c>
      <c r="Q10" s="731">
        <v>41541906</v>
      </c>
      <c r="R10" s="733">
        <f t="shared" ref="R10" si="1">SUM(P10:Q10)</f>
        <v>582564096</v>
      </c>
      <c r="S10" s="732">
        <f t="shared" ref="S10" si="2">SUM(G10,I10,K10,M10)</f>
        <v>687298777</v>
      </c>
      <c r="T10" s="733">
        <f t="shared" ref="T10" si="3">SUM(H10,J10,L10,P10)</f>
        <v>704208436</v>
      </c>
      <c r="U10" s="730"/>
      <c r="V10" s="731"/>
      <c r="W10" s="730"/>
      <c r="X10" s="730"/>
      <c r="Y10" s="732">
        <f t="shared" ref="Y10:Y73" si="4">SUM(W10:X10)</f>
        <v>0</v>
      </c>
      <c r="Z10" s="731"/>
      <c r="AA10" s="731"/>
      <c r="AB10" s="733">
        <f t="shared" ref="AB10:AB73" si="5">SUM(Z10:AA10)</f>
        <v>0</v>
      </c>
      <c r="AC10" s="730"/>
      <c r="AD10" s="731"/>
      <c r="AE10" s="730"/>
      <c r="AF10" s="730"/>
      <c r="AG10" s="731"/>
      <c r="AH10" s="731"/>
      <c r="AI10" s="732">
        <f t="shared" ref="AI10" si="6">SUM(S10,U10,W10,AC10,AE10)</f>
        <v>687298777</v>
      </c>
      <c r="AJ10" s="733">
        <f t="shared" ref="AJ10" si="7">SUM(T10,V10,Z10,AD10,AG10)</f>
        <v>704208436</v>
      </c>
    </row>
    <row r="11" spans="1:36" s="13" customFormat="1" ht="12.75" customHeight="1">
      <c r="A11" s="821" t="s">
        <v>61</v>
      </c>
      <c r="B11" s="822" t="s">
        <v>64</v>
      </c>
      <c r="C11" s="824" t="s">
        <v>65</v>
      </c>
      <c r="D11" s="823"/>
      <c r="E11" s="693">
        <v>100858</v>
      </c>
      <c r="F11" s="46">
        <v>1</v>
      </c>
      <c r="G11" s="730"/>
      <c r="H11" s="731"/>
      <c r="I11" s="730"/>
      <c r="J11" s="731"/>
      <c r="K11" s="730"/>
      <c r="L11" s="731"/>
      <c r="M11" s="730"/>
      <c r="N11" s="730"/>
      <c r="O11" s="732">
        <f t="shared" si="0"/>
        <v>0</v>
      </c>
      <c r="P11" s="731"/>
      <c r="Q11" s="731"/>
      <c r="R11" s="733">
        <f t="shared" ref="R11:R74" si="8">SUM(P11:Q11)</f>
        <v>0</v>
      </c>
      <c r="S11" s="732">
        <f t="shared" ref="S11:S74" si="9">SUM(G11,I11,K11,M11)</f>
        <v>0</v>
      </c>
      <c r="T11" s="733">
        <f t="shared" ref="T11:T74" si="10">SUM(H11,J11,L11,P11)</f>
        <v>0</v>
      </c>
      <c r="U11" s="730"/>
      <c r="V11" s="731"/>
      <c r="W11" s="730"/>
      <c r="X11" s="730"/>
      <c r="Y11" s="732">
        <f t="shared" si="4"/>
        <v>0</v>
      </c>
      <c r="Z11" s="731"/>
      <c r="AA11" s="731"/>
      <c r="AB11" s="733">
        <f t="shared" si="5"/>
        <v>0</v>
      </c>
      <c r="AC11" s="730"/>
      <c r="AD11" s="731"/>
      <c r="AE11" s="730"/>
      <c r="AF11" s="730"/>
      <c r="AG11" s="731"/>
      <c r="AH11" s="731"/>
      <c r="AI11" s="732">
        <f t="shared" ref="AI11:AI74" si="11">SUM(S11,U11,W11,AC11,AE11)</f>
        <v>0</v>
      </c>
      <c r="AJ11" s="733">
        <f t="shared" ref="AJ11:AJ74" si="12">SUM(T11,V11,Z11,AD11,AG11)</f>
        <v>0</v>
      </c>
    </row>
    <row r="12" spans="1:36">
      <c r="A12" s="821" t="s">
        <v>61</v>
      </c>
      <c r="B12" s="822" t="s">
        <v>64</v>
      </c>
      <c r="C12" s="825" t="s">
        <v>66</v>
      </c>
      <c r="D12" s="823"/>
      <c r="E12" s="693">
        <v>100858</v>
      </c>
      <c r="F12" s="46">
        <v>1</v>
      </c>
      <c r="G12" s="730"/>
      <c r="H12" s="731"/>
      <c r="I12" s="730"/>
      <c r="J12" s="731"/>
      <c r="K12" s="730"/>
      <c r="L12" s="731"/>
      <c r="M12" s="730"/>
      <c r="N12" s="730"/>
      <c r="O12" s="732">
        <f t="shared" si="0"/>
        <v>0</v>
      </c>
      <c r="P12" s="731"/>
      <c r="Q12" s="731"/>
      <c r="R12" s="733">
        <f t="shared" si="8"/>
        <v>0</v>
      </c>
      <c r="S12" s="732">
        <f t="shared" si="9"/>
        <v>0</v>
      </c>
      <c r="T12" s="733">
        <f t="shared" si="10"/>
        <v>0</v>
      </c>
      <c r="U12" s="730"/>
      <c r="V12" s="731"/>
      <c r="W12" s="730"/>
      <c r="X12" s="730"/>
      <c r="Y12" s="732">
        <f t="shared" si="4"/>
        <v>0</v>
      </c>
      <c r="Z12" s="731"/>
      <c r="AA12" s="731"/>
      <c r="AB12" s="733">
        <f t="shared" si="5"/>
        <v>0</v>
      </c>
      <c r="AC12" s="730">
        <v>27855134</v>
      </c>
      <c r="AD12" s="731">
        <v>27980134</v>
      </c>
      <c r="AE12" s="730">
        <v>25526573</v>
      </c>
      <c r="AF12" s="730"/>
      <c r="AG12" s="731">
        <v>25826362</v>
      </c>
      <c r="AH12" s="731"/>
      <c r="AI12" s="732">
        <f t="shared" si="11"/>
        <v>53381707</v>
      </c>
      <c r="AJ12" s="733">
        <f t="shared" si="12"/>
        <v>53806496</v>
      </c>
    </row>
    <row r="13" spans="1:36">
      <c r="A13" s="821" t="s">
        <v>61</v>
      </c>
      <c r="B13" s="822" t="s">
        <v>67</v>
      </c>
      <c r="C13" s="825" t="s">
        <v>68</v>
      </c>
      <c r="D13" s="823"/>
      <c r="E13" s="693">
        <v>100858</v>
      </c>
      <c r="F13" s="46">
        <v>1</v>
      </c>
      <c r="G13" s="730"/>
      <c r="H13" s="731"/>
      <c r="I13" s="730"/>
      <c r="J13" s="731"/>
      <c r="K13" s="730"/>
      <c r="L13" s="731"/>
      <c r="M13" s="730"/>
      <c r="N13" s="730"/>
      <c r="O13" s="732">
        <f t="shared" si="0"/>
        <v>0</v>
      </c>
      <c r="P13" s="731"/>
      <c r="Q13" s="731"/>
      <c r="R13" s="733">
        <f t="shared" si="8"/>
        <v>0</v>
      </c>
      <c r="S13" s="732">
        <f t="shared" si="9"/>
        <v>0</v>
      </c>
      <c r="T13" s="733">
        <f t="shared" si="10"/>
        <v>0</v>
      </c>
      <c r="U13" s="730"/>
      <c r="V13" s="731"/>
      <c r="W13" s="730"/>
      <c r="X13" s="730"/>
      <c r="Y13" s="732">
        <f t="shared" si="4"/>
        <v>0</v>
      </c>
      <c r="Z13" s="731"/>
      <c r="AA13" s="731"/>
      <c r="AB13" s="733">
        <f t="shared" si="5"/>
        <v>0</v>
      </c>
      <c r="AC13" s="730"/>
      <c r="AD13" s="731"/>
      <c r="AE13" s="730"/>
      <c r="AF13" s="730"/>
      <c r="AG13" s="731"/>
      <c r="AH13" s="731"/>
      <c r="AI13" s="732">
        <f t="shared" si="11"/>
        <v>0</v>
      </c>
      <c r="AJ13" s="733">
        <f t="shared" si="12"/>
        <v>0</v>
      </c>
    </row>
    <row r="14" spans="1:36">
      <c r="A14" s="821" t="s">
        <v>61</v>
      </c>
      <c r="B14" s="822" t="s">
        <v>69</v>
      </c>
      <c r="C14" s="824" t="s">
        <v>70</v>
      </c>
      <c r="D14" s="823"/>
      <c r="E14" s="693">
        <v>100858</v>
      </c>
      <c r="F14" s="46">
        <v>1</v>
      </c>
      <c r="G14" s="730"/>
      <c r="H14" s="731"/>
      <c r="I14" s="730"/>
      <c r="J14" s="731"/>
      <c r="K14" s="730"/>
      <c r="L14" s="731"/>
      <c r="M14" s="730"/>
      <c r="N14" s="730"/>
      <c r="O14" s="732">
        <f t="shared" si="0"/>
        <v>0</v>
      </c>
      <c r="P14" s="731"/>
      <c r="Q14" s="731"/>
      <c r="R14" s="733">
        <f t="shared" si="8"/>
        <v>0</v>
      </c>
      <c r="S14" s="732">
        <f t="shared" si="9"/>
        <v>0</v>
      </c>
      <c r="T14" s="733">
        <f t="shared" si="10"/>
        <v>0</v>
      </c>
      <c r="U14" s="730"/>
      <c r="V14" s="731"/>
      <c r="W14" s="730"/>
      <c r="X14" s="730"/>
      <c r="Y14" s="732">
        <f t="shared" si="4"/>
        <v>0</v>
      </c>
      <c r="Z14" s="731"/>
      <c r="AA14" s="731"/>
      <c r="AB14" s="733">
        <f t="shared" si="5"/>
        <v>0</v>
      </c>
      <c r="AC14" s="730"/>
      <c r="AD14" s="731"/>
      <c r="AE14" s="730"/>
      <c r="AF14" s="730"/>
      <c r="AG14" s="731"/>
      <c r="AH14" s="731"/>
      <c r="AI14" s="732">
        <f t="shared" si="11"/>
        <v>0</v>
      </c>
      <c r="AJ14" s="733">
        <f t="shared" si="12"/>
        <v>0</v>
      </c>
    </row>
    <row r="15" spans="1:36">
      <c r="A15" s="821" t="s">
        <v>61</v>
      </c>
      <c r="B15" s="822" t="s">
        <v>71</v>
      </c>
      <c r="C15" s="824" t="s">
        <v>72</v>
      </c>
      <c r="D15" s="823"/>
      <c r="E15" s="693">
        <v>100858</v>
      </c>
      <c r="F15" s="46">
        <v>1</v>
      </c>
      <c r="G15" s="730"/>
      <c r="H15" s="731"/>
      <c r="I15" s="730"/>
      <c r="J15" s="731"/>
      <c r="K15" s="730"/>
      <c r="L15" s="731"/>
      <c r="M15" s="730"/>
      <c r="N15" s="730"/>
      <c r="O15" s="732">
        <f t="shared" si="0"/>
        <v>0</v>
      </c>
      <c r="P15" s="731"/>
      <c r="Q15" s="731"/>
      <c r="R15" s="733">
        <f t="shared" si="8"/>
        <v>0</v>
      </c>
      <c r="S15" s="732">
        <f t="shared" si="9"/>
        <v>0</v>
      </c>
      <c r="T15" s="733">
        <f t="shared" si="10"/>
        <v>0</v>
      </c>
      <c r="U15" s="730"/>
      <c r="V15" s="731"/>
      <c r="W15" s="730"/>
      <c r="X15" s="730"/>
      <c r="Y15" s="732">
        <f t="shared" si="4"/>
        <v>0</v>
      </c>
      <c r="Z15" s="731"/>
      <c r="AA15" s="731"/>
      <c r="AB15" s="733">
        <f t="shared" si="5"/>
        <v>0</v>
      </c>
      <c r="AC15" s="730"/>
      <c r="AD15" s="731"/>
      <c r="AE15" s="730"/>
      <c r="AF15" s="730"/>
      <c r="AG15" s="731"/>
      <c r="AH15" s="731"/>
      <c r="AI15" s="732">
        <f t="shared" si="11"/>
        <v>0</v>
      </c>
      <c r="AJ15" s="733">
        <f t="shared" si="12"/>
        <v>0</v>
      </c>
    </row>
    <row r="16" spans="1:36">
      <c r="A16" s="821" t="s">
        <v>61</v>
      </c>
      <c r="B16" s="822" t="s">
        <v>71</v>
      </c>
      <c r="C16" s="825" t="s">
        <v>73</v>
      </c>
      <c r="D16" s="823"/>
      <c r="E16" s="693">
        <v>100858</v>
      </c>
      <c r="F16" s="46">
        <v>1</v>
      </c>
      <c r="G16" s="730"/>
      <c r="H16" s="731"/>
      <c r="I16" s="730">
        <v>238384</v>
      </c>
      <c r="J16" s="731">
        <v>238384</v>
      </c>
      <c r="K16" s="730"/>
      <c r="L16" s="731"/>
      <c r="M16" s="730"/>
      <c r="N16" s="730"/>
      <c r="O16" s="732">
        <f t="shared" si="0"/>
        <v>0</v>
      </c>
      <c r="P16" s="731"/>
      <c r="Q16" s="731"/>
      <c r="R16" s="733">
        <f t="shared" si="8"/>
        <v>0</v>
      </c>
      <c r="S16" s="732">
        <f t="shared" si="9"/>
        <v>238384</v>
      </c>
      <c r="T16" s="733">
        <f t="shared" si="10"/>
        <v>238384</v>
      </c>
      <c r="U16" s="730"/>
      <c r="V16" s="731"/>
      <c r="W16" s="730"/>
      <c r="X16" s="730"/>
      <c r="Y16" s="732">
        <f t="shared" si="4"/>
        <v>0</v>
      </c>
      <c r="Z16" s="731"/>
      <c r="AA16" s="731"/>
      <c r="AB16" s="733">
        <f t="shared" si="5"/>
        <v>0</v>
      </c>
      <c r="AC16" s="730"/>
      <c r="AD16" s="731"/>
      <c r="AE16" s="730"/>
      <c r="AF16" s="730"/>
      <c r="AG16" s="731"/>
      <c r="AH16" s="731"/>
      <c r="AI16" s="732">
        <f t="shared" si="11"/>
        <v>238384</v>
      </c>
      <c r="AJ16" s="733">
        <f t="shared" si="12"/>
        <v>238384</v>
      </c>
    </row>
    <row r="17" spans="1:36">
      <c r="A17" s="821" t="s">
        <v>61</v>
      </c>
      <c r="B17" s="822" t="s">
        <v>74</v>
      </c>
      <c r="C17" s="824" t="s">
        <v>75</v>
      </c>
      <c r="D17" s="823"/>
      <c r="E17" s="693">
        <v>100858</v>
      </c>
      <c r="F17" s="46">
        <v>1</v>
      </c>
      <c r="G17" s="730"/>
      <c r="H17" s="731"/>
      <c r="I17" s="730">
        <v>35367472</v>
      </c>
      <c r="J17" s="731">
        <v>36074821</v>
      </c>
      <c r="K17" s="730"/>
      <c r="L17" s="731"/>
      <c r="M17" s="730"/>
      <c r="N17" s="730"/>
      <c r="O17" s="732">
        <f t="shared" si="0"/>
        <v>0</v>
      </c>
      <c r="P17" s="731"/>
      <c r="Q17" s="731"/>
      <c r="R17" s="733">
        <f t="shared" si="8"/>
        <v>0</v>
      </c>
      <c r="S17" s="732">
        <f t="shared" si="9"/>
        <v>35367472</v>
      </c>
      <c r="T17" s="733">
        <f t="shared" si="10"/>
        <v>36074821</v>
      </c>
      <c r="U17" s="730"/>
      <c r="V17" s="731"/>
      <c r="W17" s="730"/>
      <c r="X17" s="730"/>
      <c r="Y17" s="732">
        <f t="shared" si="4"/>
        <v>0</v>
      </c>
      <c r="Z17" s="731"/>
      <c r="AA17" s="731"/>
      <c r="AB17" s="733">
        <f t="shared" si="5"/>
        <v>0</v>
      </c>
      <c r="AC17" s="730"/>
      <c r="AD17" s="731"/>
      <c r="AE17" s="730"/>
      <c r="AF17" s="730"/>
      <c r="AG17" s="731"/>
      <c r="AH17" s="731"/>
      <c r="AI17" s="732">
        <f t="shared" si="11"/>
        <v>35367472</v>
      </c>
      <c r="AJ17" s="733">
        <f t="shared" si="12"/>
        <v>36074821</v>
      </c>
    </row>
    <row r="18" spans="1:36">
      <c r="A18" s="821" t="s">
        <v>61</v>
      </c>
      <c r="B18" s="822" t="s">
        <v>76</v>
      </c>
      <c r="C18" s="824" t="s">
        <v>77</v>
      </c>
      <c r="D18" s="823"/>
      <c r="E18" s="693">
        <v>100858</v>
      </c>
      <c r="F18" s="46">
        <v>1</v>
      </c>
      <c r="G18" s="730"/>
      <c r="H18" s="731"/>
      <c r="I18" s="730">
        <v>33681139</v>
      </c>
      <c r="J18" s="731">
        <v>34354762</v>
      </c>
      <c r="K18" s="730"/>
      <c r="L18" s="731"/>
      <c r="M18" s="730"/>
      <c r="N18" s="730"/>
      <c r="O18" s="732">
        <f t="shared" si="0"/>
        <v>0</v>
      </c>
      <c r="P18" s="731"/>
      <c r="Q18" s="731"/>
      <c r="R18" s="733">
        <f t="shared" si="8"/>
        <v>0</v>
      </c>
      <c r="S18" s="732">
        <f t="shared" si="9"/>
        <v>33681139</v>
      </c>
      <c r="T18" s="733">
        <f t="shared" si="10"/>
        <v>34354762</v>
      </c>
      <c r="U18" s="730"/>
      <c r="V18" s="731"/>
      <c r="W18" s="730"/>
      <c r="X18" s="730"/>
      <c r="Y18" s="732">
        <f t="shared" si="4"/>
        <v>0</v>
      </c>
      <c r="Z18" s="731"/>
      <c r="AA18" s="731"/>
      <c r="AB18" s="733">
        <f t="shared" si="5"/>
        <v>0</v>
      </c>
      <c r="AC18" s="730"/>
      <c r="AD18" s="731"/>
      <c r="AE18" s="730"/>
      <c r="AF18" s="730"/>
      <c r="AG18" s="731"/>
      <c r="AH18" s="731"/>
      <c r="AI18" s="732">
        <f t="shared" si="11"/>
        <v>33681139</v>
      </c>
      <c r="AJ18" s="733">
        <f t="shared" si="12"/>
        <v>34354762</v>
      </c>
    </row>
    <row r="19" spans="1:36">
      <c r="A19" s="821" t="s">
        <v>61</v>
      </c>
      <c r="B19" s="822" t="s">
        <v>78</v>
      </c>
      <c r="C19" s="824" t="s">
        <v>79</v>
      </c>
      <c r="D19" s="823"/>
      <c r="E19" s="693">
        <v>100858</v>
      </c>
      <c r="F19" s="46">
        <v>1</v>
      </c>
      <c r="G19" s="730"/>
      <c r="H19" s="731"/>
      <c r="I19" s="730">
        <v>890125</v>
      </c>
      <c r="J19" s="731">
        <v>890125</v>
      </c>
      <c r="K19" s="730"/>
      <c r="L19" s="731"/>
      <c r="M19" s="730"/>
      <c r="N19" s="730"/>
      <c r="O19" s="732">
        <f t="shared" si="0"/>
        <v>0</v>
      </c>
      <c r="P19" s="731"/>
      <c r="Q19" s="731"/>
      <c r="R19" s="733">
        <f t="shared" si="8"/>
        <v>0</v>
      </c>
      <c r="S19" s="732">
        <f t="shared" si="9"/>
        <v>890125</v>
      </c>
      <c r="T19" s="733">
        <f t="shared" si="10"/>
        <v>890125</v>
      </c>
      <c r="U19" s="730"/>
      <c r="V19" s="731"/>
      <c r="W19" s="730"/>
      <c r="X19" s="730"/>
      <c r="Y19" s="732">
        <f t="shared" si="4"/>
        <v>0</v>
      </c>
      <c r="Z19" s="731"/>
      <c r="AA19" s="731"/>
      <c r="AB19" s="733">
        <f t="shared" si="5"/>
        <v>0</v>
      </c>
      <c r="AC19" s="730"/>
      <c r="AD19" s="731"/>
      <c r="AE19" s="730"/>
      <c r="AF19" s="730"/>
      <c r="AG19" s="731"/>
      <c r="AH19" s="731"/>
      <c r="AI19" s="732">
        <f t="shared" si="11"/>
        <v>890125</v>
      </c>
      <c r="AJ19" s="733">
        <f t="shared" si="12"/>
        <v>890125</v>
      </c>
    </row>
    <row r="20" spans="1:36">
      <c r="A20" s="821" t="s">
        <v>61</v>
      </c>
      <c r="B20" s="822" t="s">
        <v>62</v>
      </c>
      <c r="C20" s="826" t="s">
        <v>80</v>
      </c>
      <c r="D20" s="827"/>
      <c r="E20" s="693">
        <v>100751</v>
      </c>
      <c r="F20" s="46">
        <v>1</v>
      </c>
      <c r="G20" s="730">
        <v>156605471</v>
      </c>
      <c r="H20" s="731">
        <v>163135808</v>
      </c>
      <c r="I20" s="730"/>
      <c r="J20" s="731"/>
      <c r="K20" s="730"/>
      <c r="L20" s="731"/>
      <c r="M20" s="730">
        <v>764714137</v>
      </c>
      <c r="N20" s="730">
        <v>34756047</v>
      </c>
      <c r="O20" s="732">
        <f t="shared" si="0"/>
        <v>799470184</v>
      </c>
      <c r="P20" s="731">
        <v>705493741</v>
      </c>
      <c r="Q20" s="731">
        <v>34722652</v>
      </c>
      <c r="R20" s="733">
        <f t="shared" si="8"/>
        <v>740216393</v>
      </c>
      <c r="S20" s="732">
        <f t="shared" si="9"/>
        <v>921319608</v>
      </c>
      <c r="T20" s="733">
        <f t="shared" si="10"/>
        <v>868629549</v>
      </c>
      <c r="U20" s="730"/>
      <c r="V20" s="731"/>
      <c r="W20" s="730"/>
      <c r="X20" s="730"/>
      <c r="Y20" s="732">
        <f t="shared" si="4"/>
        <v>0</v>
      </c>
      <c r="Z20" s="731"/>
      <c r="AA20" s="731"/>
      <c r="AB20" s="733">
        <f t="shared" si="5"/>
        <v>0</v>
      </c>
      <c r="AC20" s="730"/>
      <c r="AD20" s="731"/>
      <c r="AE20" s="730"/>
      <c r="AF20" s="730"/>
      <c r="AG20" s="731"/>
      <c r="AH20" s="731"/>
      <c r="AI20" s="732">
        <f t="shared" si="11"/>
        <v>921319608</v>
      </c>
      <c r="AJ20" s="733">
        <f t="shared" si="12"/>
        <v>868629549</v>
      </c>
    </row>
    <row r="21" spans="1:36">
      <c r="A21" s="821" t="s">
        <v>61</v>
      </c>
      <c r="B21" s="822" t="s">
        <v>64</v>
      </c>
      <c r="C21" s="824" t="s">
        <v>81</v>
      </c>
      <c r="D21" s="823"/>
      <c r="E21" s="693">
        <v>100751</v>
      </c>
      <c r="F21" s="46">
        <v>1</v>
      </c>
      <c r="G21" s="730"/>
      <c r="H21" s="731"/>
      <c r="I21" s="730"/>
      <c r="J21" s="731"/>
      <c r="K21" s="730"/>
      <c r="L21" s="731"/>
      <c r="M21" s="730"/>
      <c r="N21" s="730"/>
      <c r="O21" s="732">
        <f t="shared" si="0"/>
        <v>0</v>
      </c>
      <c r="P21" s="731"/>
      <c r="Q21" s="731"/>
      <c r="R21" s="733">
        <f t="shared" si="8"/>
        <v>0</v>
      </c>
      <c r="S21" s="732">
        <f t="shared" si="9"/>
        <v>0</v>
      </c>
      <c r="T21" s="733">
        <f t="shared" si="10"/>
        <v>0</v>
      </c>
      <c r="U21" s="730"/>
      <c r="V21" s="731"/>
      <c r="W21" s="730"/>
      <c r="X21" s="730"/>
      <c r="Y21" s="732">
        <f t="shared" si="4"/>
        <v>0</v>
      </c>
      <c r="Z21" s="731"/>
      <c r="AA21" s="731"/>
      <c r="AB21" s="733">
        <f t="shared" si="5"/>
        <v>0</v>
      </c>
      <c r="AC21" s="730">
        <v>10025238</v>
      </c>
      <c r="AD21" s="731">
        <v>10025238</v>
      </c>
      <c r="AE21" s="730">
        <v>1598548</v>
      </c>
      <c r="AF21" s="730"/>
      <c r="AG21" s="731">
        <v>1851454</v>
      </c>
      <c r="AH21" s="731"/>
      <c r="AI21" s="732">
        <f t="shared" si="11"/>
        <v>11623786</v>
      </c>
      <c r="AJ21" s="733">
        <f t="shared" si="12"/>
        <v>11876692</v>
      </c>
    </row>
    <row r="22" spans="1:36">
      <c r="A22" s="821" t="s">
        <v>61</v>
      </c>
      <c r="B22" s="822" t="s">
        <v>69</v>
      </c>
      <c r="C22" s="824" t="s">
        <v>70</v>
      </c>
      <c r="D22" s="823"/>
      <c r="E22" s="693">
        <v>100751</v>
      </c>
      <c r="F22" s="46">
        <v>1</v>
      </c>
      <c r="G22" s="730"/>
      <c r="H22" s="731"/>
      <c r="I22" s="730">
        <v>786600</v>
      </c>
      <c r="J22" s="731">
        <v>786600</v>
      </c>
      <c r="K22" s="730"/>
      <c r="L22" s="731"/>
      <c r="M22" s="730"/>
      <c r="N22" s="730"/>
      <c r="O22" s="732">
        <f t="shared" si="0"/>
        <v>0</v>
      </c>
      <c r="P22" s="731"/>
      <c r="Q22" s="731"/>
      <c r="R22" s="733">
        <f t="shared" si="8"/>
        <v>0</v>
      </c>
      <c r="S22" s="732">
        <f t="shared" si="9"/>
        <v>786600</v>
      </c>
      <c r="T22" s="733">
        <f t="shared" si="10"/>
        <v>786600</v>
      </c>
      <c r="U22" s="730"/>
      <c r="V22" s="731"/>
      <c r="W22" s="730"/>
      <c r="X22" s="730"/>
      <c r="Y22" s="732">
        <f t="shared" si="4"/>
        <v>0</v>
      </c>
      <c r="Z22" s="731"/>
      <c r="AA22" s="731"/>
      <c r="AB22" s="733">
        <f t="shared" si="5"/>
        <v>0</v>
      </c>
      <c r="AC22" s="730"/>
      <c r="AD22" s="731"/>
      <c r="AE22" s="730"/>
      <c r="AF22" s="730"/>
      <c r="AG22" s="731"/>
      <c r="AH22" s="731"/>
      <c r="AI22" s="732">
        <f t="shared" si="11"/>
        <v>786600</v>
      </c>
      <c r="AJ22" s="733">
        <f t="shared" si="12"/>
        <v>786600</v>
      </c>
    </row>
    <row r="23" spans="1:36">
      <c r="A23" s="821" t="s">
        <v>61</v>
      </c>
      <c r="B23" s="822" t="s">
        <v>71</v>
      </c>
      <c r="C23" s="824" t="s">
        <v>72</v>
      </c>
      <c r="D23" s="823"/>
      <c r="E23" s="693">
        <v>100751</v>
      </c>
      <c r="F23" s="46">
        <v>1</v>
      </c>
      <c r="G23" s="730"/>
      <c r="H23" s="731"/>
      <c r="I23" s="730"/>
      <c r="J23" s="731"/>
      <c r="K23" s="730"/>
      <c r="L23" s="731"/>
      <c r="M23" s="730"/>
      <c r="N23" s="730"/>
      <c r="O23" s="732">
        <f t="shared" si="0"/>
        <v>0</v>
      </c>
      <c r="P23" s="731"/>
      <c r="Q23" s="731"/>
      <c r="R23" s="733">
        <f t="shared" si="8"/>
        <v>0</v>
      </c>
      <c r="S23" s="732">
        <f t="shared" si="9"/>
        <v>0</v>
      </c>
      <c r="T23" s="733">
        <f t="shared" si="10"/>
        <v>0</v>
      </c>
      <c r="U23" s="730"/>
      <c r="V23" s="731"/>
      <c r="W23" s="730"/>
      <c r="X23" s="730"/>
      <c r="Y23" s="732">
        <f t="shared" si="4"/>
        <v>0</v>
      </c>
      <c r="Z23" s="731"/>
      <c r="AA23" s="731"/>
      <c r="AB23" s="733">
        <f t="shared" si="5"/>
        <v>0</v>
      </c>
      <c r="AC23" s="730"/>
      <c r="AD23" s="731"/>
      <c r="AE23" s="730"/>
      <c r="AF23" s="730"/>
      <c r="AG23" s="731"/>
      <c r="AH23" s="731"/>
      <c r="AI23" s="732">
        <f t="shared" si="11"/>
        <v>0</v>
      </c>
      <c r="AJ23" s="733">
        <f t="shared" si="12"/>
        <v>0</v>
      </c>
    </row>
    <row r="24" spans="1:36">
      <c r="A24" s="821" t="s">
        <v>61</v>
      </c>
      <c r="B24" s="822" t="s">
        <v>71</v>
      </c>
      <c r="C24" s="825" t="s">
        <v>73</v>
      </c>
      <c r="D24" s="823"/>
      <c r="E24" s="693">
        <v>100751</v>
      </c>
      <c r="F24" s="46">
        <v>1</v>
      </c>
      <c r="G24" s="730"/>
      <c r="H24" s="731"/>
      <c r="I24" s="730">
        <v>217415</v>
      </c>
      <c r="J24" s="731">
        <v>217415</v>
      </c>
      <c r="K24" s="730"/>
      <c r="L24" s="731"/>
      <c r="M24" s="730"/>
      <c r="N24" s="730"/>
      <c r="O24" s="732">
        <f t="shared" si="0"/>
        <v>0</v>
      </c>
      <c r="P24" s="731"/>
      <c r="Q24" s="731"/>
      <c r="R24" s="733">
        <f t="shared" si="8"/>
        <v>0</v>
      </c>
      <c r="S24" s="732">
        <f t="shared" si="9"/>
        <v>217415</v>
      </c>
      <c r="T24" s="733">
        <f t="shared" si="10"/>
        <v>217415</v>
      </c>
      <c r="U24" s="730"/>
      <c r="V24" s="731"/>
      <c r="W24" s="730"/>
      <c r="X24" s="730"/>
      <c r="Y24" s="732">
        <f t="shared" si="4"/>
        <v>0</v>
      </c>
      <c r="Z24" s="731"/>
      <c r="AA24" s="731"/>
      <c r="AB24" s="733">
        <f t="shared" si="5"/>
        <v>0</v>
      </c>
      <c r="AC24" s="730"/>
      <c r="AD24" s="731"/>
      <c r="AE24" s="730"/>
      <c r="AF24" s="730"/>
      <c r="AG24" s="731"/>
      <c r="AH24" s="731"/>
      <c r="AI24" s="732">
        <f t="shared" si="11"/>
        <v>217415</v>
      </c>
      <c r="AJ24" s="733">
        <f t="shared" si="12"/>
        <v>217415</v>
      </c>
    </row>
    <row r="25" spans="1:36">
      <c r="A25" s="821" t="s">
        <v>61</v>
      </c>
      <c r="B25" s="822" t="s">
        <v>78</v>
      </c>
      <c r="C25" s="824" t="s">
        <v>79</v>
      </c>
      <c r="D25" s="823"/>
      <c r="E25" s="693">
        <v>100751</v>
      </c>
      <c r="F25" s="46">
        <v>1</v>
      </c>
      <c r="G25" s="730"/>
      <c r="H25" s="731"/>
      <c r="I25" s="730">
        <v>7360000</v>
      </c>
      <c r="J25" s="731">
        <v>7360000</v>
      </c>
      <c r="K25" s="730"/>
      <c r="L25" s="731"/>
      <c r="M25" s="730"/>
      <c r="N25" s="730"/>
      <c r="O25" s="732">
        <f t="shared" si="0"/>
        <v>0</v>
      </c>
      <c r="P25" s="731"/>
      <c r="Q25" s="731"/>
      <c r="R25" s="733">
        <f t="shared" si="8"/>
        <v>0</v>
      </c>
      <c r="S25" s="732">
        <f t="shared" si="9"/>
        <v>7360000</v>
      </c>
      <c r="T25" s="733">
        <f t="shared" si="10"/>
        <v>7360000</v>
      </c>
      <c r="U25" s="730"/>
      <c r="V25" s="731"/>
      <c r="W25" s="730"/>
      <c r="X25" s="730"/>
      <c r="Y25" s="732">
        <f t="shared" si="4"/>
        <v>0</v>
      </c>
      <c r="Z25" s="731"/>
      <c r="AA25" s="731"/>
      <c r="AB25" s="733">
        <f t="shared" si="5"/>
        <v>0</v>
      </c>
      <c r="AC25" s="730"/>
      <c r="AD25" s="731"/>
      <c r="AE25" s="730"/>
      <c r="AF25" s="730"/>
      <c r="AG25" s="731"/>
      <c r="AH25" s="731"/>
      <c r="AI25" s="732">
        <f t="shared" si="11"/>
        <v>7360000</v>
      </c>
      <c r="AJ25" s="733">
        <f t="shared" si="12"/>
        <v>7360000</v>
      </c>
    </row>
    <row r="26" spans="1:36">
      <c r="A26" s="821" t="s">
        <v>61</v>
      </c>
      <c r="B26" s="822" t="s">
        <v>62</v>
      </c>
      <c r="C26" s="828" t="s">
        <v>82</v>
      </c>
      <c r="D26" s="829"/>
      <c r="E26" s="693">
        <v>100663</v>
      </c>
      <c r="F26" s="46">
        <v>1</v>
      </c>
      <c r="G26" s="1152">
        <v>50744220</v>
      </c>
      <c r="H26" s="1153">
        <v>52701065</v>
      </c>
      <c r="I26" s="1152"/>
      <c r="J26" s="1153"/>
      <c r="K26" s="1152"/>
      <c r="L26" s="1153"/>
      <c r="M26" s="1152">
        <v>185069832</v>
      </c>
      <c r="N26" s="1152"/>
      <c r="O26" s="1176">
        <f t="shared" si="0"/>
        <v>185069832</v>
      </c>
      <c r="P26" s="1153">
        <v>182472878</v>
      </c>
      <c r="Q26" s="1153"/>
      <c r="R26" s="1177">
        <f t="shared" si="8"/>
        <v>182472878</v>
      </c>
      <c r="S26" s="1176">
        <f t="shared" si="9"/>
        <v>235814052</v>
      </c>
      <c r="T26" s="1177">
        <f t="shared" si="10"/>
        <v>235173943</v>
      </c>
      <c r="U26" s="1152"/>
      <c r="V26" s="1153"/>
      <c r="W26" s="1152"/>
      <c r="X26" s="1152"/>
      <c r="Y26" s="1176">
        <f t="shared" si="4"/>
        <v>0</v>
      </c>
      <c r="Z26" s="1153"/>
      <c r="AA26" s="1153"/>
      <c r="AB26" s="1177">
        <f t="shared" si="5"/>
        <v>0</v>
      </c>
      <c r="AC26" s="1152"/>
      <c r="AD26" s="1153"/>
      <c r="AE26" s="1152"/>
      <c r="AF26" s="1152"/>
      <c r="AG26" s="1153"/>
      <c r="AH26" s="1153"/>
      <c r="AI26" s="1176">
        <f t="shared" si="11"/>
        <v>235814052</v>
      </c>
      <c r="AJ26" s="1177">
        <f t="shared" si="12"/>
        <v>235173943</v>
      </c>
    </row>
    <row r="27" spans="1:36">
      <c r="A27" s="821" t="s">
        <v>61</v>
      </c>
      <c r="B27" s="822" t="s">
        <v>64</v>
      </c>
      <c r="C27" s="824" t="s">
        <v>65</v>
      </c>
      <c r="D27" s="823"/>
      <c r="E27" s="693">
        <v>100663</v>
      </c>
      <c r="F27" s="46">
        <v>1</v>
      </c>
      <c r="G27" s="1152"/>
      <c r="H27" s="1153"/>
      <c r="I27" s="1152"/>
      <c r="J27" s="1153"/>
      <c r="K27" s="1152"/>
      <c r="L27" s="1153"/>
      <c r="M27" s="1152"/>
      <c r="N27" s="1152"/>
      <c r="O27" s="1176">
        <f t="shared" si="0"/>
        <v>0</v>
      </c>
      <c r="P27" s="1153"/>
      <c r="Q27" s="1153"/>
      <c r="R27" s="1177">
        <f t="shared" si="8"/>
        <v>0</v>
      </c>
      <c r="S27" s="1176">
        <f t="shared" si="9"/>
        <v>0</v>
      </c>
      <c r="T27" s="1177">
        <f t="shared" si="10"/>
        <v>0</v>
      </c>
      <c r="U27" s="1152"/>
      <c r="V27" s="1153"/>
      <c r="W27" s="1152"/>
      <c r="X27" s="1152"/>
      <c r="Y27" s="1176">
        <f t="shared" si="4"/>
        <v>0</v>
      </c>
      <c r="Z27" s="1153"/>
      <c r="AA27" s="1153"/>
      <c r="AB27" s="1177">
        <f t="shared" si="5"/>
        <v>0</v>
      </c>
      <c r="AC27" s="1152"/>
      <c r="AD27" s="1153"/>
      <c r="AE27" s="1152"/>
      <c r="AF27" s="1152"/>
      <c r="AG27" s="1153"/>
      <c r="AH27" s="1153"/>
      <c r="AI27" s="1176">
        <f t="shared" si="11"/>
        <v>0</v>
      </c>
      <c r="AJ27" s="1177">
        <f t="shared" si="12"/>
        <v>0</v>
      </c>
    </row>
    <row r="28" spans="1:36">
      <c r="A28" s="821" t="s">
        <v>61</v>
      </c>
      <c r="B28" s="822" t="s">
        <v>64</v>
      </c>
      <c r="C28" s="825" t="s">
        <v>83</v>
      </c>
      <c r="D28" s="823"/>
      <c r="E28" s="693">
        <v>100663</v>
      </c>
      <c r="F28" s="46">
        <v>1</v>
      </c>
      <c r="G28" s="1152"/>
      <c r="H28" s="1153"/>
      <c r="I28" s="1152"/>
      <c r="J28" s="1153"/>
      <c r="K28" s="1152"/>
      <c r="L28" s="1153"/>
      <c r="M28" s="1152"/>
      <c r="N28" s="1152"/>
      <c r="O28" s="1176">
        <f t="shared" si="0"/>
        <v>0</v>
      </c>
      <c r="P28" s="1153"/>
      <c r="Q28" s="1153"/>
      <c r="R28" s="1177">
        <f t="shared" si="8"/>
        <v>0</v>
      </c>
      <c r="S28" s="1176">
        <f t="shared" si="9"/>
        <v>0</v>
      </c>
      <c r="T28" s="1177">
        <f t="shared" si="10"/>
        <v>0</v>
      </c>
      <c r="U28" s="1152"/>
      <c r="V28" s="1153"/>
      <c r="W28" s="1152"/>
      <c r="X28" s="1152"/>
      <c r="Y28" s="1176">
        <f t="shared" si="4"/>
        <v>0</v>
      </c>
      <c r="Z28" s="1153"/>
      <c r="AA28" s="1153"/>
      <c r="AB28" s="1177">
        <f t="shared" si="5"/>
        <v>0</v>
      </c>
      <c r="AC28" s="1152">
        <v>235772694</v>
      </c>
      <c r="AD28" s="1153">
        <v>241522048</v>
      </c>
      <c r="AE28" s="1152">
        <v>139032071</v>
      </c>
      <c r="AF28" s="1152">
        <v>154280557</v>
      </c>
      <c r="AG28" s="1153">
        <v>152729574</v>
      </c>
      <c r="AH28" s="1153"/>
      <c r="AI28" s="1176">
        <f t="shared" si="11"/>
        <v>374804765</v>
      </c>
      <c r="AJ28" s="1177">
        <f t="shared" si="12"/>
        <v>394251622</v>
      </c>
    </row>
    <row r="29" spans="1:36">
      <c r="A29" s="821" t="s">
        <v>61</v>
      </c>
      <c r="B29" s="822" t="s">
        <v>64</v>
      </c>
      <c r="C29" s="825" t="s">
        <v>84</v>
      </c>
      <c r="D29" s="823"/>
      <c r="E29" s="693">
        <v>100663</v>
      </c>
      <c r="F29" s="46">
        <v>1</v>
      </c>
      <c r="G29" s="1152"/>
      <c r="H29" s="1153"/>
      <c r="I29" s="1152"/>
      <c r="J29" s="1153"/>
      <c r="K29" s="1152"/>
      <c r="L29" s="1153"/>
      <c r="M29" s="1152"/>
      <c r="N29" s="1152"/>
      <c r="O29" s="1176">
        <f t="shared" si="0"/>
        <v>0</v>
      </c>
      <c r="P29" s="1153"/>
      <c r="Q29" s="1153"/>
      <c r="R29" s="1177">
        <f t="shared" si="8"/>
        <v>0</v>
      </c>
      <c r="S29" s="1176">
        <f t="shared" si="9"/>
        <v>0</v>
      </c>
      <c r="T29" s="1177">
        <f t="shared" si="10"/>
        <v>0</v>
      </c>
      <c r="U29" s="1152"/>
      <c r="V29" s="1153"/>
      <c r="W29" s="1152"/>
      <c r="X29" s="1152"/>
      <c r="Y29" s="1176">
        <f t="shared" si="4"/>
        <v>0</v>
      </c>
      <c r="Z29" s="1153"/>
      <c r="AA29" s="1153"/>
      <c r="AB29" s="1177">
        <f t="shared" si="5"/>
        <v>0</v>
      </c>
      <c r="AC29" s="1152">
        <v>14890628</v>
      </c>
      <c r="AD29" s="1153">
        <v>14890628</v>
      </c>
      <c r="AE29" s="1152"/>
      <c r="AF29" s="1152"/>
      <c r="AG29" s="1153"/>
      <c r="AH29" s="1153"/>
      <c r="AI29" s="1176">
        <f t="shared" si="11"/>
        <v>14890628</v>
      </c>
      <c r="AJ29" s="1177">
        <f t="shared" si="12"/>
        <v>14890628</v>
      </c>
    </row>
    <row r="30" spans="1:36">
      <c r="A30" s="821" t="s">
        <v>61</v>
      </c>
      <c r="B30" s="822" t="s">
        <v>69</v>
      </c>
      <c r="C30" s="824" t="s">
        <v>70</v>
      </c>
      <c r="D30" s="823"/>
      <c r="E30" s="693">
        <v>100663</v>
      </c>
      <c r="F30" s="46">
        <v>1</v>
      </c>
      <c r="G30" s="1152"/>
      <c r="H30" s="1153"/>
      <c r="I30" s="1152"/>
      <c r="J30" s="1153"/>
      <c r="K30" s="1152"/>
      <c r="L30" s="1153"/>
      <c r="M30" s="1152"/>
      <c r="N30" s="1152"/>
      <c r="O30" s="1176">
        <f t="shared" si="0"/>
        <v>0</v>
      </c>
      <c r="P30" s="1153"/>
      <c r="Q30" s="1153"/>
      <c r="R30" s="1177">
        <f t="shared" si="8"/>
        <v>0</v>
      </c>
      <c r="S30" s="1176">
        <f t="shared" si="9"/>
        <v>0</v>
      </c>
      <c r="T30" s="1177">
        <f t="shared" si="10"/>
        <v>0</v>
      </c>
      <c r="U30" s="1152"/>
      <c r="V30" s="1153"/>
      <c r="W30" s="1152"/>
      <c r="X30" s="1152"/>
      <c r="Y30" s="1176">
        <f t="shared" si="4"/>
        <v>0</v>
      </c>
      <c r="Z30" s="1153"/>
      <c r="AA30" s="1153"/>
      <c r="AB30" s="1177">
        <f t="shared" si="5"/>
        <v>0</v>
      </c>
      <c r="AC30" s="1152"/>
      <c r="AD30" s="1153"/>
      <c r="AE30" s="1152"/>
      <c r="AF30" s="1152"/>
      <c r="AG30" s="1153"/>
      <c r="AH30" s="1153"/>
      <c r="AI30" s="1176">
        <f t="shared" si="11"/>
        <v>0</v>
      </c>
      <c r="AJ30" s="1177">
        <f t="shared" si="12"/>
        <v>0</v>
      </c>
    </row>
    <row r="31" spans="1:36">
      <c r="A31" s="821" t="s">
        <v>61</v>
      </c>
      <c r="B31" s="822" t="s">
        <v>71</v>
      </c>
      <c r="C31" s="824" t="s">
        <v>72</v>
      </c>
      <c r="D31" s="823"/>
      <c r="E31" s="693">
        <v>100663</v>
      </c>
      <c r="F31" s="46">
        <v>1</v>
      </c>
      <c r="G31" s="1152"/>
      <c r="H31" s="1153"/>
      <c r="I31" s="1152"/>
      <c r="J31" s="1153"/>
      <c r="K31" s="1152"/>
      <c r="L31" s="1153"/>
      <c r="M31" s="1152"/>
      <c r="N31" s="1152"/>
      <c r="O31" s="1176">
        <f t="shared" si="0"/>
        <v>0</v>
      </c>
      <c r="P31" s="1153"/>
      <c r="Q31" s="1153"/>
      <c r="R31" s="1177">
        <f t="shared" si="8"/>
        <v>0</v>
      </c>
      <c r="S31" s="1176">
        <f t="shared" si="9"/>
        <v>0</v>
      </c>
      <c r="T31" s="1177">
        <f t="shared" si="10"/>
        <v>0</v>
      </c>
      <c r="U31" s="1152"/>
      <c r="V31" s="1153"/>
      <c r="W31" s="1152"/>
      <c r="X31" s="1152"/>
      <c r="Y31" s="1176">
        <f t="shared" si="4"/>
        <v>0</v>
      </c>
      <c r="Z31" s="1153"/>
      <c r="AA31" s="1153"/>
      <c r="AB31" s="1177">
        <f t="shared" si="5"/>
        <v>0</v>
      </c>
      <c r="AC31" s="1152"/>
      <c r="AD31" s="1153"/>
      <c r="AE31" s="1152"/>
      <c r="AF31" s="1152"/>
      <c r="AG31" s="1153"/>
      <c r="AH31" s="1153"/>
      <c r="AI31" s="1176">
        <f t="shared" si="11"/>
        <v>0</v>
      </c>
      <c r="AJ31" s="1177">
        <f t="shared" si="12"/>
        <v>0</v>
      </c>
    </row>
    <row r="32" spans="1:36">
      <c r="A32" s="821" t="s">
        <v>61</v>
      </c>
      <c r="B32" s="822" t="s">
        <v>71</v>
      </c>
      <c r="C32" s="825" t="s">
        <v>73</v>
      </c>
      <c r="D32" s="823"/>
      <c r="E32" s="693">
        <v>100663</v>
      </c>
      <c r="F32" s="46">
        <v>1</v>
      </c>
      <c r="G32" s="1152"/>
      <c r="H32" s="1153"/>
      <c r="I32" s="1152">
        <v>301015</v>
      </c>
      <c r="J32" s="1153">
        <v>301015</v>
      </c>
      <c r="K32" s="1152"/>
      <c r="L32" s="1153"/>
      <c r="M32" s="1152"/>
      <c r="N32" s="1152"/>
      <c r="O32" s="1176">
        <f t="shared" si="0"/>
        <v>0</v>
      </c>
      <c r="P32" s="1153"/>
      <c r="Q32" s="1153"/>
      <c r="R32" s="1177">
        <f t="shared" si="8"/>
        <v>0</v>
      </c>
      <c r="S32" s="1176">
        <f t="shared" si="9"/>
        <v>301015</v>
      </c>
      <c r="T32" s="1177">
        <f t="shared" si="10"/>
        <v>301015</v>
      </c>
      <c r="U32" s="1152"/>
      <c r="V32" s="1153"/>
      <c r="W32" s="1152"/>
      <c r="X32" s="1152"/>
      <c r="Y32" s="1176">
        <f t="shared" si="4"/>
        <v>0</v>
      </c>
      <c r="Z32" s="1153"/>
      <c r="AA32" s="1153"/>
      <c r="AB32" s="1177">
        <f t="shared" si="5"/>
        <v>0</v>
      </c>
      <c r="AC32" s="1152"/>
      <c r="AD32" s="1153"/>
      <c r="AE32" s="1152"/>
      <c r="AF32" s="1152"/>
      <c r="AG32" s="1153"/>
      <c r="AH32" s="1153"/>
      <c r="AI32" s="1176">
        <f t="shared" si="11"/>
        <v>301015</v>
      </c>
      <c r="AJ32" s="1177">
        <f t="shared" si="12"/>
        <v>301015</v>
      </c>
    </row>
    <row r="33" spans="1:36">
      <c r="A33" s="821" t="s">
        <v>61</v>
      </c>
      <c r="B33" s="822" t="s">
        <v>62</v>
      </c>
      <c r="C33" s="828" t="s">
        <v>85</v>
      </c>
      <c r="D33" s="830" t="s">
        <v>1423</v>
      </c>
      <c r="E33" s="693">
        <v>100706</v>
      </c>
      <c r="F33" s="46">
        <v>2</v>
      </c>
      <c r="G33" s="730">
        <v>49254746</v>
      </c>
      <c r="H33" s="731">
        <v>50839011</v>
      </c>
      <c r="I33" s="730"/>
      <c r="J33" s="731"/>
      <c r="K33" s="730"/>
      <c r="L33" s="731"/>
      <c r="M33" s="730">
        <v>121546145</v>
      </c>
      <c r="N33" s="730">
        <v>1800000</v>
      </c>
      <c r="O33" s="732">
        <f t="shared" si="0"/>
        <v>123346145</v>
      </c>
      <c r="P33" s="731">
        <v>126351499</v>
      </c>
      <c r="Q33" s="731">
        <v>1800000</v>
      </c>
      <c r="R33" s="733">
        <f t="shared" si="8"/>
        <v>128151499</v>
      </c>
      <c r="S33" s="732">
        <f t="shared" si="9"/>
        <v>170800891</v>
      </c>
      <c r="T33" s="733">
        <f t="shared" si="10"/>
        <v>177190510</v>
      </c>
      <c r="U33" s="730"/>
      <c r="V33" s="731"/>
      <c r="W33" s="730"/>
      <c r="X33" s="730"/>
      <c r="Y33" s="732">
        <f t="shared" si="4"/>
        <v>0</v>
      </c>
      <c r="Z33" s="731"/>
      <c r="AA33" s="731"/>
      <c r="AB33" s="733">
        <f t="shared" si="5"/>
        <v>0</v>
      </c>
      <c r="AC33" s="730"/>
      <c r="AD33" s="731"/>
      <c r="AE33" s="730"/>
      <c r="AF33" s="730"/>
      <c r="AG33" s="731"/>
      <c r="AH33" s="731"/>
      <c r="AI33" s="732">
        <f t="shared" si="11"/>
        <v>170800891</v>
      </c>
      <c r="AJ33" s="733">
        <f t="shared" si="12"/>
        <v>177190510</v>
      </c>
    </row>
    <row r="34" spans="1:36">
      <c r="A34" s="821" t="s">
        <v>61</v>
      </c>
      <c r="B34" s="822" t="s">
        <v>78</v>
      </c>
      <c r="C34" s="824" t="s">
        <v>79</v>
      </c>
      <c r="D34" s="823"/>
      <c r="E34" s="693">
        <v>100706</v>
      </c>
      <c r="F34" s="46">
        <v>2</v>
      </c>
      <c r="G34" s="730"/>
      <c r="H34" s="731"/>
      <c r="I34" s="730">
        <v>3550000</v>
      </c>
      <c r="J34" s="731">
        <v>3550000</v>
      </c>
      <c r="K34" s="730"/>
      <c r="L34" s="731"/>
      <c r="M34" s="730"/>
      <c r="N34" s="730"/>
      <c r="O34" s="732">
        <f t="shared" si="0"/>
        <v>0</v>
      </c>
      <c r="P34" s="731"/>
      <c r="Q34" s="731"/>
      <c r="R34" s="733">
        <f t="shared" si="8"/>
        <v>0</v>
      </c>
      <c r="S34" s="732">
        <f t="shared" si="9"/>
        <v>3550000</v>
      </c>
      <c r="T34" s="733">
        <f t="shared" si="10"/>
        <v>3550000</v>
      </c>
      <c r="U34" s="730"/>
      <c r="V34" s="731"/>
      <c r="W34" s="730"/>
      <c r="X34" s="730"/>
      <c r="Y34" s="732">
        <f t="shared" si="4"/>
        <v>0</v>
      </c>
      <c r="Z34" s="731"/>
      <c r="AA34" s="731"/>
      <c r="AB34" s="733">
        <f t="shared" si="5"/>
        <v>0</v>
      </c>
      <c r="AC34" s="730"/>
      <c r="AD34" s="731"/>
      <c r="AE34" s="730"/>
      <c r="AF34" s="730"/>
      <c r="AG34" s="731"/>
      <c r="AH34" s="731"/>
      <c r="AI34" s="732">
        <f t="shared" si="11"/>
        <v>3550000</v>
      </c>
      <c r="AJ34" s="733">
        <f t="shared" si="12"/>
        <v>3550000</v>
      </c>
    </row>
    <row r="35" spans="1:36">
      <c r="A35" s="821" t="s">
        <v>61</v>
      </c>
      <c r="B35" s="822" t="s">
        <v>62</v>
      </c>
      <c r="C35" s="826" t="s">
        <v>91</v>
      </c>
      <c r="D35" s="831"/>
      <c r="E35" s="693">
        <v>102094</v>
      </c>
      <c r="F35" s="46">
        <v>2</v>
      </c>
      <c r="G35" s="730">
        <v>64645208</v>
      </c>
      <c r="H35" s="731">
        <f>65668037+900000</f>
        <v>66568037</v>
      </c>
      <c r="I35" s="730"/>
      <c r="J35" s="731"/>
      <c r="K35" s="730"/>
      <c r="L35" s="731"/>
      <c r="M35" s="730">
        <v>69697396</v>
      </c>
      <c r="N35" s="730">
        <v>19632631</v>
      </c>
      <c r="O35" s="732">
        <f t="shared" si="0"/>
        <v>89330027</v>
      </c>
      <c r="P35" s="731">
        <v>61828198</v>
      </c>
      <c r="Q35" s="731">
        <v>19742717</v>
      </c>
      <c r="R35" s="733">
        <f t="shared" si="8"/>
        <v>81570915</v>
      </c>
      <c r="S35" s="732">
        <f t="shared" si="9"/>
        <v>134342604</v>
      </c>
      <c r="T35" s="733">
        <f t="shared" si="10"/>
        <v>128396235</v>
      </c>
      <c r="U35" s="730"/>
      <c r="V35" s="731"/>
      <c r="W35" s="730"/>
      <c r="X35" s="730"/>
      <c r="Y35" s="732">
        <f t="shared" si="4"/>
        <v>0</v>
      </c>
      <c r="Z35" s="731"/>
      <c r="AA35" s="731"/>
      <c r="AB35" s="733">
        <f t="shared" si="5"/>
        <v>0</v>
      </c>
      <c r="AC35" s="730"/>
      <c r="AD35" s="731"/>
      <c r="AE35" s="730"/>
      <c r="AF35" s="730"/>
      <c r="AG35" s="731"/>
      <c r="AH35" s="731"/>
      <c r="AI35" s="732">
        <f t="shared" si="11"/>
        <v>134342604</v>
      </c>
      <c r="AJ35" s="733">
        <f t="shared" si="12"/>
        <v>128396235</v>
      </c>
    </row>
    <row r="36" spans="1:36">
      <c r="A36" s="821" t="s">
        <v>61</v>
      </c>
      <c r="B36" s="822" t="s">
        <v>64</v>
      </c>
      <c r="C36" s="824" t="s">
        <v>65</v>
      </c>
      <c r="D36" s="823"/>
      <c r="E36" s="693">
        <v>102094</v>
      </c>
      <c r="F36" s="46">
        <v>2</v>
      </c>
      <c r="G36" s="730"/>
      <c r="H36" s="731"/>
      <c r="I36" s="730"/>
      <c r="J36" s="731"/>
      <c r="K36" s="730"/>
      <c r="L36" s="731"/>
      <c r="M36" s="730"/>
      <c r="N36" s="730"/>
      <c r="O36" s="732">
        <f t="shared" si="0"/>
        <v>0</v>
      </c>
      <c r="P36" s="731"/>
      <c r="Q36" s="731"/>
      <c r="R36" s="733">
        <f t="shared" si="8"/>
        <v>0</v>
      </c>
      <c r="S36" s="732">
        <f t="shared" si="9"/>
        <v>0</v>
      </c>
      <c r="T36" s="733">
        <f t="shared" si="10"/>
        <v>0</v>
      </c>
      <c r="U36" s="730"/>
      <c r="V36" s="731"/>
      <c r="W36" s="730"/>
      <c r="X36" s="730"/>
      <c r="Y36" s="732">
        <f t="shared" si="4"/>
        <v>0</v>
      </c>
      <c r="Z36" s="731"/>
      <c r="AA36" s="731"/>
      <c r="AB36" s="733">
        <f t="shared" si="5"/>
        <v>0</v>
      </c>
      <c r="AC36" s="730"/>
      <c r="AD36" s="731"/>
      <c r="AE36" s="730"/>
      <c r="AF36" s="730"/>
      <c r="AG36" s="731"/>
      <c r="AH36" s="731"/>
      <c r="AI36" s="732">
        <f t="shared" si="11"/>
        <v>0</v>
      </c>
      <c r="AJ36" s="733">
        <f t="shared" si="12"/>
        <v>0</v>
      </c>
    </row>
    <row r="37" spans="1:36">
      <c r="A37" s="821" t="s">
        <v>61</v>
      </c>
      <c r="B37" s="822" t="s">
        <v>64</v>
      </c>
      <c r="C37" s="825" t="s">
        <v>83</v>
      </c>
      <c r="D37" s="823"/>
      <c r="E37" s="693">
        <v>102094</v>
      </c>
      <c r="F37" s="46">
        <v>2</v>
      </c>
      <c r="G37" s="730"/>
      <c r="H37" s="731"/>
      <c r="I37" s="730"/>
      <c r="J37" s="731"/>
      <c r="K37" s="730"/>
      <c r="L37" s="731"/>
      <c r="M37" s="730"/>
      <c r="N37" s="730"/>
      <c r="O37" s="732">
        <f t="shared" si="0"/>
        <v>0</v>
      </c>
      <c r="P37" s="731"/>
      <c r="Q37" s="731"/>
      <c r="R37" s="733">
        <f t="shared" si="8"/>
        <v>0</v>
      </c>
      <c r="S37" s="732">
        <f t="shared" si="9"/>
        <v>0</v>
      </c>
      <c r="T37" s="733">
        <f t="shared" si="10"/>
        <v>0</v>
      </c>
      <c r="U37" s="730"/>
      <c r="V37" s="731"/>
      <c r="W37" s="730"/>
      <c r="X37" s="730"/>
      <c r="Y37" s="732">
        <f t="shared" si="4"/>
        <v>0</v>
      </c>
      <c r="Z37" s="731"/>
      <c r="AA37" s="731"/>
      <c r="AB37" s="733">
        <f t="shared" si="5"/>
        <v>0</v>
      </c>
      <c r="AC37" s="730">
        <v>54894386</v>
      </c>
      <c r="AD37" s="731">
        <v>55895671</v>
      </c>
      <c r="AE37" s="730">
        <v>80351105</v>
      </c>
      <c r="AF37" s="730"/>
      <c r="AG37" s="731">
        <v>78311884</v>
      </c>
      <c r="AH37" s="731"/>
      <c r="AI37" s="732">
        <f t="shared" si="11"/>
        <v>135245491</v>
      </c>
      <c r="AJ37" s="733">
        <f t="shared" si="12"/>
        <v>134207555</v>
      </c>
    </row>
    <row r="38" spans="1:36">
      <c r="A38" s="821" t="s">
        <v>61</v>
      </c>
      <c r="B38" s="822" t="s">
        <v>71</v>
      </c>
      <c r="C38" s="824" t="s">
        <v>72</v>
      </c>
      <c r="D38" s="823"/>
      <c r="E38" s="693">
        <v>102094</v>
      </c>
      <c r="F38" s="46">
        <v>2</v>
      </c>
      <c r="G38" s="730"/>
      <c r="H38" s="731"/>
      <c r="I38" s="730"/>
      <c r="J38" s="731"/>
      <c r="K38" s="730"/>
      <c r="L38" s="731"/>
      <c r="M38" s="730"/>
      <c r="N38" s="730"/>
      <c r="O38" s="732">
        <f t="shared" si="0"/>
        <v>0</v>
      </c>
      <c r="P38" s="731"/>
      <c r="Q38" s="731"/>
      <c r="R38" s="733">
        <f t="shared" si="8"/>
        <v>0</v>
      </c>
      <c r="S38" s="732">
        <f t="shared" si="9"/>
        <v>0</v>
      </c>
      <c r="T38" s="733">
        <f t="shared" si="10"/>
        <v>0</v>
      </c>
      <c r="U38" s="730"/>
      <c r="V38" s="731"/>
      <c r="W38" s="730"/>
      <c r="X38" s="730"/>
      <c r="Y38" s="732">
        <f t="shared" si="4"/>
        <v>0</v>
      </c>
      <c r="Z38" s="731"/>
      <c r="AA38" s="731"/>
      <c r="AB38" s="733">
        <f t="shared" si="5"/>
        <v>0</v>
      </c>
      <c r="AC38" s="730"/>
      <c r="AD38" s="731"/>
      <c r="AE38" s="730"/>
      <c r="AF38" s="730"/>
      <c r="AG38" s="731"/>
      <c r="AH38" s="731"/>
      <c r="AI38" s="732">
        <f t="shared" si="11"/>
        <v>0</v>
      </c>
      <c r="AJ38" s="733">
        <f t="shared" si="12"/>
        <v>0</v>
      </c>
    </row>
    <row r="39" spans="1:36">
      <c r="A39" s="821" t="s">
        <v>61</v>
      </c>
      <c r="B39" s="822" t="s">
        <v>71</v>
      </c>
      <c r="C39" s="825" t="s">
        <v>73</v>
      </c>
      <c r="D39" s="823"/>
      <c r="E39" s="693">
        <v>102094</v>
      </c>
      <c r="F39" s="46">
        <v>2</v>
      </c>
      <c r="G39" s="730"/>
      <c r="H39" s="731"/>
      <c r="I39" s="730">
        <v>322811</v>
      </c>
      <c r="J39" s="731">
        <v>322811</v>
      </c>
      <c r="K39" s="730"/>
      <c r="L39" s="731"/>
      <c r="M39" s="730"/>
      <c r="N39" s="730"/>
      <c r="O39" s="732">
        <f t="shared" si="0"/>
        <v>0</v>
      </c>
      <c r="P39" s="731"/>
      <c r="Q39" s="731"/>
      <c r="R39" s="733">
        <f t="shared" si="8"/>
        <v>0</v>
      </c>
      <c r="S39" s="732">
        <f t="shared" si="9"/>
        <v>322811</v>
      </c>
      <c r="T39" s="733">
        <f t="shared" si="10"/>
        <v>322811</v>
      </c>
      <c r="U39" s="730"/>
      <c r="V39" s="731"/>
      <c r="W39" s="730"/>
      <c r="X39" s="730"/>
      <c r="Y39" s="732">
        <f t="shared" si="4"/>
        <v>0</v>
      </c>
      <c r="Z39" s="731"/>
      <c r="AA39" s="731"/>
      <c r="AB39" s="733">
        <f t="shared" si="5"/>
        <v>0</v>
      </c>
      <c r="AC39" s="730"/>
      <c r="AD39" s="731"/>
      <c r="AE39" s="730"/>
      <c r="AF39" s="730"/>
      <c r="AG39" s="731"/>
      <c r="AH39" s="731"/>
      <c r="AI39" s="732">
        <f t="shared" si="11"/>
        <v>322811</v>
      </c>
      <c r="AJ39" s="733">
        <f t="shared" si="12"/>
        <v>322811</v>
      </c>
    </row>
    <row r="40" spans="1:36">
      <c r="A40" s="821" t="s">
        <v>61</v>
      </c>
      <c r="B40" s="822" t="s">
        <v>62</v>
      </c>
      <c r="C40" s="826" t="s">
        <v>86</v>
      </c>
      <c r="D40" s="827"/>
      <c r="E40" s="693">
        <v>100654</v>
      </c>
      <c r="F40" s="46">
        <v>3</v>
      </c>
      <c r="G40" s="730">
        <v>36959664</v>
      </c>
      <c r="H40" s="731">
        <f>37887679</f>
        <v>37887679</v>
      </c>
      <c r="I40" s="730"/>
      <c r="J40" s="731"/>
      <c r="K40" s="730"/>
      <c r="L40" s="731"/>
      <c r="M40" s="730">
        <v>66081922</v>
      </c>
      <c r="N40" s="730">
        <v>6389517</v>
      </c>
      <c r="O40" s="732">
        <f t="shared" si="0"/>
        <v>72471439</v>
      </c>
      <c r="P40" s="731">
        <v>67220931</v>
      </c>
      <c r="Q40" s="731">
        <v>6389517</v>
      </c>
      <c r="R40" s="733">
        <f t="shared" si="8"/>
        <v>73610448</v>
      </c>
      <c r="S40" s="732">
        <f t="shared" si="9"/>
        <v>103041586</v>
      </c>
      <c r="T40" s="733">
        <f t="shared" si="10"/>
        <v>105108610</v>
      </c>
      <c r="U40" s="730"/>
      <c r="V40" s="731"/>
      <c r="W40" s="730"/>
      <c r="X40" s="730"/>
      <c r="Y40" s="732">
        <f t="shared" si="4"/>
        <v>0</v>
      </c>
      <c r="Z40" s="731"/>
      <c r="AA40" s="731"/>
      <c r="AB40" s="733">
        <f t="shared" si="5"/>
        <v>0</v>
      </c>
      <c r="AC40" s="730"/>
      <c r="AD40" s="731"/>
      <c r="AE40" s="730"/>
      <c r="AF40" s="730"/>
      <c r="AG40" s="731"/>
      <c r="AH40" s="731"/>
      <c r="AI40" s="732">
        <f t="shared" si="11"/>
        <v>103041586</v>
      </c>
      <c r="AJ40" s="733">
        <f t="shared" si="12"/>
        <v>105108610</v>
      </c>
    </row>
    <row r="41" spans="1:36">
      <c r="A41" s="821" t="s">
        <v>61</v>
      </c>
      <c r="B41" s="822" t="s">
        <v>69</v>
      </c>
      <c r="C41" s="824" t="s">
        <v>70</v>
      </c>
      <c r="D41" s="823"/>
      <c r="E41" s="693">
        <v>100654</v>
      </c>
      <c r="F41" s="46">
        <v>3</v>
      </c>
      <c r="G41" s="730"/>
      <c r="H41" s="731"/>
      <c r="I41" s="730">
        <v>400000</v>
      </c>
      <c r="J41" s="731">
        <v>475000</v>
      </c>
      <c r="K41" s="730"/>
      <c r="L41" s="731"/>
      <c r="M41" s="730"/>
      <c r="N41" s="730"/>
      <c r="O41" s="732">
        <f t="shared" si="0"/>
        <v>0</v>
      </c>
      <c r="P41" s="731"/>
      <c r="Q41" s="731"/>
      <c r="R41" s="733">
        <f t="shared" si="8"/>
        <v>0</v>
      </c>
      <c r="S41" s="732">
        <f t="shared" si="9"/>
        <v>400000</v>
      </c>
      <c r="T41" s="733">
        <f t="shared" si="10"/>
        <v>475000</v>
      </c>
      <c r="U41" s="730"/>
      <c r="V41" s="731"/>
      <c r="W41" s="730"/>
      <c r="X41" s="730"/>
      <c r="Y41" s="732">
        <f t="shared" si="4"/>
        <v>0</v>
      </c>
      <c r="Z41" s="731"/>
      <c r="AA41" s="731"/>
      <c r="AB41" s="733">
        <f t="shared" si="5"/>
        <v>0</v>
      </c>
      <c r="AC41" s="730"/>
      <c r="AD41" s="731"/>
      <c r="AE41" s="730"/>
      <c r="AF41" s="730"/>
      <c r="AG41" s="731"/>
      <c r="AH41" s="731"/>
      <c r="AI41" s="732">
        <f t="shared" si="11"/>
        <v>400000</v>
      </c>
      <c r="AJ41" s="733">
        <f t="shared" si="12"/>
        <v>475000</v>
      </c>
    </row>
    <row r="42" spans="1:36">
      <c r="A42" s="821" t="s">
        <v>61</v>
      </c>
      <c r="B42" s="822" t="s">
        <v>71</v>
      </c>
      <c r="C42" s="824" t="s">
        <v>72</v>
      </c>
      <c r="D42" s="823"/>
      <c r="E42" s="693">
        <v>100654</v>
      </c>
      <c r="F42" s="46">
        <v>3</v>
      </c>
      <c r="G42" s="730"/>
      <c r="H42" s="731"/>
      <c r="I42" s="730"/>
      <c r="J42" s="731"/>
      <c r="K42" s="730"/>
      <c r="L42" s="731"/>
      <c r="M42" s="730"/>
      <c r="N42" s="730"/>
      <c r="O42" s="732">
        <f t="shared" si="0"/>
        <v>0</v>
      </c>
      <c r="P42" s="731"/>
      <c r="Q42" s="731"/>
      <c r="R42" s="733">
        <f t="shared" si="8"/>
        <v>0</v>
      </c>
      <c r="S42" s="732">
        <f t="shared" si="9"/>
        <v>0</v>
      </c>
      <c r="T42" s="733">
        <f t="shared" si="10"/>
        <v>0</v>
      </c>
      <c r="U42" s="730"/>
      <c r="V42" s="731"/>
      <c r="W42" s="730"/>
      <c r="X42" s="730"/>
      <c r="Y42" s="732">
        <f t="shared" si="4"/>
        <v>0</v>
      </c>
      <c r="Z42" s="731"/>
      <c r="AA42" s="731"/>
      <c r="AB42" s="733">
        <f t="shared" si="5"/>
        <v>0</v>
      </c>
      <c r="AC42" s="730"/>
      <c r="AD42" s="731"/>
      <c r="AE42" s="730"/>
      <c r="AF42" s="730"/>
      <c r="AG42" s="731"/>
      <c r="AH42" s="731"/>
      <c r="AI42" s="732">
        <f t="shared" si="11"/>
        <v>0</v>
      </c>
      <c r="AJ42" s="733">
        <f t="shared" si="12"/>
        <v>0</v>
      </c>
    </row>
    <row r="43" spans="1:36">
      <c r="A43" s="821" t="s">
        <v>61</v>
      </c>
      <c r="B43" s="822" t="s">
        <v>71</v>
      </c>
      <c r="C43" s="825" t="s">
        <v>73</v>
      </c>
      <c r="D43" s="823"/>
      <c r="E43" s="693">
        <v>100654</v>
      </c>
      <c r="F43" s="46">
        <v>3</v>
      </c>
      <c r="G43" s="730"/>
      <c r="H43" s="731"/>
      <c r="I43" s="730">
        <v>274253</v>
      </c>
      <c r="J43" s="731">
        <v>274253</v>
      </c>
      <c r="K43" s="730"/>
      <c r="L43" s="731"/>
      <c r="M43" s="730"/>
      <c r="N43" s="730"/>
      <c r="O43" s="732">
        <f t="shared" si="0"/>
        <v>0</v>
      </c>
      <c r="P43" s="731"/>
      <c r="Q43" s="731"/>
      <c r="R43" s="733">
        <f t="shared" si="8"/>
        <v>0</v>
      </c>
      <c r="S43" s="732">
        <f t="shared" si="9"/>
        <v>274253</v>
      </c>
      <c r="T43" s="733">
        <f t="shared" si="10"/>
        <v>274253</v>
      </c>
      <c r="U43" s="730"/>
      <c r="V43" s="731"/>
      <c r="W43" s="730"/>
      <c r="X43" s="730"/>
      <c r="Y43" s="732">
        <f t="shared" si="4"/>
        <v>0</v>
      </c>
      <c r="Z43" s="731"/>
      <c r="AA43" s="731"/>
      <c r="AB43" s="733">
        <f t="shared" si="5"/>
        <v>0</v>
      </c>
      <c r="AC43" s="730"/>
      <c r="AD43" s="731"/>
      <c r="AE43" s="730"/>
      <c r="AF43" s="730"/>
      <c r="AG43" s="731"/>
      <c r="AH43" s="731"/>
      <c r="AI43" s="732">
        <f t="shared" si="11"/>
        <v>274253</v>
      </c>
      <c r="AJ43" s="733">
        <f t="shared" si="12"/>
        <v>274253</v>
      </c>
    </row>
    <row r="44" spans="1:36">
      <c r="A44" s="821" t="s">
        <v>61</v>
      </c>
      <c r="B44" s="822" t="s">
        <v>74</v>
      </c>
      <c r="C44" s="824" t="s">
        <v>87</v>
      </c>
      <c r="D44" s="823"/>
      <c r="E44" s="693">
        <v>100654</v>
      </c>
      <c r="F44" s="46">
        <v>3</v>
      </c>
      <c r="G44" s="730"/>
      <c r="H44" s="731"/>
      <c r="I44" s="730">
        <v>5406363</v>
      </c>
      <c r="J44" s="731">
        <v>5512018</v>
      </c>
      <c r="K44" s="730"/>
      <c r="L44" s="731"/>
      <c r="M44" s="730"/>
      <c r="N44" s="730"/>
      <c r="O44" s="732">
        <f t="shared" si="0"/>
        <v>0</v>
      </c>
      <c r="P44" s="731"/>
      <c r="Q44" s="731"/>
      <c r="R44" s="733">
        <f t="shared" si="8"/>
        <v>0</v>
      </c>
      <c r="S44" s="732">
        <f t="shared" si="9"/>
        <v>5406363</v>
      </c>
      <c r="T44" s="733">
        <f t="shared" si="10"/>
        <v>5512018</v>
      </c>
      <c r="U44" s="730"/>
      <c r="V44" s="731"/>
      <c r="W44" s="730"/>
      <c r="X44" s="730"/>
      <c r="Y44" s="732">
        <f t="shared" si="4"/>
        <v>0</v>
      </c>
      <c r="Z44" s="731"/>
      <c r="AA44" s="731"/>
      <c r="AB44" s="733">
        <f t="shared" si="5"/>
        <v>0</v>
      </c>
      <c r="AC44" s="730"/>
      <c r="AD44" s="731"/>
      <c r="AE44" s="730"/>
      <c r="AF44" s="730"/>
      <c r="AG44" s="731"/>
      <c r="AH44" s="731"/>
      <c r="AI44" s="732">
        <f t="shared" si="11"/>
        <v>5406363</v>
      </c>
      <c r="AJ44" s="733">
        <f t="shared" si="12"/>
        <v>5512018</v>
      </c>
    </row>
    <row r="45" spans="1:36">
      <c r="A45" s="821" t="s">
        <v>61</v>
      </c>
      <c r="B45" s="822" t="s">
        <v>74</v>
      </c>
      <c r="C45" s="825" t="s">
        <v>88</v>
      </c>
      <c r="D45" s="823"/>
      <c r="E45" s="693">
        <v>100654</v>
      </c>
      <c r="F45" s="46">
        <v>3</v>
      </c>
      <c r="G45" s="730"/>
      <c r="H45" s="731"/>
      <c r="I45" s="730">
        <v>2253416</v>
      </c>
      <c r="J45" s="731">
        <v>2253416</v>
      </c>
      <c r="K45" s="730"/>
      <c r="L45" s="731"/>
      <c r="M45" s="730"/>
      <c r="N45" s="730"/>
      <c r="O45" s="732">
        <f t="shared" si="0"/>
        <v>0</v>
      </c>
      <c r="P45" s="731"/>
      <c r="Q45" s="731"/>
      <c r="R45" s="733">
        <f t="shared" si="8"/>
        <v>0</v>
      </c>
      <c r="S45" s="732">
        <f t="shared" si="9"/>
        <v>2253416</v>
      </c>
      <c r="T45" s="733">
        <f t="shared" si="10"/>
        <v>2253416</v>
      </c>
      <c r="U45" s="730"/>
      <c r="V45" s="731"/>
      <c r="W45" s="730"/>
      <c r="X45" s="730"/>
      <c r="Y45" s="732">
        <f t="shared" si="4"/>
        <v>0</v>
      </c>
      <c r="Z45" s="731"/>
      <c r="AA45" s="731"/>
      <c r="AB45" s="733">
        <f t="shared" si="5"/>
        <v>0</v>
      </c>
      <c r="AC45" s="730"/>
      <c r="AD45" s="731"/>
      <c r="AE45" s="730"/>
      <c r="AF45" s="730"/>
      <c r="AG45" s="731"/>
      <c r="AH45" s="731"/>
      <c r="AI45" s="732">
        <f t="shared" si="11"/>
        <v>2253416</v>
      </c>
      <c r="AJ45" s="733">
        <f t="shared" si="12"/>
        <v>2253416</v>
      </c>
    </row>
    <row r="46" spans="1:36">
      <c r="A46" s="821" t="s">
        <v>61</v>
      </c>
      <c r="B46" s="822" t="s">
        <v>62</v>
      </c>
      <c r="C46" s="826" t="s">
        <v>89</v>
      </c>
      <c r="D46" s="827"/>
      <c r="E46" s="693">
        <v>101480</v>
      </c>
      <c r="F46" s="46">
        <v>3</v>
      </c>
      <c r="G46" s="730">
        <v>41275700</v>
      </c>
      <c r="H46" s="731">
        <v>41844287</v>
      </c>
      <c r="I46" s="730"/>
      <c r="J46" s="731"/>
      <c r="K46" s="730"/>
      <c r="L46" s="731"/>
      <c r="M46" s="730">
        <v>75226686</v>
      </c>
      <c r="N46" s="730">
        <v>6719083</v>
      </c>
      <c r="O46" s="732">
        <f t="shared" si="0"/>
        <v>81945769</v>
      </c>
      <c r="P46" s="731">
        <v>80268348</v>
      </c>
      <c r="Q46" s="731">
        <v>3316335</v>
      </c>
      <c r="R46" s="733">
        <f t="shared" si="8"/>
        <v>83584683</v>
      </c>
      <c r="S46" s="732">
        <f t="shared" si="9"/>
        <v>116502386</v>
      </c>
      <c r="T46" s="733">
        <f t="shared" si="10"/>
        <v>122112635</v>
      </c>
      <c r="U46" s="730"/>
      <c r="V46" s="731"/>
      <c r="W46" s="730"/>
      <c r="X46" s="730"/>
      <c r="Y46" s="732">
        <f t="shared" si="4"/>
        <v>0</v>
      </c>
      <c r="Z46" s="731"/>
      <c r="AA46" s="731"/>
      <c r="AB46" s="733">
        <f t="shared" si="5"/>
        <v>0</v>
      </c>
      <c r="AC46" s="730"/>
      <c r="AD46" s="731"/>
      <c r="AE46" s="730"/>
      <c r="AF46" s="730"/>
      <c r="AG46" s="731"/>
      <c r="AH46" s="731"/>
      <c r="AI46" s="732">
        <f t="shared" si="11"/>
        <v>116502386</v>
      </c>
      <c r="AJ46" s="733">
        <f t="shared" si="12"/>
        <v>122112635</v>
      </c>
    </row>
    <row r="47" spans="1:36">
      <c r="A47" s="821" t="s">
        <v>61</v>
      </c>
      <c r="B47" s="822" t="s">
        <v>69</v>
      </c>
      <c r="C47" s="824" t="s">
        <v>70</v>
      </c>
      <c r="D47" s="823"/>
      <c r="E47" s="693">
        <v>101480</v>
      </c>
      <c r="F47" s="46">
        <v>3</v>
      </c>
      <c r="G47" s="730"/>
      <c r="H47" s="731"/>
      <c r="I47" s="730">
        <v>1620000</v>
      </c>
      <c r="J47" s="731">
        <v>1620000</v>
      </c>
      <c r="K47" s="730"/>
      <c r="L47" s="731"/>
      <c r="M47" s="730"/>
      <c r="N47" s="730"/>
      <c r="O47" s="732">
        <f t="shared" si="0"/>
        <v>0</v>
      </c>
      <c r="P47" s="731"/>
      <c r="Q47" s="731"/>
      <c r="R47" s="733">
        <f t="shared" si="8"/>
        <v>0</v>
      </c>
      <c r="S47" s="732">
        <f t="shared" si="9"/>
        <v>1620000</v>
      </c>
      <c r="T47" s="733">
        <f t="shared" si="10"/>
        <v>1620000</v>
      </c>
      <c r="U47" s="730"/>
      <c r="V47" s="731"/>
      <c r="W47" s="730"/>
      <c r="X47" s="730"/>
      <c r="Y47" s="732">
        <f t="shared" si="4"/>
        <v>0</v>
      </c>
      <c r="Z47" s="731"/>
      <c r="AA47" s="731"/>
      <c r="AB47" s="733">
        <f t="shared" si="5"/>
        <v>0</v>
      </c>
      <c r="AC47" s="730"/>
      <c r="AD47" s="731"/>
      <c r="AE47" s="730"/>
      <c r="AF47" s="730"/>
      <c r="AG47" s="731"/>
      <c r="AH47" s="731"/>
      <c r="AI47" s="732">
        <f t="shared" si="11"/>
        <v>1620000</v>
      </c>
      <c r="AJ47" s="733">
        <f t="shared" si="12"/>
        <v>1620000</v>
      </c>
    </row>
    <row r="48" spans="1:36" s="13" customFormat="1" ht="15" customHeight="1">
      <c r="A48" s="821" t="s">
        <v>61</v>
      </c>
      <c r="B48" s="822" t="s">
        <v>71</v>
      </c>
      <c r="C48" s="824" t="s">
        <v>72</v>
      </c>
      <c r="D48" s="823"/>
      <c r="E48" s="693">
        <v>101480</v>
      </c>
      <c r="F48" s="46">
        <v>3</v>
      </c>
      <c r="G48" s="730"/>
      <c r="H48" s="731"/>
      <c r="I48" s="730"/>
      <c r="J48" s="731"/>
      <c r="K48" s="730"/>
      <c r="L48" s="731"/>
      <c r="M48" s="730"/>
      <c r="N48" s="730"/>
      <c r="O48" s="732">
        <f t="shared" si="0"/>
        <v>0</v>
      </c>
      <c r="P48" s="731"/>
      <c r="Q48" s="731"/>
      <c r="R48" s="733">
        <f t="shared" si="8"/>
        <v>0</v>
      </c>
      <c r="S48" s="732">
        <f t="shared" si="9"/>
        <v>0</v>
      </c>
      <c r="T48" s="733">
        <f t="shared" si="10"/>
        <v>0</v>
      </c>
      <c r="U48" s="730"/>
      <c r="V48" s="731"/>
      <c r="W48" s="730"/>
      <c r="X48" s="730"/>
      <c r="Y48" s="732">
        <f t="shared" si="4"/>
        <v>0</v>
      </c>
      <c r="Z48" s="731"/>
      <c r="AA48" s="731"/>
      <c r="AB48" s="733">
        <f t="shared" si="5"/>
        <v>0</v>
      </c>
      <c r="AC48" s="730"/>
      <c r="AD48" s="731"/>
      <c r="AE48" s="730"/>
      <c r="AF48" s="730"/>
      <c r="AG48" s="731"/>
      <c r="AH48" s="731"/>
      <c r="AI48" s="732">
        <f t="shared" si="11"/>
        <v>0</v>
      </c>
      <c r="AJ48" s="733">
        <f t="shared" si="12"/>
        <v>0</v>
      </c>
    </row>
    <row r="49" spans="1:36">
      <c r="A49" s="821" t="s">
        <v>61</v>
      </c>
      <c r="B49" s="822" t="s">
        <v>71</v>
      </c>
      <c r="C49" s="825" t="s">
        <v>73</v>
      </c>
      <c r="D49" s="823"/>
      <c r="E49" s="693">
        <v>101480</v>
      </c>
      <c r="F49" s="46">
        <v>3</v>
      </c>
      <c r="G49" s="730"/>
      <c r="H49" s="731"/>
      <c r="I49" s="730">
        <v>233695</v>
      </c>
      <c r="J49" s="731">
        <v>233695</v>
      </c>
      <c r="K49" s="730"/>
      <c r="L49" s="731"/>
      <c r="M49" s="730"/>
      <c r="N49" s="730"/>
      <c r="O49" s="732">
        <f t="shared" si="0"/>
        <v>0</v>
      </c>
      <c r="P49" s="731"/>
      <c r="Q49" s="731"/>
      <c r="R49" s="733">
        <f t="shared" si="8"/>
        <v>0</v>
      </c>
      <c r="S49" s="732">
        <f t="shared" si="9"/>
        <v>233695</v>
      </c>
      <c r="T49" s="733">
        <f t="shared" si="10"/>
        <v>233695</v>
      </c>
      <c r="U49" s="730"/>
      <c r="V49" s="731"/>
      <c r="W49" s="730"/>
      <c r="X49" s="730"/>
      <c r="Y49" s="732">
        <f t="shared" si="4"/>
        <v>0</v>
      </c>
      <c r="Z49" s="731"/>
      <c r="AA49" s="731"/>
      <c r="AB49" s="733">
        <f t="shared" si="5"/>
        <v>0</v>
      </c>
      <c r="AC49" s="730"/>
      <c r="AD49" s="731"/>
      <c r="AE49" s="730"/>
      <c r="AF49" s="730"/>
      <c r="AG49" s="731"/>
      <c r="AH49" s="731"/>
      <c r="AI49" s="732">
        <f t="shared" si="11"/>
        <v>233695</v>
      </c>
      <c r="AJ49" s="733">
        <f t="shared" si="12"/>
        <v>233695</v>
      </c>
    </row>
    <row r="50" spans="1:36">
      <c r="A50" s="821" t="s">
        <v>61</v>
      </c>
      <c r="B50" s="822" t="s">
        <v>78</v>
      </c>
      <c r="C50" s="824" t="s">
        <v>79</v>
      </c>
      <c r="D50" s="823"/>
      <c r="E50" s="693">
        <v>101480</v>
      </c>
      <c r="F50" s="46">
        <v>3</v>
      </c>
      <c r="G50" s="730"/>
      <c r="H50" s="731"/>
      <c r="I50" s="730">
        <v>300000</v>
      </c>
      <c r="J50" s="731">
        <v>300000</v>
      </c>
      <c r="K50" s="730"/>
      <c r="L50" s="731"/>
      <c r="M50" s="730"/>
      <c r="N50" s="730"/>
      <c r="O50" s="732">
        <f t="shared" si="0"/>
        <v>0</v>
      </c>
      <c r="P50" s="731"/>
      <c r="Q50" s="731"/>
      <c r="R50" s="733">
        <f t="shared" si="8"/>
        <v>0</v>
      </c>
      <c r="S50" s="732">
        <f t="shared" si="9"/>
        <v>300000</v>
      </c>
      <c r="T50" s="733">
        <f t="shared" si="10"/>
        <v>300000</v>
      </c>
      <c r="U50" s="730"/>
      <c r="V50" s="731"/>
      <c r="W50" s="730"/>
      <c r="X50" s="730"/>
      <c r="Y50" s="732">
        <f t="shared" si="4"/>
        <v>0</v>
      </c>
      <c r="Z50" s="731"/>
      <c r="AA50" s="731"/>
      <c r="AB50" s="733">
        <f t="shared" si="5"/>
        <v>0</v>
      </c>
      <c r="AC50" s="730"/>
      <c r="AD50" s="731"/>
      <c r="AE50" s="730"/>
      <c r="AF50" s="730"/>
      <c r="AG50" s="731"/>
      <c r="AH50" s="731"/>
      <c r="AI50" s="732">
        <f t="shared" si="11"/>
        <v>300000</v>
      </c>
      <c r="AJ50" s="733">
        <f t="shared" si="12"/>
        <v>300000</v>
      </c>
    </row>
    <row r="51" spans="1:36">
      <c r="A51" s="821" t="s">
        <v>61</v>
      </c>
      <c r="B51" s="822" t="s">
        <v>62</v>
      </c>
      <c r="C51" s="826" t="s">
        <v>90</v>
      </c>
      <c r="D51" s="827"/>
      <c r="E51" s="693">
        <v>102368</v>
      </c>
      <c r="F51" s="46">
        <v>3</v>
      </c>
      <c r="G51" s="730">
        <v>56631806</v>
      </c>
      <c r="H51" s="731">
        <v>57657481</v>
      </c>
      <c r="I51" s="730"/>
      <c r="J51" s="731"/>
      <c r="K51" s="730"/>
      <c r="L51" s="731"/>
      <c r="M51" s="730">
        <v>138825198</v>
      </c>
      <c r="N51" s="730">
        <v>13281573</v>
      </c>
      <c r="O51" s="732">
        <f t="shared" si="0"/>
        <v>152106771</v>
      </c>
      <c r="P51" s="731">
        <v>126806810</v>
      </c>
      <c r="Q51" s="731">
        <v>12802260</v>
      </c>
      <c r="R51" s="733">
        <f t="shared" si="8"/>
        <v>139609070</v>
      </c>
      <c r="S51" s="732">
        <f t="shared" si="9"/>
        <v>195457004</v>
      </c>
      <c r="T51" s="733">
        <f t="shared" si="10"/>
        <v>184464291</v>
      </c>
      <c r="U51" s="730"/>
      <c r="V51" s="731"/>
      <c r="W51" s="730"/>
      <c r="X51" s="730"/>
      <c r="Y51" s="732">
        <f t="shared" si="4"/>
        <v>0</v>
      </c>
      <c r="Z51" s="731"/>
      <c r="AA51" s="731"/>
      <c r="AB51" s="733">
        <f t="shared" si="5"/>
        <v>0</v>
      </c>
      <c r="AC51" s="730"/>
      <c r="AD51" s="731"/>
      <c r="AE51" s="730"/>
      <c r="AF51" s="730"/>
      <c r="AG51" s="731"/>
      <c r="AH51" s="731"/>
      <c r="AI51" s="732">
        <f t="shared" si="11"/>
        <v>195457004</v>
      </c>
      <c r="AJ51" s="733">
        <f t="shared" si="12"/>
        <v>184464291</v>
      </c>
    </row>
    <row r="52" spans="1:36">
      <c r="A52" s="821" t="s">
        <v>61</v>
      </c>
      <c r="B52" s="822" t="s">
        <v>69</v>
      </c>
      <c r="C52" s="824" t="s">
        <v>70</v>
      </c>
      <c r="D52" s="823"/>
      <c r="E52" s="693">
        <v>102368</v>
      </c>
      <c r="F52" s="46">
        <v>3</v>
      </c>
      <c r="G52" s="730"/>
      <c r="H52" s="731"/>
      <c r="I52" s="730">
        <v>250000</v>
      </c>
      <c r="J52" s="731">
        <v>250000</v>
      </c>
      <c r="K52" s="730"/>
      <c r="L52" s="731"/>
      <c r="M52" s="730"/>
      <c r="N52" s="730"/>
      <c r="O52" s="732">
        <f t="shared" si="0"/>
        <v>0</v>
      </c>
      <c r="P52" s="731"/>
      <c r="Q52" s="731"/>
      <c r="R52" s="733">
        <f t="shared" si="8"/>
        <v>0</v>
      </c>
      <c r="S52" s="732">
        <f t="shared" si="9"/>
        <v>250000</v>
      </c>
      <c r="T52" s="733">
        <f t="shared" si="10"/>
        <v>250000</v>
      </c>
      <c r="U52" s="730"/>
      <c r="V52" s="731"/>
      <c r="W52" s="730"/>
      <c r="X52" s="730"/>
      <c r="Y52" s="732">
        <f t="shared" si="4"/>
        <v>0</v>
      </c>
      <c r="Z52" s="731"/>
      <c r="AA52" s="731"/>
      <c r="AB52" s="733">
        <f t="shared" si="5"/>
        <v>0</v>
      </c>
      <c r="AC52" s="730"/>
      <c r="AD52" s="731"/>
      <c r="AE52" s="730"/>
      <c r="AF52" s="730"/>
      <c r="AG52" s="731"/>
      <c r="AH52" s="731"/>
      <c r="AI52" s="732">
        <f t="shared" si="11"/>
        <v>250000</v>
      </c>
      <c r="AJ52" s="733">
        <f t="shared" si="12"/>
        <v>250000</v>
      </c>
    </row>
    <row r="53" spans="1:36">
      <c r="A53" s="821" t="s">
        <v>61</v>
      </c>
      <c r="B53" s="822" t="s">
        <v>71</v>
      </c>
      <c r="C53" s="824" t="s">
        <v>72</v>
      </c>
      <c r="D53" s="823"/>
      <c r="E53" s="693">
        <v>102368</v>
      </c>
      <c r="F53" s="46">
        <v>3</v>
      </c>
      <c r="G53" s="730"/>
      <c r="H53" s="731"/>
      <c r="I53" s="730"/>
      <c r="J53" s="731"/>
      <c r="K53" s="730"/>
      <c r="L53" s="731"/>
      <c r="M53" s="730"/>
      <c r="N53" s="730"/>
      <c r="O53" s="732">
        <f t="shared" si="0"/>
        <v>0</v>
      </c>
      <c r="P53" s="731"/>
      <c r="Q53" s="731"/>
      <c r="R53" s="733">
        <f t="shared" si="8"/>
        <v>0</v>
      </c>
      <c r="S53" s="732">
        <f t="shared" si="9"/>
        <v>0</v>
      </c>
      <c r="T53" s="733">
        <f t="shared" si="10"/>
        <v>0</v>
      </c>
      <c r="U53" s="730"/>
      <c r="V53" s="731"/>
      <c r="W53" s="730"/>
      <c r="X53" s="730"/>
      <c r="Y53" s="732">
        <f t="shared" si="4"/>
        <v>0</v>
      </c>
      <c r="Z53" s="731"/>
      <c r="AA53" s="731"/>
      <c r="AB53" s="733">
        <f t="shared" si="5"/>
        <v>0</v>
      </c>
      <c r="AC53" s="730"/>
      <c r="AD53" s="731"/>
      <c r="AE53" s="730"/>
      <c r="AF53" s="730"/>
      <c r="AG53" s="731"/>
      <c r="AH53" s="731"/>
      <c r="AI53" s="732">
        <f t="shared" si="11"/>
        <v>0</v>
      </c>
      <c r="AJ53" s="733">
        <f t="shared" si="12"/>
        <v>0</v>
      </c>
    </row>
    <row r="54" spans="1:36">
      <c r="A54" s="821" t="s">
        <v>61</v>
      </c>
      <c r="B54" s="822" t="s">
        <v>71</v>
      </c>
      <c r="C54" s="825" t="s">
        <v>73</v>
      </c>
      <c r="D54" s="823"/>
      <c r="E54" s="693">
        <v>102368</v>
      </c>
      <c r="F54" s="46">
        <v>3</v>
      </c>
      <c r="G54" s="730"/>
      <c r="H54" s="731"/>
      <c r="I54" s="730">
        <v>248042</v>
      </c>
      <c r="J54" s="731">
        <v>248042</v>
      </c>
      <c r="K54" s="730"/>
      <c r="L54" s="731"/>
      <c r="M54" s="730"/>
      <c r="N54" s="730"/>
      <c r="O54" s="732">
        <f t="shared" si="0"/>
        <v>0</v>
      </c>
      <c r="P54" s="731"/>
      <c r="Q54" s="731"/>
      <c r="R54" s="733">
        <f t="shared" si="8"/>
        <v>0</v>
      </c>
      <c r="S54" s="732">
        <f t="shared" si="9"/>
        <v>248042</v>
      </c>
      <c r="T54" s="733">
        <f t="shared" si="10"/>
        <v>248042</v>
      </c>
      <c r="U54" s="730"/>
      <c r="V54" s="731"/>
      <c r="W54" s="730"/>
      <c r="X54" s="730"/>
      <c r="Y54" s="732">
        <f t="shared" si="4"/>
        <v>0</v>
      </c>
      <c r="Z54" s="731"/>
      <c r="AA54" s="731"/>
      <c r="AB54" s="733">
        <f t="shared" si="5"/>
        <v>0</v>
      </c>
      <c r="AC54" s="730"/>
      <c r="AD54" s="731"/>
      <c r="AE54" s="730"/>
      <c r="AF54" s="730"/>
      <c r="AG54" s="731"/>
      <c r="AH54" s="731"/>
      <c r="AI54" s="732">
        <f t="shared" si="11"/>
        <v>248042</v>
      </c>
      <c r="AJ54" s="733">
        <f t="shared" si="12"/>
        <v>248042</v>
      </c>
    </row>
    <row r="55" spans="1:36">
      <c r="A55" s="821" t="s">
        <v>61</v>
      </c>
      <c r="B55" s="822" t="s">
        <v>62</v>
      </c>
      <c r="C55" s="826" t="s">
        <v>94</v>
      </c>
      <c r="D55" s="829"/>
      <c r="E55" s="693">
        <v>101879</v>
      </c>
      <c r="F55" s="46">
        <v>3</v>
      </c>
      <c r="G55" s="730">
        <v>32821960</v>
      </c>
      <c r="H55" s="731">
        <f>34391514+175000</f>
        <v>34566514</v>
      </c>
      <c r="I55" s="730"/>
      <c r="J55" s="731"/>
      <c r="K55" s="730"/>
      <c r="L55" s="731"/>
      <c r="M55" s="730">
        <v>71191242</v>
      </c>
      <c r="N55" s="730">
        <v>2950000</v>
      </c>
      <c r="O55" s="732">
        <f t="shared" si="0"/>
        <v>74141242</v>
      </c>
      <c r="P55" s="731">
        <v>69915000</v>
      </c>
      <c r="Q55" s="731">
        <v>3550000</v>
      </c>
      <c r="R55" s="733">
        <f t="shared" si="8"/>
        <v>73465000</v>
      </c>
      <c r="S55" s="732">
        <f t="shared" si="9"/>
        <v>104013202</v>
      </c>
      <c r="T55" s="733">
        <f t="shared" si="10"/>
        <v>104481514</v>
      </c>
      <c r="U55" s="730"/>
      <c r="V55" s="731"/>
      <c r="W55" s="730"/>
      <c r="X55" s="730"/>
      <c r="Y55" s="732">
        <f t="shared" si="4"/>
        <v>0</v>
      </c>
      <c r="Z55" s="731"/>
      <c r="AA55" s="731"/>
      <c r="AB55" s="733">
        <f t="shared" si="5"/>
        <v>0</v>
      </c>
      <c r="AC55" s="730"/>
      <c r="AD55" s="731"/>
      <c r="AE55" s="730"/>
      <c r="AF55" s="730"/>
      <c r="AG55" s="731"/>
      <c r="AH55" s="731"/>
      <c r="AI55" s="732">
        <f t="shared" si="11"/>
        <v>104013202</v>
      </c>
      <c r="AJ55" s="733">
        <f t="shared" si="12"/>
        <v>104481514</v>
      </c>
    </row>
    <row r="56" spans="1:36">
      <c r="A56" s="821" t="s">
        <v>61</v>
      </c>
      <c r="B56" s="822" t="s">
        <v>71</v>
      </c>
      <c r="C56" s="824" t="s">
        <v>72</v>
      </c>
      <c r="D56" s="823"/>
      <c r="E56" s="693">
        <v>101879</v>
      </c>
      <c r="F56" s="46">
        <v>3</v>
      </c>
      <c r="G56" s="730"/>
      <c r="H56" s="731"/>
      <c r="I56" s="730"/>
      <c r="J56" s="731"/>
      <c r="K56" s="730"/>
      <c r="L56" s="731"/>
      <c r="M56" s="730"/>
      <c r="N56" s="730"/>
      <c r="O56" s="732">
        <f t="shared" si="0"/>
        <v>0</v>
      </c>
      <c r="P56" s="731"/>
      <c r="Q56" s="731"/>
      <c r="R56" s="733">
        <f t="shared" si="8"/>
        <v>0</v>
      </c>
      <c r="S56" s="732">
        <f t="shared" si="9"/>
        <v>0</v>
      </c>
      <c r="T56" s="733">
        <f t="shared" si="10"/>
        <v>0</v>
      </c>
      <c r="U56" s="730"/>
      <c r="V56" s="731"/>
      <c r="W56" s="730"/>
      <c r="X56" s="730"/>
      <c r="Y56" s="732">
        <f t="shared" si="4"/>
        <v>0</v>
      </c>
      <c r="Z56" s="731"/>
      <c r="AA56" s="731"/>
      <c r="AB56" s="733">
        <f t="shared" si="5"/>
        <v>0</v>
      </c>
      <c r="AC56" s="730"/>
      <c r="AD56" s="731"/>
      <c r="AE56" s="730"/>
      <c r="AF56" s="730"/>
      <c r="AG56" s="731"/>
      <c r="AH56" s="731"/>
      <c r="AI56" s="732">
        <f t="shared" si="11"/>
        <v>0</v>
      </c>
      <c r="AJ56" s="733">
        <f t="shared" si="12"/>
        <v>0</v>
      </c>
    </row>
    <row r="57" spans="1:36">
      <c r="A57" s="821" t="s">
        <v>61</v>
      </c>
      <c r="B57" s="822" t="s">
        <v>71</v>
      </c>
      <c r="C57" s="825" t="s">
        <v>73</v>
      </c>
      <c r="D57" s="823"/>
      <c r="E57" s="693">
        <v>101879</v>
      </c>
      <c r="F57" s="46">
        <v>3</v>
      </c>
      <c r="G57" s="730"/>
      <c r="H57" s="731"/>
      <c r="I57" s="730">
        <v>212449</v>
      </c>
      <c r="J57" s="731">
        <v>212449</v>
      </c>
      <c r="K57" s="730"/>
      <c r="L57" s="731"/>
      <c r="M57" s="730"/>
      <c r="N57" s="730"/>
      <c r="O57" s="732">
        <f t="shared" si="0"/>
        <v>0</v>
      </c>
      <c r="P57" s="731"/>
      <c r="Q57" s="731"/>
      <c r="R57" s="733">
        <f t="shared" si="8"/>
        <v>0</v>
      </c>
      <c r="S57" s="732">
        <f t="shared" si="9"/>
        <v>212449</v>
      </c>
      <c r="T57" s="733">
        <f t="shared" si="10"/>
        <v>212449</v>
      </c>
      <c r="U57" s="730"/>
      <c r="V57" s="731"/>
      <c r="W57" s="730"/>
      <c r="X57" s="730"/>
      <c r="Y57" s="732">
        <f t="shared" si="4"/>
        <v>0</v>
      </c>
      <c r="Z57" s="731"/>
      <c r="AA57" s="731"/>
      <c r="AB57" s="733">
        <f t="shared" si="5"/>
        <v>0</v>
      </c>
      <c r="AC57" s="730"/>
      <c r="AD57" s="731"/>
      <c r="AE57" s="730"/>
      <c r="AF57" s="730"/>
      <c r="AG57" s="731"/>
      <c r="AH57" s="731"/>
      <c r="AI57" s="732">
        <f t="shared" si="11"/>
        <v>212449</v>
      </c>
      <c r="AJ57" s="733">
        <f t="shared" si="12"/>
        <v>212449</v>
      </c>
    </row>
    <row r="58" spans="1:36">
      <c r="A58" s="821" t="s">
        <v>61</v>
      </c>
      <c r="B58" s="822" t="s">
        <v>62</v>
      </c>
      <c r="C58" s="826" t="s">
        <v>92</v>
      </c>
      <c r="D58" s="830"/>
      <c r="E58" s="693">
        <v>100724</v>
      </c>
      <c r="F58" s="46">
        <v>4</v>
      </c>
      <c r="G58" s="730">
        <v>48881738</v>
      </c>
      <c r="H58" s="731">
        <v>49399287</v>
      </c>
      <c r="I58" s="730"/>
      <c r="J58" s="731"/>
      <c r="K58" s="730"/>
      <c r="L58" s="731"/>
      <c r="M58" s="730">
        <v>36707201</v>
      </c>
      <c r="N58" s="730">
        <v>13123189</v>
      </c>
      <c r="O58" s="732">
        <f t="shared" si="0"/>
        <v>49830390</v>
      </c>
      <c r="P58" s="731">
        <v>37892456</v>
      </c>
      <c r="Q58" s="731">
        <v>15780000</v>
      </c>
      <c r="R58" s="733">
        <f t="shared" si="8"/>
        <v>53672456</v>
      </c>
      <c r="S58" s="732">
        <f t="shared" si="9"/>
        <v>85588939</v>
      </c>
      <c r="T58" s="733">
        <f t="shared" si="10"/>
        <v>87291743</v>
      </c>
      <c r="U58" s="730"/>
      <c r="V58" s="731"/>
      <c r="W58" s="730"/>
      <c r="X58" s="730"/>
      <c r="Y58" s="732">
        <f t="shared" si="4"/>
        <v>0</v>
      </c>
      <c r="Z58" s="731"/>
      <c r="AA58" s="731"/>
      <c r="AB58" s="733">
        <f t="shared" si="5"/>
        <v>0</v>
      </c>
      <c r="AC58" s="730"/>
      <c r="AD58" s="731"/>
      <c r="AE58" s="730"/>
      <c r="AF58" s="730"/>
      <c r="AG58" s="731"/>
      <c r="AH58" s="731"/>
      <c r="AI58" s="732">
        <f t="shared" si="11"/>
        <v>85588939</v>
      </c>
      <c r="AJ58" s="733">
        <f t="shared" si="12"/>
        <v>87291743</v>
      </c>
    </row>
    <row r="59" spans="1:36">
      <c r="A59" s="821" t="s">
        <v>61</v>
      </c>
      <c r="B59" s="822" t="s">
        <v>69</v>
      </c>
      <c r="C59" s="824" t="s">
        <v>70</v>
      </c>
      <c r="D59" s="823"/>
      <c r="E59" s="693">
        <v>100724</v>
      </c>
      <c r="F59" s="46">
        <v>4</v>
      </c>
      <c r="G59" s="730"/>
      <c r="H59" s="731"/>
      <c r="I59" s="730"/>
      <c r="J59" s="731"/>
      <c r="K59" s="730"/>
      <c r="L59" s="731"/>
      <c r="M59" s="730"/>
      <c r="N59" s="730"/>
      <c r="O59" s="732">
        <f t="shared" si="0"/>
        <v>0</v>
      </c>
      <c r="P59" s="731"/>
      <c r="Q59" s="731"/>
      <c r="R59" s="733">
        <f t="shared" si="8"/>
        <v>0</v>
      </c>
      <c r="S59" s="732">
        <f t="shared" si="9"/>
        <v>0</v>
      </c>
      <c r="T59" s="733">
        <f t="shared" si="10"/>
        <v>0</v>
      </c>
      <c r="U59" s="730"/>
      <c r="V59" s="731"/>
      <c r="W59" s="730"/>
      <c r="X59" s="730"/>
      <c r="Y59" s="732">
        <f t="shared" si="4"/>
        <v>0</v>
      </c>
      <c r="Z59" s="731"/>
      <c r="AA59" s="731"/>
      <c r="AB59" s="733">
        <f t="shared" si="5"/>
        <v>0</v>
      </c>
      <c r="AC59" s="730"/>
      <c r="AD59" s="731"/>
      <c r="AE59" s="730"/>
      <c r="AF59" s="730"/>
      <c r="AG59" s="731"/>
      <c r="AH59" s="731"/>
      <c r="AI59" s="732">
        <f t="shared" si="11"/>
        <v>0</v>
      </c>
      <c r="AJ59" s="733">
        <f t="shared" si="12"/>
        <v>0</v>
      </c>
    </row>
    <row r="60" spans="1:36">
      <c r="A60" s="821" t="s">
        <v>61</v>
      </c>
      <c r="B60" s="822" t="s">
        <v>71</v>
      </c>
      <c r="C60" s="824" t="s">
        <v>72</v>
      </c>
      <c r="D60" s="823"/>
      <c r="E60" s="693">
        <v>100724</v>
      </c>
      <c r="F60" s="46">
        <v>4</v>
      </c>
      <c r="G60" s="730"/>
      <c r="H60" s="731"/>
      <c r="I60" s="730"/>
      <c r="J60" s="731"/>
      <c r="K60" s="730"/>
      <c r="L60" s="731"/>
      <c r="M60" s="730"/>
      <c r="N60" s="730"/>
      <c r="O60" s="732">
        <f t="shared" si="0"/>
        <v>0</v>
      </c>
      <c r="P60" s="731"/>
      <c r="Q60" s="731"/>
      <c r="R60" s="733">
        <f t="shared" si="8"/>
        <v>0</v>
      </c>
      <c r="S60" s="732">
        <f t="shared" si="9"/>
        <v>0</v>
      </c>
      <c r="T60" s="733">
        <f t="shared" si="10"/>
        <v>0</v>
      </c>
      <c r="U60" s="730"/>
      <c r="V60" s="731"/>
      <c r="W60" s="730"/>
      <c r="X60" s="730"/>
      <c r="Y60" s="732">
        <f t="shared" si="4"/>
        <v>0</v>
      </c>
      <c r="Z60" s="731"/>
      <c r="AA60" s="731"/>
      <c r="AB60" s="733">
        <f t="shared" si="5"/>
        <v>0</v>
      </c>
      <c r="AC60" s="730"/>
      <c r="AD60" s="731"/>
      <c r="AE60" s="730"/>
      <c r="AF60" s="730"/>
      <c r="AG60" s="731"/>
      <c r="AH60" s="731"/>
      <c r="AI60" s="732">
        <f t="shared" si="11"/>
        <v>0</v>
      </c>
      <c r="AJ60" s="733">
        <f t="shared" si="12"/>
        <v>0</v>
      </c>
    </row>
    <row r="61" spans="1:36">
      <c r="A61" s="821" t="s">
        <v>61</v>
      </c>
      <c r="B61" s="822" t="s">
        <v>71</v>
      </c>
      <c r="C61" s="825" t="s">
        <v>73</v>
      </c>
      <c r="D61" s="823"/>
      <c r="E61" s="693">
        <v>100724</v>
      </c>
      <c r="F61" s="46">
        <v>4</v>
      </c>
      <c r="G61" s="730"/>
      <c r="H61" s="731"/>
      <c r="I61" s="730">
        <v>236454</v>
      </c>
      <c r="J61" s="731">
        <v>236454</v>
      </c>
      <c r="K61" s="730"/>
      <c r="L61" s="731"/>
      <c r="M61" s="730"/>
      <c r="N61" s="730"/>
      <c r="O61" s="732">
        <f t="shared" si="0"/>
        <v>0</v>
      </c>
      <c r="P61" s="731"/>
      <c r="Q61" s="731"/>
      <c r="R61" s="733">
        <f t="shared" si="8"/>
        <v>0</v>
      </c>
      <c r="S61" s="732">
        <f t="shared" si="9"/>
        <v>236454</v>
      </c>
      <c r="T61" s="733">
        <f t="shared" si="10"/>
        <v>236454</v>
      </c>
      <c r="U61" s="730"/>
      <c r="V61" s="731"/>
      <c r="W61" s="730"/>
      <c r="X61" s="730"/>
      <c r="Y61" s="732">
        <f t="shared" si="4"/>
        <v>0</v>
      </c>
      <c r="Z61" s="731"/>
      <c r="AA61" s="731"/>
      <c r="AB61" s="733">
        <f t="shared" si="5"/>
        <v>0</v>
      </c>
      <c r="AC61" s="730"/>
      <c r="AD61" s="731"/>
      <c r="AE61" s="730"/>
      <c r="AF61" s="730"/>
      <c r="AG61" s="731"/>
      <c r="AH61" s="731"/>
      <c r="AI61" s="732">
        <f t="shared" si="11"/>
        <v>236454</v>
      </c>
      <c r="AJ61" s="733">
        <f t="shared" si="12"/>
        <v>236454</v>
      </c>
    </row>
    <row r="62" spans="1:36">
      <c r="A62" s="821" t="s">
        <v>61</v>
      </c>
      <c r="B62" s="822" t="s">
        <v>62</v>
      </c>
      <c r="C62" s="826" t="s">
        <v>93</v>
      </c>
      <c r="D62" s="832" t="s">
        <v>1781</v>
      </c>
      <c r="E62" s="833">
        <v>100830</v>
      </c>
      <c r="F62" s="834">
        <v>3</v>
      </c>
      <c r="G62" s="730">
        <v>25418032</v>
      </c>
      <c r="H62" s="731">
        <v>25885268</v>
      </c>
      <c r="I62" s="730"/>
      <c r="J62" s="731"/>
      <c r="K62" s="730"/>
      <c r="L62" s="731"/>
      <c r="M62" s="730">
        <v>47162083</v>
      </c>
      <c r="N62" s="730">
        <v>5627105</v>
      </c>
      <c r="O62" s="732">
        <f t="shared" si="0"/>
        <v>52789188</v>
      </c>
      <c r="P62" s="731">
        <v>40964393</v>
      </c>
      <c r="Q62" s="731">
        <v>4880607</v>
      </c>
      <c r="R62" s="733">
        <f t="shared" si="8"/>
        <v>45845000</v>
      </c>
      <c r="S62" s="732">
        <f t="shared" si="9"/>
        <v>72580115</v>
      </c>
      <c r="T62" s="733">
        <f t="shared" si="10"/>
        <v>66849661</v>
      </c>
      <c r="U62" s="730"/>
      <c r="V62" s="731"/>
      <c r="W62" s="730"/>
      <c r="X62" s="730"/>
      <c r="Y62" s="732">
        <f t="shared" si="4"/>
        <v>0</v>
      </c>
      <c r="Z62" s="731"/>
      <c r="AA62" s="731"/>
      <c r="AB62" s="733">
        <f t="shared" si="5"/>
        <v>0</v>
      </c>
      <c r="AC62" s="730"/>
      <c r="AD62" s="731"/>
      <c r="AE62" s="730"/>
      <c r="AF62" s="730"/>
      <c r="AG62" s="731"/>
      <c r="AH62" s="731"/>
      <c r="AI62" s="732">
        <f t="shared" si="11"/>
        <v>72580115</v>
      </c>
      <c r="AJ62" s="733">
        <f t="shared" si="12"/>
        <v>66849661</v>
      </c>
    </row>
    <row r="63" spans="1:36">
      <c r="A63" s="821" t="s">
        <v>61</v>
      </c>
      <c r="B63" s="822" t="s">
        <v>69</v>
      </c>
      <c r="C63" s="824" t="s">
        <v>70</v>
      </c>
      <c r="D63" s="823"/>
      <c r="E63" s="693">
        <v>100830</v>
      </c>
      <c r="F63" s="1174">
        <v>3</v>
      </c>
      <c r="G63" s="730"/>
      <c r="H63" s="731"/>
      <c r="I63" s="730">
        <v>114915</v>
      </c>
      <c r="J63" s="731">
        <v>114915</v>
      </c>
      <c r="K63" s="730"/>
      <c r="L63" s="731"/>
      <c r="M63" s="730"/>
      <c r="N63" s="730"/>
      <c r="O63" s="732">
        <f t="shared" si="0"/>
        <v>0</v>
      </c>
      <c r="P63" s="731"/>
      <c r="Q63" s="731"/>
      <c r="R63" s="733">
        <f t="shared" si="8"/>
        <v>0</v>
      </c>
      <c r="S63" s="732">
        <f t="shared" si="9"/>
        <v>114915</v>
      </c>
      <c r="T63" s="733">
        <f t="shared" si="10"/>
        <v>114915</v>
      </c>
      <c r="U63" s="730"/>
      <c r="V63" s="731"/>
      <c r="W63" s="730"/>
      <c r="X63" s="730"/>
      <c r="Y63" s="732">
        <f t="shared" si="4"/>
        <v>0</v>
      </c>
      <c r="Z63" s="731"/>
      <c r="AA63" s="731"/>
      <c r="AB63" s="733">
        <f t="shared" si="5"/>
        <v>0</v>
      </c>
      <c r="AC63" s="730"/>
      <c r="AD63" s="731"/>
      <c r="AE63" s="730"/>
      <c r="AF63" s="730"/>
      <c r="AG63" s="731"/>
      <c r="AH63" s="731"/>
      <c r="AI63" s="732">
        <f t="shared" si="11"/>
        <v>114915</v>
      </c>
      <c r="AJ63" s="733">
        <f t="shared" si="12"/>
        <v>114915</v>
      </c>
    </row>
    <row r="64" spans="1:36">
      <c r="A64" s="821" t="s">
        <v>61</v>
      </c>
      <c r="B64" s="822" t="s">
        <v>62</v>
      </c>
      <c r="C64" s="826" t="s">
        <v>95</v>
      </c>
      <c r="D64" s="827"/>
      <c r="E64" s="693">
        <v>101709</v>
      </c>
      <c r="F64" s="46">
        <v>5</v>
      </c>
      <c r="G64" s="730">
        <v>22229240</v>
      </c>
      <c r="H64" s="731">
        <v>22863165</v>
      </c>
      <c r="I64" s="730"/>
      <c r="J64" s="731"/>
      <c r="K64" s="730"/>
      <c r="L64" s="731"/>
      <c r="M64" s="730">
        <v>36200238</v>
      </c>
      <c r="N64" s="730">
        <v>1140858</v>
      </c>
      <c r="O64" s="732">
        <f t="shared" si="0"/>
        <v>37341096</v>
      </c>
      <c r="P64" s="731">
        <v>36872073</v>
      </c>
      <c r="Q64" s="731"/>
      <c r="R64" s="733">
        <f t="shared" si="8"/>
        <v>36872073</v>
      </c>
      <c r="S64" s="732">
        <f t="shared" si="9"/>
        <v>58429478</v>
      </c>
      <c r="T64" s="733">
        <f t="shared" si="10"/>
        <v>59735238</v>
      </c>
      <c r="U64" s="730"/>
      <c r="V64" s="731"/>
      <c r="W64" s="730"/>
      <c r="X64" s="730"/>
      <c r="Y64" s="732">
        <f t="shared" si="4"/>
        <v>0</v>
      </c>
      <c r="Z64" s="731"/>
      <c r="AA64" s="731"/>
      <c r="AB64" s="733">
        <f t="shared" si="5"/>
        <v>0</v>
      </c>
      <c r="AC64" s="730"/>
      <c r="AD64" s="731"/>
      <c r="AE64" s="730"/>
      <c r="AF64" s="730"/>
      <c r="AG64" s="731"/>
      <c r="AH64" s="731"/>
      <c r="AI64" s="732">
        <f t="shared" si="11"/>
        <v>58429478</v>
      </c>
      <c r="AJ64" s="733">
        <f t="shared" si="12"/>
        <v>59735238</v>
      </c>
    </row>
    <row r="65" spans="1:36">
      <c r="A65" s="821" t="s">
        <v>61</v>
      </c>
      <c r="B65" s="822" t="s">
        <v>69</v>
      </c>
      <c r="C65" s="824" t="s">
        <v>70</v>
      </c>
      <c r="D65" s="827"/>
      <c r="E65" s="693">
        <v>101709</v>
      </c>
      <c r="F65" s="46">
        <v>5</v>
      </c>
      <c r="G65" s="730"/>
      <c r="H65" s="731"/>
      <c r="I65" s="730"/>
      <c r="J65" s="731"/>
      <c r="K65" s="730"/>
      <c r="L65" s="731"/>
      <c r="M65" s="730"/>
      <c r="N65" s="730"/>
      <c r="O65" s="732">
        <f t="shared" si="0"/>
        <v>0</v>
      </c>
      <c r="P65" s="731"/>
      <c r="Q65" s="731"/>
      <c r="R65" s="733">
        <f t="shared" si="8"/>
        <v>0</v>
      </c>
      <c r="S65" s="732">
        <f t="shared" si="9"/>
        <v>0</v>
      </c>
      <c r="T65" s="733">
        <f t="shared" si="10"/>
        <v>0</v>
      </c>
      <c r="U65" s="730"/>
      <c r="V65" s="731"/>
      <c r="W65" s="730"/>
      <c r="X65" s="730"/>
      <c r="Y65" s="732">
        <f t="shared" si="4"/>
        <v>0</v>
      </c>
      <c r="Z65" s="731"/>
      <c r="AA65" s="731"/>
      <c r="AB65" s="733">
        <f t="shared" si="5"/>
        <v>0</v>
      </c>
      <c r="AC65" s="730"/>
      <c r="AD65" s="731"/>
      <c r="AE65" s="730"/>
      <c r="AF65" s="730"/>
      <c r="AG65" s="731"/>
      <c r="AH65" s="731"/>
      <c r="AI65" s="732">
        <f t="shared" si="11"/>
        <v>0</v>
      </c>
      <c r="AJ65" s="733">
        <f t="shared" si="12"/>
        <v>0</v>
      </c>
    </row>
    <row r="66" spans="1:36">
      <c r="A66" s="821" t="s">
        <v>61</v>
      </c>
      <c r="B66" s="822" t="s">
        <v>71</v>
      </c>
      <c r="C66" s="824" t="s">
        <v>72</v>
      </c>
      <c r="D66" s="823"/>
      <c r="E66" s="693">
        <v>101709</v>
      </c>
      <c r="F66" s="46">
        <v>5</v>
      </c>
      <c r="G66" s="730"/>
      <c r="H66" s="731"/>
      <c r="I66" s="730"/>
      <c r="J66" s="731"/>
      <c r="K66" s="730"/>
      <c r="L66" s="731"/>
      <c r="M66" s="730"/>
      <c r="N66" s="730"/>
      <c r="O66" s="732">
        <f t="shared" si="0"/>
        <v>0</v>
      </c>
      <c r="P66" s="731"/>
      <c r="Q66" s="731"/>
      <c r="R66" s="733">
        <f t="shared" si="8"/>
        <v>0</v>
      </c>
      <c r="S66" s="732">
        <f t="shared" si="9"/>
        <v>0</v>
      </c>
      <c r="T66" s="733">
        <f t="shared" si="10"/>
        <v>0</v>
      </c>
      <c r="U66" s="730"/>
      <c r="V66" s="731"/>
      <c r="W66" s="730"/>
      <c r="X66" s="730"/>
      <c r="Y66" s="732">
        <f t="shared" si="4"/>
        <v>0</v>
      </c>
      <c r="Z66" s="731"/>
      <c r="AA66" s="731"/>
      <c r="AB66" s="733">
        <f t="shared" si="5"/>
        <v>0</v>
      </c>
      <c r="AC66" s="730"/>
      <c r="AD66" s="731"/>
      <c r="AE66" s="730"/>
      <c r="AF66" s="730"/>
      <c r="AG66" s="731"/>
      <c r="AH66" s="731"/>
      <c r="AI66" s="732">
        <f t="shared" si="11"/>
        <v>0</v>
      </c>
      <c r="AJ66" s="733">
        <f t="shared" si="12"/>
        <v>0</v>
      </c>
    </row>
    <row r="67" spans="1:36">
      <c r="A67" s="821" t="s">
        <v>61</v>
      </c>
      <c r="B67" s="822" t="s">
        <v>71</v>
      </c>
      <c r="C67" s="825" t="s">
        <v>73</v>
      </c>
      <c r="D67" s="823"/>
      <c r="E67" s="693">
        <v>101709</v>
      </c>
      <c r="F67" s="46">
        <v>5</v>
      </c>
      <c r="G67" s="730"/>
      <c r="H67" s="731"/>
      <c r="I67" s="730">
        <v>245558</v>
      </c>
      <c r="J67" s="731">
        <v>245558</v>
      </c>
      <c r="K67" s="730"/>
      <c r="L67" s="731"/>
      <c r="M67" s="730"/>
      <c r="N67" s="730"/>
      <c r="O67" s="732">
        <f t="shared" si="0"/>
        <v>0</v>
      </c>
      <c r="P67" s="731"/>
      <c r="Q67" s="731"/>
      <c r="R67" s="733">
        <f t="shared" si="8"/>
        <v>0</v>
      </c>
      <c r="S67" s="732">
        <f t="shared" si="9"/>
        <v>245558</v>
      </c>
      <c r="T67" s="733">
        <f t="shared" si="10"/>
        <v>245558</v>
      </c>
      <c r="U67" s="730"/>
      <c r="V67" s="731"/>
      <c r="W67" s="730"/>
      <c r="X67" s="730"/>
      <c r="Y67" s="732">
        <f t="shared" si="4"/>
        <v>0</v>
      </c>
      <c r="Z67" s="731"/>
      <c r="AA67" s="731"/>
      <c r="AB67" s="733">
        <f t="shared" si="5"/>
        <v>0</v>
      </c>
      <c r="AC67" s="730"/>
      <c r="AD67" s="731"/>
      <c r="AE67" s="730"/>
      <c r="AF67" s="730"/>
      <c r="AG67" s="731"/>
      <c r="AH67" s="731"/>
      <c r="AI67" s="732">
        <f t="shared" si="11"/>
        <v>245558</v>
      </c>
      <c r="AJ67" s="733">
        <f t="shared" si="12"/>
        <v>245558</v>
      </c>
    </row>
    <row r="68" spans="1:36">
      <c r="A68" s="821" t="s">
        <v>61</v>
      </c>
      <c r="B68" s="822" t="s">
        <v>62</v>
      </c>
      <c r="C68" s="826" t="s">
        <v>96</v>
      </c>
      <c r="D68" s="832" t="s">
        <v>1782</v>
      </c>
      <c r="E68" s="833">
        <v>101587</v>
      </c>
      <c r="F68" s="1174">
        <v>4</v>
      </c>
      <c r="G68" s="730">
        <v>17873142</v>
      </c>
      <c r="H68" s="731">
        <v>19451085</v>
      </c>
      <c r="I68" s="730"/>
      <c r="J68" s="731"/>
      <c r="K68" s="730"/>
      <c r="L68" s="731"/>
      <c r="M68" s="730">
        <v>41933429</v>
      </c>
      <c r="N68" s="730">
        <v>1565626</v>
      </c>
      <c r="O68" s="732">
        <f t="shared" si="0"/>
        <v>43499055</v>
      </c>
      <c r="P68" s="731">
        <v>44504810</v>
      </c>
      <c r="Q68" s="731">
        <v>1565626</v>
      </c>
      <c r="R68" s="733">
        <f t="shared" si="8"/>
        <v>46070436</v>
      </c>
      <c r="S68" s="732">
        <f t="shared" si="9"/>
        <v>59806571</v>
      </c>
      <c r="T68" s="733">
        <f t="shared" si="10"/>
        <v>63955895</v>
      </c>
      <c r="U68" s="730"/>
      <c r="V68" s="731"/>
      <c r="W68" s="730"/>
      <c r="X68" s="730"/>
      <c r="Y68" s="732">
        <f t="shared" si="4"/>
        <v>0</v>
      </c>
      <c r="Z68" s="731"/>
      <c r="AA68" s="731"/>
      <c r="AB68" s="733">
        <f t="shared" si="5"/>
        <v>0</v>
      </c>
      <c r="AC68" s="730"/>
      <c r="AD68" s="731"/>
      <c r="AE68" s="730"/>
      <c r="AF68" s="730"/>
      <c r="AG68" s="731"/>
      <c r="AH68" s="731"/>
      <c r="AI68" s="732">
        <f t="shared" si="11"/>
        <v>59806571</v>
      </c>
      <c r="AJ68" s="733">
        <f t="shared" si="12"/>
        <v>63955895</v>
      </c>
    </row>
    <row r="69" spans="1:36">
      <c r="A69" s="821" t="s">
        <v>61</v>
      </c>
      <c r="B69" s="822" t="s">
        <v>69</v>
      </c>
      <c r="C69" s="824" t="s">
        <v>70</v>
      </c>
      <c r="D69" s="823"/>
      <c r="E69" s="693">
        <v>101587</v>
      </c>
      <c r="F69" s="1174">
        <v>4</v>
      </c>
      <c r="G69" s="730"/>
      <c r="H69" s="731"/>
      <c r="I69" s="730">
        <v>500000</v>
      </c>
      <c r="J69" s="731">
        <v>500000</v>
      </c>
      <c r="K69" s="730"/>
      <c r="L69" s="731"/>
      <c r="M69" s="730"/>
      <c r="N69" s="730"/>
      <c r="O69" s="732">
        <f t="shared" si="0"/>
        <v>0</v>
      </c>
      <c r="P69" s="731"/>
      <c r="Q69" s="731"/>
      <c r="R69" s="733">
        <f t="shared" si="8"/>
        <v>0</v>
      </c>
      <c r="S69" s="732">
        <f t="shared" si="9"/>
        <v>500000</v>
      </c>
      <c r="T69" s="733">
        <f t="shared" si="10"/>
        <v>500000</v>
      </c>
      <c r="U69" s="730"/>
      <c r="V69" s="731"/>
      <c r="W69" s="730"/>
      <c r="X69" s="730"/>
      <c r="Y69" s="732">
        <f t="shared" si="4"/>
        <v>0</v>
      </c>
      <c r="Z69" s="731"/>
      <c r="AA69" s="731"/>
      <c r="AB69" s="733">
        <f t="shared" si="5"/>
        <v>0</v>
      </c>
      <c r="AC69" s="730"/>
      <c r="AD69" s="731"/>
      <c r="AE69" s="730"/>
      <c r="AF69" s="730"/>
      <c r="AG69" s="731"/>
      <c r="AH69" s="731"/>
      <c r="AI69" s="732">
        <f t="shared" si="11"/>
        <v>500000</v>
      </c>
      <c r="AJ69" s="733">
        <f t="shared" si="12"/>
        <v>500000</v>
      </c>
    </row>
    <row r="70" spans="1:36" s="13" customFormat="1" ht="12.75" customHeight="1">
      <c r="A70" s="821" t="s">
        <v>61</v>
      </c>
      <c r="B70" s="822" t="s">
        <v>71</v>
      </c>
      <c r="C70" s="824" t="s">
        <v>73</v>
      </c>
      <c r="D70" s="823"/>
      <c r="E70" s="693">
        <v>101587</v>
      </c>
      <c r="F70" s="1175">
        <v>4</v>
      </c>
      <c r="G70" s="730"/>
      <c r="H70" s="731"/>
      <c r="I70" s="730"/>
      <c r="J70" s="731">
        <v>200000</v>
      </c>
      <c r="K70" s="730"/>
      <c r="L70" s="731"/>
      <c r="M70" s="730"/>
      <c r="N70" s="730"/>
      <c r="O70" s="732">
        <f t="shared" si="0"/>
        <v>0</v>
      </c>
      <c r="P70" s="731"/>
      <c r="Q70" s="731"/>
      <c r="R70" s="733">
        <f t="shared" si="8"/>
        <v>0</v>
      </c>
      <c r="S70" s="732">
        <f t="shared" si="9"/>
        <v>0</v>
      </c>
      <c r="T70" s="733">
        <f t="shared" si="10"/>
        <v>200000</v>
      </c>
      <c r="U70" s="730"/>
      <c r="V70" s="731"/>
      <c r="W70" s="730"/>
      <c r="X70" s="730"/>
      <c r="Y70" s="732">
        <f t="shared" si="4"/>
        <v>0</v>
      </c>
      <c r="Z70" s="731"/>
      <c r="AA70" s="731"/>
      <c r="AB70" s="733">
        <f t="shared" si="5"/>
        <v>0</v>
      </c>
      <c r="AC70" s="730"/>
      <c r="AD70" s="731"/>
      <c r="AE70" s="730"/>
      <c r="AF70" s="730"/>
      <c r="AG70" s="731"/>
      <c r="AH70" s="731"/>
      <c r="AI70" s="732">
        <f t="shared" si="11"/>
        <v>0</v>
      </c>
      <c r="AJ70" s="733">
        <f t="shared" si="12"/>
        <v>200000</v>
      </c>
    </row>
    <row r="71" spans="1:36">
      <c r="A71" s="821" t="s">
        <v>61</v>
      </c>
      <c r="B71" s="822" t="s">
        <v>62</v>
      </c>
      <c r="C71" s="826" t="s">
        <v>97</v>
      </c>
      <c r="D71" s="830" t="s">
        <v>1794</v>
      </c>
      <c r="E71" s="693">
        <v>100812</v>
      </c>
      <c r="F71" s="46">
        <v>6</v>
      </c>
      <c r="G71" s="730">
        <v>15042919</v>
      </c>
      <c r="H71" s="731">
        <v>15629039</v>
      </c>
      <c r="I71" s="730"/>
      <c r="J71" s="731"/>
      <c r="K71" s="730"/>
      <c r="L71" s="731"/>
      <c r="M71" s="730">
        <v>18054501</v>
      </c>
      <c r="N71" s="730">
        <v>1700841</v>
      </c>
      <c r="O71" s="732">
        <f t="shared" si="0"/>
        <v>19755342</v>
      </c>
      <c r="P71" s="731">
        <v>18946120</v>
      </c>
      <c r="Q71" s="731">
        <v>1696610</v>
      </c>
      <c r="R71" s="733">
        <f t="shared" si="8"/>
        <v>20642730</v>
      </c>
      <c r="S71" s="732">
        <f t="shared" si="9"/>
        <v>33097420</v>
      </c>
      <c r="T71" s="733">
        <f t="shared" si="10"/>
        <v>34575159</v>
      </c>
      <c r="U71" s="730"/>
      <c r="V71" s="731"/>
      <c r="W71" s="730"/>
      <c r="X71" s="730"/>
      <c r="Y71" s="732">
        <f t="shared" si="4"/>
        <v>0</v>
      </c>
      <c r="Z71" s="731"/>
      <c r="AA71" s="731"/>
      <c r="AB71" s="733">
        <f t="shared" si="5"/>
        <v>0</v>
      </c>
      <c r="AC71" s="730"/>
      <c r="AD71" s="731"/>
      <c r="AE71" s="730"/>
      <c r="AF71" s="730"/>
      <c r="AG71" s="731"/>
      <c r="AH71" s="731"/>
      <c r="AI71" s="732">
        <f t="shared" si="11"/>
        <v>33097420</v>
      </c>
      <c r="AJ71" s="733">
        <f t="shared" si="12"/>
        <v>34575159</v>
      </c>
    </row>
    <row r="72" spans="1:36">
      <c r="A72" s="821" t="s">
        <v>61</v>
      </c>
      <c r="B72" s="822" t="s">
        <v>69</v>
      </c>
      <c r="C72" s="824" t="s">
        <v>70</v>
      </c>
      <c r="D72" s="827"/>
      <c r="E72" s="693">
        <v>100812</v>
      </c>
      <c r="F72" s="46">
        <v>6</v>
      </c>
      <c r="G72" s="730"/>
      <c r="H72" s="731"/>
      <c r="I72" s="730">
        <v>331455</v>
      </c>
      <c r="J72" s="731">
        <v>306455</v>
      </c>
      <c r="K72" s="730"/>
      <c r="L72" s="731"/>
      <c r="M72" s="730"/>
      <c r="N72" s="730"/>
      <c r="O72" s="732">
        <f t="shared" si="0"/>
        <v>0</v>
      </c>
      <c r="P72" s="731"/>
      <c r="Q72" s="731"/>
      <c r="R72" s="733">
        <f t="shared" si="8"/>
        <v>0</v>
      </c>
      <c r="S72" s="732">
        <f t="shared" si="9"/>
        <v>331455</v>
      </c>
      <c r="T72" s="733">
        <f t="shared" si="10"/>
        <v>306455</v>
      </c>
      <c r="U72" s="730"/>
      <c r="V72" s="731"/>
      <c r="W72" s="730"/>
      <c r="X72" s="730"/>
      <c r="Y72" s="732">
        <f t="shared" si="4"/>
        <v>0</v>
      </c>
      <c r="Z72" s="731"/>
      <c r="AA72" s="731"/>
      <c r="AB72" s="733">
        <f t="shared" si="5"/>
        <v>0</v>
      </c>
      <c r="AC72" s="730"/>
      <c r="AD72" s="731"/>
      <c r="AE72" s="730"/>
      <c r="AF72" s="730"/>
      <c r="AG72" s="731"/>
      <c r="AH72" s="731"/>
      <c r="AI72" s="732">
        <f t="shared" si="11"/>
        <v>331455</v>
      </c>
      <c r="AJ72" s="733">
        <f t="shared" si="12"/>
        <v>306455</v>
      </c>
    </row>
    <row r="73" spans="1:36">
      <c r="A73" s="821" t="s">
        <v>61</v>
      </c>
      <c r="B73" s="822" t="s">
        <v>71</v>
      </c>
      <c r="C73" s="824" t="s">
        <v>72</v>
      </c>
      <c r="D73" s="823"/>
      <c r="E73" s="693">
        <v>100812</v>
      </c>
      <c r="F73" s="46">
        <v>6</v>
      </c>
      <c r="G73" s="730"/>
      <c r="H73" s="731"/>
      <c r="I73" s="730"/>
      <c r="J73" s="731"/>
      <c r="K73" s="730"/>
      <c r="L73" s="731"/>
      <c r="M73" s="730"/>
      <c r="N73" s="730"/>
      <c r="O73" s="732">
        <f t="shared" si="0"/>
        <v>0</v>
      </c>
      <c r="P73" s="731"/>
      <c r="Q73" s="731"/>
      <c r="R73" s="733">
        <f t="shared" si="8"/>
        <v>0</v>
      </c>
      <c r="S73" s="732">
        <f t="shared" si="9"/>
        <v>0</v>
      </c>
      <c r="T73" s="733">
        <f t="shared" si="10"/>
        <v>0</v>
      </c>
      <c r="U73" s="730"/>
      <c r="V73" s="731"/>
      <c r="W73" s="730"/>
      <c r="X73" s="730"/>
      <c r="Y73" s="732">
        <f t="shared" si="4"/>
        <v>0</v>
      </c>
      <c r="Z73" s="731"/>
      <c r="AA73" s="731"/>
      <c r="AB73" s="733">
        <f t="shared" si="5"/>
        <v>0</v>
      </c>
      <c r="AC73" s="730"/>
      <c r="AD73" s="731"/>
      <c r="AE73" s="730"/>
      <c r="AF73" s="730"/>
      <c r="AG73" s="731"/>
      <c r="AH73" s="731"/>
      <c r="AI73" s="732">
        <f t="shared" si="11"/>
        <v>0</v>
      </c>
      <c r="AJ73" s="733">
        <f t="shared" si="12"/>
        <v>0</v>
      </c>
    </row>
    <row r="74" spans="1:36">
      <c r="A74" s="821" t="s">
        <v>61</v>
      </c>
      <c r="B74" s="822" t="s">
        <v>71</v>
      </c>
      <c r="C74" s="825" t="s">
        <v>73</v>
      </c>
      <c r="D74" s="823"/>
      <c r="E74" s="693">
        <v>100812</v>
      </c>
      <c r="F74" s="46">
        <v>6</v>
      </c>
      <c r="G74" s="730"/>
      <c r="H74" s="731"/>
      <c r="I74" s="730">
        <v>229004</v>
      </c>
      <c r="J74" s="731">
        <v>229004</v>
      </c>
      <c r="K74" s="730"/>
      <c r="L74" s="731"/>
      <c r="M74" s="730"/>
      <c r="N74" s="730"/>
      <c r="O74" s="732">
        <f t="shared" ref="O74:O137" si="13">SUM(M74:N74)</f>
        <v>0</v>
      </c>
      <c r="P74" s="731"/>
      <c r="Q74" s="731"/>
      <c r="R74" s="733">
        <f t="shared" si="8"/>
        <v>0</v>
      </c>
      <c r="S74" s="732">
        <f t="shared" si="9"/>
        <v>229004</v>
      </c>
      <c r="T74" s="733">
        <f t="shared" si="10"/>
        <v>229004</v>
      </c>
      <c r="U74" s="730"/>
      <c r="V74" s="731"/>
      <c r="W74" s="730"/>
      <c r="X74" s="730"/>
      <c r="Y74" s="732">
        <f t="shared" ref="Y74:Y137" si="14">SUM(W74:X74)</f>
        <v>0</v>
      </c>
      <c r="Z74" s="731"/>
      <c r="AA74" s="731"/>
      <c r="AB74" s="733">
        <f t="shared" ref="AB74:AB137" si="15">SUM(Z74:AA74)</f>
        <v>0</v>
      </c>
      <c r="AC74" s="730"/>
      <c r="AD74" s="731"/>
      <c r="AE74" s="730"/>
      <c r="AF74" s="730"/>
      <c r="AG74" s="731"/>
      <c r="AH74" s="731"/>
      <c r="AI74" s="732">
        <f t="shared" si="11"/>
        <v>229004</v>
      </c>
      <c r="AJ74" s="733">
        <f t="shared" si="12"/>
        <v>229004</v>
      </c>
    </row>
    <row r="75" spans="1:36">
      <c r="A75" s="821" t="s">
        <v>61</v>
      </c>
      <c r="B75" s="822" t="s">
        <v>62</v>
      </c>
      <c r="C75" s="826" t="s">
        <v>98</v>
      </c>
      <c r="D75" s="827"/>
      <c r="E75" s="693">
        <v>101505</v>
      </c>
      <c r="F75" s="46">
        <v>8</v>
      </c>
      <c r="G75" s="730">
        <v>24372672</v>
      </c>
      <c r="H75" s="731">
        <v>24761896</v>
      </c>
      <c r="I75" s="730"/>
      <c r="J75" s="731"/>
      <c r="K75" s="730"/>
      <c r="L75" s="731"/>
      <c r="M75" s="730">
        <v>22936107</v>
      </c>
      <c r="N75" s="730">
        <v>2254688</v>
      </c>
      <c r="O75" s="732">
        <f t="shared" si="13"/>
        <v>25190795</v>
      </c>
      <c r="P75" s="731">
        <v>22413229</v>
      </c>
      <c r="Q75" s="731">
        <v>2777566</v>
      </c>
      <c r="R75" s="733">
        <f t="shared" ref="R75:R138" si="16">SUM(P75:Q75)</f>
        <v>25190795</v>
      </c>
      <c r="S75" s="732">
        <f t="shared" ref="S75:S138" si="17">SUM(G75,I75,K75,M75)</f>
        <v>47308779</v>
      </c>
      <c r="T75" s="733">
        <f t="shared" ref="T75:T138" si="18">SUM(H75,J75,L75,P75)</f>
        <v>47175125</v>
      </c>
      <c r="U75" s="730"/>
      <c r="V75" s="731"/>
      <c r="W75" s="730"/>
      <c r="X75" s="730"/>
      <c r="Y75" s="732">
        <f t="shared" si="14"/>
        <v>0</v>
      </c>
      <c r="Z75" s="731"/>
      <c r="AA75" s="731"/>
      <c r="AB75" s="733">
        <f t="shared" si="15"/>
        <v>0</v>
      </c>
      <c r="AC75" s="730"/>
      <c r="AD75" s="731"/>
      <c r="AE75" s="730"/>
      <c r="AF75" s="730"/>
      <c r="AG75" s="731"/>
      <c r="AH75" s="731"/>
      <c r="AI75" s="732">
        <f t="shared" ref="AI75:AI138" si="19">SUM(S75,U75,W75,AC75,AE75)</f>
        <v>47308779</v>
      </c>
      <c r="AJ75" s="733">
        <f t="shared" ref="AJ75:AJ138" si="20">SUM(T75,V75,Z75,AD75,AG75)</f>
        <v>47175125</v>
      </c>
    </row>
    <row r="76" spans="1:36">
      <c r="A76" s="821" t="s">
        <v>61</v>
      </c>
      <c r="B76" s="822" t="s">
        <v>99</v>
      </c>
      <c r="C76" s="824" t="s">
        <v>100</v>
      </c>
      <c r="D76" s="827"/>
      <c r="E76" s="693">
        <v>101505</v>
      </c>
      <c r="F76" s="46">
        <v>8</v>
      </c>
      <c r="G76" s="730"/>
      <c r="H76" s="731"/>
      <c r="I76" s="730"/>
      <c r="J76" s="731"/>
      <c r="K76" s="730"/>
      <c r="L76" s="731"/>
      <c r="M76" s="730"/>
      <c r="N76" s="730"/>
      <c r="O76" s="732">
        <f t="shared" si="13"/>
        <v>0</v>
      </c>
      <c r="P76" s="731"/>
      <c r="Q76" s="731"/>
      <c r="R76" s="733">
        <f t="shared" si="16"/>
        <v>0</v>
      </c>
      <c r="S76" s="732">
        <f t="shared" si="17"/>
        <v>0</v>
      </c>
      <c r="T76" s="733">
        <f t="shared" si="18"/>
        <v>0</v>
      </c>
      <c r="U76" s="730"/>
      <c r="V76" s="731"/>
      <c r="W76" s="730"/>
      <c r="X76" s="730"/>
      <c r="Y76" s="732">
        <f t="shared" si="14"/>
        <v>0</v>
      </c>
      <c r="Z76" s="731"/>
      <c r="AA76" s="731"/>
      <c r="AB76" s="733">
        <f t="shared" si="15"/>
        <v>0</v>
      </c>
      <c r="AC76" s="730"/>
      <c r="AD76" s="731"/>
      <c r="AE76" s="730"/>
      <c r="AF76" s="730"/>
      <c r="AG76" s="731"/>
      <c r="AH76" s="731"/>
      <c r="AI76" s="732">
        <f t="shared" si="19"/>
        <v>0</v>
      </c>
      <c r="AJ76" s="733">
        <f t="shared" si="20"/>
        <v>0</v>
      </c>
    </row>
    <row r="77" spans="1:36">
      <c r="A77" s="821" t="s">
        <v>61</v>
      </c>
      <c r="B77" s="822" t="s">
        <v>62</v>
      </c>
      <c r="C77" s="826" t="s">
        <v>1048</v>
      </c>
      <c r="D77" s="827"/>
      <c r="E77" s="693">
        <v>101514</v>
      </c>
      <c r="F77" s="46">
        <v>8</v>
      </c>
      <c r="G77" s="730">
        <v>29521651</v>
      </c>
      <c r="H77" s="731">
        <f>28999306+1095936</f>
        <v>30095242</v>
      </c>
      <c r="I77" s="730"/>
      <c r="J77" s="731"/>
      <c r="K77" s="730"/>
      <c r="L77" s="731"/>
      <c r="M77" s="730">
        <v>28852897</v>
      </c>
      <c r="N77" s="730">
        <v>3473239</v>
      </c>
      <c r="O77" s="732">
        <f t="shared" si="13"/>
        <v>32326136</v>
      </c>
      <c r="P77" s="731">
        <v>27975115</v>
      </c>
      <c r="Q77" s="731">
        <v>4351021</v>
      </c>
      <c r="R77" s="733">
        <f t="shared" si="16"/>
        <v>32326136</v>
      </c>
      <c r="S77" s="732">
        <f t="shared" si="17"/>
        <v>58374548</v>
      </c>
      <c r="T77" s="733">
        <f t="shared" si="18"/>
        <v>58070357</v>
      </c>
      <c r="U77" s="730"/>
      <c r="V77" s="731"/>
      <c r="W77" s="730"/>
      <c r="X77" s="730"/>
      <c r="Y77" s="732">
        <f t="shared" si="14"/>
        <v>0</v>
      </c>
      <c r="Z77" s="731"/>
      <c r="AA77" s="731"/>
      <c r="AB77" s="733">
        <f t="shared" si="15"/>
        <v>0</v>
      </c>
      <c r="AC77" s="730"/>
      <c r="AD77" s="731"/>
      <c r="AE77" s="730"/>
      <c r="AF77" s="730"/>
      <c r="AG77" s="731"/>
      <c r="AH77" s="731"/>
      <c r="AI77" s="732">
        <f t="shared" si="19"/>
        <v>58374548</v>
      </c>
      <c r="AJ77" s="733">
        <f t="shared" si="20"/>
        <v>58070357</v>
      </c>
    </row>
    <row r="78" spans="1:36">
      <c r="A78" s="821" t="s">
        <v>61</v>
      </c>
      <c r="B78" s="822" t="s">
        <v>99</v>
      </c>
      <c r="C78" s="824" t="s">
        <v>100</v>
      </c>
      <c r="D78" s="823"/>
      <c r="E78" s="693">
        <v>101514</v>
      </c>
      <c r="F78" s="46">
        <v>8</v>
      </c>
      <c r="G78" s="730"/>
      <c r="H78" s="731"/>
      <c r="I78" s="730"/>
      <c r="J78" s="731"/>
      <c r="K78" s="730"/>
      <c r="L78" s="731"/>
      <c r="M78" s="730"/>
      <c r="N78" s="730"/>
      <c r="O78" s="732">
        <f t="shared" si="13"/>
        <v>0</v>
      </c>
      <c r="P78" s="731"/>
      <c r="Q78" s="731"/>
      <c r="R78" s="733">
        <f t="shared" si="16"/>
        <v>0</v>
      </c>
      <c r="S78" s="732">
        <f t="shared" si="17"/>
        <v>0</v>
      </c>
      <c r="T78" s="733">
        <f t="shared" si="18"/>
        <v>0</v>
      </c>
      <c r="U78" s="730"/>
      <c r="V78" s="731"/>
      <c r="W78" s="730"/>
      <c r="X78" s="730"/>
      <c r="Y78" s="732">
        <f t="shared" si="14"/>
        <v>0</v>
      </c>
      <c r="Z78" s="731"/>
      <c r="AA78" s="731"/>
      <c r="AB78" s="733">
        <f t="shared" si="15"/>
        <v>0</v>
      </c>
      <c r="AC78" s="730"/>
      <c r="AD78" s="731"/>
      <c r="AE78" s="730"/>
      <c r="AF78" s="730"/>
      <c r="AG78" s="731"/>
      <c r="AH78" s="731"/>
      <c r="AI78" s="732">
        <f t="shared" si="19"/>
        <v>0</v>
      </c>
      <c r="AJ78" s="733">
        <f t="shared" si="20"/>
        <v>0</v>
      </c>
    </row>
    <row r="79" spans="1:36">
      <c r="A79" s="821" t="s">
        <v>61</v>
      </c>
      <c r="B79" s="822" t="s">
        <v>62</v>
      </c>
      <c r="C79" s="826" t="s">
        <v>101</v>
      </c>
      <c r="D79" s="827"/>
      <c r="E79" s="693">
        <v>102429</v>
      </c>
      <c r="F79" s="46">
        <v>9</v>
      </c>
      <c r="G79" s="730">
        <v>16800983</v>
      </c>
      <c r="H79" s="731">
        <v>17105208</v>
      </c>
      <c r="I79" s="730"/>
      <c r="J79" s="731"/>
      <c r="K79" s="730">
        <v>245000</v>
      </c>
      <c r="L79" s="731">
        <v>245000</v>
      </c>
      <c r="M79" s="730">
        <v>12718886</v>
      </c>
      <c r="N79" s="730">
        <v>395000</v>
      </c>
      <c r="O79" s="732">
        <f t="shared" si="13"/>
        <v>13113886</v>
      </c>
      <c r="P79" s="731">
        <v>11317379</v>
      </c>
      <c r="Q79" s="731">
        <v>812712</v>
      </c>
      <c r="R79" s="733">
        <f t="shared" si="16"/>
        <v>12130091</v>
      </c>
      <c r="S79" s="732">
        <f t="shared" si="17"/>
        <v>29764869</v>
      </c>
      <c r="T79" s="733">
        <f t="shared" si="18"/>
        <v>28667587</v>
      </c>
      <c r="U79" s="730"/>
      <c r="V79" s="731"/>
      <c r="W79" s="730"/>
      <c r="X79" s="730"/>
      <c r="Y79" s="732">
        <f t="shared" si="14"/>
        <v>0</v>
      </c>
      <c r="Z79" s="731"/>
      <c r="AA79" s="731"/>
      <c r="AB79" s="733">
        <f t="shared" si="15"/>
        <v>0</v>
      </c>
      <c r="AC79" s="730"/>
      <c r="AD79" s="731"/>
      <c r="AE79" s="730"/>
      <c r="AF79" s="730"/>
      <c r="AG79" s="731"/>
      <c r="AH79" s="731"/>
      <c r="AI79" s="732">
        <f t="shared" si="19"/>
        <v>29764869</v>
      </c>
      <c r="AJ79" s="733">
        <f t="shared" si="20"/>
        <v>28667587</v>
      </c>
    </row>
    <row r="80" spans="1:36">
      <c r="A80" s="821" t="s">
        <v>61</v>
      </c>
      <c r="B80" s="822" t="s">
        <v>99</v>
      </c>
      <c r="C80" s="824" t="s">
        <v>100</v>
      </c>
      <c r="D80" s="823"/>
      <c r="E80" s="693">
        <v>102429</v>
      </c>
      <c r="F80" s="46">
        <v>9</v>
      </c>
      <c r="G80" s="730"/>
      <c r="H80" s="731"/>
      <c r="I80" s="730"/>
      <c r="J80" s="731"/>
      <c r="K80" s="730"/>
      <c r="L80" s="731"/>
      <c r="M80" s="730"/>
      <c r="N80" s="730"/>
      <c r="O80" s="732">
        <f t="shared" si="13"/>
        <v>0</v>
      </c>
      <c r="P80" s="731"/>
      <c r="Q80" s="731"/>
      <c r="R80" s="733">
        <f t="shared" si="16"/>
        <v>0</v>
      </c>
      <c r="S80" s="732">
        <f t="shared" si="17"/>
        <v>0</v>
      </c>
      <c r="T80" s="733">
        <f t="shared" si="18"/>
        <v>0</v>
      </c>
      <c r="U80" s="730"/>
      <c r="V80" s="731"/>
      <c r="W80" s="730"/>
      <c r="X80" s="730"/>
      <c r="Y80" s="732">
        <f t="shared" si="14"/>
        <v>0</v>
      </c>
      <c r="Z80" s="731"/>
      <c r="AA80" s="731"/>
      <c r="AB80" s="733">
        <f t="shared" si="15"/>
        <v>0</v>
      </c>
      <c r="AC80" s="730"/>
      <c r="AD80" s="731"/>
      <c r="AE80" s="730"/>
      <c r="AF80" s="730"/>
      <c r="AG80" s="731"/>
      <c r="AH80" s="731"/>
      <c r="AI80" s="732">
        <f t="shared" si="19"/>
        <v>0</v>
      </c>
      <c r="AJ80" s="733">
        <f t="shared" si="20"/>
        <v>0</v>
      </c>
    </row>
    <row r="81" spans="1:36">
      <c r="A81" s="821" t="s">
        <v>61</v>
      </c>
      <c r="B81" s="822" t="s">
        <v>62</v>
      </c>
      <c r="C81" s="826" t="s">
        <v>102</v>
      </c>
      <c r="D81" s="830" t="s">
        <v>1795</v>
      </c>
      <c r="E81" s="693">
        <v>102030</v>
      </c>
      <c r="F81" s="46">
        <v>9</v>
      </c>
      <c r="G81" s="730">
        <v>14755261</v>
      </c>
      <c r="H81" s="731">
        <v>14805172</v>
      </c>
      <c r="I81" s="730"/>
      <c r="J81" s="731"/>
      <c r="K81" s="730"/>
      <c r="L81" s="731"/>
      <c r="M81" s="730">
        <v>9406996</v>
      </c>
      <c r="N81" s="730">
        <v>1297028</v>
      </c>
      <c r="O81" s="732">
        <f t="shared" si="13"/>
        <v>10704024</v>
      </c>
      <c r="P81" s="731">
        <v>10109270</v>
      </c>
      <c r="Q81" s="731">
        <v>594754</v>
      </c>
      <c r="R81" s="733">
        <f t="shared" si="16"/>
        <v>10704024</v>
      </c>
      <c r="S81" s="732">
        <f t="shared" si="17"/>
        <v>24162257</v>
      </c>
      <c r="T81" s="733">
        <f t="shared" si="18"/>
        <v>24914442</v>
      </c>
      <c r="U81" s="730"/>
      <c r="V81" s="731"/>
      <c r="W81" s="730"/>
      <c r="X81" s="730"/>
      <c r="Y81" s="732">
        <f t="shared" si="14"/>
        <v>0</v>
      </c>
      <c r="Z81" s="731"/>
      <c r="AA81" s="731"/>
      <c r="AB81" s="733">
        <f t="shared" si="15"/>
        <v>0</v>
      </c>
      <c r="AC81" s="730"/>
      <c r="AD81" s="731"/>
      <c r="AE81" s="730"/>
      <c r="AF81" s="730"/>
      <c r="AG81" s="731"/>
      <c r="AH81" s="731"/>
      <c r="AI81" s="732">
        <f t="shared" si="19"/>
        <v>24162257</v>
      </c>
      <c r="AJ81" s="733">
        <f t="shared" si="20"/>
        <v>24914442</v>
      </c>
    </row>
    <row r="82" spans="1:36">
      <c r="A82" s="821" t="s">
        <v>61</v>
      </c>
      <c r="B82" s="822" t="s">
        <v>99</v>
      </c>
      <c r="C82" s="824" t="s">
        <v>100</v>
      </c>
      <c r="D82" s="823"/>
      <c r="E82" s="693">
        <v>102030</v>
      </c>
      <c r="F82" s="46">
        <v>9</v>
      </c>
      <c r="G82" s="730"/>
      <c r="H82" s="731"/>
      <c r="I82" s="730"/>
      <c r="J82" s="731"/>
      <c r="K82" s="730"/>
      <c r="L82" s="731"/>
      <c r="M82" s="730"/>
      <c r="N82" s="730"/>
      <c r="O82" s="732">
        <f t="shared" si="13"/>
        <v>0</v>
      </c>
      <c r="P82" s="731"/>
      <c r="Q82" s="731"/>
      <c r="R82" s="733">
        <f t="shared" si="16"/>
        <v>0</v>
      </c>
      <c r="S82" s="732">
        <f t="shared" si="17"/>
        <v>0</v>
      </c>
      <c r="T82" s="733">
        <f t="shared" si="18"/>
        <v>0</v>
      </c>
      <c r="U82" s="730"/>
      <c r="V82" s="731"/>
      <c r="W82" s="730"/>
      <c r="X82" s="730"/>
      <c r="Y82" s="732">
        <f t="shared" si="14"/>
        <v>0</v>
      </c>
      <c r="Z82" s="731"/>
      <c r="AA82" s="731"/>
      <c r="AB82" s="733">
        <f t="shared" si="15"/>
        <v>0</v>
      </c>
      <c r="AC82" s="730"/>
      <c r="AD82" s="731"/>
      <c r="AE82" s="730"/>
      <c r="AF82" s="730"/>
      <c r="AG82" s="731"/>
      <c r="AH82" s="731"/>
      <c r="AI82" s="732">
        <f t="shared" si="19"/>
        <v>0</v>
      </c>
      <c r="AJ82" s="733">
        <f t="shared" si="20"/>
        <v>0</v>
      </c>
    </row>
    <row r="83" spans="1:36">
      <c r="A83" s="821" t="s">
        <v>61</v>
      </c>
      <c r="B83" s="822" t="s">
        <v>62</v>
      </c>
      <c r="C83" s="826" t="s">
        <v>1049</v>
      </c>
      <c r="D83" s="832" t="s">
        <v>1783</v>
      </c>
      <c r="E83" s="833">
        <v>101161</v>
      </c>
      <c r="F83" s="835">
        <v>8</v>
      </c>
      <c r="G83" s="730">
        <v>29204312</v>
      </c>
      <c r="H83" s="731">
        <v>29305010</v>
      </c>
      <c r="I83" s="730"/>
      <c r="J83" s="731"/>
      <c r="K83" s="730">
        <v>1639252</v>
      </c>
      <c r="L83" s="731">
        <v>800000</v>
      </c>
      <c r="M83" s="730">
        <v>23246253</v>
      </c>
      <c r="N83" s="730">
        <v>1735002</v>
      </c>
      <c r="O83" s="732">
        <f t="shared" si="13"/>
        <v>24981255</v>
      </c>
      <c r="P83" s="731">
        <v>22759448</v>
      </c>
      <c r="Q83" s="731">
        <v>2221807</v>
      </c>
      <c r="R83" s="733">
        <f t="shared" si="16"/>
        <v>24981255</v>
      </c>
      <c r="S83" s="732">
        <f t="shared" si="17"/>
        <v>54089817</v>
      </c>
      <c r="T83" s="733">
        <f t="shared" si="18"/>
        <v>52864458</v>
      </c>
      <c r="U83" s="730"/>
      <c r="V83" s="731"/>
      <c r="W83" s="730"/>
      <c r="X83" s="730"/>
      <c r="Y83" s="732">
        <f t="shared" si="14"/>
        <v>0</v>
      </c>
      <c r="Z83" s="731"/>
      <c r="AA83" s="731"/>
      <c r="AB83" s="733">
        <f t="shared" si="15"/>
        <v>0</v>
      </c>
      <c r="AC83" s="730"/>
      <c r="AD83" s="731"/>
      <c r="AE83" s="730"/>
      <c r="AF83" s="730"/>
      <c r="AG83" s="731"/>
      <c r="AH83" s="731"/>
      <c r="AI83" s="732">
        <f t="shared" si="19"/>
        <v>54089817</v>
      </c>
      <c r="AJ83" s="733">
        <f t="shared" si="20"/>
        <v>52864458</v>
      </c>
    </row>
    <row r="84" spans="1:36">
      <c r="A84" s="821" t="s">
        <v>61</v>
      </c>
      <c r="B84" s="822" t="s">
        <v>99</v>
      </c>
      <c r="C84" s="824" t="s">
        <v>100</v>
      </c>
      <c r="D84" s="823"/>
      <c r="E84" s="693">
        <v>101161</v>
      </c>
      <c r="F84" s="1174">
        <v>8</v>
      </c>
      <c r="G84" s="730"/>
      <c r="H84" s="731"/>
      <c r="I84" s="730"/>
      <c r="J84" s="731"/>
      <c r="K84" s="730"/>
      <c r="L84" s="731"/>
      <c r="M84" s="730"/>
      <c r="N84" s="730"/>
      <c r="O84" s="732">
        <f t="shared" si="13"/>
        <v>0</v>
      </c>
      <c r="P84" s="731"/>
      <c r="Q84" s="731"/>
      <c r="R84" s="733">
        <f t="shared" si="16"/>
        <v>0</v>
      </c>
      <c r="S84" s="732">
        <f t="shared" si="17"/>
        <v>0</v>
      </c>
      <c r="T84" s="733">
        <f t="shared" si="18"/>
        <v>0</v>
      </c>
      <c r="U84" s="730"/>
      <c r="V84" s="731"/>
      <c r="W84" s="730"/>
      <c r="X84" s="730"/>
      <c r="Y84" s="732">
        <f t="shared" si="14"/>
        <v>0</v>
      </c>
      <c r="Z84" s="731"/>
      <c r="AA84" s="731"/>
      <c r="AB84" s="733">
        <f t="shared" si="15"/>
        <v>0</v>
      </c>
      <c r="AC84" s="730"/>
      <c r="AD84" s="731"/>
      <c r="AE84" s="730"/>
      <c r="AF84" s="730"/>
      <c r="AG84" s="731"/>
      <c r="AH84" s="731"/>
      <c r="AI84" s="732">
        <f t="shared" si="19"/>
        <v>0</v>
      </c>
      <c r="AJ84" s="733">
        <f t="shared" si="20"/>
        <v>0</v>
      </c>
    </row>
    <row r="85" spans="1:36">
      <c r="A85" s="821" t="s">
        <v>61</v>
      </c>
      <c r="B85" s="822" t="s">
        <v>62</v>
      </c>
      <c r="C85" s="828" t="s">
        <v>104</v>
      </c>
      <c r="D85" s="829"/>
      <c r="E85" s="693">
        <v>101240</v>
      </c>
      <c r="F85" s="46">
        <v>9</v>
      </c>
      <c r="G85" s="730">
        <v>23548567</v>
      </c>
      <c r="H85" s="731">
        <v>23507980</v>
      </c>
      <c r="I85" s="730"/>
      <c r="J85" s="731"/>
      <c r="K85" s="730"/>
      <c r="L85" s="731"/>
      <c r="M85" s="730">
        <v>15705152</v>
      </c>
      <c r="N85" s="730">
        <v>1904848</v>
      </c>
      <c r="O85" s="732">
        <f t="shared" si="13"/>
        <v>17610000</v>
      </c>
      <c r="P85" s="731">
        <v>14951017</v>
      </c>
      <c r="Q85" s="731">
        <v>2658983</v>
      </c>
      <c r="R85" s="733">
        <f t="shared" si="16"/>
        <v>17610000</v>
      </c>
      <c r="S85" s="732">
        <f t="shared" si="17"/>
        <v>39253719</v>
      </c>
      <c r="T85" s="733">
        <f t="shared" si="18"/>
        <v>38458997</v>
      </c>
      <c r="U85" s="730"/>
      <c r="V85" s="731"/>
      <c r="W85" s="730"/>
      <c r="X85" s="730"/>
      <c r="Y85" s="732">
        <f t="shared" si="14"/>
        <v>0</v>
      </c>
      <c r="Z85" s="731"/>
      <c r="AA85" s="731"/>
      <c r="AB85" s="733">
        <f t="shared" si="15"/>
        <v>0</v>
      </c>
      <c r="AC85" s="730"/>
      <c r="AD85" s="731"/>
      <c r="AE85" s="730"/>
      <c r="AF85" s="730"/>
      <c r="AG85" s="731"/>
      <c r="AH85" s="731"/>
      <c r="AI85" s="732">
        <f t="shared" si="19"/>
        <v>39253719</v>
      </c>
      <c r="AJ85" s="733">
        <f t="shared" si="20"/>
        <v>38458997</v>
      </c>
    </row>
    <row r="86" spans="1:36">
      <c r="A86" s="821" t="s">
        <v>61</v>
      </c>
      <c r="B86" s="822" t="s">
        <v>99</v>
      </c>
      <c r="C86" s="824" t="s">
        <v>100</v>
      </c>
      <c r="D86" s="823"/>
      <c r="E86" s="693">
        <v>101240</v>
      </c>
      <c r="F86" s="46">
        <v>9</v>
      </c>
      <c r="G86" s="730"/>
      <c r="H86" s="731"/>
      <c r="I86" s="730"/>
      <c r="J86" s="731"/>
      <c r="K86" s="730"/>
      <c r="L86" s="731"/>
      <c r="M86" s="730"/>
      <c r="N86" s="730"/>
      <c r="O86" s="732">
        <f t="shared" si="13"/>
        <v>0</v>
      </c>
      <c r="P86" s="731"/>
      <c r="Q86" s="731"/>
      <c r="R86" s="733">
        <f t="shared" si="16"/>
        <v>0</v>
      </c>
      <c r="S86" s="732">
        <f t="shared" si="17"/>
        <v>0</v>
      </c>
      <c r="T86" s="733">
        <f t="shared" si="18"/>
        <v>0</v>
      </c>
      <c r="U86" s="730"/>
      <c r="V86" s="731"/>
      <c r="W86" s="730"/>
      <c r="X86" s="730"/>
      <c r="Y86" s="732">
        <f t="shared" si="14"/>
        <v>0</v>
      </c>
      <c r="Z86" s="731"/>
      <c r="AA86" s="731"/>
      <c r="AB86" s="733">
        <f t="shared" si="15"/>
        <v>0</v>
      </c>
      <c r="AC86" s="730"/>
      <c r="AD86" s="731"/>
      <c r="AE86" s="730"/>
      <c r="AF86" s="730"/>
      <c r="AG86" s="731"/>
      <c r="AH86" s="731"/>
      <c r="AI86" s="732">
        <f t="shared" si="19"/>
        <v>0</v>
      </c>
      <c r="AJ86" s="733">
        <f t="shared" si="20"/>
        <v>0</v>
      </c>
    </row>
    <row r="87" spans="1:36">
      <c r="A87" s="821" t="s">
        <v>61</v>
      </c>
      <c r="B87" s="822" t="s">
        <v>62</v>
      </c>
      <c r="C87" s="826" t="s">
        <v>105</v>
      </c>
      <c r="D87" s="827"/>
      <c r="E87" s="693">
        <v>101286</v>
      </c>
      <c r="F87" s="46">
        <v>9</v>
      </c>
      <c r="G87" s="730">
        <v>17526266</v>
      </c>
      <c r="H87" s="731">
        <v>17719093</v>
      </c>
      <c r="I87" s="730"/>
      <c r="J87" s="731"/>
      <c r="K87" s="730"/>
      <c r="L87" s="731"/>
      <c r="M87" s="730">
        <v>14212000</v>
      </c>
      <c r="N87" s="730">
        <v>631000</v>
      </c>
      <c r="O87" s="732">
        <f t="shared" si="13"/>
        <v>14843000</v>
      </c>
      <c r="P87" s="731">
        <v>14030521</v>
      </c>
      <c r="Q87" s="731">
        <v>812479</v>
      </c>
      <c r="R87" s="733">
        <f t="shared" si="16"/>
        <v>14843000</v>
      </c>
      <c r="S87" s="732">
        <f t="shared" si="17"/>
        <v>31738266</v>
      </c>
      <c r="T87" s="733">
        <f t="shared" si="18"/>
        <v>31749614</v>
      </c>
      <c r="U87" s="730"/>
      <c r="V87" s="731"/>
      <c r="W87" s="730"/>
      <c r="X87" s="730"/>
      <c r="Y87" s="732">
        <f t="shared" si="14"/>
        <v>0</v>
      </c>
      <c r="Z87" s="731"/>
      <c r="AA87" s="731"/>
      <c r="AB87" s="733">
        <f t="shared" si="15"/>
        <v>0</v>
      </c>
      <c r="AC87" s="730"/>
      <c r="AD87" s="731"/>
      <c r="AE87" s="730"/>
      <c r="AF87" s="730"/>
      <c r="AG87" s="731"/>
      <c r="AH87" s="731"/>
      <c r="AI87" s="732">
        <f t="shared" si="19"/>
        <v>31738266</v>
      </c>
      <c r="AJ87" s="733">
        <f t="shared" si="20"/>
        <v>31749614</v>
      </c>
    </row>
    <row r="88" spans="1:36">
      <c r="A88" s="821" t="s">
        <v>61</v>
      </c>
      <c r="B88" s="822" t="s">
        <v>99</v>
      </c>
      <c r="C88" s="824" t="s">
        <v>100</v>
      </c>
      <c r="D88" s="823"/>
      <c r="E88" s="693">
        <v>101286</v>
      </c>
      <c r="F88" s="46">
        <v>9</v>
      </c>
      <c r="G88" s="730"/>
      <c r="H88" s="731"/>
      <c r="I88" s="730"/>
      <c r="J88" s="731"/>
      <c r="K88" s="730"/>
      <c r="L88" s="731"/>
      <c r="M88" s="730"/>
      <c r="N88" s="730"/>
      <c r="O88" s="732">
        <f t="shared" si="13"/>
        <v>0</v>
      </c>
      <c r="P88" s="731"/>
      <c r="Q88" s="731"/>
      <c r="R88" s="733">
        <f t="shared" si="16"/>
        <v>0</v>
      </c>
      <c r="S88" s="732">
        <f t="shared" si="17"/>
        <v>0</v>
      </c>
      <c r="T88" s="733">
        <f t="shared" si="18"/>
        <v>0</v>
      </c>
      <c r="U88" s="730"/>
      <c r="V88" s="731"/>
      <c r="W88" s="730"/>
      <c r="X88" s="730"/>
      <c r="Y88" s="732">
        <f t="shared" si="14"/>
        <v>0</v>
      </c>
      <c r="Z88" s="731"/>
      <c r="AA88" s="731"/>
      <c r="AB88" s="733">
        <f t="shared" si="15"/>
        <v>0</v>
      </c>
      <c r="AC88" s="730"/>
      <c r="AD88" s="731"/>
      <c r="AE88" s="730"/>
      <c r="AF88" s="730"/>
      <c r="AG88" s="731"/>
      <c r="AH88" s="731"/>
      <c r="AI88" s="732">
        <f t="shared" si="19"/>
        <v>0</v>
      </c>
      <c r="AJ88" s="733">
        <f t="shared" si="20"/>
        <v>0</v>
      </c>
    </row>
    <row r="89" spans="1:36">
      <c r="A89" s="821" t="s">
        <v>61</v>
      </c>
      <c r="B89" s="822" t="s">
        <v>62</v>
      </c>
      <c r="C89" s="826" t="s">
        <v>106</v>
      </c>
      <c r="D89" s="827"/>
      <c r="E89" s="693">
        <v>101569</v>
      </c>
      <c r="F89" s="46">
        <v>9</v>
      </c>
      <c r="G89" s="730">
        <v>14867915</v>
      </c>
      <c r="H89" s="731">
        <v>15044873</v>
      </c>
      <c r="I89" s="730"/>
      <c r="J89" s="731"/>
      <c r="K89" s="730">
        <v>115000</v>
      </c>
      <c r="L89" s="731"/>
      <c r="M89" s="730">
        <v>11721598</v>
      </c>
      <c r="N89" s="730">
        <v>225000</v>
      </c>
      <c r="O89" s="732">
        <f t="shared" si="13"/>
        <v>11946598</v>
      </c>
      <c r="P89" s="731">
        <v>10046598</v>
      </c>
      <c r="Q89" s="731">
        <v>1900000</v>
      </c>
      <c r="R89" s="733">
        <f t="shared" si="16"/>
        <v>11946598</v>
      </c>
      <c r="S89" s="732">
        <f t="shared" si="17"/>
        <v>26704513</v>
      </c>
      <c r="T89" s="733">
        <f t="shared" si="18"/>
        <v>25091471</v>
      </c>
      <c r="U89" s="730"/>
      <c r="V89" s="731"/>
      <c r="W89" s="730"/>
      <c r="X89" s="730"/>
      <c r="Y89" s="732">
        <f t="shared" si="14"/>
        <v>0</v>
      </c>
      <c r="Z89" s="731"/>
      <c r="AA89" s="731"/>
      <c r="AB89" s="733">
        <f t="shared" si="15"/>
        <v>0</v>
      </c>
      <c r="AC89" s="730"/>
      <c r="AD89" s="731"/>
      <c r="AE89" s="730"/>
      <c r="AF89" s="730"/>
      <c r="AG89" s="731"/>
      <c r="AH89" s="731"/>
      <c r="AI89" s="732">
        <f t="shared" si="19"/>
        <v>26704513</v>
      </c>
      <c r="AJ89" s="733">
        <f t="shared" si="20"/>
        <v>25091471</v>
      </c>
    </row>
    <row r="90" spans="1:36">
      <c r="A90" s="821" t="s">
        <v>61</v>
      </c>
      <c r="B90" s="822" t="s">
        <v>99</v>
      </c>
      <c r="C90" s="824" t="s">
        <v>100</v>
      </c>
      <c r="D90" s="823"/>
      <c r="E90" s="693">
        <v>101569</v>
      </c>
      <c r="F90" s="46">
        <v>9</v>
      </c>
      <c r="G90" s="730"/>
      <c r="H90" s="731"/>
      <c r="I90" s="730"/>
      <c r="J90" s="731"/>
      <c r="K90" s="730"/>
      <c r="L90" s="731"/>
      <c r="M90" s="730"/>
      <c r="N90" s="730"/>
      <c r="O90" s="732">
        <f t="shared" si="13"/>
        <v>0</v>
      </c>
      <c r="P90" s="731"/>
      <c r="Q90" s="731"/>
      <c r="R90" s="733">
        <f t="shared" si="16"/>
        <v>0</v>
      </c>
      <c r="S90" s="732">
        <f t="shared" si="17"/>
        <v>0</v>
      </c>
      <c r="T90" s="733">
        <f t="shared" si="18"/>
        <v>0</v>
      </c>
      <c r="U90" s="730"/>
      <c r="V90" s="731"/>
      <c r="W90" s="730"/>
      <c r="X90" s="730"/>
      <c r="Y90" s="732">
        <f t="shared" si="14"/>
        <v>0</v>
      </c>
      <c r="Z90" s="731"/>
      <c r="AA90" s="731"/>
      <c r="AB90" s="733">
        <f t="shared" si="15"/>
        <v>0</v>
      </c>
      <c r="AC90" s="730"/>
      <c r="AD90" s="731"/>
      <c r="AE90" s="730"/>
      <c r="AF90" s="730"/>
      <c r="AG90" s="731"/>
      <c r="AH90" s="731"/>
      <c r="AI90" s="732">
        <f t="shared" si="19"/>
        <v>0</v>
      </c>
      <c r="AJ90" s="733">
        <f t="shared" si="20"/>
        <v>0</v>
      </c>
    </row>
    <row r="91" spans="1:36">
      <c r="A91" s="821" t="s">
        <v>61</v>
      </c>
      <c r="B91" s="822" t="s">
        <v>62</v>
      </c>
      <c r="C91" s="826" t="s">
        <v>107</v>
      </c>
      <c r="D91" s="827"/>
      <c r="E91" s="693">
        <v>101736</v>
      </c>
      <c r="F91" s="46">
        <v>9</v>
      </c>
      <c r="G91" s="730">
        <v>13711972</v>
      </c>
      <c r="H91" s="731">
        <v>13496783</v>
      </c>
      <c r="I91" s="730"/>
      <c r="J91" s="731"/>
      <c r="K91" s="730"/>
      <c r="L91" s="731"/>
      <c r="M91" s="730">
        <v>10062893</v>
      </c>
      <c r="N91" s="730">
        <v>392167</v>
      </c>
      <c r="O91" s="732">
        <f t="shared" si="13"/>
        <v>10455060</v>
      </c>
      <c r="P91" s="731">
        <v>9920244</v>
      </c>
      <c r="Q91" s="731">
        <v>534816</v>
      </c>
      <c r="R91" s="733">
        <f t="shared" si="16"/>
        <v>10455060</v>
      </c>
      <c r="S91" s="732">
        <f t="shared" si="17"/>
        <v>23774865</v>
      </c>
      <c r="T91" s="733">
        <f t="shared" si="18"/>
        <v>23417027</v>
      </c>
      <c r="U91" s="730"/>
      <c r="V91" s="731"/>
      <c r="W91" s="730"/>
      <c r="X91" s="730"/>
      <c r="Y91" s="732">
        <f t="shared" si="14"/>
        <v>0</v>
      </c>
      <c r="Z91" s="731"/>
      <c r="AA91" s="731"/>
      <c r="AB91" s="733">
        <f t="shared" si="15"/>
        <v>0</v>
      </c>
      <c r="AC91" s="730"/>
      <c r="AD91" s="731"/>
      <c r="AE91" s="730"/>
      <c r="AF91" s="730"/>
      <c r="AG91" s="731"/>
      <c r="AH91" s="731"/>
      <c r="AI91" s="732">
        <f t="shared" si="19"/>
        <v>23774865</v>
      </c>
      <c r="AJ91" s="733">
        <f t="shared" si="20"/>
        <v>23417027</v>
      </c>
    </row>
    <row r="92" spans="1:36">
      <c r="A92" s="821" t="s">
        <v>61</v>
      </c>
      <c r="B92" s="822" t="s">
        <v>99</v>
      </c>
      <c r="C92" s="824" t="s">
        <v>100</v>
      </c>
      <c r="D92" s="823"/>
      <c r="E92" s="693">
        <v>101736</v>
      </c>
      <c r="F92" s="46">
        <v>9</v>
      </c>
      <c r="G92" s="730"/>
      <c r="H92" s="731"/>
      <c r="I92" s="730"/>
      <c r="J92" s="731"/>
      <c r="K92" s="730"/>
      <c r="L92" s="731"/>
      <c r="M92" s="730"/>
      <c r="N92" s="730"/>
      <c r="O92" s="732">
        <f t="shared" si="13"/>
        <v>0</v>
      </c>
      <c r="P92" s="731"/>
      <c r="Q92" s="731"/>
      <c r="R92" s="733">
        <f t="shared" si="16"/>
        <v>0</v>
      </c>
      <c r="S92" s="732">
        <f t="shared" si="17"/>
        <v>0</v>
      </c>
      <c r="T92" s="733">
        <f t="shared" si="18"/>
        <v>0</v>
      </c>
      <c r="U92" s="730"/>
      <c r="V92" s="731"/>
      <c r="W92" s="730"/>
      <c r="X92" s="730"/>
      <c r="Y92" s="732">
        <f t="shared" si="14"/>
        <v>0</v>
      </c>
      <c r="Z92" s="731"/>
      <c r="AA92" s="731"/>
      <c r="AB92" s="733">
        <f t="shared" si="15"/>
        <v>0</v>
      </c>
      <c r="AC92" s="730"/>
      <c r="AD92" s="731"/>
      <c r="AE92" s="730"/>
      <c r="AF92" s="730"/>
      <c r="AG92" s="731"/>
      <c r="AH92" s="731"/>
      <c r="AI92" s="732">
        <f t="shared" si="19"/>
        <v>0</v>
      </c>
      <c r="AJ92" s="733">
        <f t="shared" si="20"/>
        <v>0</v>
      </c>
    </row>
    <row r="93" spans="1:36">
      <c r="A93" s="821" t="s">
        <v>61</v>
      </c>
      <c r="B93" s="822" t="s">
        <v>62</v>
      </c>
      <c r="C93" s="828" t="s">
        <v>108</v>
      </c>
      <c r="D93" s="830"/>
      <c r="E93" s="693">
        <v>102067</v>
      </c>
      <c r="F93" s="46">
        <v>9</v>
      </c>
      <c r="G93" s="730">
        <v>19372857</v>
      </c>
      <c r="H93" s="731">
        <v>19316473</v>
      </c>
      <c r="I93" s="730"/>
      <c r="J93" s="731"/>
      <c r="K93" s="730"/>
      <c r="L93" s="731"/>
      <c r="M93" s="730">
        <v>15082736</v>
      </c>
      <c r="N93" s="730">
        <v>0</v>
      </c>
      <c r="O93" s="732">
        <f t="shared" si="13"/>
        <v>15082736</v>
      </c>
      <c r="P93" s="731">
        <v>15082736</v>
      </c>
      <c r="Q93" s="731">
        <v>0</v>
      </c>
      <c r="R93" s="733">
        <f t="shared" si="16"/>
        <v>15082736</v>
      </c>
      <c r="S93" s="732">
        <f t="shared" si="17"/>
        <v>34455593</v>
      </c>
      <c r="T93" s="733">
        <f t="shared" si="18"/>
        <v>34399209</v>
      </c>
      <c r="U93" s="730"/>
      <c r="V93" s="731"/>
      <c r="W93" s="730"/>
      <c r="X93" s="730"/>
      <c r="Y93" s="732">
        <f t="shared" si="14"/>
        <v>0</v>
      </c>
      <c r="Z93" s="731"/>
      <c r="AA93" s="731"/>
      <c r="AB93" s="733">
        <f t="shared" si="15"/>
        <v>0</v>
      </c>
      <c r="AC93" s="730"/>
      <c r="AD93" s="731"/>
      <c r="AE93" s="730"/>
      <c r="AF93" s="730"/>
      <c r="AG93" s="731"/>
      <c r="AH93" s="731"/>
      <c r="AI93" s="732">
        <f t="shared" si="19"/>
        <v>34455593</v>
      </c>
      <c r="AJ93" s="733">
        <f t="shared" si="20"/>
        <v>34399209</v>
      </c>
    </row>
    <row r="94" spans="1:36">
      <c r="A94" s="821" t="s">
        <v>61</v>
      </c>
      <c r="B94" s="822" t="s">
        <v>99</v>
      </c>
      <c r="C94" s="824" t="s">
        <v>100</v>
      </c>
      <c r="D94" s="823"/>
      <c r="E94" s="693">
        <v>102067</v>
      </c>
      <c r="F94" s="46">
        <v>9</v>
      </c>
      <c r="G94" s="730"/>
      <c r="H94" s="731"/>
      <c r="I94" s="730"/>
      <c r="J94" s="731"/>
      <c r="K94" s="730"/>
      <c r="L94" s="731"/>
      <c r="M94" s="730"/>
      <c r="N94" s="730"/>
      <c r="O94" s="732">
        <f t="shared" si="13"/>
        <v>0</v>
      </c>
      <c r="P94" s="731"/>
      <c r="Q94" s="731"/>
      <c r="R94" s="733">
        <f t="shared" si="16"/>
        <v>0</v>
      </c>
      <c r="S94" s="732">
        <f t="shared" si="17"/>
        <v>0</v>
      </c>
      <c r="T94" s="733">
        <f t="shared" si="18"/>
        <v>0</v>
      </c>
      <c r="U94" s="730"/>
      <c r="V94" s="731"/>
      <c r="W94" s="730"/>
      <c r="X94" s="730"/>
      <c r="Y94" s="732">
        <f t="shared" si="14"/>
        <v>0</v>
      </c>
      <c r="Z94" s="731"/>
      <c r="AA94" s="731"/>
      <c r="AB94" s="733">
        <f t="shared" si="15"/>
        <v>0</v>
      </c>
      <c r="AC94" s="730"/>
      <c r="AD94" s="731"/>
      <c r="AE94" s="730"/>
      <c r="AF94" s="730"/>
      <c r="AG94" s="731"/>
      <c r="AH94" s="731"/>
      <c r="AI94" s="732">
        <f t="shared" si="19"/>
        <v>0</v>
      </c>
      <c r="AJ94" s="733">
        <f t="shared" si="20"/>
        <v>0</v>
      </c>
    </row>
    <row r="95" spans="1:36">
      <c r="A95" s="821" t="s">
        <v>61</v>
      </c>
      <c r="B95" s="822" t="s">
        <v>62</v>
      </c>
      <c r="C95" s="826" t="s">
        <v>109</v>
      </c>
      <c r="D95" s="827"/>
      <c r="E95" s="693">
        <v>251260</v>
      </c>
      <c r="F95" s="46">
        <v>9</v>
      </c>
      <c r="G95" s="730">
        <v>17247291</v>
      </c>
      <c r="H95" s="731">
        <v>17703502</v>
      </c>
      <c r="I95" s="730"/>
      <c r="J95" s="731"/>
      <c r="K95" s="730"/>
      <c r="L95" s="731"/>
      <c r="M95" s="730">
        <v>15660495</v>
      </c>
      <c r="N95" s="730">
        <v>1922203</v>
      </c>
      <c r="O95" s="732">
        <f t="shared" si="13"/>
        <v>17582698</v>
      </c>
      <c r="P95" s="731">
        <v>14778324</v>
      </c>
      <c r="Q95" s="731">
        <v>2804375</v>
      </c>
      <c r="R95" s="733">
        <f t="shared" si="16"/>
        <v>17582699</v>
      </c>
      <c r="S95" s="732">
        <f t="shared" si="17"/>
        <v>32907786</v>
      </c>
      <c r="T95" s="733">
        <f t="shared" si="18"/>
        <v>32481826</v>
      </c>
      <c r="U95" s="730"/>
      <c r="V95" s="731"/>
      <c r="W95" s="730"/>
      <c r="X95" s="730"/>
      <c r="Y95" s="732">
        <f t="shared" si="14"/>
        <v>0</v>
      </c>
      <c r="Z95" s="731"/>
      <c r="AA95" s="731"/>
      <c r="AB95" s="733">
        <f t="shared" si="15"/>
        <v>0</v>
      </c>
      <c r="AC95" s="730"/>
      <c r="AD95" s="731"/>
      <c r="AE95" s="730"/>
      <c r="AF95" s="730"/>
      <c r="AG95" s="731"/>
      <c r="AH95" s="731"/>
      <c r="AI95" s="732">
        <f t="shared" si="19"/>
        <v>32907786</v>
      </c>
      <c r="AJ95" s="733">
        <f t="shared" si="20"/>
        <v>32481826</v>
      </c>
    </row>
    <row r="96" spans="1:36">
      <c r="A96" s="821" t="s">
        <v>61</v>
      </c>
      <c r="B96" s="822" t="s">
        <v>99</v>
      </c>
      <c r="C96" s="824" t="s">
        <v>100</v>
      </c>
      <c r="D96" s="823"/>
      <c r="E96" s="693">
        <v>251260</v>
      </c>
      <c r="F96" s="46">
        <v>9</v>
      </c>
      <c r="G96" s="730"/>
      <c r="H96" s="731"/>
      <c r="I96" s="730"/>
      <c r="J96" s="731"/>
      <c r="K96" s="730"/>
      <c r="L96" s="731"/>
      <c r="M96" s="730"/>
      <c r="N96" s="730"/>
      <c r="O96" s="732">
        <f t="shared" si="13"/>
        <v>0</v>
      </c>
      <c r="P96" s="731"/>
      <c r="Q96" s="731"/>
      <c r="R96" s="733">
        <f t="shared" si="16"/>
        <v>0</v>
      </c>
      <c r="S96" s="732">
        <f t="shared" si="17"/>
        <v>0</v>
      </c>
      <c r="T96" s="733">
        <f t="shared" si="18"/>
        <v>0</v>
      </c>
      <c r="U96" s="730"/>
      <c r="V96" s="731"/>
      <c r="W96" s="730"/>
      <c r="X96" s="730"/>
      <c r="Y96" s="732">
        <f t="shared" si="14"/>
        <v>0</v>
      </c>
      <c r="Z96" s="731"/>
      <c r="AA96" s="731"/>
      <c r="AB96" s="733">
        <f t="shared" si="15"/>
        <v>0</v>
      </c>
      <c r="AC96" s="730"/>
      <c r="AD96" s="731"/>
      <c r="AE96" s="730"/>
      <c r="AF96" s="730"/>
      <c r="AG96" s="731"/>
      <c r="AH96" s="731"/>
      <c r="AI96" s="732">
        <f t="shared" si="19"/>
        <v>0</v>
      </c>
      <c r="AJ96" s="733">
        <f t="shared" si="20"/>
        <v>0</v>
      </c>
    </row>
    <row r="97" spans="1:36">
      <c r="A97" s="821" t="s">
        <v>61</v>
      </c>
      <c r="B97" s="822" t="s">
        <v>62</v>
      </c>
      <c r="C97" s="826" t="s">
        <v>1050</v>
      </c>
      <c r="D97" s="829"/>
      <c r="E97" s="693">
        <v>101295</v>
      </c>
      <c r="F97" s="46">
        <v>9</v>
      </c>
      <c r="G97" s="730">
        <v>20244045</v>
      </c>
      <c r="H97" s="731">
        <v>20685901</v>
      </c>
      <c r="I97" s="730"/>
      <c r="J97" s="731"/>
      <c r="K97" s="730"/>
      <c r="L97" s="731"/>
      <c r="M97" s="730">
        <v>16814963</v>
      </c>
      <c r="N97" s="730">
        <v>2229000</v>
      </c>
      <c r="O97" s="732">
        <f t="shared" si="13"/>
        <v>19043963</v>
      </c>
      <c r="P97" s="731">
        <v>15799815</v>
      </c>
      <c r="Q97" s="731">
        <v>3244148</v>
      </c>
      <c r="R97" s="733">
        <f t="shared" si="16"/>
        <v>19043963</v>
      </c>
      <c r="S97" s="732">
        <f t="shared" si="17"/>
        <v>37059008</v>
      </c>
      <c r="T97" s="733">
        <f t="shared" si="18"/>
        <v>36485716</v>
      </c>
      <c r="U97" s="730"/>
      <c r="V97" s="731"/>
      <c r="W97" s="730"/>
      <c r="X97" s="730"/>
      <c r="Y97" s="732">
        <f t="shared" si="14"/>
        <v>0</v>
      </c>
      <c r="Z97" s="731"/>
      <c r="AA97" s="731"/>
      <c r="AB97" s="733">
        <f t="shared" si="15"/>
        <v>0</v>
      </c>
      <c r="AC97" s="730"/>
      <c r="AD97" s="731"/>
      <c r="AE97" s="730"/>
      <c r="AF97" s="730"/>
      <c r="AG97" s="731"/>
      <c r="AH97" s="731"/>
      <c r="AI97" s="732">
        <f t="shared" si="19"/>
        <v>37059008</v>
      </c>
      <c r="AJ97" s="733">
        <f t="shared" si="20"/>
        <v>36485716</v>
      </c>
    </row>
    <row r="98" spans="1:36">
      <c r="A98" s="821" t="s">
        <v>61</v>
      </c>
      <c r="B98" s="822" t="s">
        <v>99</v>
      </c>
      <c r="C98" s="824" t="s">
        <v>100</v>
      </c>
      <c r="D98" s="823"/>
      <c r="E98" s="693">
        <v>101295</v>
      </c>
      <c r="F98" s="46">
        <v>9</v>
      </c>
      <c r="G98" s="730"/>
      <c r="H98" s="731"/>
      <c r="I98" s="730"/>
      <c r="J98" s="731"/>
      <c r="K98" s="730"/>
      <c r="L98" s="731"/>
      <c r="M98" s="730"/>
      <c r="N98" s="730"/>
      <c r="O98" s="732">
        <f t="shared" si="13"/>
        <v>0</v>
      </c>
      <c r="P98" s="731"/>
      <c r="Q98" s="731"/>
      <c r="R98" s="733">
        <f t="shared" si="16"/>
        <v>0</v>
      </c>
      <c r="S98" s="732">
        <f t="shared" si="17"/>
        <v>0</v>
      </c>
      <c r="T98" s="733">
        <f t="shared" si="18"/>
        <v>0</v>
      </c>
      <c r="U98" s="730"/>
      <c r="V98" s="731"/>
      <c r="W98" s="730"/>
      <c r="X98" s="730"/>
      <c r="Y98" s="732">
        <f t="shared" si="14"/>
        <v>0</v>
      </c>
      <c r="Z98" s="731"/>
      <c r="AA98" s="731"/>
      <c r="AB98" s="733">
        <f t="shared" si="15"/>
        <v>0</v>
      </c>
      <c r="AC98" s="730"/>
      <c r="AD98" s="731"/>
      <c r="AE98" s="730"/>
      <c r="AF98" s="730"/>
      <c r="AG98" s="731"/>
      <c r="AH98" s="731"/>
      <c r="AI98" s="732">
        <f t="shared" si="19"/>
        <v>0</v>
      </c>
      <c r="AJ98" s="733">
        <f t="shared" si="20"/>
        <v>0</v>
      </c>
    </row>
    <row r="99" spans="1:36">
      <c r="A99" s="821" t="s">
        <v>61</v>
      </c>
      <c r="B99" s="822" t="s">
        <v>62</v>
      </c>
      <c r="C99" s="822" t="s">
        <v>103</v>
      </c>
      <c r="D99" s="829"/>
      <c r="E99" s="693">
        <v>101143</v>
      </c>
      <c r="F99" s="46">
        <v>10</v>
      </c>
      <c r="G99" s="730">
        <v>10232779</v>
      </c>
      <c r="H99" s="731">
        <v>10064653</v>
      </c>
      <c r="I99" s="730"/>
      <c r="J99" s="731"/>
      <c r="K99" s="730"/>
      <c r="L99" s="731"/>
      <c r="M99" s="730">
        <v>6762661</v>
      </c>
      <c r="N99" s="730">
        <v>145000</v>
      </c>
      <c r="O99" s="732">
        <f t="shared" si="13"/>
        <v>6907661</v>
      </c>
      <c r="P99" s="731">
        <v>6531848</v>
      </c>
      <c r="Q99" s="731">
        <v>375813</v>
      </c>
      <c r="R99" s="733">
        <f t="shared" si="16"/>
        <v>6907661</v>
      </c>
      <c r="S99" s="732">
        <f t="shared" si="17"/>
        <v>16995440</v>
      </c>
      <c r="T99" s="733">
        <f t="shared" si="18"/>
        <v>16596501</v>
      </c>
      <c r="U99" s="730"/>
      <c r="V99" s="731"/>
      <c r="W99" s="730"/>
      <c r="X99" s="730"/>
      <c r="Y99" s="732">
        <f t="shared" si="14"/>
        <v>0</v>
      </c>
      <c r="Z99" s="731"/>
      <c r="AA99" s="731"/>
      <c r="AB99" s="733">
        <f t="shared" si="15"/>
        <v>0</v>
      </c>
      <c r="AC99" s="730"/>
      <c r="AD99" s="731"/>
      <c r="AE99" s="730"/>
      <c r="AF99" s="730"/>
      <c r="AG99" s="731"/>
      <c r="AH99" s="731"/>
      <c r="AI99" s="732">
        <f t="shared" si="19"/>
        <v>16995440</v>
      </c>
      <c r="AJ99" s="733">
        <f t="shared" si="20"/>
        <v>16596501</v>
      </c>
    </row>
    <row r="100" spans="1:36">
      <c r="A100" s="821" t="s">
        <v>61</v>
      </c>
      <c r="B100" s="822" t="s">
        <v>99</v>
      </c>
      <c r="C100" s="824" t="s">
        <v>100</v>
      </c>
      <c r="D100" s="823"/>
      <c r="E100" s="693">
        <v>101143</v>
      </c>
      <c r="F100" s="46">
        <v>10</v>
      </c>
      <c r="G100" s="730"/>
      <c r="H100" s="731"/>
      <c r="I100" s="730"/>
      <c r="J100" s="731"/>
      <c r="K100" s="730"/>
      <c r="L100" s="731"/>
      <c r="M100" s="730"/>
      <c r="N100" s="730"/>
      <c r="O100" s="732">
        <f t="shared" si="13"/>
        <v>0</v>
      </c>
      <c r="P100" s="731"/>
      <c r="Q100" s="731"/>
      <c r="R100" s="733">
        <f t="shared" si="16"/>
        <v>0</v>
      </c>
      <c r="S100" s="732">
        <f t="shared" si="17"/>
        <v>0</v>
      </c>
      <c r="T100" s="733">
        <f t="shared" si="18"/>
        <v>0</v>
      </c>
      <c r="U100" s="730"/>
      <c r="V100" s="731"/>
      <c r="W100" s="730"/>
      <c r="X100" s="730"/>
      <c r="Y100" s="732">
        <f t="shared" si="14"/>
        <v>0</v>
      </c>
      <c r="Z100" s="731"/>
      <c r="AA100" s="731"/>
      <c r="AB100" s="733">
        <f t="shared" si="15"/>
        <v>0</v>
      </c>
      <c r="AC100" s="730"/>
      <c r="AD100" s="731"/>
      <c r="AE100" s="730"/>
      <c r="AF100" s="730"/>
      <c r="AG100" s="731"/>
      <c r="AH100" s="731"/>
      <c r="AI100" s="732">
        <f t="shared" si="19"/>
        <v>0</v>
      </c>
      <c r="AJ100" s="733">
        <f t="shared" si="20"/>
        <v>0</v>
      </c>
    </row>
    <row r="101" spans="1:36">
      <c r="A101" s="821" t="s">
        <v>61</v>
      </c>
      <c r="B101" s="822" t="s">
        <v>62</v>
      </c>
      <c r="C101" s="828" t="s">
        <v>110</v>
      </c>
      <c r="D101" s="829"/>
      <c r="E101" s="693">
        <v>100760</v>
      </c>
      <c r="F101" s="46">
        <v>10</v>
      </c>
      <c r="G101" s="730">
        <v>9151960</v>
      </c>
      <c r="H101" s="731">
        <f>8888864+240790</f>
        <v>9129654</v>
      </c>
      <c r="I101" s="730"/>
      <c r="J101" s="731"/>
      <c r="K101" s="730"/>
      <c r="L101" s="731"/>
      <c r="M101" s="730">
        <v>5322734</v>
      </c>
      <c r="N101" s="730">
        <v>630000</v>
      </c>
      <c r="O101" s="732">
        <f t="shared" si="13"/>
        <v>5952734</v>
      </c>
      <c r="P101" s="731">
        <v>5085772</v>
      </c>
      <c r="Q101" s="731">
        <v>866963</v>
      </c>
      <c r="R101" s="733">
        <f t="shared" si="16"/>
        <v>5952735</v>
      </c>
      <c r="S101" s="732">
        <f t="shared" si="17"/>
        <v>14474694</v>
      </c>
      <c r="T101" s="733">
        <f t="shared" si="18"/>
        <v>14215426</v>
      </c>
      <c r="U101" s="730"/>
      <c r="V101" s="731"/>
      <c r="W101" s="730"/>
      <c r="X101" s="730"/>
      <c r="Y101" s="732">
        <f t="shared" si="14"/>
        <v>0</v>
      </c>
      <c r="Z101" s="731"/>
      <c r="AA101" s="731"/>
      <c r="AB101" s="733">
        <f t="shared" si="15"/>
        <v>0</v>
      </c>
      <c r="AC101" s="730"/>
      <c r="AD101" s="731"/>
      <c r="AE101" s="730"/>
      <c r="AF101" s="730"/>
      <c r="AG101" s="731"/>
      <c r="AH101" s="731"/>
      <c r="AI101" s="732">
        <f t="shared" si="19"/>
        <v>14474694</v>
      </c>
      <c r="AJ101" s="733">
        <f t="shared" si="20"/>
        <v>14215426</v>
      </c>
    </row>
    <row r="102" spans="1:36">
      <c r="A102" s="821" t="s">
        <v>61</v>
      </c>
      <c r="B102" s="822" t="s">
        <v>99</v>
      </c>
      <c r="C102" s="824" t="s">
        <v>100</v>
      </c>
      <c r="D102" s="823"/>
      <c r="E102" s="693">
        <v>100760</v>
      </c>
      <c r="F102" s="46">
        <v>10</v>
      </c>
      <c r="G102" s="730"/>
      <c r="H102" s="731"/>
      <c r="I102" s="730"/>
      <c r="J102" s="731"/>
      <c r="K102" s="730"/>
      <c r="L102" s="731"/>
      <c r="M102" s="730"/>
      <c r="N102" s="730"/>
      <c r="O102" s="732">
        <f t="shared" si="13"/>
        <v>0</v>
      </c>
      <c r="P102" s="731"/>
      <c r="Q102" s="731"/>
      <c r="R102" s="733">
        <f t="shared" si="16"/>
        <v>0</v>
      </c>
      <c r="S102" s="732">
        <f t="shared" si="17"/>
        <v>0</v>
      </c>
      <c r="T102" s="733">
        <f t="shared" si="18"/>
        <v>0</v>
      </c>
      <c r="U102" s="730"/>
      <c r="V102" s="731"/>
      <c r="W102" s="730"/>
      <c r="X102" s="730"/>
      <c r="Y102" s="732">
        <f t="shared" si="14"/>
        <v>0</v>
      </c>
      <c r="Z102" s="731"/>
      <c r="AA102" s="731"/>
      <c r="AB102" s="733">
        <f t="shared" si="15"/>
        <v>0</v>
      </c>
      <c r="AC102" s="730"/>
      <c r="AD102" s="731"/>
      <c r="AE102" s="730"/>
      <c r="AF102" s="730"/>
      <c r="AG102" s="731"/>
      <c r="AH102" s="731"/>
      <c r="AI102" s="732">
        <f t="shared" si="19"/>
        <v>0</v>
      </c>
      <c r="AJ102" s="733">
        <f t="shared" si="20"/>
        <v>0</v>
      </c>
    </row>
    <row r="103" spans="1:36">
      <c r="A103" s="821" t="s">
        <v>61</v>
      </c>
      <c r="B103" s="822" t="s">
        <v>62</v>
      </c>
      <c r="C103" s="826" t="s">
        <v>1051</v>
      </c>
      <c r="D103" s="827"/>
      <c r="E103" s="693">
        <v>101028</v>
      </c>
      <c r="F103" s="46">
        <v>10</v>
      </c>
      <c r="G103" s="730">
        <v>7275636</v>
      </c>
      <c r="H103" s="731">
        <v>7506844</v>
      </c>
      <c r="I103" s="730"/>
      <c r="J103" s="731"/>
      <c r="K103" s="730"/>
      <c r="L103" s="731">
        <v>125000</v>
      </c>
      <c r="M103" s="730">
        <v>6171100</v>
      </c>
      <c r="N103" s="730">
        <v>320000</v>
      </c>
      <c r="O103" s="732">
        <f t="shared" si="13"/>
        <v>6491100</v>
      </c>
      <c r="P103" s="731">
        <v>5876900</v>
      </c>
      <c r="Q103" s="731">
        <v>614200</v>
      </c>
      <c r="R103" s="733">
        <f t="shared" si="16"/>
        <v>6491100</v>
      </c>
      <c r="S103" s="732">
        <f t="shared" si="17"/>
        <v>13446736</v>
      </c>
      <c r="T103" s="733">
        <f t="shared" si="18"/>
        <v>13508744</v>
      </c>
      <c r="U103" s="730"/>
      <c r="V103" s="731"/>
      <c r="W103" s="730"/>
      <c r="X103" s="730"/>
      <c r="Y103" s="732">
        <f t="shared" si="14"/>
        <v>0</v>
      </c>
      <c r="Z103" s="731"/>
      <c r="AA103" s="731"/>
      <c r="AB103" s="733">
        <f t="shared" si="15"/>
        <v>0</v>
      </c>
      <c r="AC103" s="730"/>
      <c r="AD103" s="731"/>
      <c r="AE103" s="730"/>
      <c r="AF103" s="730"/>
      <c r="AG103" s="731"/>
      <c r="AH103" s="731"/>
      <c r="AI103" s="732">
        <f t="shared" si="19"/>
        <v>13446736</v>
      </c>
      <c r="AJ103" s="733">
        <f t="shared" si="20"/>
        <v>13508744</v>
      </c>
    </row>
    <row r="104" spans="1:36">
      <c r="A104" s="821" t="s">
        <v>61</v>
      </c>
      <c r="B104" s="822" t="s">
        <v>99</v>
      </c>
      <c r="C104" s="824" t="s">
        <v>100</v>
      </c>
      <c r="D104" s="823"/>
      <c r="E104" s="693">
        <v>101028</v>
      </c>
      <c r="F104" s="46">
        <v>10</v>
      </c>
      <c r="G104" s="730"/>
      <c r="H104" s="731"/>
      <c r="I104" s="730"/>
      <c r="J104" s="731"/>
      <c r="K104" s="730"/>
      <c r="L104" s="731"/>
      <c r="M104" s="730"/>
      <c r="N104" s="730"/>
      <c r="O104" s="732">
        <f t="shared" si="13"/>
        <v>0</v>
      </c>
      <c r="P104" s="731"/>
      <c r="Q104" s="731"/>
      <c r="R104" s="733">
        <f t="shared" si="16"/>
        <v>0</v>
      </c>
      <c r="S104" s="732">
        <f t="shared" si="17"/>
        <v>0</v>
      </c>
      <c r="T104" s="733">
        <f t="shared" si="18"/>
        <v>0</v>
      </c>
      <c r="U104" s="730"/>
      <c r="V104" s="731"/>
      <c r="W104" s="730"/>
      <c r="X104" s="730"/>
      <c r="Y104" s="732">
        <f t="shared" si="14"/>
        <v>0</v>
      </c>
      <c r="Z104" s="731"/>
      <c r="AA104" s="731"/>
      <c r="AB104" s="733">
        <f t="shared" si="15"/>
        <v>0</v>
      </c>
      <c r="AC104" s="730"/>
      <c r="AD104" s="731"/>
      <c r="AE104" s="730"/>
      <c r="AF104" s="730"/>
      <c r="AG104" s="731"/>
      <c r="AH104" s="731"/>
      <c r="AI104" s="732">
        <f t="shared" si="19"/>
        <v>0</v>
      </c>
      <c r="AJ104" s="733">
        <f t="shared" si="20"/>
        <v>0</v>
      </c>
    </row>
    <row r="105" spans="1:36">
      <c r="A105" s="821" t="s">
        <v>61</v>
      </c>
      <c r="B105" s="822" t="s">
        <v>62</v>
      </c>
      <c r="C105" s="826" t="s">
        <v>111</v>
      </c>
      <c r="D105" s="830"/>
      <c r="E105" s="693">
        <v>101301</v>
      </c>
      <c r="F105" s="46">
        <v>10</v>
      </c>
      <c r="G105" s="730">
        <v>9105209</v>
      </c>
      <c r="H105" s="731">
        <v>9035745</v>
      </c>
      <c r="I105" s="730"/>
      <c r="J105" s="731"/>
      <c r="K105" s="730"/>
      <c r="L105" s="731"/>
      <c r="M105" s="730">
        <v>5257991</v>
      </c>
      <c r="N105" s="730"/>
      <c r="O105" s="732">
        <f t="shared" si="13"/>
        <v>5257991</v>
      </c>
      <c r="P105" s="731">
        <v>5257991</v>
      </c>
      <c r="Q105" s="731">
        <v>0</v>
      </c>
      <c r="R105" s="733">
        <f t="shared" si="16"/>
        <v>5257991</v>
      </c>
      <c r="S105" s="732">
        <f t="shared" si="17"/>
        <v>14363200</v>
      </c>
      <c r="T105" s="733">
        <f t="shared" si="18"/>
        <v>14293736</v>
      </c>
      <c r="U105" s="730"/>
      <c r="V105" s="731"/>
      <c r="W105" s="730"/>
      <c r="X105" s="730"/>
      <c r="Y105" s="732">
        <f t="shared" si="14"/>
        <v>0</v>
      </c>
      <c r="Z105" s="731"/>
      <c r="AA105" s="731"/>
      <c r="AB105" s="733">
        <f t="shared" si="15"/>
        <v>0</v>
      </c>
      <c r="AC105" s="730"/>
      <c r="AD105" s="731"/>
      <c r="AE105" s="730"/>
      <c r="AF105" s="730"/>
      <c r="AG105" s="731"/>
      <c r="AH105" s="731"/>
      <c r="AI105" s="732">
        <f t="shared" si="19"/>
        <v>14363200</v>
      </c>
      <c r="AJ105" s="733">
        <f t="shared" si="20"/>
        <v>14293736</v>
      </c>
    </row>
    <row r="106" spans="1:36">
      <c r="A106" s="821" t="s">
        <v>61</v>
      </c>
      <c r="B106" s="822" t="s">
        <v>99</v>
      </c>
      <c r="C106" s="824" t="s">
        <v>100</v>
      </c>
      <c r="D106" s="823"/>
      <c r="E106" s="693">
        <v>101301</v>
      </c>
      <c r="F106" s="46">
        <v>10</v>
      </c>
      <c r="G106" s="730"/>
      <c r="H106" s="731"/>
      <c r="I106" s="730"/>
      <c r="J106" s="731"/>
      <c r="K106" s="730"/>
      <c r="L106" s="731"/>
      <c r="M106" s="730"/>
      <c r="N106" s="730"/>
      <c r="O106" s="732">
        <f t="shared" si="13"/>
        <v>0</v>
      </c>
      <c r="P106" s="731"/>
      <c r="Q106" s="731"/>
      <c r="R106" s="733">
        <f t="shared" si="16"/>
        <v>0</v>
      </c>
      <c r="S106" s="732">
        <f t="shared" si="17"/>
        <v>0</v>
      </c>
      <c r="T106" s="733">
        <f t="shared" si="18"/>
        <v>0</v>
      </c>
      <c r="U106" s="730"/>
      <c r="V106" s="731"/>
      <c r="W106" s="730"/>
      <c r="X106" s="730"/>
      <c r="Y106" s="732">
        <f t="shared" si="14"/>
        <v>0</v>
      </c>
      <c r="Z106" s="731"/>
      <c r="AA106" s="731"/>
      <c r="AB106" s="733">
        <f t="shared" si="15"/>
        <v>0</v>
      </c>
      <c r="AC106" s="730"/>
      <c r="AD106" s="731"/>
      <c r="AE106" s="730"/>
      <c r="AF106" s="730"/>
      <c r="AG106" s="731"/>
      <c r="AH106" s="731"/>
      <c r="AI106" s="732">
        <f t="shared" si="19"/>
        <v>0</v>
      </c>
      <c r="AJ106" s="733">
        <f t="shared" si="20"/>
        <v>0</v>
      </c>
    </row>
    <row r="107" spans="1:36">
      <c r="A107" s="821" t="s">
        <v>61</v>
      </c>
      <c r="B107" s="822" t="s">
        <v>62</v>
      </c>
      <c r="C107" s="826" t="s">
        <v>112</v>
      </c>
      <c r="D107" s="827"/>
      <c r="E107" s="693">
        <v>101602</v>
      </c>
      <c r="F107" s="46">
        <v>10</v>
      </c>
      <c r="G107" s="730">
        <v>8073980</v>
      </c>
      <c r="H107" s="731">
        <v>8270150</v>
      </c>
      <c r="I107" s="730"/>
      <c r="J107" s="731"/>
      <c r="K107" s="730"/>
      <c r="L107" s="731"/>
      <c r="M107" s="730">
        <v>4997139</v>
      </c>
      <c r="N107" s="730">
        <v>1269741</v>
      </c>
      <c r="O107" s="732">
        <f t="shared" si="13"/>
        <v>6266880</v>
      </c>
      <c r="P107" s="731">
        <v>5948310</v>
      </c>
      <c r="Q107" s="731">
        <v>318570</v>
      </c>
      <c r="R107" s="733">
        <f t="shared" si="16"/>
        <v>6266880</v>
      </c>
      <c r="S107" s="732">
        <f t="shared" si="17"/>
        <v>13071119</v>
      </c>
      <c r="T107" s="733">
        <f t="shared" si="18"/>
        <v>14218460</v>
      </c>
      <c r="U107" s="730"/>
      <c r="V107" s="731"/>
      <c r="W107" s="730"/>
      <c r="X107" s="730"/>
      <c r="Y107" s="732">
        <f t="shared" si="14"/>
        <v>0</v>
      </c>
      <c r="Z107" s="731"/>
      <c r="AA107" s="731"/>
      <c r="AB107" s="733">
        <f t="shared" si="15"/>
        <v>0</v>
      </c>
      <c r="AC107" s="730"/>
      <c r="AD107" s="731"/>
      <c r="AE107" s="730"/>
      <c r="AF107" s="730"/>
      <c r="AG107" s="731"/>
      <c r="AH107" s="731"/>
      <c r="AI107" s="732">
        <f t="shared" si="19"/>
        <v>13071119</v>
      </c>
      <c r="AJ107" s="733">
        <f t="shared" si="20"/>
        <v>14218460</v>
      </c>
    </row>
    <row r="108" spans="1:36">
      <c r="A108" s="821" t="s">
        <v>61</v>
      </c>
      <c r="B108" s="822" t="s">
        <v>99</v>
      </c>
      <c r="C108" s="824" t="s">
        <v>100</v>
      </c>
      <c r="D108" s="823"/>
      <c r="E108" s="693">
        <v>101602</v>
      </c>
      <c r="F108" s="46">
        <v>10</v>
      </c>
      <c r="G108" s="730"/>
      <c r="H108" s="731"/>
      <c r="I108" s="730"/>
      <c r="J108" s="731"/>
      <c r="K108" s="730"/>
      <c r="L108" s="731"/>
      <c r="M108" s="730"/>
      <c r="N108" s="730"/>
      <c r="O108" s="732">
        <f t="shared" si="13"/>
        <v>0</v>
      </c>
      <c r="P108" s="731"/>
      <c r="Q108" s="731"/>
      <c r="R108" s="733">
        <f t="shared" si="16"/>
        <v>0</v>
      </c>
      <c r="S108" s="732">
        <f t="shared" si="17"/>
        <v>0</v>
      </c>
      <c r="T108" s="733">
        <f t="shared" si="18"/>
        <v>0</v>
      </c>
      <c r="U108" s="730"/>
      <c r="V108" s="731"/>
      <c r="W108" s="730"/>
      <c r="X108" s="730"/>
      <c r="Y108" s="732">
        <f t="shared" si="14"/>
        <v>0</v>
      </c>
      <c r="Z108" s="731"/>
      <c r="AA108" s="731"/>
      <c r="AB108" s="733">
        <f t="shared" si="15"/>
        <v>0</v>
      </c>
      <c r="AC108" s="730"/>
      <c r="AD108" s="731"/>
      <c r="AE108" s="730"/>
      <c r="AF108" s="730"/>
      <c r="AG108" s="731"/>
      <c r="AH108" s="731"/>
      <c r="AI108" s="732">
        <f t="shared" si="19"/>
        <v>0</v>
      </c>
      <c r="AJ108" s="733">
        <f t="shared" si="20"/>
        <v>0</v>
      </c>
    </row>
    <row r="109" spans="1:36">
      <c r="A109" s="821" t="s">
        <v>61</v>
      </c>
      <c r="B109" s="822" t="s">
        <v>62</v>
      </c>
      <c r="C109" s="837" t="s">
        <v>1052</v>
      </c>
      <c r="D109" s="838" t="s">
        <v>1425</v>
      </c>
      <c r="E109" s="693">
        <v>101897</v>
      </c>
      <c r="F109" s="46">
        <v>10</v>
      </c>
      <c r="G109" s="730">
        <v>9896424</v>
      </c>
      <c r="H109" s="731">
        <v>10090090</v>
      </c>
      <c r="I109" s="730"/>
      <c r="J109" s="731"/>
      <c r="K109" s="730"/>
      <c r="L109" s="731"/>
      <c r="M109" s="730">
        <v>9310426</v>
      </c>
      <c r="N109" s="730">
        <v>378829</v>
      </c>
      <c r="O109" s="732">
        <f t="shared" si="13"/>
        <v>9689255</v>
      </c>
      <c r="P109" s="731">
        <v>8947416</v>
      </c>
      <c r="Q109" s="731">
        <v>741839</v>
      </c>
      <c r="R109" s="733">
        <f t="shared" si="16"/>
        <v>9689255</v>
      </c>
      <c r="S109" s="732">
        <f t="shared" si="17"/>
        <v>19206850</v>
      </c>
      <c r="T109" s="733">
        <f t="shared" si="18"/>
        <v>19037506</v>
      </c>
      <c r="U109" s="730"/>
      <c r="V109" s="731"/>
      <c r="W109" s="730"/>
      <c r="X109" s="730"/>
      <c r="Y109" s="732">
        <f t="shared" si="14"/>
        <v>0</v>
      </c>
      <c r="Z109" s="731"/>
      <c r="AA109" s="731"/>
      <c r="AB109" s="733">
        <f t="shared" si="15"/>
        <v>0</v>
      </c>
      <c r="AC109" s="730"/>
      <c r="AD109" s="731"/>
      <c r="AE109" s="730"/>
      <c r="AF109" s="730"/>
      <c r="AG109" s="731"/>
      <c r="AH109" s="731"/>
      <c r="AI109" s="732">
        <f t="shared" si="19"/>
        <v>19206850</v>
      </c>
      <c r="AJ109" s="733">
        <f t="shared" si="20"/>
        <v>19037506</v>
      </c>
    </row>
    <row r="110" spans="1:36">
      <c r="A110" s="821" t="s">
        <v>61</v>
      </c>
      <c r="B110" s="822" t="s">
        <v>99</v>
      </c>
      <c r="C110" s="824" t="s">
        <v>100</v>
      </c>
      <c r="D110" s="823"/>
      <c r="E110" s="693">
        <v>101897</v>
      </c>
      <c r="F110" s="46">
        <v>10</v>
      </c>
      <c r="G110" s="730"/>
      <c r="H110" s="731"/>
      <c r="I110" s="730"/>
      <c r="J110" s="731"/>
      <c r="K110" s="730"/>
      <c r="L110" s="731"/>
      <c r="M110" s="730"/>
      <c r="N110" s="730"/>
      <c r="O110" s="732">
        <f t="shared" si="13"/>
        <v>0</v>
      </c>
      <c r="P110" s="731"/>
      <c r="Q110" s="731"/>
      <c r="R110" s="733">
        <f t="shared" si="16"/>
        <v>0</v>
      </c>
      <c r="S110" s="732">
        <f t="shared" si="17"/>
        <v>0</v>
      </c>
      <c r="T110" s="733">
        <f t="shared" si="18"/>
        <v>0</v>
      </c>
      <c r="U110" s="730"/>
      <c r="V110" s="731"/>
      <c r="W110" s="730"/>
      <c r="X110" s="730"/>
      <c r="Y110" s="732">
        <f t="shared" si="14"/>
        <v>0</v>
      </c>
      <c r="Z110" s="731"/>
      <c r="AA110" s="731"/>
      <c r="AB110" s="733">
        <f t="shared" si="15"/>
        <v>0</v>
      </c>
      <c r="AC110" s="730"/>
      <c r="AD110" s="731"/>
      <c r="AE110" s="730"/>
      <c r="AF110" s="730"/>
      <c r="AG110" s="731"/>
      <c r="AH110" s="731"/>
      <c r="AI110" s="732">
        <f t="shared" si="19"/>
        <v>0</v>
      </c>
      <c r="AJ110" s="733">
        <f t="shared" si="20"/>
        <v>0</v>
      </c>
    </row>
    <row r="111" spans="1:36">
      <c r="A111" s="821" t="s">
        <v>61</v>
      </c>
      <c r="B111" s="822" t="s">
        <v>62</v>
      </c>
      <c r="C111" s="828" t="s">
        <v>113</v>
      </c>
      <c r="D111" s="838" t="s">
        <v>1425</v>
      </c>
      <c r="E111" s="693">
        <v>102076</v>
      </c>
      <c r="F111" s="46">
        <v>10</v>
      </c>
      <c r="G111" s="730">
        <v>9238573</v>
      </c>
      <c r="H111" s="731">
        <v>9355519</v>
      </c>
      <c r="I111" s="730"/>
      <c r="J111" s="731"/>
      <c r="K111" s="730"/>
      <c r="L111" s="731"/>
      <c r="M111" s="730">
        <v>9020528</v>
      </c>
      <c r="N111" s="730">
        <v>463792</v>
      </c>
      <c r="O111" s="732">
        <f t="shared" si="13"/>
        <v>9484320</v>
      </c>
      <c r="P111" s="731">
        <v>8575816</v>
      </c>
      <c r="Q111" s="731">
        <v>908504</v>
      </c>
      <c r="R111" s="733">
        <f t="shared" si="16"/>
        <v>9484320</v>
      </c>
      <c r="S111" s="732">
        <f t="shared" si="17"/>
        <v>18259101</v>
      </c>
      <c r="T111" s="733">
        <f t="shared" si="18"/>
        <v>17931335</v>
      </c>
      <c r="U111" s="730"/>
      <c r="V111" s="731"/>
      <c r="W111" s="730"/>
      <c r="X111" s="730"/>
      <c r="Y111" s="732">
        <f t="shared" si="14"/>
        <v>0</v>
      </c>
      <c r="Z111" s="731"/>
      <c r="AA111" s="731"/>
      <c r="AB111" s="733">
        <f t="shared" si="15"/>
        <v>0</v>
      </c>
      <c r="AC111" s="730"/>
      <c r="AD111" s="731"/>
      <c r="AE111" s="730"/>
      <c r="AF111" s="730"/>
      <c r="AG111" s="731"/>
      <c r="AH111" s="731"/>
      <c r="AI111" s="732">
        <f t="shared" si="19"/>
        <v>18259101</v>
      </c>
      <c r="AJ111" s="733">
        <f t="shared" si="20"/>
        <v>17931335</v>
      </c>
    </row>
    <row r="112" spans="1:36">
      <c r="A112" s="821" t="s">
        <v>61</v>
      </c>
      <c r="B112" s="822" t="s">
        <v>99</v>
      </c>
      <c r="C112" s="824" t="s">
        <v>100</v>
      </c>
      <c r="D112" s="823"/>
      <c r="E112" s="693">
        <v>102076</v>
      </c>
      <c r="F112" s="46">
        <v>10</v>
      </c>
      <c r="G112" s="730"/>
      <c r="H112" s="731"/>
      <c r="I112" s="730"/>
      <c r="J112" s="731"/>
      <c r="K112" s="730"/>
      <c r="L112" s="731"/>
      <c r="M112" s="730"/>
      <c r="N112" s="730"/>
      <c r="O112" s="732">
        <f t="shared" si="13"/>
        <v>0</v>
      </c>
      <c r="P112" s="731"/>
      <c r="Q112" s="731"/>
      <c r="R112" s="733">
        <f t="shared" si="16"/>
        <v>0</v>
      </c>
      <c r="S112" s="732">
        <f t="shared" si="17"/>
        <v>0</v>
      </c>
      <c r="T112" s="733">
        <f t="shared" si="18"/>
        <v>0</v>
      </c>
      <c r="U112" s="730"/>
      <c r="V112" s="731"/>
      <c r="W112" s="730"/>
      <c r="X112" s="730"/>
      <c r="Y112" s="732">
        <f t="shared" si="14"/>
        <v>0</v>
      </c>
      <c r="Z112" s="731"/>
      <c r="AA112" s="731"/>
      <c r="AB112" s="733">
        <f t="shared" si="15"/>
        <v>0</v>
      </c>
      <c r="AC112" s="730"/>
      <c r="AD112" s="731"/>
      <c r="AE112" s="730"/>
      <c r="AF112" s="730"/>
      <c r="AG112" s="731"/>
      <c r="AH112" s="731"/>
      <c r="AI112" s="732">
        <f t="shared" si="19"/>
        <v>0</v>
      </c>
      <c r="AJ112" s="733">
        <f t="shared" si="20"/>
        <v>0</v>
      </c>
    </row>
    <row r="113" spans="1:36">
      <c r="A113" s="821" t="s">
        <v>61</v>
      </c>
      <c r="B113" s="822" t="s">
        <v>62</v>
      </c>
      <c r="C113" s="826" t="s">
        <v>1053</v>
      </c>
      <c r="D113" s="827"/>
      <c r="E113" s="693">
        <v>102313</v>
      </c>
      <c r="F113" s="46">
        <v>12</v>
      </c>
      <c r="G113" s="730">
        <v>9003953</v>
      </c>
      <c r="H113" s="731">
        <v>9149336</v>
      </c>
      <c r="I113" s="730"/>
      <c r="J113" s="731"/>
      <c r="K113" s="730"/>
      <c r="L113" s="731"/>
      <c r="M113" s="730">
        <v>6886551</v>
      </c>
      <c r="N113" s="730">
        <v>180000</v>
      </c>
      <c r="O113" s="732">
        <f t="shared" si="13"/>
        <v>7066551</v>
      </c>
      <c r="P113" s="731">
        <v>6568734</v>
      </c>
      <c r="Q113" s="731">
        <v>497818</v>
      </c>
      <c r="R113" s="733">
        <f t="shared" si="16"/>
        <v>7066552</v>
      </c>
      <c r="S113" s="732">
        <f t="shared" si="17"/>
        <v>15890504</v>
      </c>
      <c r="T113" s="733">
        <f t="shared" si="18"/>
        <v>15718070</v>
      </c>
      <c r="U113" s="730"/>
      <c r="V113" s="731"/>
      <c r="W113" s="730"/>
      <c r="X113" s="730"/>
      <c r="Y113" s="732">
        <f t="shared" si="14"/>
        <v>0</v>
      </c>
      <c r="Z113" s="731"/>
      <c r="AA113" s="731"/>
      <c r="AB113" s="733">
        <f t="shared" si="15"/>
        <v>0</v>
      </c>
      <c r="AC113" s="730"/>
      <c r="AD113" s="731"/>
      <c r="AE113" s="730"/>
      <c r="AF113" s="730"/>
      <c r="AG113" s="731"/>
      <c r="AH113" s="731"/>
      <c r="AI113" s="732">
        <f t="shared" si="19"/>
        <v>15890504</v>
      </c>
      <c r="AJ113" s="733">
        <f t="shared" si="20"/>
        <v>15718070</v>
      </c>
    </row>
    <row r="114" spans="1:36">
      <c r="A114" s="821" t="s">
        <v>61</v>
      </c>
      <c r="B114" s="822" t="s">
        <v>99</v>
      </c>
      <c r="C114" s="824" t="s">
        <v>100</v>
      </c>
      <c r="D114" s="823"/>
      <c r="E114" s="693">
        <v>102313</v>
      </c>
      <c r="F114" s="46">
        <v>12</v>
      </c>
      <c r="G114" s="730"/>
      <c r="H114" s="731"/>
      <c r="I114" s="730"/>
      <c r="J114" s="731"/>
      <c r="K114" s="730"/>
      <c r="L114" s="731"/>
      <c r="M114" s="730"/>
      <c r="N114" s="730"/>
      <c r="O114" s="732">
        <f t="shared" si="13"/>
        <v>0</v>
      </c>
      <c r="P114" s="731"/>
      <c r="Q114" s="731"/>
      <c r="R114" s="733">
        <f t="shared" si="16"/>
        <v>0</v>
      </c>
      <c r="S114" s="732">
        <f t="shared" si="17"/>
        <v>0</v>
      </c>
      <c r="T114" s="733">
        <f t="shared" si="18"/>
        <v>0</v>
      </c>
      <c r="U114" s="730"/>
      <c r="V114" s="731"/>
      <c r="W114" s="730"/>
      <c r="X114" s="730"/>
      <c r="Y114" s="732">
        <f t="shared" si="14"/>
        <v>0</v>
      </c>
      <c r="Z114" s="731"/>
      <c r="AA114" s="731"/>
      <c r="AB114" s="733">
        <f t="shared" si="15"/>
        <v>0</v>
      </c>
      <c r="AC114" s="730"/>
      <c r="AD114" s="731"/>
      <c r="AE114" s="730"/>
      <c r="AF114" s="730"/>
      <c r="AG114" s="731"/>
      <c r="AH114" s="731"/>
      <c r="AI114" s="732">
        <f t="shared" si="19"/>
        <v>0</v>
      </c>
      <c r="AJ114" s="733">
        <f t="shared" si="20"/>
        <v>0</v>
      </c>
    </row>
    <row r="115" spans="1:36">
      <c r="A115" s="821" t="s">
        <v>61</v>
      </c>
      <c r="B115" s="822" t="s">
        <v>62</v>
      </c>
      <c r="C115" s="828" t="s">
        <v>1054</v>
      </c>
      <c r="D115" s="830"/>
      <c r="E115" s="693">
        <v>101462</v>
      </c>
      <c r="F115" s="46">
        <v>13</v>
      </c>
      <c r="G115" s="730">
        <v>5731872</v>
      </c>
      <c r="H115" s="731">
        <v>6055703</v>
      </c>
      <c r="I115" s="730"/>
      <c r="J115" s="731"/>
      <c r="K115" s="730"/>
      <c r="L115" s="731"/>
      <c r="M115" s="730">
        <v>2334756</v>
      </c>
      <c r="N115" s="730">
        <v>216000</v>
      </c>
      <c r="O115" s="732">
        <f t="shared" si="13"/>
        <v>2550756</v>
      </c>
      <c r="P115" s="731">
        <v>2322888</v>
      </c>
      <c r="Q115" s="731">
        <v>227868</v>
      </c>
      <c r="R115" s="733">
        <f t="shared" si="16"/>
        <v>2550756</v>
      </c>
      <c r="S115" s="732">
        <f t="shared" si="17"/>
        <v>8066628</v>
      </c>
      <c r="T115" s="733">
        <f t="shared" si="18"/>
        <v>8378591</v>
      </c>
      <c r="U115" s="730"/>
      <c r="V115" s="731"/>
      <c r="W115" s="730"/>
      <c r="X115" s="730"/>
      <c r="Y115" s="732">
        <f t="shared" si="14"/>
        <v>0</v>
      </c>
      <c r="Z115" s="731"/>
      <c r="AA115" s="731"/>
      <c r="AB115" s="733">
        <f t="shared" si="15"/>
        <v>0</v>
      </c>
      <c r="AC115" s="730"/>
      <c r="AD115" s="731"/>
      <c r="AE115" s="730"/>
      <c r="AF115" s="730"/>
      <c r="AG115" s="731"/>
      <c r="AH115" s="731"/>
      <c r="AI115" s="732">
        <f t="shared" si="19"/>
        <v>8066628</v>
      </c>
      <c r="AJ115" s="733">
        <f t="shared" si="20"/>
        <v>8378591</v>
      </c>
    </row>
    <row r="116" spans="1:36">
      <c r="A116" s="821" t="s">
        <v>61</v>
      </c>
      <c r="B116" s="822" t="s">
        <v>99</v>
      </c>
      <c r="C116" s="824" t="s">
        <v>100</v>
      </c>
      <c r="D116" s="823"/>
      <c r="E116" s="693">
        <v>101462</v>
      </c>
      <c r="F116" s="46">
        <v>13</v>
      </c>
      <c r="G116" s="730"/>
      <c r="H116" s="731"/>
      <c r="I116" s="730"/>
      <c r="J116" s="731"/>
      <c r="K116" s="730"/>
      <c r="L116" s="731"/>
      <c r="M116" s="730"/>
      <c r="N116" s="730"/>
      <c r="O116" s="732">
        <f t="shared" si="13"/>
        <v>0</v>
      </c>
      <c r="P116" s="731"/>
      <c r="Q116" s="731"/>
      <c r="R116" s="733">
        <f t="shared" si="16"/>
        <v>0</v>
      </c>
      <c r="S116" s="732">
        <f t="shared" si="17"/>
        <v>0</v>
      </c>
      <c r="T116" s="733">
        <f t="shared" si="18"/>
        <v>0</v>
      </c>
      <c r="U116" s="730"/>
      <c r="V116" s="731"/>
      <c r="W116" s="730"/>
      <c r="X116" s="730"/>
      <c r="Y116" s="732">
        <f t="shared" si="14"/>
        <v>0</v>
      </c>
      <c r="Z116" s="731"/>
      <c r="AA116" s="731"/>
      <c r="AB116" s="733">
        <f t="shared" si="15"/>
        <v>0</v>
      </c>
      <c r="AC116" s="730"/>
      <c r="AD116" s="731"/>
      <c r="AE116" s="730"/>
      <c r="AF116" s="730"/>
      <c r="AG116" s="731"/>
      <c r="AH116" s="731"/>
      <c r="AI116" s="732">
        <f t="shared" si="19"/>
        <v>0</v>
      </c>
      <c r="AJ116" s="733">
        <f t="shared" si="20"/>
        <v>0</v>
      </c>
    </row>
    <row r="117" spans="1:36">
      <c r="A117" s="821" t="s">
        <v>61</v>
      </c>
      <c r="B117" s="822" t="s">
        <v>62</v>
      </c>
      <c r="C117" s="826" t="s">
        <v>114</v>
      </c>
      <c r="D117" s="827"/>
      <c r="E117" s="693">
        <v>101471</v>
      </c>
      <c r="F117" s="46">
        <v>13</v>
      </c>
      <c r="G117" s="730">
        <v>7824666</v>
      </c>
      <c r="H117" s="731">
        <v>7417128</v>
      </c>
      <c r="I117" s="730"/>
      <c r="J117" s="731"/>
      <c r="K117" s="730"/>
      <c r="L117" s="731"/>
      <c r="M117" s="730">
        <v>3802500</v>
      </c>
      <c r="N117" s="730"/>
      <c r="O117" s="732">
        <f t="shared" si="13"/>
        <v>3802500</v>
      </c>
      <c r="P117" s="731">
        <v>3802500</v>
      </c>
      <c r="Q117" s="731">
        <v>0</v>
      </c>
      <c r="R117" s="733">
        <f t="shared" si="16"/>
        <v>3802500</v>
      </c>
      <c r="S117" s="732">
        <f t="shared" si="17"/>
        <v>11627166</v>
      </c>
      <c r="T117" s="733">
        <f t="shared" si="18"/>
        <v>11219628</v>
      </c>
      <c r="U117" s="730"/>
      <c r="V117" s="731"/>
      <c r="W117" s="730"/>
      <c r="X117" s="730"/>
      <c r="Y117" s="732">
        <f t="shared" si="14"/>
        <v>0</v>
      </c>
      <c r="Z117" s="731"/>
      <c r="AA117" s="731"/>
      <c r="AB117" s="733">
        <f t="shared" si="15"/>
        <v>0</v>
      </c>
      <c r="AC117" s="730"/>
      <c r="AD117" s="731"/>
      <c r="AE117" s="730"/>
      <c r="AF117" s="730"/>
      <c r="AG117" s="731"/>
      <c r="AH117" s="731"/>
      <c r="AI117" s="732">
        <f t="shared" si="19"/>
        <v>11627166</v>
      </c>
      <c r="AJ117" s="733">
        <f t="shared" si="20"/>
        <v>11219628</v>
      </c>
    </row>
    <row r="118" spans="1:36">
      <c r="A118" s="821" t="s">
        <v>61</v>
      </c>
      <c r="B118" s="822" t="s">
        <v>99</v>
      </c>
      <c r="C118" s="824" t="s">
        <v>100</v>
      </c>
      <c r="D118" s="823"/>
      <c r="E118" s="693">
        <v>101471</v>
      </c>
      <c r="F118" s="46">
        <v>13</v>
      </c>
      <c r="G118" s="730"/>
      <c r="H118" s="731"/>
      <c r="I118" s="730"/>
      <c r="J118" s="731"/>
      <c r="K118" s="730"/>
      <c r="L118" s="731"/>
      <c r="M118" s="730"/>
      <c r="N118" s="730"/>
      <c r="O118" s="732">
        <f t="shared" si="13"/>
        <v>0</v>
      </c>
      <c r="P118" s="731"/>
      <c r="Q118" s="731"/>
      <c r="R118" s="733">
        <f t="shared" si="16"/>
        <v>0</v>
      </c>
      <c r="S118" s="732">
        <f t="shared" si="17"/>
        <v>0</v>
      </c>
      <c r="T118" s="733">
        <f t="shared" si="18"/>
        <v>0</v>
      </c>
      <c r="U118" s="730"/>
      <c r="V118" s="731"/>
      <c r="W118" s="730"/>
      <c r="X118" s="730"/>
      <c r="Y118" s="732">
        <f t="shared" si="14"/>
        <v>0</v>
      </c>
      <c r="Z118" s="731"/>
      <c r="AA118" s="731"/>
      <c r="AB118" s="733">
        <f t="shared" si="15"/>
        <v>0</v>
      </c>
      <c r="AC118" s="730"/>
      <c r="AD118" s="731"/>
      <c r="AE118" s="730"/>
      <c r="AF118" s="730"/>
      <c r="AG118" s="731"/>
      <c r="AH118" s="731"/>
      <c r="AI118" s="732">
        <f t="shared" si="19"/>
        <v>0</v>
      </c>
      <c r="AJ118" s="733">
        <f t="shared" si="20"/>
        <v>0</v>
      </c>
    </row>
    <row r="119" spans="1:36">
      <c r="A119" s="821" t="s">
        <v>61</v>
      </c>
      <c r="B119" s="822" t="s">
        <v>62</v>
      </c>
      <c r="C119" s="826" t="s">
        <v>115</v>
      </c>
      <c r="D119" s="827"/>
      <c r="E119" s="693">
        <v>101994</v>
      </c>
      <c r="F119" s="46">
        <v>13</v>
      </c>
      <c r="G119" s="730">
        <v>4723687</v>
      </c>
      <c r="H119" s="731">
        <v>4786813</v>
      </c>
      <c r="I119" s="730"/>
      <c r="J119" s="731"/>
      <c r="K119" s="730"/>
      <c r="L119" s="731"/>
      <c r="M119" s="730">
        <v>1717018</v>
      </c>
      <c r="N119" s="730">
        <v>225000</v>
      </c>
      <c r="O119" s="732">
        <f t="shared" si="13"/>
        <v>1942018</v>
      </c>
      <c r="P119" s="731">
        <v>1694040</v>
      </c>
      <c r="Q119" s="731">
        <v>247978</v>
      </c>
      <c r="R119" s="733">
        <f t="shared" si="16"/>
        <v>1942018</v>
      </c>
      <c r="S119" s="732">
        <f t="shared" si="17"/>
        <v>6440705</v>
      </c>
      <c r="T119" s="733">
        <f t="shared" si="18"/>
        <v>6480853</v>
      </c>
      <c r="U119" s="730"/>
      <c r="V119" s="731"/>
      <c r="W119" s="730"/>
      <c r="X119" s="730"/>
      <c r="Y119" s="732">
        <f t="shared" si="14"/>
        <v>0</v>
      </c>
      <c r="Z119" s="731"/>
      <c r="AA119" s="731"/>
      <c r="AB119" s="733">
        <f t="shared" si="15"/>
        <v>0</v>
      </c>
      <c r="AC119" s="730"/>
      <c r="AD119" s="731"/>
      <c r="AE119" s="730"/>
      <c r="AF119" s="730"/>
      <c r="AG119" s="731"/>
      <c r="AH119" s="731"/>
      <c r="AI119" s="732">
        <f t="shared" si="19"/>
        <v>6440705</v>
      </c>
      <c r="AJ119" s="733">
        <f t="shared" si="20"/>
        <v>6480853</v>
      </c>
    </row>
    <row r="120" spans="1:36">
      <c r="A120" s="821" t="s">
        <v>61</v>
      </c>
      <c r="B120" s="822" t="s">
        <v>99</v>
      </c>
      <c r="C120" s="824" t="s">
        <v>100</v>
      </c>
      <c r="D120" s="823"/>
      <c r="E120" s="693">
        <v>101994</v>
      </c>
      <c r="F120" s="46">
        <v>13</v>
      </c>
      <c r="G120" s="730"/>
      <c r="H120" s="731"/>
      <c r="I120" s="730"/>
      <c r="J120" s="731"/>
      <c r="K120" s="730"/>
      <c r="L120" s="731"/>
      <c r="M120" s="730"/>
      <c r="N120" s="730"/>
      <c r="O120" s="732">
        <f t="shared" si="13"/>
        <v>0</v>
      </c>
      <c r="P120" s="731"/>
      <c r="Q120" s="731"/>
      <c r="R120" s="733">
        <f t="shared" si="16"/>
        <v>0</v>
      </c>
      <c r="S120" s="732">
        <f t="shared" si="17"/>
        <v>0</v>
      </c>
      <c r="T120" s="733">
        <f t="shared" si="18"/>
        <v>0</v>
      </c>
      <c r="U120" s="730"/>
      <c r="V120" s="731"/>
      <c r="W120" s="730"/>
      <c r="X120" s="730"/>
      <c r="Y120" s="732">
        <f t="shared" si="14"/>
        <v>0</v>
      </c>
      <c r="Z120" s="731"/>
      <c r="AA120" s="731"/>
      <c r="AB120" s="733">
        <f t="shared" si="15"/>
        <v>0</v>
      </c>
      <c r="AC120" s="730"/>
      <c r="AD120" s="731"/>
      <c r="AE120" s="730"/>
      <c r="AF120" s="730"/>
      <c r="AG120" s="731"/>
      <c r="AH120" s="731"/>
      <c r="AI120" s="732">
        <f t="shared" si="19"/>
        <v>0</v>
      </c>
      <c r="AJ120" s="733">
        <f t="shared" si="20"/>
        <v>0</v>
      </c>
    </row>
    <row r="121" spans="1:36" s="13" customFormat="1" ht="12.75" customHeight="1">
      <c r="A121" s="821" t="s">
        <v>61</v>
      </c>
      <c r="B121" s="822" t="s">
        <v>116</v>
      </c>
      <c r="C121" s="822" t="s">
        <v>117</v>
      </c>
      <c r="D121" s="839"/>
      <c r="E121" s="693">
        <v>101648</v>
      </c>
      <c r="F121" s="46">
        <v>15</v>
      </c>
      <c r="G121" s="730"/>
      <c r="H121" s="731"/>
      <c r="I121" s="730"/>
      <c r="J121" s="731"/>
      <c r="K121" s="730"/>
      <c r="L121" s="731"/>
      <c r="M121" s="730"/>
      <c r="N121" s="730"/>
      <c r="O121" s="732">
        <f t="shared" si="13"/>
        <v>0</v>
      </c>
      <c r="P121" s="731"/>
      <c r="Q121" s="731"/>
      <c r="R121" s="733">
        <f t="shared" si="16"/>
        <v>0</v>
      </c>
      <c r="S121" s="732">
        <f t="shared" si="17"/>
        <v>0</v>
      </c>
      <c r="T121" s="733">
        <f t="shared" si="18"/>
        <v>0</v>
      </c>
      <c r="U121" s="730">
        <v>8994438</v>
      </c>
      <c r="V121" s="731">
        <v>8994438</v>
      </c>
      <c r="W121" s="730">
        <v>3549264</v>
      </c>
      <c r="X121" s="730">
        <v>120543</v>
      </c>
      <c r="Y121" s="732">
        <f t="shared" si="14"/>
        <v>3669807</v>
      </c>
      <c r="Z121" s="731">
        <v>3492807</v>
      </c>
      <c r="AA121" s="731">
        <v>177000</v>
      </c>
      <c r="AB121" s="733">
        <f t="shared" si="15"/>
        <v>3669807</v>
      </c>
      <c r="AC121" s="730"/>
      <c r="AD121" s="731"/>
      <c r="AE121" s="730"/>
      <c r="AF121" s="730"/>
      <c r="AG121" s="731"/>
      <c r="AH121" s="731"/>
      <c r="AI121" s="732">
        <f t="shared" si="19"/>
        <v>12543702</v>
      </c>
      <c r="AJ121" s="733">
        <f t="shared" si="20"/>
        <v>12487245</v>
      </c>
    </row>
    <row r="122" spans="1:36">
      <c r="A122" s="821" t="s">
        <v>61</v>
      </c>
      <c r="B122" s="822" t="s">
        <v>118</v>
      </c>
      <c r="C122" s="827" t="s">
        <v>119</v>
      </c>
      <c r="D122" s="827"/>
      <c r="E122" s="833"/>
      <c r="F122" s="840">
        <v>99</v>
      </c>
      <c r="G122" s="730"/>
      <c r="H122" s="731"/>
      <c r="I122" s="730"/>
      <c r="J122" s="731"/>
      <c r="K122" s="730"/>
      <c r="L122" s="731"/>
      <c r="M122" s="730"/>
      <c r="N122" s="730"/>
      <c r="O122" s="732">
        <f t="shared" si="13"/>
        <v>0</v>
      </c>
      <c r="P122" s="731"/>
      <c r="Q122" s="731"/>
      <c r="R122" s="733">
        <f t="shared" si="16"/>
        <v>0</v>
      </c>
      <c r="S122" s="732">
        <f t="shared" si="17"/>
        <v>0</v>
      </c>
      <c r="T122" s="733">
        <f t="shared" si="18"/>
        <v>0</v>
      </c>
      <c r="U122" s="730"/>
      <c r="V122" s="731"/>
      <c r="W122" s="730"/>
      <c r="X122" s="730"/>
      <c r="Y122" s="732">
        <f t="shared" si="14"/>
        <v>0</v>
      </c>
      <c r="Z122" s="731"/>
      <c r="AA122" s="731"/>
      <c r="AB122" s="733">
        <f t="shared" si="15"/>
        <v>0</v>
      </c>
      <c r="AC122" s="730"/>
      <c r="AD122" s="731"/>
      <c r="AE122" s="730"/>
      <c r="AF122" s="730"/>
      <c r="AG122" s="731"/>
      <c r="AH122" s="731"/>
      <c r="AI122" s="732">
        <f t="shared" si="19"/>
        <v>0</v>
      </c>
      <c r="AJ122" s="733">
        <f t="shared" si="20"/>
        <v>0</v>
      </c>
    </row>
    <row r="123" spans="1:36">
      <c r="A123" s="821" t="s">
        <v>61</v>
      </c>
      <c r="B123" s="822" t="s">
        <v>120</v>
      </c>
      <c r="C123" s="824" t="s">
        <v>79</v>
      </c>
      <c r="D123" s="823"/>
      <c r="E123" s="841"/>
      <c r="F123" s="840">
        <v>99</v>
      </c>
      <c r="G123" s="730"/>
      <c r="H123" s="731"/>
      <c r="I123" s="730"/>
      <c r="J123" s="731"/>
      <c r="K123" s="730"/>
      <c r="L123" s="731"/>
      <c r="M123" s="730"/>
      <c r="N123" s="730"/>
      <c r="O123" s="732">
        <f t="shared" si="13"/>
        <v>0</v>
      </c>
      <c r="P123" s="731"/>
      <c r="Q123" s="731"/>
      <c r="R123" s="733">
        <f t="shared" si="16"/>
        <v>0</v>
      </c>
      <c r="S123" s="732">
        <f t="shared" si="17"/>
        <v>0</v>
      </c>
      <c r="T123" s="733">
        <f t="shared" si="18"/>
        <v>0</v>
      </c>
      <c r="U123" s="730"/>
      <c r="V123" s="731"/>
      <c r="W123" s="730"/>
      <c r="X123" s="730"/>
      <c r="Y123" s="732">
        <f t="shared" si="14"/>
        <v>0</v>
      </c>
      <c r="Z123" s="731"/>
      <c r="AA123" s="731"/>
      <c r="AB123" s="733">
        <f t="shared" si="15"/>
        <v>0</v>
      </c>
      <c r="AC123" s="730"/>
      <c r="AD123" s="731"/>
      <c r="AE123" s="730"/>
      <c r="AF123" s="730"/>
      <c r="AG123" s="731"/>
      <c r="AH123" s="731"/>
      <c r="AI123" s="732">
        <f t="shared" si="19"/>
        <v>0</v>
      </c>
      <c r="AJ123" s="733">
        <f t="shared" si="20"/>
        <v>0</v>
      </c>
    </row>
    <row r="124" spans="1:36">
      <c r="A124" s="821" t="s">
        <v>61</v>
      </c>
      <c r="B124" s="822" t="s">
        <v>120</v>
      </c>
      <c r="C124" s="825" t="s">
        <v>121</v>
      </c>
      <c r="D124" s="823"/>
      <c r="E124" s="841"/>
      <c r="F124" s="840">
        <v>99</v>
      </c>
      <c r="G124" s="730"/>
      <c r="H124" s="731"/>
      <c r="I124" s="730">
        <v>1200216</v>
      </c>
      <c r="J124" s="731">
        <v>1200216</v>
      </c>
      <c r="K124" s="730"/>
      <c r="L124" s="731"/>
      <c r="M124" s="730"/>
      <c r="N124" s="730"/>
      <c r="O124" s="732">
        <f t="shared" si="13"/>
        <v>0</v>
      </c>
      <c r="P124" s="731"/>
      <c r="Q124" s="731"/>
      <c r="R124" s="733">
        <f t="shared" si="16"/>
        <v>0</v>
      </c>
      <c r="S124" s="732">
        <f t="shared" si="17"/>
        <v>1200216</v>
      </c>
      <c r="T124" s="733">
        <f t="shared" si="18"/>
        <v>1200216</v>
      </c>
      <c r="U124" s="730"/>
      <c r="V124" s="731"/>
      <c r="W124" s="730"/>
      <c r="X124" s="730"/>
      <c r="Y124" s="732">
        <f t="shared" si="14"/>
        <v>0</v>
      </c>
      <c r="Z124" s="731"/>
      <c r="AA124" s="731"/>
      <c r="AB124" s="733">
        <f t="shared" si="15"/>
        <v>0</v>
      </c>
      <c r="AC124" s="730"/>
      <c r="AD124" s="731"/>
      <c r="AE124" s="730"/>
      <c r="AF124" s="730"/>
      <c r="AG124" s="731"/>
      <c r="AH124" s="731"/>
      <c r="AI124" s="732">
        <f t="shared" si="19"/>
        <v>1200216</v>
      </c>
      <c r="AJ124" s="733">
        <f t="shared" si="20"/>
        <v>1200216</v>
      </c>
    </row>
    <row r="125" spans="1:36">
      <c r="A125" s="821" t="s">
        <v>61</v>
      </c>
      <c r="B125" s="822" t="s">
        <v>120</v>
      </c>
      <c r="C125" s="825" t="s">
        <v>122</v>
      </c>
      <c r="D125" s="823"/>
      <c r="E125" s="841"/>
      <c r="F125" s="840">
        <v>99</v>
      </c>
      <c r="G125" s="730"/>
      <c r="H125" s="731"/>
      <c r="I125" s="730">
        <v>6203025</v>
      </c>
      <c r="J125" s="731">
        <f>5203025+2000000</f>
        <v>7203025</v>
      </c>
      <c r="K125" s="730"/>
      <c r="L125" s="731"/>
      <c r="M125" s="730"/>
      <c r="N125" s="730"/>
      <c r="O125" s="732">
        <f t="shared" si="13"/>
        <v>0</v>
      </c>
      <c r="P125" s="731"/>
      <c r="Q125" s="731"/>
      <c r="R125" s="733">
        <f t="shared" si="16"/>
        <v>0</v>
      </c>
      <c r="S125" s="732">
        <f t="shared" si="17"/>
        <v>6203025</v>
      </c>
      <c r="T125" s="733">
        <f t="shared" si="18"/>
        <v>7203025</v>
      </c>
      <c r="U125" s="730"/>
      <c r="V125" s="731"/>
      <c r="W125" s="730"/>
      <c r="X125" s="730"/>
      <c r="Y125" s="732">
        <f t="shared" si="14"/>
        <v>0</v>
      </c>
      <c r="Z125" s="731"/>
      <c r="AA125" s="731"/>
      <c r="AB125" s="733">
        <f t="shared" si="15"/>
        <v>0</v>
      </c>
      <c r="AC125" s="730"/>
      <c r="AD125" s="731"/>
      <c r="AE125" s="730"/>
      <c r="AF125" s="730"/>
      <c r="AG125" s="731"/>
      <c r="AH125" s="731"/>
      <c r="AI125" s="732">
        <f t="shared" si="19"/>
        <v>6203025</v>
      </c>
      <c r="AJ125" s="733">
        <f t="shared" si="20"/>
        <v>7203025</v>
      </c>
    </row>
    <row r="126" spans="1:36">
      <c r="A126" s="821" t="s">
        <v>61</v>
      </c>
      <c r="B126" s="822" t="s">
        <v>123</v>
      </c>
      <c r="C126" s="824" t="s">
        <v>100</v>
      </c>
      <c r="D126" s="823"/>
      <c r="E126" s="841"/>
      <c r="F126" s="840">
        <v>99</v>
      </c>
      <c r="G126" s="730"/>
      <c r="H126" s="731"/>
      <c r="I126" s="730"/>
      <c r="J126" s="731"/>
      <c r="K126" s="730"/>
      <c r="L126" s="731"/>
      <c r="M126" s="730"/>
      <c r="N126" s="730"/>
      <c r="O126" s="732">
        <f t="shared" si="13"/>
        <v>0</v>
      </c>
      <c r="P126" s="731"/>
      <c r="Q126" s="731"/>
      <c r="R126" s="733">
        <f t="shared" si="16"/>
        <v>0</v>
      </c>
      <c r="S126" s="732">
        <f t="shared" si="17"/>
        <v>0</v>
      </c>
      <c r="T126" s="733">
        <f t="shared" si="18"/>
        <v>0</v>
      </c>
      <c r="U126" s="730"/>
      <c r="V126" s="731"/>
      <c r="W126" s="730"/>
      <c r="X126" s="730"/>
      <c r="Y126" s="732">
        <f t="shared" si="14"/>
        <v>0</v>
      </c>
      <c r="Z126" s="731"/>
      <c r="AA126" s="731"/>
      <c r="AB126" s="733">
        <f t="shared" si="15"/>
        <v>0</v>
      </c>
      <c r="AC126" s="730"/>
      <c r="AD126" s="731"/>
      <c r="AE126" s="730"/>
      <c r="AF126" s="730"/>
      <c r="AG126" s="731"/>
      <c r="AH126" s="731"/>
      <c r="AI126" s="732">
        <f t="shared" si="19"/>
        <v>0</v>
      </c>
      <c r="AJ126" s="733">
        <f t="shared" si="20"/>
        <v>0</v>
      </c>
    </row>
    <row r="127" spans="1:36">
      <c r="A127" s="821" t="s">
        <v>61</v>
      </c>
      <c r="B127" s="822" t="s">
        <v>123</v>
      </c>
      <c r="C127" s="825" t="s">
        <v>124</v>
      </c>
      <c r="D127" s="823"/>
      <c r="E127" s="841"/>
      <c r="F127" s="840">
        <v>99</v>
      </c>
      <c r="G127" s="730"/>
      <c r="H127" s="731"/>
      <c r="I127" s="730">
        <v>303428</v>
      </c>
      <c r="J127" s="731">
        <v>303428</v>
      </c>
      <c r="K127" s="730"/>
      <c r="L127" s="731"/>
      <c r="M127" s="730"/>
      <c r="N127" s="730"/>
      <c r="O127" s="732">
        <f t="shared" si="13"/>
        <v>0</v>
      </c>
      <c r="P127" s="731"/>
      <c r="Q127" s="731"/>
      <c r="R127" s="733">
        <f t="shared" si="16"/>
        <v>0</v>
      </c>
      <c r="S127" s="732">
        <f t="shared" si="17"/>
        <v>303428</v>
      </c>
      <c r="T127" s="733">
        <f t="shared" si="18"/>
        <v>303428</v>
      </c>
      <c r="U127" s="730"/>
      <c r="V127" s="731"/>
      <c r="W127" s="730"/>
      <c r="X127" s="730"/>
      <c r="Y127" s="732">
        <f t="shared" si="14"/>
        <v>0</v>
      </c>
      <c r="Z127" s="731"/>
      <c r="AA127" s="731"/>
      <c r="AB127" s="733">
        <f t="shared" si="15"/>
        <v>0</v>
      </c>
      <c r="AC127" s="730"/>
      <c r="AD127" s="731"/>
      <c r="AE127" s="730"/>
      <c r="AF127" s="730"/>
      <c r="AG127" s="731"/>
      <c r="AH127" s="731"/>
      <c r="AI127" s="732">
        <f t="shared" si="19"/>
        <v>303428</v>
      </c>
      <c r="AJ127" s="733">
        <f t="shared" si="20"/>
        <v>303428</v>
      </c>
    </row>
    <row r="128" spans="1:36">
      <c r="A128" s="821" t="s">
        <v>61</v>
      </c>
      <c r="B128" s="822" t="s">
        <v>123</v>
      </c>
      <c r="C128" s="825" t="s">
        <v>88</v>
      </c>
      <c r="D128" s="823"/>
      <c r="E128" s="841"/>
      <c r="F128" s="840">
        <v>99</v>
      </c>
      <c r="G128" s="730"/>
      <c r="H128" s="731"/>
      <c r="I128" s="730">
        <v>539524</v>
      </c>
      <c r="J128" s="731">
        <v>539524</v>
      </c>
      <c r="K128" s="730"/>
      <c r="L128" s="731"/>
      <c r="M128" s="730"/>
      <c r="N128" s="730"/>
      <c r="O128" s="732">
        <f t="shared" si="13"/>
        <v>0</v>
      </c>
      <c r="P128" s="731"/>
      <c r="Q128" s="731"/>
      <c r="R128" s="733">
        <f t="shared" si="16"/>
        <v>0</v>
      </c>
      <c r="S128" s="732">
        <f t="shared" si="17"/>
        <v>539524</v>
      </c>
      <c r="T128" s="733">
        <f t="shared" si="18"/>
        <v>539524</v>
      </c>
      <c r="U128" s="730"/>
      <c r="V128" s="731"/>
      <c r="W128" s="730"/>
      <c r="X128" s="730"/>
      <c r="Y128" s="732">
        <f t="shared" si="14"/>
        <v>0</v>
      </c>
      <c r="Z128" s="731"/>
      <c r="AA128" s="731"/>
      <c r="AB128" s="733">
        <f t="shared" si="15"/>
        <v>0</v>
      </c>
      <c r="AC128" s="730"/>
      <c r="AD128" s="731"/>
      <c r="AE128" s="730"/>
      <c r="AF128" s="730"/>
      <c r="AG128" s="731"/>
      <c r="AH128" s="731"/>
      <c r="AI128" s="732">
        <f t="shared" si="19"/>
        <v>539524</v>
      </c>
      <c r="AJ128" s="733">
        <f t="shared" si="20"/>
        <v>539524</v>
      </c>
    </row>
    <row r="129" spans="1:36">
      <c r="A129" s="821" t="s">
        <v>61</v>
      </c>
      <c r="B129" s="822" t="s">
        <v>123</v>
      </c>
      <c r="C129" s="825" t="s">
        <v>125</v>
      </c>
      <c r="D129" s="823"/>
      <c r="E129" s="833"/>
      <c r="F129" s="840">
        <v>99</v>
      </c>
      <c r="G129" s="730"/>
      <c r="H129" s="731"/>
      <c r="I129" s="730">
        <v>5392437</v>
      </c>
      <c r="J129" s="731">
        <v>5548437</v>
      </c>
      <c r="K129" s="730"/>
      <c r="L129" s="731"/>
      <c r="M129" s="730"/>
      <c r="N129" s="730"/>
      <c r="O129" s="732">
        <f t="shared" si="13"/>
        <v>0</v>
      </c>
      <c r="P129" s="731"/>
      <c r="Q129" s="731"/>
      <c r="R129" s="733">
        <f t="shared" si="16"/>
        <v>0</v>
      </c>
      <c r="S129" s="732">
        <f t="shared" si="17"/>
        <v>5392437</v>
      </c>
      <c r="T129" s="733">
        <f t="shared" si="18"/>
        <v>5548437</v>
      </c>
      <c r="U129" s="730"/>
      <c r="V129" s="731"/>
      <c r="W129" s="730"/>
      <c r="X129" s="730"/>
      <c r="Y129" s="732">
        <f t="shared" si="14"/>
        <v>0</v>
      </c>
      <c r="Z129" s="731"/>
      <c r="AA129" s="731"/>
      <c r="AB129" s="733">
        <f t="shared" si="15"/>
        <v>0</v>
      </c>
      <c r="AC129" s="730"/>
      <c r="AD129" s="731"/>
      <c r="AE129" s="730"/>
      <c r="AF129" s="730"/>
      <c r="AG129" s="731"/>
      <c r="AH129" s="731"/>
      <c r="AI129" s="732">
        <f t="shared" si="19"/>
        <v>5392437</v>
      </c>
      <c r="AJ129" s="733">
        <f t="shared" si="20"/>
        <v>5548437</v>
      </c>
    </row>
    <row r="130" spans="1:36">
      <c r="A130" s="821" t="s">
        <v>61</v>
      </c>
      <c r="B130" s="822" t="s">
        <v>123</v>
      </c>
      <c r="C130" s="824" t="s">
        <v>126</v>
      </c>
      <c r="D130" s="823"/>
      <c r="E130" s="841"/>
      <c r="F130" s="840">
        <v>99</v>
      </c>
      <c r="G130" s="730"/>
      <c r="H130" s="731"/>
      <c r="I130" s="730">
        <v>41722953</v>
      </c>
      <c r="J130" s="731">
        <f>4725281+18182385+1000000+13471894+7160778</f>
        <v>44540338</v>
      </c>
      <c r="K130" s="730"/>
      <c r="L130" s="731"/>
      <c r="M130" s="730"/>
      <c r="N130" s="730"/>
      <c r="O130" s="732">
        <f t="shared" si="13"/>
        <v>0</v>
      </c>
      <c r="P130" s="731"/>
      <c r="Q130" s="731"/>
      <c r="R130" s="733">
        <f t="shared" si="16"/>
        <v>0</v>
      </c>
      <c r="S130" s="732">
        <f t="shared" si="17"/>
        <v>41722953</v>
      </c>
      <c r="T130" s="733">
        <f t="shared" si="18"/>
        <v>44540338</v>
      </c>
      <c r="U130" s="730"/>
      <c r="V130" s="731"/>
      <c r="W130" s="730"/>
      <c r="X130" s="730"/>
      <c r="Y130" s="732">
        <f t="shared" si="14"/>
        <v>0</v>
      </c>
      <c r="Z130" s="731"/>
      <c r="AA130" s="731"/>
      <c r="AB130" s="733">
        <f t="shared" si="15"/>
        <v>0</v>
      </c>
      <c r="AC130" s="730"/>
      <c r="AD130" s="731"/>
      <c r="AE130" s="730"/>
      <c r="AF130" s="730"/>
      <c r="AG130" s="731"/>
      <c r="AH130" s="731"/>
      <c r="AI130" s="732">
        <f t="shared" si="19"/>
        <v>41722953</v>
      </c>
      <c r="AJ130" s="733">
        <f t="shared" si="20"/>
        <v>44540338</v>
      </c>
    </row>
    <row r="131" spans="1:36">
      <c r="A131" s="821" t="s">
        <v>61</v>
      </c>
      <c r="B131" s="822" t="s">
        <v>123</v>
      </c>
      <c r="C131" s="825" t="s">
        <v>127</v>
      </c>
      <c r="D131" s="823"/>
      <c r="E131" s="841"/>
      <c r="F131" s="840">
        <v>99</v>
      </c>
      <c r="G131" s="730"/>
      <c r="H131" s="731"/>
      <c r="I131" s="730">
        <v>5448518</v>
      </c>
      <c r="J131" s="731">
        <v>5448518</v>
      </c>
      <c r="K131" s="730"/>
      <c r="L131" s="731"/>
      <c r="M131" s="730"/>
      <c r="N131" s="730"/>
      <c r="O131" s="732">
        <f t="shared" si="13"/>
        <v>0</v>
      </c>
      <c r="P131" s="731"/>
      <c r="Q131" s="731"/>
      <c r="R131" s="733">
        <f t="shared" si="16"/>
        <v>0</v>
      </c>
      <c r="S131" s="732">
        <f t="shared" si="17"/>
        <v>5448518</v>
      </c>
      <c r="T131" s="733">
        <f t="shared" si="18"/>
        <v>5448518</v>
      </c>
      <c r="U131" s="730"/>
      <c r="V131" s="731"/>
      <c r="W131" s="730"/>
      <c r="X131" s="730"/>
      <c r="Y131" s="732">
        <f t="shared" si="14"/>
        <v>0</v>
      </c>
      <c r="Z131" s="731"/>
      <c r="AA131" s="731"/>
      <c r="AB131" s="733">
        <f t="shared" si="15"/>
        <v>0</v>
      </c>
      <c r="AC131" s="730"/>
      <c r="AD131" s="731"/>
      <c r="AE131" s="730"/>
      <c r="AF131" s="730"/>
      <c r="AG131" s="731"/>
      <c r="AH131" s="731"/>
      <c r="AI131" s="732">
        <f t="shared" si="19"/>
        <v>5448518</v>
      </c>
      <c r="AJ131" s="733">
        <f t="shared" si="20"/>
        <v>5448518</v>
      </c>
    </row>
    <row r="132" spans="1:36">
      <c r="A132" s="821" t="s">
        <v>61</v>
      </c>
      <c r="B132" s="822" t="s">
        <v>123</v>
      </c>
      <c r="C132" s="825" t="s">
        <v>128</v>
      </c>
      <c r="D132" s="823"/>
      <c r="E132" s="833"/>
      <c r="F132" s="840">
        <v>99</v>
      </c>
      <c r="G132" s="730"/>
      <c r="H132" s="731"/>
      <c r="I132" s="730">
        <v>1939901</v>
      </c>
      <c r="J132" s="731">
        <v>1939901</v>
      </c>
      <c r="K132" s="730"/>
      <c r="L132" s="731"/>
      <c r="M132" s="730"/>
      <c r="N132" s="730"/>
      <c r="O132" s="732">
        <f t="shared" si="13"/>
        <v>0</v>
      </c>
      <c r="P132" s="731"/>
      <c r="Q132" s="731"/>
      <c r="R132" s="733">
        <f t="shared" si="16"/>
        <v>0</v>
      </c>
      <c r="S132" s="732">
        <f t="shared" si="17"/>
        <v>1939901</v>
      </c>
      <c r="T132" s="733">
        <f t="shared" si="18"/>
        <v>1939901</v>
      </c>
      <c r="U132" s="730"/>
      <c r="V132" s="731"/>
      <c r="W132" s="730"/>
      <c r="X132" s="730"/>
      <c r="Y132" s="732">
        <f t="shared" si="14"/>
        <v>0</v>
      </c>
      <c r="Z132" s="731"/>
      <c r="AA132" s="731"/>
      <c r="AB132" s="733">
        <f t="shared" si="15"/>
        <v>0</v>
      </c>
      <c r="AC132" s="730"/>
      <c r="AD132" s="731"/>
      <c r="AE132" s="730"/>
      <c r="AF132" s="730"/>
      <c r="AG132" s="731"/>
      <c r="AH132" s="731"/>
      <c r="AI132" s="732">
        <f t="shared" si="19"/>
        <v>1939901</v>
      </c>
      <c r="AJ132" s="733">
        <f t="shared" si="20"/>
        <v>1939901</v>
      </c>
    </row>
    <row r="133" spans="1:36">
      <c r="A133" s="821" t="s">
        <v>61</v>
      </c>
      <c r="B133" s="822" t="s">
        <v>123</v>
      </c>
      <c r="C133" s="825" t="s">
        <v>129</v>
      </c>
      <c r="D133" s="823"/>
      <c r="E133" s="833"/>
      <c r="F133" s="840">
        <v>99</v>
      </c>
      <c r="G133" s="730"/>
      <c r="H133" s="731"/>
      <c r="I133" s="730">
        <v>2000000</v>
      </c>
      <c r="J133" s="731">
        <v>2000000</v>
      </c>
      <c r="K133" s="730"/>
      <c r="L133" s="731"/>
      <c r="M133" s="730"/>
      <c r="N133" s="730"/>
      <c r="O133" s="732">
        <f t="shared" si="13"/>
        <v>0</v>
      </c>
      <c r="P133" s="731"/>
      <c r="Q133" s="731"/>
      <c r="R133" s="733">
        <f t="shared" si="16"/>
        <v>0</v>
      </c>
      <c r="S133" s="732">
        <f t="shared" si="17"/>
        <v>2000000</v>
      </c>
      <c r="T133" s="733">
        <f t="shared" si="18"/>
        <v>2000000</v>
      </c>
      <c r="U133" s="730"/>
      <c r="V133" s="731"/>
      <c r="W133" s="730"/>
      <c r="X133" s="730"/>
      <c r="Y133" s="732">
        <f t="shared" si="14"/>
        <v>0</v>
      </c>
      <c r="Z133" s="731"/>
      <c r="AA133" s="731"/>
      <c r="AB133" s="733">
        <f t="shared" si="15"/>
        <v>0</v>
      </c>
      <c r="AC133" s="730"/>
      <c r="AD133" s="731"/>
      <c r="AE133" s="730"/>
      <c r="AF133" s="730"/>
      <c r="AG133" s="731"/>
      <c r="AH133" s="731"/>
      <c r="AI133" s="732">
        <f t="shared" si="19"/>
        <v>2000000</v>
      </c>
      <c r="AJ133" s="733">
        <f t="shared" si="20"/>
        <v>2000000</v>
      </c>
    </row>
    <row r="134" spans="1:36">
      <c r="A134" s="821" t="s">
        <v>61</v>
      </c>
      <c r="B134" s="822" t="s">
        <v>123</v>
      </c>
      <c r="C134" s="825" t="s">
        <v>130</v>
      </c>
      <c r="D134" s="823"/>
      <c r="E134" s="833"/>
      <c r="F134" s="840">
        <v>99</v>
      </c>
      <c r="G134" s="730"/>
      <c r="H134" s="731"/>
      <c r="I134" s="730">
        <v>2635782</v>
      </c>
      <c r="J134" s="731">
        <v>1635782</v>
      </c>
      <c r="K134" s="730"/>
      <c r="L134" s="731"/>
      <c r="M134" s="730"/>
      <c r="N134" s="730"/>
      <c r="O134" s="732">
        <f t="shared" si="13"/>
        <v>0</v>
      </c>
      <c r="P134" s="731"/>
      <c r="Q134" s="731"/>
      <c r="R134" s="733">
        <f t="shared" si="16"/>
        <v>0</v>
      </c>
      <c r="S134" s="732">
        <f t="shared" si="17"/>
        <v>2635782</v>
      </c>
      <c r="T134" s="733">
        <f t="shared" si="18"/>
        <v>1635782</v>
      </c>
      <c r="U134" s="730"/>
      <c r="V134" s="731"/>
      <c r="W134" s="730"/>
      <c r="X134" s="730"/>
      <c r="Y134" s="732">
        <f t="shared" si="14"/>
        <v>0</v>
      </c>
      <c r="Z134" s="731"/>
      <c r="AA134" s="731"/>
      <c r="AB134" s="733">
        <f t="shared" si="15"/>
        <v>0</v>
      </c>
      <c r="AC134" s="730"/>
      <c r="AD134" s="731"/>
      <c r="AE134" s="730"/>
      <c r="AF134" s="730"/>
      <c r="AG134" s="731"/>
      <c r="AH134" s="731"/>
      <c r="AI134" s="732">
        <f t="shared" si="19"/>
        <v>2635782</v>
      </c>
      <c r="AJ134" s="733">
        <f t="shared" si="20"/>
        <v>1635782</v>
      </c>
    </row>
    <row r="135" spans="1:36">
      <c r="A135" s="821" t="s">
        <v>61</v>
      </c>
      <c r="B135" s="822" t="s">
        <v>123</v>
      </c>
      <c r="C135" s="825" t="s">
        <v>1055</v>
      </c>
      <c r="D135" s="823"/>
      <c r="E135" s="833"/>
      <c r="F135" s="840">
        <v>99</v>
      </c>
      <c r="G135" s="730"/>
      <c r="H135" s="731"/>
      <c r="I135" s="730">
        <v>210000</v>
      </c>
      <c r="J135" s="731">
        <v>210000</v>
      </c>
      <c r="K135" s="730"/>
      <c r="L135" s="731"/>
      <c r="M135" s="730"/>
      <c r="N135" s="730"/>
      <c r="O135" s="732">
        <f t="shared" si="13"/>
        <v>0</v>
      </c>
      <c r="P135" s="731"/>
      <c r="Q135" s="731"/>
      <c r="R135" s="733">
        <f t="shared" si="16"/>
        <v>0</v>
      </c>
      <c r="S135" s="732">
        <f t="shared" si="17"/>
        <v>210000</v>
      </c>
      <c r="T135" s="733">
        <f t="shared" si="18"/>
        <v>210000</v>
      </c>
      <c r="U135" s="730"/>
      <c r="V135" s="731"/>
      <c r="W135" s="730"/>
      <c r="X135" s="730"/>
      <c r="Y135" s="732">
        <f t="shared" si="14"/>
        <v>0</v>
      </c>
      <c r="Z135" s="731"/>
      <c r="AA135" s="731"/>
      <c r="AB135" s="733">
        <f t="shared" si="15"/>
        <v>0</v>
      </c>
      <c r="AC135" s="730"/>
      <c r="AD135" s="731"/>
      <c r="AE135" s="730"/>
      <c r="AF135" s="730"/>
      <c r="AG135" s="731"/>
      <c r="AH135" s="731"/>
      <c r="AI135" s="732">
        <f t="shared" si="19"/>
        <v>210000</v>
      </c>
      <c r="AJ135" s="733">
        <f t="shared" si="20"/>
        <v>210000</v>
      </c>
    </row>
    <row r="136" spans="1:36">
      <c r="A136" s="821" t="s">
        <v>61</v>
      </c>
      <c r="B136" s="822" t="s">
        <v>123</v>
      </c>
      <c r="C136" s="825" t="s">
        <v>1056</v>
      </c>
      <c r="D136" s="823"/>
      <c r="E136" s="833"/>
      <c r="F136" s="840">
        <v>99</v>
      </c>
      <c r="G136" s="730"/>
      <c r="H136" s="731"/>
      <c r="I136" s="730">
        <v>262500</v>
      </c>
      <c r="J136" s="731">
        <v>262500</v>
      </c>
      <c r="K136" s="730"/>
      <c r="L136" s="731"/>
      <c r="M136" s="730"/>
      <c r="N136" s="730"/>
      <c r="O136" s="732">
        <f t="shared" si="13"/>
        <v>0</v>
      </c>
      <c r="P136" s="731"/>
      <c r="Q136" s="731"/>
      <c r="R136" s="733">
        <f t="shared" si="16"/>
        <v>0</v>
      </c>
      <c r="S136" s="732">
        <f t="shared" si="17"/>
        <v>262500</v>
      </c>
      <c r="T136" s="733">
        <f t="shared" si="18"/>
        <v>262500</v>
      </c>
      <c r="U136" s="730"/>
      <c r="V136" s="731"/>
      <c r="W136" s="730"/>
      <c r="X136" s="730"/>
      <c r="Y136" s="732">
        <f t="shared" si="14"/>
        <v>0</v>
      </c>
      <c r="Z136" s="731"/>
      <c r="AA136" s="731"/>
      <c r="AB136" s="733">
        <f t="shared" si="15"/>
        <v>0</v>
      </c>
      <c r="AC136" s="730"/>
      <c r="AD136" s="731"/>
      <c r="AE136" s="730"/>
      <c r="AF136" s="730"/>
      <c r="AG136" s="731"/>
      <c r="AH136" s="731"/>
      <c r="AI136" s="732">
        <f t="shared" si="19"/>
        <v>262500</v>
      </c>
      <c r="AJ136" s="733">
        <f t="shared" si="20"/>
        <v>262500</v>
      </c>
    </row>
    <row r="137" spans="1:36">
      <c r="A137" s="821" t="s">
        <v>61</v>
      </c>
      <c r="B137" s="822" t="s">
        <v>123</v>
      </c>
      <c r="C137" s="825" t="s">
        <v>1057</v>
      </c>
      <c r="D137" s="823"/>
      <c r="E137" s="833"/>
      <c r="F137" s="840">
        <v>99</v>
      </c>
      <c r="G137" s="730"/>
      <c r="H137" s="731"/>
      <c r="I137" s="730">
        <v>3375000</v>
      </c>
      <c r="J137" s="731">
        <v>3375000</v>
      </c>
      <c r="K137" s="730"/>
      <c r="L137" s="731"/>
      <c r="M137" s="730"/>
      <c r="N137" s="730"/>
      <c r="O137" s="732">
        <f t="shared" si="13"/>
        <v>0</v>
      </c>
      <c r="P137" s="731"/>
      <c r="Q137" s="731"/>
      <c r="R137" s="733">
        <f t="shared" si="16"/>
        <v>0</v>
      </c>
      <c r="S137" s="732">
        <f t="shared" si="17"/>
        <v>3375000</v>
      </c>
      <c r="T137" s="733">
        <f t="shared" si="18"/>
        <v>3375000</v>
      </c>
      <c r="U137" s="730"/>
      <c r="V137" s="731"/>
      <c r="W137" s="730"/>
      <c r="X137" s="730"/>
      <c r="Y137" s="732">
        <f t="shared" si="14"/>
        <v>0</v>
      </c>
      <c r="Z137" s="731"/>
      <c r="AA137" s="731"/>
      <c r="AB137" s="733">
        <f t="shared" si="15"/>
        <v>0</v>
      </c>
      <c r="AC137" s="730"/>
      <c r="AD137" s="731"/>
      <c r="AE137" s="730"/>
      <c r="AF137" s="730"/>
      <c r="AG137" s="731"/>
      <c r="AH137" s="731"/>
      <c r="AI137" s="732">
        <f t="shared" si="19"/>
        <v>3375000</v>
      </c>
      <c r="AJ137" s="733">
        <f t="shared" si="20"/>
        <v>3375000</v>
      </c>
    </row>
    <row r="138" spans="1:36">
      <c r="A138" s="821" t="s">
        <v>61</v>
      </c>
      <c r="B138" s="822" t="s">
        <v>123</v>
      </c>
      <c r="C138" s="825" t="s">
        <v>1058</v>
      </c>
      <c r="D138" s="823"/>
      <c r="E138" s="833"/>
      <c r="F138" s="840">
        <v>99</v>
      </c>
      <c r="G138" s="730"/>
      <c r="H138" s="731"/>
      <c r="I138" s="730">
        <v>125000</v>
      </c>
      <c r="J138" s="731">
        <v>125000</v>
      </c>
      <c r="K138" s="730"/>
      <c r="L138" s="731"/>
      <c r="M138" s="730"/>
      <c r="N138" s="730"/>
      <c r="O138" s="732">
        <f t="shared" ref="O138:O201" si="21">SUM(M138:N138)</f>
        <v>0</v>
      </c>
      <c r="P138" s="731"/>
      <c r="Q138" s="731"/>
      <c r="R138" s="733">
        <f t="shared" si="16"/>
        <v>0</v>
      </c>
      <c r="S138" s="732">
        <f t="shared" si="17"/>
        <v>125000</v>
      </c>
      <c r="T138" s="733">
        <f t="shared" si="18"/>
        <v>125000</v>
      </c>
      <c r="U138" s="730"/>
      <c r="V138" s="731"/>
      <c r="W138" s="730"/>
      <c r="X138" s="730"/>
      <c r="Y138" s="732">
        <f t="shared" ref="Y138:Y201" si="22">SUM(W138:X138)</f>
        <v>0</v>
      </c>
      <c r="Z138" s="731"/>
      <c r="AA138" s="731"/>
      <c r="AB138" s="733">
        <f t="shared" ref="AB138:AB201" si="23">SUM(Z138:AA138)</f>
        <v>0</v>
      </c>
      <c r="AC138" s="730"/>
      <c r="AD138" s="731"/>
      <c r="AE138" s="730"/>
      <c r="AF138" s="730"/>
      <c r="AG138" s="731"/>
      <c r="AH138" s="731"/>
      <c r="AI138" s="732">
        <f t="shared" si="19"/>
        <v>125000</v>
      </c>
      <c r="AJ138" s="733">
        <f t="shared" si="20"/>
        <v>125000</v>
      </c>
    </row>
    <row r="139" spans="1:36">
      <c r="A139" s="821" t="s">
        <v>61</v>
      </c>
      <c r="B139" s="822" t="s">
        <v>123</v>
      </c>
      <c r="C139" s="825" t="s">
        <v>1059</v>
      </c>
      <c r="D139" s="823"/>
      <c r="E139" s="833"/>
      <c r="F139" s="840">
        <v>99</v>
      </c>
      <c r="G139" s="730"/>
      <c r="H139" s="731"/>
      <c r="I139" s="730">
        <v>450000</v>
      </c>
      <c r="J139" s="731">
        <v>450000</v>
      </c>
      <c r="K139" s="730"/>
      <c r="L139" s="731"/>
      <c r="M139" s="730"/>
      <c r="N139" s="730"/>
      <c r="O139" s="732">
        <f t="shared" si="21"/>
        <v>0</v>
      </c>
      <c r="P139" s="731"/>
      <c r="Q139" s="731"/>
      <c r="R139" s="733">
        <f t="shared" ref="R139:R202" si="24">SUM(P139:Q139)</f>
        <v>0</v>
      </c>
      <c r="S139" s="732">
        <f t="shared" ref="S139:S202" si="25">SUM(G139,I139,K139,M139)</f>
        <v>450000</v>
      </c>
      <c r="T139" s="733">
        <f t="shared" ref="T139:T202" si="26">SUM(H139,J139,L139,P139)</f>
        <v>450000</v>
      </c>
      <c r="U139" s="730"/>
      <c r="V139" s="731"/>
      <c r="W139" s="730"/>
      <c r="X139" s="730"/>
      <c r="Y139" s="732">
        <f t="shared" si="22"/>
        <v>0</v>
      </c>
      <c r="Z139" s="731"/>
      <c r="AA139" s="731"/>
      <c r="AB139" s="733">
        <f t="shared" si="23"/>
        <v>0</v>
      </c>
      <c r="AC139" s="730"/>
      <c r="AD139" s="731"/>
      <c r="AE139" s="730"/>
      <c r="AF139" s="730"/>
      <c r="AG139" s="731"/>
      <c r="AH139" s="731"/>
      <c r="AI139" s="732">
        <f t="shared" ref="AI139:AI202" si="27">SUM(S139,U139,W139,AC139,AE139)</f>
        <v>450000</v>
      </c>
      <c r="AJ139" s="733">
        <f t="shared" ref="AJ139:AJ202" si="28">SUM(T139,V139,Z139,AD139,AG139)</f>
        <v>450000</v>
      </c>
    </row>
    <row r="140" spans="1:36">
      <c r="A140" s="821" t="s">
        <v>61</v>
      </c>
      <c r="B140" s="822" t="s">
        <v>123</v>
      </c>
      <c r="C140" s="825" t="s">
        <v>131</v>
      </c>
      <c r="D140" s="823"/>
      <c r="E140" s="841"/>
      <c r="F140" s="840">
        <v>99</v>
      </c>
      <c r="G140" s="730"/>
      <c r="H140" s="731"/>
      <c r="I140" s="730">
        <v>1300000</v>
      </c>
      <c r="J140" s="731">
        <v>350000</v>
      </c>
      <c r="K140" s="730"/>
      <c r="L140" s="731"/>
      <c r="M140" s="730"/>
      <c r="N140" s="730"/>
      <c r="O140" s="732">
        <f t="shared" si="21"/>
        <v>0</v>
      </c>
      <c r="P140" s="731"/>
      <c r="Q140" s="731"/>
      <c r="R140" s="733">
        <f t="shared" si="24"/>
        <v>0</v>
      </c>
      <c r="S140" s="732">
        <f t="shared" si="25"/>
        <v>1300000</v>
      </c>
      <c r="T140" s="733">
        <f t="shared" si="26"/>
        <v>350000</v>
      </c>
      <c r="U140" s="730"/>
      <c r="V140" s="731"/>
      <c r="W140" s="730"/>
      <c r="X140" s="730"/>
      <c r="Y140" s="732">
        <f t="shared" si="22"/>
        <v>0</v>
      </c>
      <c r="Z140" s="731"/>
      <c r="AA140" s="731"/>
      <c r="AB140" s="733">
        <f t="shared" si="23"/>
        <v>0</v>
      </c>
      <c r="AC140" s="730"/>
      <c r="AD140" s="731"/>
      <c r="AE140" s="730"/>
      <c r="AF140" s="730"/>
      <c r="AG140" s="731"/>
      <c r="AH140" s="731"/>
      <c r="AI140" s="732">
        <f t="shared" si="27"/>
        <v>1300000</v>
      </c>
      <c r="AJ140" s="733">
        <f t="shared" si="28"/>
        <v>350000</v>
      </c>
    </row>
    <row r="141" spans="1:36">
      <c r="A141" s="821" t="s">
        <v>61</v>
      </c>
      <c r="B141" s="822" t="s">
        <v>123</v>
      </c>
      <c r="C141" s="825" t="s">
        <v>1426</v>
      </c>
      <c r="D141" s="823"/>
      <c r="E141" s="841"/>
      <c r="F141" s="840">
        <v>99</v>
      </c>
      <c r="G141" s="730"/>
      <c r="H141" s="731"/>
      <c r="I141" s="730"/>
      <c r="J141" s="731">
        <v>1000000</v>
      </c>
      <c r="K141" s="730"/>
      <c r="L141" s="731"/>
      <c r="M141" s="730"/>
      <c r="N141" s="730"/>
      <c r="O141" s="732">
        <f t="shared" si="21"/>
        <v>0</v>
      </c>
      <c r="P141" s="731"/>
      <c r="Q141" s="731"/>
      <c r="R141" s="733">
        <f t="shared" si="24"/>
        <v>0</v>
      </c>
      <c r="S141" s="732">
        <f t="shared" si="25"/>
        <v>0</v>
      </c>
      <c r="T141" s="733">
        <f t="shared" si="26"/>
        <v>1000000</v>
      </c>
      <c r="U141" s="730"/>
      <c r="V141" s="731"/>
      <c r="W141" s="730"/>
      <c r="X141" s="730"/>
      <c r="Y141" s="732">
        <f t="shared" si="22"/>
        <v>0</v>
      </c>
      <c r="Z141" s="731"/>
      <c r="AA141" s="731"/>
      <c r="AB141" s="733">
        <f t="shared" si="23"/>
        <v>0</v>
      </c>
      <c r="AC141" s="730"/>
      <c r="AD141" s="731"/>
      <c r="AE141" s="730"/>
      <c r="AF141" s="730"/>
      <c r="AG141" s="731"/>
      <c r="AH141" s="731"/>
      <c r="AI141" s="732">
        <f t="shared" si="27"/>
        <v>0</v>
      </c>
      <c r="AJ141" s="733">
        <f t="shared" si="28"/>
        <v>1000000</v>
      </c>
    </row>
    <row r="142" spans="1:36">
      <c r="A142" s="821" t="s">
        <v>61</v>
      </c>
      <c r="B142" s="822" t="s">
        <v>123</v>
      </c>
      <c r="C142" s="825" t="s">
        <v>1427</v>
      </c>
      <c r="D142" s="823"/>
      <c r="E142" s="841"/>
      <c r="F142" s="840">
        <v>99</v>
      </c>
      <c r="G142" s="730"/>
      <c r="H142" s="731"/>
      <c r="I142" s="730"/>
      <c r="J142" s="731">
        <v>1000000</v>
      </c>
      <c r="K142" s="730"/>
      <c r="L142" s="731"/>
      <c r="M142" s="730"/>
      <c r="N142" s="730"/>
      <c r="O142" s="732">
        <f t="shared" si="21"/>
        <v>0</v>
      </c>
      <c r="P142" s="731"/>
      <c r="Q142" s="731"/>
      <c r="R142" s="733">
        <f t="shared" si="24"/>
        <v>0</v>
      </c>
      <c r="S142" s="732">
        <f t="shared" si="25"/>
        <v>0</v>
      </c>
      <c r="T142" s="733">
        <f t="shared" si="26"/>
        <v>1000000</v>
      </c>
      <c r="U142" s="730"/>
      <c r="V142" s="731"/>
      <c r="W142" s="730"/>
      <c r="X142" s="730"/>
      <c r="Y142" s="732">
        <f t="shared" si="22"/>
        <v>0</v>
      </c>
      <c r="Z142" s="731"/>
      <c r="AA142" s="731"/>
      <c r="AB142" s="733">
        <f t="shared" si="23"/>
        <v>0</v>
      </c>
      <c r="AC142" s="730"/>
      <c r="AD142" s="731"/>
      <c r="AE142" s="730"/>
      <c r="AF142" s="730"/>
      <c r="AG142" s="731"/>
      <c r="AH142" s="731"/>
      <c r="AI142" s="732">
        <f t="shared" si="27"/>
        <v>0</v>
      </c>
      <c r="AJ142" s="733">
        <f t="shared" si="28"/>
        <v>1000000</v>
      </c>
    </row>
    <row r="143" spans="1:36">
      <c r="A143" s="821" t="s">
        <v>61</v>
      </c>
      <c r="B143" s="822" t="s">
        <v>123</v>
      </c>
      <c r="C143" s="825" t="s">
        <v>1428</v>
      </c>
      <c r="D143" s="823"/>
      <c r="E143" s="841"/>
      <c r="F143" s="840">
        <v>99</v>
      </c>
      <c r="G143" s="730"/>
      <c r="H143" s="731"/>
      <c r="I143" s="730"/>
      <c r="J143" s="731">
        <v>400000</v>
      </c>
      <c r="K143" s="730"/>
      <c r="L143" s="731"/>
      <c r="M143" s="730"/>
      <c r="N143" s="730"/>
      <c r="O143" s="732">
        <f t="shared" si="21"/>
        <v>0</v>
      </c>
      <c r="P143" s="731"/>
      <c r="Q143" s="731"/>
      <c r="R143" s="733">
        <f t="shared" si="24"/>
        <v>0</v>
      </c>
      <c r="S143" s="732">
        <f t="shared" si="25"/>
        <v>0</v>
      </c>
      <c r="T143" s="733">
        <f t="shared" si="26"/>
        <v>400000</v>
      </c>
      <c r="U143" s="730"/>
      <c r="V143" s="731"/>
      <c r="W143" s="730"/>
      <c r="X143" s="730"/>
      <c r="Y143" s="732">
        <f t="shared" si="22"/>
        <v>0</v>
      </c>
      <c r="Z143" s="731"/>
      <c r="AA143" s="731"/>
      <c r="AB143" s="733">
        <f t="shared" si="23"/>
        <v>0</v>
      </c>
      <c r="AC143" s="730"/>
      <c r="AD143" s="731"/>
      <c r="AE143" s="730"/>
      <c r="AF143" s="730"/>
      <c r="AG143" s="731"/>
      <c r="AH143" s="731"/>
      <c r="AI143" s="732">
        <f t="shared" si="27"/>
        <v>0</v>
      </c>
      <c r="AJ143" s="733">
        <f t="shared" si="28"/>
        <v>400000</v>
      </c>
    </row>
    <row r="144" spans="1:36">
      <c r="A144" s="821" t="s">
        <v>61</v>
      </c>
      <c r="B144" s="822" t="s">
        <v>123</v>
      </c>
      <c r="C144" s="825" t="s">
        <v>1429</v>
      </c>
      <c r="D144" s="823"/>
      <c r="E144" s="841"/>
      <c r="F144" s="836">
        <v>99</v>
      </c>
      <c r="G144" s="730"/>
      <c r="H144" s="731"/>
      <c r="I144" s="730"/>
      <c r="J144" s="731">
        <v>200000</v>
      </c>
      <c r="K144" s="730"/>
      <c r="L144" s="731"/>
      <c r="M144" s="730"/>
      <c r="N144" s="730"/>
      <c r="O144" s="732">
        <f t="shared" si="21"/>
        <v>0</v>
      </c>
      <c r="P144" s="731"/>
      <c r="Q144" s="731"/>
      <c r="R144" s="733">
        <f t="shared" si="24"/>
        <v>0</v>
      </c>
      <c r="S144" s="732">
        <f t="shared" si="25"/>
        <v>0</v>
      </c>
      <c r="T144" s="733">
        <f t="shared" si="26"/>
        <v>200000</v>
      </c>
      <c r="U144" s="730"/>
      <c r="V144" s="731"/>
      <c r="W144" s="730"/>
      <c r="X144" s="730"/>
      <c r="Y144" s="732">
        <f t="shared" si="22"/>
        <v>0</v>
      </c>
      <c r="Z144" s="731"/>
      <c r="AA144" s="731"/>
      <c r="AB144" s="733">
        <f t="shared" si="23"/>
        <v>0</v>
      </c>
      <c r="AC144" s="730"/>
      <c r="AD144" s="731"/>
      <c r="AE144" s="730"/>
      <c r="AF144" s="730"/>
      <c r="AG144" s="731"/>
      <c r="AH144" s="731"/>
      <c r="AI144" s="732">
        <f t="shared" si="27"/>
        <v>0</v>
      </c>
      <c r="AJ144" s="733">
        <f t="shared" si="28"/>
        <v>200000</v>
      </c>
    </row>
    <row r="145" spans="1:36" s="13" customFormat="1" ht="12.75" customHeight="1">
      <c r="A145" s="821" t="s">
        <v>61</v>
      </c>
      <c r="B145" s="822" t="s">
        <v>123</v>
      </c>
      <c r="C145" s="825" t="s">
        <v>1647</v>
      </c>
      <c r="D145" s="823"/>
      <c r="E145" s="841"/>
      <c r="F145" s="840">
        <v>99</v>
      </c>
      <c r="G145" s="730"/>
      <c r="H145" s="731"/>
      <c r="I145" s="730"/>
      <c r="J145" s="731"/>
      <c r="K145" s="730"/>
      <c r="L145" s="731"/>
      <c r="M145" s="730"/>
      <c r="N145" s="730"/>
      <c r="O145" s="732">
        <f t="shared" si="21"/>
        <v>0</v>
      </c>
      <c r="P145" s="731"/>
      <c r="Q145" s="731"/>
      <c r="R145" s="733">
        <f t="shared" si="24"/>
        <v>0</v>
      </c>
      <c r="S145" s="732">
        <f t="shared" si="25"/>
        <v>0</v>
      </c>
      <c r="T145" s="733">
        <f t="shared" si="26"/>
        <v>0</v>
      </c>
      <c r="U145" s="730"/>
      <c r="V145" s="731"/>
      <c r="W145" s="730"/>
      <c r="X145" s="730"/>
      <c r="Y145" s="732">
        <f t="shared" si="22"/>
        <v>0</v>
      </c>
      <c r="Z145" s="731"/>
      <c r="AA145" s="731"/>
      <c r="AB145" s="733">
        <f t="shared" si="23"/>
        <v>0</v>
      </c>
      <c r="AC145" s="730"/>
      <c r="AD145" s="731">
        <v>2000000</v>
      </c>
      <c r="AE145" s="730"/>
      <c r="AF145" s="730"/>
      <c r="AG145" s="731"/>
      <c r="AH145" s="731"/>
      <c r="AI145" s="732">
        <f t="shared" si="27"/>
        <v>0</v>
      </c>
      <c r="AJ145" s="733">
        <f t="shared" si="28"/>
        <v>2000000</v>
      </c>
    </row>
    <row r="146" spans="1:36">
      <c r="A146" s="821" t="s">
        <v>61</v>
      </c>
      <c r="B146" s="822" t="s">
        <v>132</v>
      </c>
      <c r="C146" s="827" t="s">
        <v>133</v>
      </c>
      <c r="D146" s="827"/>
      <c r="E146" s="841"/>
      <c r="F146" s="840">
        <v>99</v>
      </c>
      <c r="G146" s="730"/>
      <c r="H146" s="731"/>
      <c r="I146" s="730"/>
      <c r="J146" s="731"/>
      <c r="K146" s="730"/>
      <c r="L146" s="731"/>
      <c r="M146" s="730"/>
      <c r="N146" s="730"/>
      <c r="O146" s="732">
        <f t="shared" si="21"/>
        <v>0</v>
      </c>
      <c r="P146" s="731"/>
      <c r="Q146" s="731"/>
      <c r="R146" s="733">
        <f t="shared" si="24"/>
        <v>0</v>
      </c>
      <c r="S146" s="732">
        <f t="shared" si="25"/>
        <v>0</v>
      </c>
      <c r="T146" s="733">
        <f t="shared" si="26"/>
        <v>0</v>
      </c>
      <c r="U146" s="730"/>
      <c r="V146" s="731"/>
      <c r="W146" s="730"/>
      <c r="X146" s="730"/>
      <c r="Y146" s="732">
        <f t="shared" si="22"/>
        <v>0</v>
      </c>
      <c r="Z146" s="731"/>
      <c r="AA146" s="731"/>
      <c r="AB146" s="733">
        <f t="shared" si="23"/>
        <v>0</v>
      </c>
      <c r="AC146" s="730"/>
      <c r="AD146" s="731"/>
      <c r="AE146" s="730"/>
      <c r="AF146" s="730"/>
      <c r="AG146" s="731"/>
      <c r="AH146" s="731"/>
      <c r="AI146" s="732">
        <f t="shared" si="27"/>
        <v>0</v>
      </c>
      <c r="AJ146" s="733">
        <f t="shared" si="28"/>
        <v>0</v>
      </c>
    </row>
    <row r="147" spans="1:36">
      <c r="A147" s="821" t="s">
        <v>61</v>
      </c>
      <c r="B147" s="822" t="s">
        <v>132</v>
      </c>
      <c r="C147" s="825" t="s">
        <v>134</v>
      </c>
      <c r="D147" s="823"/>
      <c r="E147" s="841"/>
      <c r="F147" s="840">
        <v>99</v>
      </c>
      <c r="G147" s="730"/>
      <c r="H147" s="731"/>
      <c r="I147" s="730">
        <v>393067</v>
      </c>
      <c r="J147" s="731">
        <v>393067</v>
      </c>
      <c r="K147" s="730"/>
      <c r="L147" s="731"/>
      <c r="M147" s="730"/>
      <c r="N147" s="730"/>
      <c r="O147" s="732">
        <f t="shared" si="21"/>
        <v>0</v>
      </c>
      <c r="P147" s="731"/>
      <c r="Q147" s="731"/>
      <c r="R147" s="733">
        <f t="shared" si="24"/>
        <v>0</v>
      </c>
      <c r="S147" s="732">
        <f t="shared" si="25"/>
        <v>393067</v>
      </c>
      <c r="T147" s="733">
        <f t="shared" si="26"/>
        <v>393067</v>
      </c>
      <c r="U147" s="730"/>
      <c r="V147" s="731"/>
      <c r="W147" s="730"/>
      <c r="X147" s="730"/>
      <c r="Y147" s="732">
        <f t="shared" si="22"/>
        <v>0</v>
      </c>
      <c r="Z147" s="731"/>
      <c r="AA147" s="731"/>
      <c r="AB147" s="733">
        <f t="shared" si="23"/>
        <v>0</v>
      </c>
      <c r="AC147" s="730"/>
      <c r="AD147" s="731"/>
      <c r="AE147" s="730"/>
      <c r="AF147" s="730"/>
      <c r="AG147" s="731"/>
      <c r="AH147" s="731"/>
      <c r="AI147" s="732">
        <f t="shared" si="27"/>
        <v>393067</v>
      </c>
      <c r="AJ147" s="733">
        <f t="shared" si="28"/>
        <v>393067</v>
      </c>
    </row>
    <row r="148" spans="1:36">
      <c r="A148" s="821" t="s">
        <v>61</v>
      </c>
      <c r="B148" s="822" t="s">
        <v>132</v>
      </c>
      <c r="C148" s="825" t="s">
        <v>135</v>
      </c>
      <c r="D148" s="823"/>
      <c r="E148" s="841"/>
      <c r="F148" s="840">
        <v>99</v>
      </c>
      <c r="G148" s="730"/>
      <c r="H148" s="731"/>
      <c r="I148" s="730">
        <v>875000</v>
      </c>
      <c r="J148" s="731">
        <v>1000000</v>
      </c>
      <c r="K148" s="730"/>
      <c r="L148" s="731"/>
      <c r="M148" s="730"/>
      <c r="N148" s="730"/>
      <c r="O148" s="732">
        <f t="shared" si="21"/>
        <v>0</v>
      </c>
      <c r="P148" s="731"/>
      <c r="Q148" s="731"/>
      <c r="R148" s="733">
        <f t="shared" si="24"/>
        <v>0</v>
      </c>
      <c r="S148" s="732">
        <f t="shared" si="25"/>
        <v>875000</v>
      </c>
      <c r="T148" s="733">
        <f t="shared" si="26"/>
        <v>1000000</v>
      </c>
      <c r="U148" s="730"/>
      <c r="V148" s="731"/>
      <c r="W148" s="730"/>
      <c r="X148" s="730"/>
      <c r="Y148" s="732">
        <f t="shared" si="22"/>
        <v>0</v>
      </c>
      <c r="Z148" s="731"/>
      <c r="AA148" s="731"/>
      <c r="AB148" s="733">
        <f t="shared" si="23"/>
        <v>0</v>
      </c>
      <c r="AC148" s="730"/>
      <c r="AD148" s="731"/>
      <c r="AE148" s="730"/>
      <c r="AF148" s="730"/>
      <c r="AG148" s="731"/>
      <c r="AH148" s="731"/>
      <c r="AI148" s="732">
        <f t="shared" si="27"/>
        <v>875000</v>
      </c>
      <c r="AJ148" s="733">
        <f t="shared" si="28"/>
        <v>1000000</v>
      </c>
    </row>
    <row r="149" spans="1:36">
      <c r="A149" s="821" t="s">
        <v>61</v>
      </c>
      <c r="B149" s="822" t="s">
        <v>132</v>
      </c>
      <c r="C149" s="825" t="s">
        <v>136</v>
      </c>
      <c r="D149" s="823"/>
      <c r="E149" s="841"/>
      <c r="F149" s="840">
        <v>99</v>
      </c>
      <c r="G149" s="730"/>
      <c r="H149" s="731"/>
      <c r="I149" s="730"/>
      <c r="J149" s="731"/>
      <c r="K149" s="730"/>
      <c r="L149" s="731"/>
      <c r="M149" s="730"/>
      <c r="N149" s="730"/>
      <c r="O149" s="732">
        <f t="shared" si="21"/>
        <v>0</v>
      </c>
      <c r="P149" s="731"/>
      <c r="Q149" s="731"/>
      <c r="R149" s="733">
        <f t="shared" si="24"/>
        <v>0</v>
      </c>
      <c r="S149" s="732">
        <f t="shared" si="25"/>
        <v>0</v>
      </c>
      <c r="T149" s="733">
        <f t="shared" si="26"/>
        <v>0</v>
      </c>
      <c r="U149" s="730"/>
      <c r="V149" s="731"/>
      <c r="W149" s="730"/>
      <c r="X149" s="730"/>
      <c r="Y149" s="732">
        <f t="shared" si="22"/>
        <v>0</v>
      </c>
      <c r="Z149" s="731"/>
      <c r="AA149" s="731"/>
      <c r="AB149" s="733">
        <f t="shared" si="23"/>
        <v>0</v>
      </c>
      <c r="AC149" s="730"/>
      <c r="AD149" s="731"/>
      <c r="AE149" s="730"/>
      <c r="AF149" s="730"/>
      <c r="AG149" s="731"/>
      <c r="AH149" s="731"/>
      <c r="AI149" s="732">
        <f t="shared" si="27"/>
        <v>0</v>
      </c>
      <c r="AJ149" s="733">
        <f t="shared" si="28"/>
        <v>0</v>
      </c>
    </row>
    <row r="150" spans="1:36" s="13" customFormat="1" ht="12.75" customHeight="1">
      <c r="A150" s="821" t="s">
        <v>61</v>
      </c>
      <c r="B150" s="822" t="s">
        <v>132</v>
      </c>
      <c r="C150" s="825" t="s">
        <v>137</v>
      </c>
      <c r="D150" s="825" t="s">
        <v>137</v>
      </c>
      <c r="E150" s="833"/>
      <c r="F150" s="840">
        <v>99</v>
      </c>
      <c r="G150" s="730"/>
      <c r="H150" s="731"/>
      <c r="I150" s="730"/>
      <c r="J150" s="731"/>
      <c r="K150" s="730"/>
      <c r="L150" s="731"/>
      <c r="M150" s="730"/>
      <c r="N150" s="730"/>
      <c r="O150" s="732">
        <f t="shared" si="21"/>
        <v>0</v>
      </c>
      <c r="P150" s="731"/>
      <c r="Q150" s="731"/>
      <c r="R150" s="733">
        <f t="shared" si="24"/>
        <v>0</v>
      </c>
      <c r="S150" s="732">
        <f t="shared" si="25"/>
        <v>0</v>
      </c>
      <c r="T150" s="733">
        <f t="shared" si="26"/>
        <v>0</v>
      </c>
      <c r="U150" s="730"/>
      <c r="V150" s="731"/>
      <c r="W150" s="730"/>
      <c r="X150" s="730"/>
      <c r="Y150" s="732">
        <f t="shared" si="22"/>
        <v>0</v>
      </c>
      <c r="Z150" s="731"/>
      <c r="AA150" s="731"/>
      <c r="AB150" s="733">
        <f t="shared" si="23"/>
        <v>0</v>
      </c>
      <c r="AC150" s="730"/>
      <c r="AD150" s="731"/>
      <c r="AE150" s="730"/>
      <c r="AF150" s="730"/>
      <c r="AG150" s="731"/>
      <c r="AH150" s="731"/>
      <c r="AI150" s="732">
        <f t="shared" si="27"/>
        <v>0</v>
      </c>
      <c r="AJ150" s="733">
        <f t="shared" si="28"/>
        <v>0</v>
      </c>
    </row>
    <row r="151" spans="1:36">
      <c r="A151" s="821" t="s">
        <v>61</v>
      </c>
      <c r="B151" s="822" t="s">
        <v>132</v>
      </c>
      <c r="C151" s="825" t="s">
        <v>1430</v>
      </c>
      <c r="D151" s="823"/>
      <c r="E151" s="833"/>
      <c r="F151" s="840">
        <v>99</v>
      </c>
      <c r="G151" s="730"/>
      <c r="H151" s="731"/>
      <c r="I151" s="730">
        <v>240000</v>
      </c>
      <c r="J151" s="731">
        <v>270000</v>
      </c>
      <c r="K151" s="730"/>
      <c r="L151" s="731"/>
      <c r="M151" s="730"/>
      <c r="N151" s="730"/>
      <c r="O151" s="732">
        <f t="shared" si="21"/>
        <v>0</v>
      </c>
      <c r="P151" s="731"/>
      <c r="Q151" s="731"/>
      <c r="R151" s="733">
        <f t="shared" si="24"/>
        <v>0</v>
      </c>
      <c r="S151" s="732">
        <f t="shared" si="25"/>
        <v>240000</v>
      </c>
      <c r="T151" s="733">
        <f t="shared" si="26"/>
        <v>270000</v>
      </c>
      <c r="U151" s="730"/>
      <c r="V151" s="731"/>
      <c r="W151" s="730"/>
      <c r="X151" s="730"/>
      <c r="Y151" s="732">
        <f t="shared" si="22"/>
        <v>0</v>
      </c>
      <c r="Z151" s="731"/>
      <c r="AA151" s="731"/>
      <c r="AB151" s="733">
        <f t="shared" si="23"/>
        <v>0</v>
      </c>
      <c r="AC151" s="730"/>
      <c r="AD151" s="731"/>
      <c r="AE151" s="730"/>
      <c r="AF151" s="730"/>
      <c r="AG151" s="731"/>
      <c r="AH151" s="731"/>
      <c r="AI151" s="732">
        <f t="shared" si="27"/>
        <v>240000</v>
      </c>
      <c r="AJ151" s="733">
        <f t="shared" si="28"/>
        <v>270000</v>
      </c>
    </row>
    <row r="152" spans="1:36">
      <c r="A152" s="821" t="s">
        <v>61</v>
      </c>
      <c r="B152" s="822" t="s">
        <v>138</v>
      </c>
      <c r="C152" s="842" t="s">
        <v>139</v>
      </c>
      <c r="D152" s="823"/>
      <c r="E152" s="833"/>
      <c r="F152" s="840">
        <v>99</v>
      </c>
      <c r="G152" s="730"/>
      <c r="H152" s="731"/>
      <c r="I152" s="730"/>
      <c r="J152" s="731"/>
      <c r="K152" s="730"/>
      <c r="L152" s="731"/>
      <c r="M152" s="730"/>
      <c r="N152" s="730"/>
      <c r="O152" s="732">
        <f t="shared" si="21"/>
        <v>0</v>
      </c>
      <c r="P152" s="731"/>
      <c r="Q152" s="731"/>
      <c r="R152" s="733">
        <f t="shared" si="24"/>
        <v>0</v>
      </c>
      <c r="S152" s="732">
        <f t="shared" si="25"/>
        <v>0</v>
      </c>
      <c r="T152" s="733">
        <f t="shared" si="26"/>
        <v>0</v>
      </c>
      <c r="U152" s="730"/>
      <c r="V152" s="731"/>
      <c r="W152" s="730"/>
      <c r="X152" s="730"/>
      <c r="Y152" s="732">
        <f t="shared" si="22"/>
        <v>0</v>
      </c>
      <c r="Z152" s="731"/>
      <c r="AA152" s="731"/>
      <c r="AB152" s="733">
        <f t="shared" si="23"/>
        <v>0</v>
      </c>
      <c r="AC152" s="730"/>
      <c r="AD152" s="731"/>
      <c r="AE152" s="730"/>
      <c r="AF152" s="730"/>
      <c r="AG152" s="731"/>
      <c r="AH152" s="731"/>
      <c r="AI152" s="732">
        <f t="shared" si="27"/>
        <v>0</v>
      </c>
      <c r="AJ152" s="733">
        <f t="shared" si="28"/>
        <v>0</v>
      </c>
    </row>
    <row r="153" spans="1:36">
      <c r="A153" s="821" t="s">
        <v>61</v>
      </c>
      <c r="B153" s="822" t="s">
        <v>140</v>
      </c>
      <c r="C153" s="824" t="s">
        <v>141</v>
      </c>
      <c r="D153" s="842"/>
      <c r="E153" s="841"/>
      <c r="F153" s="840">
        <v>99</v>
      </c>
      <c r="G153" s="730"/>
      <c r="H153" s="731"/>
      <c r="I153" s="730"/>
      <c r="J153" s="731"/>
      <c r="K153" s="730"/>
      <c r="L153" s="731"/>
      <c r="M153" s="730"/>
      <c r="N153" s="730"/>
      <c r="O153" s="732">
        <f t="shared" si="21"/>
        <v>0</v>
      </c>
      <c r="P153" s="731"/>
      <c r="Q153" s="731"/>
      <c r="R153" s="733">
        <f t="shared" si="24"/>
        <v>0</v>
      </c>
      <c r="S153" s="732">
        <f t="shared" si="25"/>
        <v>0</v>
      </c>
      <c r="T153" s="733">
        <f t="shared" si="26"/>
        <v>0</v>
      </c>
      <c r="U153" s="730"/>
      <c r="V153" s="731"/>
      <c r="W153" s="730"/>
      <c r="X153" s="730"/>
      <c r="Y153" s="732">
        <f t="shared" si="22"/>
        <v>0</v>
      </c>
      <c r="Z153" s="731"/>
      <c r="AA153" s="731"/>
      <c r="AB153" s="733">
        <f t="shared" si="23"/>
        <v>0</v>
      </c>
      <c r="AC153" s="730"/>
      <c r="AD153" s="731"/>
      <c r="AE153" s="730"/>
      <c r="AF153" s="730"/>
      <c r="AG153" s="731"/>
      <c r="AH153" s="731"/>
      <c r="AI153" s="732">
        <f t="shared" si="27"/>
        <v>0</v>
      </c>
      <c r="AJ153" s="733">
        <f t="shared" si="28"/>
        <v>0</v>
      </c>
    </row>
    <row r="154" spans="1:36">
      <c r="A154" s="821" t="s">
        <v>61</v>
      </c>
      <c r="B154" s="822" t="s">
        <v>140</v>
      </c>
      <c r="C154" s="825" t="s">
        <v>1060</v>
      </c>
      <c r="D154" s="823"/>
      <c r="E154" s="841"/>
      <c r="F154" s="840">
        <v>99</v>
      </c>
      <c r="G154" s="730"/>
      <c r="H154" s="731"/>
      <c r="I154" s="730"/>
      <c r="J154" s="731"/>
      <c r="K154" s="730"/>
      <c r="L154" s="731"/>
      <c r="M154" s="730"/>
      <c r="N154" s="730"/>
      <c r="O154" s="732">
        <f t="shared" si="21"/>
        <v>0</v>
      </c>
      <c r="P154" s="731"/>
      <c r="Q154" s="731"/>
      <c r="R154" s="733">
        <f t="shared" si="24"/>
        <v>0</v>
      </c>
      <c r="S154" s="732">
        <f t="shared" si="25"/>
        <v>0</v>
      </c>
      <c r="T154" s="733">
        <f t="shared" si="26"/>
        <v>0</v>
      </c>
      <c r="U154" s="730">
        <v>3598466</v>
      </c>
      <c r="V154" s="731">
        <f>3598466+470000</f>
        <v>4068466</v>
      </c>
      <c r="W154" s="730"/>
      <c r="X154" s="730"/>
      <c r="Y154" s="732">
        <f t="shared" si="22"/>
        <v>0</v>
      </c>
      <c r="Z154" s="731"/>
      <c r="AA154" s="731"/>
      <c r="AB154" s="733">
        <f t="shared" si="23"/>
        <v>0</v>
      </c>
      <c r="AC154" s="730"/>
      <c r="AD154" s="731"/>
      <c r="AE154" s="730"/>
      <c r="AF154" s="730"/>
      <c r="AG154" s="731"/>
      <c r="AH154" s="731"/>
      <c r="AI154" s="732">
        <f t="shared" si="27"/>
        <v>3598466</v>
      </c>
      <c r="AJ154" s="733">
        <f t="shared" si="28"/>
        <v>4068466</v>
      </c>
    </row>
    <row r="155" spans="1:36">
      <c r="A155" s="821" t="s">
        <v>61</v>
      </c>
      <c r="B155" s="822" t="s">
        <v>142</v>
      </c>
      <c r="C155" s="824" t="s">
        <v>143</v>
      </c>
      <c r="D155" s="823"/>
      <c r="E155" s="841"/>
      <c r="F155" s="840">
        <v>99</v>
      </c>
      <c r="G155" s="730"/>
      <c r="H155" s="731"/>
      <c r="I155" s="730"/>
      <c r="J155" s="731"/>
      <c r="K155" s="730"/>
      <c r="L155" s="731"/>
      <c r="M155" s="730"/>
      <c r="N155" s="730"/>
      <c r="O155" s="732">
        <f t="shared" si="21"/>
        <v>0</v>
      </c>
      <c r="P155" s="731"/>
      <c r="Q155" s="731"/>
      <c r="R155" s="733">
        <f t="shared" si="24"/>
        <v>0</v>
      </c>
      <c r="S155" s="732">
        <f t="shared" si="25"/>
        <v>0</v>
      </c>
      <c r="T155" s="733">
        <f t="shared" si="26"/>
        <v>0</v>
      </c>
      <c r="U155" s="730"/>
      <c r="V155" s="731"/>
      <c r="W155" s="730"/>
      <c r="X155" s="730"/>
      <c r="Y155" s="732">
        <f t="shared" si="22"/>
        <v>0</v>
      </c>
      <c r="Z155" s="731"/>
      <c r="AA155" s="731"/>
      <c r="AB155" s="733">
        <f t="shared" si="23"/>
        <v>0</v>
      </c>
      <c r="AC155" s="730"/>
      <c r="AD155" s="731"/>
      <c r="AE155" s="730"/>
      <c r="AF155" s="730"/>
      <c r="AG155" s="731"/>
      <c r="AH155" s="731"/>
      <c r="AI155" s="732">
        <f t="shared" si="27"/>
        <v>0</v>
      </c>
      <c r="AJ155" s="733">
        <f t="shared" si="28"/>
        <v>0</v>
      </c>
    </row>
    <row r="156" spans="1:36">
      <c r="A156" s="821" t="s">
        <v>61</v>
      </c>
      <c r="B156" s="822" t="s">
        <v>142</v>
      </c>
      <c r="C156" s="825" t="s">
        <v>1061</v>
      </c>
      <c r="D156" s="823"/>
      <c r="E156" s="841"/>
      <c r="F156" s="840">
        <v>99</v>
      </c>
      <c r="G156" s="730"/>
      <c r="H156" s="731"/>
      <c r="I156" s="730"/>
      <c r="J156" s="731"/>
      <c r="K156" s="730"/>
      <c r="L156" s="731"/>
      <c r="M156" s="730"/>
      <c r="N156" s="730"/>
      <c r="O156" s="732">
        <f t="shared" si="21"/>
        <v>0</v>
      </c>
      <c r="P156" s="731"/>
      <c r="Q156" s="731"/>
      <c r="R156" s="733">
        <f t="shared" si="24"/>
        <v>0</v>
      </c>
      <c r="S156" s="732">
        <f t="shared" si="25"/>
        <v>0</v>
      </c>
      <c r="T156" s="733">
        <f t="shared" si="26"/>
        <v>0</v>
      </c>
      <c r="U156" s="730">
        <v>12081721</v>
      </c>
      <c r="V156" s="731">
        <v>12081721</v>
      </c>
      <c r="W156" s="730"/>
      <c r="X156" s="730"/>
      <c r="Y156" s="732">
        <f t="shared" si="22"/>
        <v>0</v>
      </c>
      <c r="Z156" s="731"/>
      <c r="AA156" s="731"/>
      <c r="AB156" s="733">
        <f t="shared" si="23"/>
        <v>0</v>
      </c>
      <c r="AC156" s="730"/>
      <c r="AD156" s="731"/>
      <c r="AE156" s="730"/>
      <c r="AF156" s="730"/>
      <c r="AG156" s="731"/>
      <c r="AH156" s="731"/>
      <c r="AI156" s="732">
        <f t="shared" si="27"/>
        <v>12081721</v>
      </c>
      <c r="AJ156" s="733">
        <f t="shared" si="28"/>
        <v>12081721</v>
      </c>
    </row>
    <row r="157" spans="1:36">
      <c r="A157" s="821" t="s">
        <v>61</v>
      </c>
      <c r="B157" s="822" t="s">
        <v>142</v>
      </c>
      <c r="C157" s="822" t="s">
        <v>144</v>
      </c>
      <c r="D157" s="823"/>
      <c r="E157" s="841"/>
      <c r="F157" s="840">
        <v>99</v>
      </c>
      <c r="G157" s="730">
        <v>8342490</v>
      </c>
      <c r="H157" s="731">
        <v>13177000</v>
      </c>
      <c r="I157" s="730"/>
      <c r="J157" s="731"/>
      <c r="K157" s="730"/>
      <c r="L157" s="731"/>
      <c r="M157" s="730"/>
      <c r="N157" s="730"/>
      <c r="O157" s="732">
        <f t="shared" si="21"/>
        <v>0</v>
      </c>
      <c r="P157" s="731"/>
      <c r="Q157" s="731"/>
      <c r="R157" s="733">
        <f t="shared" si="24"/>
        <v>0</v>
      </c>
      <c r="S157" s="732">
        <f t="shared" si="25"/>
        <v>8342490</v>
      </c>
      <c r="T157" s="733">
        <f t="shared" si="26"/>
        <v>13177000</v>
      </c>
      <c r="U157" s="730"/>
      <c r="V157" s="731"/>
      <c r="W157" s="730"/>
      <c r="X157" s="730"/>
      <c r="Y157" s="732">
        <f t="shared" si="22"/>
        <v>0</v>
      </c>
      <c r="Z157" s="731"/>
      <c r="AA157" s="731"/>
      <c r="AB157" s="733">
        <f t="shared" si="23"/>
        <v>0</v>
      </c>
      <c r="AC157" s="730"/>
      <c r="AD157" s="731"/>
      <c r="AE157" s="730"/>
      <c r="AF157" s="730"/>
      <c r="AG157" s="731"/>
      <c r="AH157" s="731"/>
      <c r="AI157" s="732">
        <f t="shared" si="27"/>
        <v>8342490</v>
      </c>
      <c r="AJ157" s="733">
        <f t="shared" si="28"/>
        <v>13177000</v>
      </c>
    </row>
    <row r="158" spans="1:36">
      <c r="A158" s="821" t="s">
        <v>61</v>
      </c>
      <c r="B158" s="822" t="s">
        <v>145</v>
      </c>
      <c r="C158" s="824" t="s">
        <v>146</v>
      </c>
      <c r="D158" s="839"/>
      <c r="E158" s="833"/>
      <c r="F158" s="840">
        <v>99</v>
      </c>
      <c r="G158" s="730"/>
      <c r="H158" s="731"/>
      <c r="I158" s="730"/>
      <c r="J158" s="731"/>
      <c r="K158" s="730"/>
      <c r="L158" s="731"/>
      <c r="M158" s="730"/>
      <c r="N158" s="730"/>
      <c r="O158" s="732">
        <f t="shared" si="21"/>
        <v>0</v>
      </c>
      <c r="P158" s="731"/>
      <c r="Q158" s="731"/>
      <c r="R158" s="733">
        <f t="shared" si="24"/>
        <v>0</v>
      </c>
      <c r="S158" s="732">
        <f t="shared" si="25"/>
        <v>0</v>
      </c>
      <c r="T158" s="733">
        <f t="shared" si="26"/>
        <v>0</v>
      </c>
      <c r="U158" s="730"/>
      <c r="V158" s="731"/>
      <c r="W158" s="730"/>
      <c r="X158" s="730"/>
      <c r="Y158" s="732">
        <f t="shared" si="22"/>
        <v>0</v>
      </c>
      <c r="Z158" s="731"/>
      <c r="AA158" s="731"/>
      <c r="AB158" s="733">
        <f t="shared" si="23"/>
        <v>0</v>
      </c>
      <c r="AC158" s="730"/>
      <c r="AD158" s="731"/>
      <c r="AE158" s="730"/>
      <c r="AF158" s="730"/>
      <c r="AG158" s="731"/>
      <c r="AH158" s="731"/>
      <c r="AI158" s="732">
        <f t="shared" si="27"/>
        <v>0</v>
      </c>
      <c r="AJ158" s="733">
        <f t="shared" si="28"/>
        <v>0</v>
      </c>
    </row>
    <row r="159" spans="1:36">
      <c r="A159" s="821" t="s">
        <v>61</v>
      </c>
      <c r="B159" s="822" t="s">
        <v>145</v>
      </c>
      <c r="C159" s="825" t="s">
        <v>147</v>
      </c>
      <c r="D159" s="823"/>
      <c r="E159" s="841"/>
      <c r="F159" s="840">
        <v>99</v>
      </c>
      <c r="G159" s="730"/>
      <c r="H159" s="731"/>
      <c r="I159" s="730"/>
      <c r="J159" s="731"/>
      <c r="K159" s="730"/>
      <c r="L159" s="731"/>
      <c r="M159" s="730"/>
      <c r="N159" s="730"/>
      <c r="O159" s="732">
        <f t="shared" si="21"/>
        <v>0</v>
      </c>
      <c r="P159" s="731"/>
      <c r="Q159" s="731"/>
      <c r="R159" s="733">
        <f t="shared" si="24"/>
        <v>0</v>
      </c>
      <c r="S159" s="732">
        <f t="shared" si="25"/>
        <v>0</v>
      </c>
      <c r="T159" s="733">
        <f t="shared" si="26"/>
        <v>0</v>
      </c>
      <c r="U159" s="730">
        <v>209508</v>
      </c>
      <c r="V159" s="731">
        <v>209508</v>
      </c>
      <c r="W159" s="730"/>
      <c r="X159" s="730"/>
      <c r="Y159" s="732">
        <f t="shared" si="22"/>
        <v>0</v>
      </c>
      <c r="Z159" s="731"/>
      <c r="AA159" s="731"/>
      <c r="AB159" s="733">
        <f t="shared" si="23"/>
        <v>0</v>
      </c>
      <c r="AC159" s="730"/>
      <c r="AD159" s="731"/>
      <c r="AE159" s="730"/>
      <c r="AF159" s="730"/>
      <c r="AG159" s="731"/>
      <c r="AH159" s="731"/>
      <c r="AI159" s="732">
        <f t="shared" si="27"/>
        <v>209508</v>
      </c>
      <c r="AJ159" s="733">
        <f t="shared" si="28"/>
        <v>209508</v>
      </c>
    </row>
    <row r="160" spans="1:36">
      <c r="A160" s="821" t="s">
        <v>61</v>
      </c>
      <c r="B160" s="822" t="s">
        <v>145</v>
      </c>
      <c r="C160" s="825" t="s">
        <v>148</v>
      </c>
      <c r="D160" s="823"/>
      <c r="E160" s="841"/>
      <c r="F160" s="840">
        <v>99</v>
      </c>
      <c r="G160" s="730"/>
      <c r="H160" s="731"/>
      <c r="I160" s="730"/>
      <c r="J160" s="731"/>
      <c r="K160" s="730"/>
      <c r="L160" s="731"/>
      <c r="M160" s="730"/>
      <c r="N160" s="730"/>
      <c r="O160" s="732">
        <f t="shared" si="21"/>
        <v>0</v>
      </c>
      <c r="P160" s="731"/>
      <c r="Q160" s="731"/>
      <c r="R160" s="733">
        <f t="shared" si="24"/>
        <v>0</v>
      </c>
      <c r="S160" s="732">
        <f t="shared" si="25"/>
        <v>0</v>
      </c>
      <c r="T160" s="733">
        <f t="shared" si="26"/>
        <v>0</v>
      </c>
      <c r="U160" s="730">
        <v>62982</v>
      </c>
      <c r="V160" s="731">
        <v>53000</v>
      </c>
      <c r="W160" s="730"/>
      <c r="X160" s="730"/>
      <c r="Y160" s="732">
        <f t="shared" si="22"/>
        <v>0</v>
      </c>
      <c r="Z160" s="731"/>
      <c r="AA160" s="731"/>
      <c r="AB160" s="733">
        <f t="shared" si="23"/>
        <v>0</v>
      </c>
      <c r="AC160" s="730"/>
      <c r="AD160" s="731"/>
      <c r="AE160" s="730"/>
      <c r="AF160" s="730"/>
      <c r="AG160" s="731"/>
      <c r="AH160" s="731"/>
      <c r="AI160" s="732">
        <f t="shared" si="27"/>
        <v>62982</v>
      </c>
      <c r="AJ160" s="733">
        <f t="shared" si="28"/>
        <v>53000</v>
      </c>
    </row>
    <row r="161" spans="1:36">
      <c r="A161" s="821" t="s">
        <v>61</v>
      </c>
      <c r="B161" s="822" t="s">
        <v>149</v>
      </c>
      <c r="C161" s="824" t="s">
        <v>150</v>
      </c>
      <c r="D161" s="823"/>
      <c r="E161" s="841"/>
      <c r="F161" s="840">
        <v>99</v>
      </c>
      <c r="G161" s="730"/>
      <c r="H161" s="731"/>
      <c r="I161" s="730"/>
      <c r="J161" s="731"/>
      <c r="K161" s="730"/>
      <c r="L161" s="731"/>
      <c r="M161" s="730"/>
      <c r="N161" s="730"/>
      <c r="O161" s="732">
        <f t="shared" si="21"/>
        <v>0</v>
      </c>
      <c r="P161" s="731"/>
      <c r="Q161" s="731"/>
      <c r="R161" s="733">
        <f t="shared" si="24"/>
        <v>0</v>
      </c>
      <c r="S161" s="732">
        <f t="shared" si="25"/>
        <v>0</v>
      </c>
      <c r="T161" s="733">
        <f t="shared" si="26"/>
        <v>0</v>
      </c>
      <c r="U161" s="730">
        <v>349561</v>
      </c>
      <c r="V161" s="731">
        <v>575110</v>
      </c>
      <c r="W161" s="730"/>
      <c r="X161" s="730"/>
      <c r="Y161" s="732">
        <f t="shared" si="22"/>
        <v>0</v>
      </c>
      <c r="Z161" s="731"/>
      <c r="AA161" s="731"/>
      <c r="AB161" s="733">
        <f t="shared" si="23"/>
        <v>0</v>
      </c>
      <c r="AC161" s="730"/>
      <c r="AD161" s="731"/>
      <c r="AE161" s="730"/>
      <c r="AF161" s="730"/>
      <c r="AG161" s="731"/>
      <c r="AH161" s="731"/>
      <c r="AI161" s="732">
        <f t="shared" si="27"/>
        <v>349561</v>
      </c>
      <c r="AJ161" s="733">
        <f t="shared" si="28"/>
        <v>575110</v>
      </c>
    </row>
    <row r="162" spans="1:36">
      <c r="A162" s="821" t="s">
        <v>61</v>
      </c>
      <c r="B162" s="822" t="s">
        <v>151</v>
      </c>
      <c r="C162" s="842" t="s">
        <v>152</v>
      </c>
      <c r="D162" s="823"/>
      <c r="E162" s="841"/>
      <c r="F162" s="840">
        <v>99</v>
      </c>
      <c r="G162" s="730"/>
      <c r="H162" s="731"/>
      <c r="I162" s="730"/>
      <c r="J162" s="731"/>
      <c r="K162" s="730"/>
      <c r="L162" s="731"/>
      <c r="M162" s="730"/>
      <c r="N162" s="730"/>
      <c r="O162" s="732">
        <f t="shared" si="21"/>
        <v>0</v>
      </c>
      <c r="P162" s="731"/>
      <c r="Q162" s="731"/>
      <c r="R162" s="733">
        <f t="shared" si="24"/>
        <v>0</v>
      </c>
      <c r="S162" s="732">
        <f t="shared" si="25"/>
        <v>0</v>
      </c>
      <c r="T162" s="733">
        <f t="shared" si="26"/>
        <v>0</v>
      </c>
      <c r="U162" s="730"/>
      <c r="V162" s="731"/>
      <c r="W162" s="730"/>
      <c r="X162" s="730"/>
      <c r="Y162" s="732">
        <f t="shared" si="22"/>
        <v>0</v>
      </c>
      <c r="Z162" s="731"/>
      <c r="AA162" s="731"/>
      <c r="AB162" s="733">
        <f t="shared" si="23"/>
        <v>0</v>
      </c>
      <c r="AC162" s="730"/>
      <c r="AD162" s="731"/>
      <c r="AE162" s="730"/>
      <c r="AF162" s="730"/>
      <c r="AG162" s="731"/>
      <c r="AH162" s="731"/>
      <c r="AI162" s="732">
        <f t="shared" si="27"/>
        <v>0</v>
      </c>
      <c r="AJ162" s="733">
        <f t="shared" si="28"/>
        <v>0</v>
      </c>
    </row>
    <row r="163" spans="1:36">
      <c r="A163" s="821" t="s">
        <v>61</v>
      </c>
      <c r="B163" s="822" t="s">
        <v>151</v>
      </c>
      <c r="C163" s="825" t="s">
        <v>153</v>
      </c>
      <c r="D163" s="842"/>
      <c r="E163" s="841"/>
      <c r="F163" s="840">
        <v>99</v>
      </c>
      <c r="G163" s="730"/>
      <c r="H163" s="731"/>
      <c r="I163" s="730"/>
      <c r="J163" s="731"/>
      <c r="K163" s="730"/>
      <c r="L163" s="731"/>
      <c r="M163" s="730"/>
      <c r="N163" s="730"/>
      <c r="O163" s="732">
        <f t="shared" si="21"/>
        <v>0</v>
      </c>
      <c r="P163" s="731"/>
      <c r="Q163" s="731"/>
      <c r="R163" s="733">
        <f t="shared" si="24"/>
        <v>0</v>
      </c>
      <c r="S163" s="732">
        <f t="shared" si="25"/>
        <v>0</v>
      </c>
      <c r="T163" s="733">
        <f t="shared" si="26"/>
        <v>0</v>
      </c>
      <c r="U163" s="730">
        <v>418486</v>
      </c>
      <c r="V163" s="731">
        <v>383486</v>
      </c>
      <c r="W163" s="730"/>
      <c r="X163" s="730"/>
      <c r="Y163" s="732">
        <f t="shared" si="22"/>
        <v>0</v>
      </c>
      <c r="Z163" s="731"/>
      <c r="AA163" s="731"/>
      <c r="AB163" s="733">
        <f t="shared" si="23"/>
        <v>0</v>
      </c>
      <c r="AC163" s="730"/>
      <c r="AD163" s="731"/>
      <c r="AE163" s="730"/>
      <c r="AF163" s="730"/>
      <c r="AG163" s="731"/>
      <c r="AH163" s="731"/>
      <c r="AI163" s="732">
        <f t="shared" si="27"/>
        <v>418486</v>
      </c>
      <c r="AJ163" s="733">
        <f t="shared" si="28"/>
        <v>383486</v>
      </c>
    </row>
    <row r="164" spans="1:36">
      <c r="A164" s="821" t="s">
        <v>61</v>
      </c>
      <c r="B164" s="822" t="s">
        <v>151</v>
      </c>
      <c r="C164" s="825" t="s">
        <v>154</v>
      </c>
      <c r="D164" s="823"/>
      <c r="E164" s="841"/>
      <c r="F164" s="840">
        <v>99</v>
      </c>
      <c r="G164" s="730"/>
      <c r="H164" s="731"/>
      <c r="I164" s="730"/>
      <c r="J164" s="731"/>
      <c r="K164" s="730"/>
      <c r="L164" s="731"/>
      <c r="M164" s="730"/>
      <c r="N164" s="730"/>
      <c r="O164" s="732">
        <f t="shared" si="21"/>
        <v>0</v>
      </c>
      <c r="P164" s="731"/>
      <c r="Q164" s="731"/>
      <c r="R164" s="733">
        <f t="shared" si="24"/>
        <v>0</v>
      </c>
      <c r="S164" s="732">
        <f t="shared" si="25"/>
        <v>0</v>
      </c>
      <c r="T164" s="733">
        <f t="shared" si="26"/>
        <v>0</v>
      </c>
      <c r="U164" s="730">
        <v>927147</v>
      </c>
      <c r="V164" s="731">
        <v>947147</v>
      </c>
      <c r="W164" s="730"/>
      <c r="X164" s="730"/>
      <c r="Y164" s="732">
        <f t="shared" si="22"/>
        <v>0</v>
      </c>
      <c r="Z164" s="731"/>
      <c r="AA164" s="731"/>
      <c r="AB164" s="733">
        <f t="shared" si="23"/>
        <v>0</v>
      </c>
      <c r="AC164" s="730"/>
      <c r="AD164" s="731"/>
      <c r="AE164" s="730"/>
      <c r="AF164" s="730"/>
      <c r="AG164" s="731"/>
      <c r="AH164" s="731"/>
      <c r="AI164" s="732">
        <f t="shared" si="27"/>
        <v>927147</v>
      </c>
      <c r="AJ164" s="733">
        <f t="shared" si="28"/>
        <v>947147</v>
      </c>
    </row>
    <row r="165" spans="1:36">
      <c r="A165" s="821" t="s">
        <v>61</v>
      </c>
      <c r="B165" s="822" t="s">
        <v>151</v>
      </c>
      <c r="C165" s="825" t="s">
        <v>155</v>
      </c>
      <c r="D165" s="823"/>
      <c r="E165" s="841"/>
      <c r="F165" s="840">
        <v>99</v>
      </c>
      <c r="G165" s="730"/>
      <c r="H165" s="731"/>
      <c r="I165" s="730"/>
      <c r="J165" s="731"/>
      <c r="K165" s="730"/>
      <c r="L165" s="731"/>
      <c r="M165" s="730"/>
      <c r="N165" s="730"/>
      <c r="O165" s="732">
        <f t="shared" si="21"/>
        <v>0</v>
      </c>
      <c r="P165" s="731"/>
      <c r="Q165" s="731"/>
      <c r="R165" s="733">
        <f t="shared" si="24"/>
        <v>0</v>
      </c>
      <c r="S165" s="732">
        <f t="shared" si="25"/>
        <v>0</v>
      </c>
      <c r="T165" s="733">
        <f t="shared" si="26"/>
        <v>0</v>
      </c>
      <c r="U165" s="730">
        <v>11501562</v>
      </c>
      <c r="V165" s="731">
        <v>12676562</v>
      </c>
      <c r="W165" s="730"/>
      <c r="X165" s="730"/>
      <c r="Y165" s="732">
        <f t="shared" si="22"/>
        <v>0</v>
      </c>
      <c r="Z165" s="731"/>
      <c r="AA165" s="731"/>
      <c r="AB165" s="733">
        <f t="shared" si="23"/>
        <v>0</v>
      </c>
      <c r="AC165" s="730"/>
      <c r="AD165" s="731"/>
      <c r="AE165" s="730"/>
      <c r="AF165" s="730"/>
      <c r="AG165" s="731"/>
      <c r="AH165" s="731"/>
      <c r="AI165" s="732">
        <f t="shared" si="27"/>
        <v>11501562</v>
      </c>
      <c r="AJ165" s="733">
        <f t="shared" si="28"/>
        <v>12676562</v>
      </c>
    </row>
    <row r="166" spans="1:36">
      <c r="A166" s="821" t="s">
        <v>61</v>
      </c>
      <c r="B166" s="822" t="s">
        <v>151</v>
      </c>
      <c r="C166" s="825" t="s">
        <v>156</v>
      </c>
      <c r="D166" s="823"/>
      <c r="E166" s="841"/>
      <c r="F166" s="840">
        <v>99</v>
      </c>
      <c r="G166" s="730"/>
      <c r="H166" s="731"/>
      <c r="I166" s="730"/>
      <c r="J166" s="731"/>
      <c r="K166" s="730"/>
      <c r="L166" s="731"/>
      <c r="M166" s="730"/>
      <c r="N166" s="730"/>
      <c r="O166" s="732">
        <f t="shared" si="21"/>
        <v>0</v>
      </c>
      <c r="P166" s="731"/>
      <c r="Q166" s="731"/>
      <c r="R166" s="733">
        <f t="shared" si="24"/>
        <v>0</v>
      </c>
      <c r="S166" s="732">
        <f t="shared" si="25"/>
        <v>0</v>
      </c>
      <c r="T166" s="733">
        <f t="shared" si="26"/>
        <v>0</v>
      </c>
      <c r="U166" s="730">
        <v>2723343</v>
      </c>
      <c r="V166" s="731">
        <v>2823343</v>
      </c>
      <c r="W166" s="730"/>
      <c r="X166" s="730"/>
      <c r="Y166" s="732">
        <f t="shared" si="22"/>
        <v>0</v>
      </c>
      <c r="Z166" s="731"/>
      <c r="AA166" s="731"/>
      <c r="AB166" s="733">
        <f t="shared" si="23"/>
        <v>0</v>
      </c>
      <c r="AC166" s="730"/>
      <c r="AD166" s="731"/>
      <c r="AE166" s="730"/>
      <c r="AF166" s="730"/>
      <c r="AG166" s="731"/>
      <c r="AH166" s="731"/>
      <c r="AI166" s="732">
        <f t="shared" si="27"/>
        <v>2723343</v>
      </c>
      <c r="AJ166" s="733">
        <f t="shared" si="28"/>
        <v>2823343</v>
      </c>
    </row>
    <row r="167" spans="1:36">
      <c r="A167" s="821" t="s">
        <v>61</v>
      </c>
      <c r="B167" s="822" t="s">
        <v>151</v>
      </c>
      <c r="C167" s="825" t="s">
        <v>1431</v>
      </c>
      <c r="D167" s="823"/>
      <c r="E167" s="841"/>
      <c r="F167" s="840">
        <v>99</v>
      </c>
      <c r="G167" s="730"/>
      <c r="H167" s="731"/>
      <c r="I167" s="730"/>
      <c r="J167" s="731"/>
      <c r="K167" s="730"/>
      <c r="L167" s="731"/>
      <c r="M167" s="730"/>
      <c r="N167" s="730"/>
      <c r="O167" s="732">
        <f t="shared" si="21"/>
        <v>0</v>
      </c>
      <c r="P167" s="731"/>
      <c r="Q167" s="731"/>
      <c r="R167" s="733">
        <f t="shared" si="24"/>
        <v>0</v>
      </c>
      <c r="S167" s="732">
        <f t="shared" si="25"/>
        <v>0</v>
      </c>
      <c r="T167" s="733">
        <f t="shared" si="26"/>
        <v>0</v>
      </c>
      <c r="U167" s="730">
        <v>135000</v>
      </c>
      <c r="V167" s="731">
        <v>100000</v>
      </c>
      <c r="W167" s="730"/>
      <c r="X167" s="730"/>
      <c r="Y167" s="732">
        <f t="shared" si="22"/>
        <v>0</v>
      </c>
      <c r="Z167" s="731"/>
      <c r="AA167" s="731"/>
      <c r="AB167" s="733">
        <f t="shared" si="23"/>
        <v>0</v>
      </c>
      <c r="AC167" s="730"/>
      <c r="AD167" s="731"/>
      <c r="AE167" s="730"/>
      <c r="AF167" s="730"/>
      <c r="AG167" s="731"/>
      <c r="AH167" s="731"/>
      <c r="AI167" s="732">
        <f t="shared" si="27"/>
        <v>135000</v>
      </c>
      <c r="AJ167" s="733">
        <f t="shared" si="28"/>
        <v>100000</v>
      </c>
    </row>
    <row r="168" spans="1:36">
      <c r="A168" s="821" t="s">
        <v>61</v>
      </c>
      <c r="B168" s="822" t="s">
        <v>157</v>
      </c>
      <c r="C168" s="824" t="s">
        <v>158</v>
      </c>
      <c r="D168" s="823"/>
      <c r="E168" s="841"/>
      <c r="F168" s="840">
        <v>99</v>
      </c>
      <c r="G168" s="730"/>
      <c r="H168" s="731"/>
      <c r="I168" s="730"/>
      <c r="J168" s="731"/>
      <c r="K168" s="730"/>
      <c r="L168" s="731"/>
      <c r="M168" s="730"/>
      <c r="N168" s="730"/>
      <c r="O168" s="732">
        <f t="shared" si="21"/>
        <v>0</v>
      </c>
      <c r="P168" s="731"/>
      <c r="Q168" s="731"/>
      <c r="R168" s="733">
        <f t="shared" si="24"/>
        <v>0</v>
      </c>
      <c r="S168" s="732">
        <f t="shared" si="25"/>
        <v>0</v>
      </c>
      <c r="T168" s="733">
        <f t="shared" si="26"/>
        <v>0</v>
      </c>
      <c r="U168" s="730"/>
      <c r="V168" s="731"/>
      <c r="W168" s="730"/>
      <c r="X168" s="730"/>
      <c r="Y168" s="732">
        <f t="shared" si="22"/>
        <v>0</v>
      </c>
      <c r="Z168" s="731"/>
      <c r="AA168" s="731"/>
      <c r="AB168" s="733">
        <f t="shared" si="23"/>
        <v>0</v>
      </c>
      <c r="AC168" s="730"/>
      <c r="AD168" s="731"/>
      <c r="AE168" s="730"/>
      <c r="AF168" s="730"/>
      <c r="AG168" s="731"/>
      <c r="AH168" s="731"/>
      <c r="AI168" s="732">
        <f t="shared" si="27"/>
        <v>0</v>
      </c>
      <c r="AJ168" s="733">
        <f t="shared" si="28"/>
        <v>0</v>
      </c>
    </row>
    <row r="169" spans="1:36">
      <c r="A169" s="821" t="s">
        <v>61</v>
      </c>
      <c r="B169" s="822" t="s">
        <v>159</v>
      </c>
      <c r="C169" s="842" t="s">
        <v>160</v>
      </c>
      <c r="D169" s="823"/>
      <c r="E169" s="841"/>
      <c r="F169" s="840">
        <v>99</v>
      </c>
      <c r="G169" s="730"/>
      <c r="H169" s="731"/>
      <c r="I169" s="730"/>
      <c r="J169" s="731"/>
      <c r="K169" s="730"/>
      <c r="L169" s="731"/>
      <c r="M169" s="730"/>
      <c r="N169" s="730"/>
      <c r="O169" s="732">
        <f t="shared" si="21"/>
        <v>0</v>
      </c>
      <c r="P169" s="731"/>
      <c r="Q169" s="731"/>
      <c r="R169" s="733">
        <f t="shared" si="24"/>
        <v>0</v>
      </c>
      <c r="S169" s="732">
        <f t="shared" si="25"/>
        <v>0</v>
      </c>
      <c r="T169" s="733">
        <f t="shared" si="26"/>
        <v>0</v>
      </c>
      <c r="U169" s="730"/>
      <c r="V169" s="731"/>
      <c r="W169" s="730"/>
      <c r="X169" s="730"/>
      <c r="Y169" s="732">
        <f t="shared" si="22"/>
        <v>0</v>
      </c>
      <c r="Z169" s="731"/>
      <c r="AA169" s="731"/>
      <c r="AB169" s="733">
        <f t="shared" si="23"/>
        <v>0</v>
      </c>
      <c r="AC169" s="730"/>
      <c r="AD169" s="731"/>
      <c r="AE169" s="730"/>
      <c r="AF169" s="730"/>
      <c r="AG169" s="731"/>
      <c r="AH169" s="731"/>
      <c r="AI169" s="732">
        <f t="shared" si="27"/>
        <v>0</v>
      </c>
      <c r="AJ169" s="733">
        <f t="shared" si="28"/>
        <v>0</v>
      </c>
    </row>
    <row r="170" spans="1:36">
      <c r="A170" s="821" t="s">
        <v>61</v>
      </c>
      <c r="B170" s="822" t="s">
        <v>161</v>
      </c>
      <c r="C170" s="843" t="s">
        <v>162</v>
      </c>
      <c r="D170" s="842"/>
      <c r="E170" s="841"/>
      <c r="F170" s="840">
        <v>99</v>
      </c>
      <c r="G170" s="730"/>
      <c r="H170" s="731"/>
      <c r="I170" s="730"/>
      <c r="J170" s="731"/>
      <c r="K170" s="730"/>
      <c r="L170" s="731"/>
      <c r="M170" s="730"/>
      <c r="N170" s="730"/>
      <c r="O170" s="732">
        <f t="shared" si="21"/>
        <v>0</v>
      </c>
      <c r="P170" s="731"/>
      <c r="Q170" s="731"/>
      <c r="R170" s="733">
        <f t="shared" si="24"/>
        <v>0</v>
      </c>
      <c r="S170" s="732">
        <f t="shared" si="25"/>
        <v>0</v>
      </c>
      <c r="T170" s="733">
        <f t="shared" si="26"/>
        <v>0</v>
      </c>
      <c r="U170" s="730"/>
      <c r="V170" s="731"/>
      <c r="W170" s="730"/>
      <c r="X170" s="730"/>
      <c r="Y170" s="732">
        <f t="shared" si="22"/>
        <v>0</v>
      </c>
      <c r="Z170" s="731"/>
      <c r="AA170" s="731"/>
      <c r="AB170" s="733">
        <f t="shared" si="23"/>
        <v>0</v>
      </c>
      <c r="AC170" s="730"/>
      <c r="AD170" s="731"/>
      <c r="AE170" s="730"/>
      <c r="AF170" s="730"/>
      <c r="AG170" s="731"/>
      <c r="AH170" s="731"/>
      <c r="AI170" s="732">
        <f t="shared" si="27"/>
        <v>0</v>
      </c>
      <c r="AJ170" s="733">
        <f t="shared" si="28"/>
        <v>0</v>
      </c>
    </row>
    <row r="171" spans="1:36">
      <c r="A171" s="821" t="s">
        <v>61</v>
      </c>
      <c r="B171" s="822" t="s">
        <v>161</v>
      </c>
      <c r="C171" s="844" t="s">
        <v>163</v>
      </c>
      <c r="D171" s="839"/>
      <c r="E171" s="841"/>
      <c r="F171" s="840">
        <v>99</v>
      </c>
      <c r="G171" s="730"/>
      <c r="H171" s="731"/>
      <c r="I171" s="730"/>
      <c r="J171" s="731"/>
      <c r="K171" s="730"/>
      <c r="L171" s="731"/>
      <c r="M171" s="730"/>
      <c r="N171" s="730"/>
      <c r="O171" s="732">
        <f t="shared" si="21"/>
        <v>0</v>
      </c>
      <c r="P171" s="731"/>
      <c r="Q171" s="731"/>
      <c r="R171" s="733">
        <f t="shared" si="24"/>
        <v>0</v>
      </c>
      <c r="S171" s="732">
        <f t="shared" si="25"/>
        <v>0</v>
      </c>
      <c r="T171" s="733">
        <f t="shared" si="26"/>
        <v>0</v>
      </c>
      <c r="U171" s="730"/>
      <c r="V171" s="731"/>
      <c r="W171" s="730"/>
      <c r="X171" s="730"/>
      <c r="Y171" s="732">
        <f t="shared" si="22"/>
        <v>0</v>
      </c>
      <c r="Z171" s="731"/>
      <c r="AA171" s="731"/>
      <c r="AB171" s="733">
        <f t="shared" si="23"/>
        <v>0</v>
      </c>
      <c r="AC171" s="730"/>
      <c r="AD171" s="731"/>
      <c r="AE171" s="730"/>
      <c r="AF171" s="730"/>
      <c r="AG171" s="731"/>
      <c r="AH171" s="731"/>
      <c r="AI171" s="732">
        <f t="shared" si="27"/>
        <v>0</v>
      </c>
      <c r="AJ171" s="733">
        <f t="shared" si="28"/>
        <v>0</v>
      </c>
    </row>
    <row r="172" spans="1:36">
      <c r="A172" s="821" t="s">
        <v>61</v>
      </c>
      <c r="B172" s="822" t="s">
        <v>164</v>
      </c>
      <c r="C172" s="825" t="s">
        <v>165</v>
      </c>
      <c r="D172" s="823"/>
      <c r="E172" s="841"/>
      <c r="F172" s="840">
        <v>99</v>
      </c>
      <c r="G172" s="730"/>
      <c r="H172" s="731"/>
      <c r="I172" s="730"/>
      <c r="J172" s="731"/>
      <c r="K172" s="730"/>
      <c r="L172" s="731"/>
      <c r="M172" s="730"/>
      <c r="N172" s="730"/>
      <c r="O172" s="732">
        <f t="shared" si="21"/>
        <v>0</v>
      </c>
      <c r="P172" s="731"/>
      <c r="Q172" s="731"/>
      <c r="R172" s="733">
        <f t="shared" si="24"/>
        <v>0</v>
      </c>
      <c r="S172" s="732">
        <f t="shared" si="25"/>
        <v>0</v>
      </c>
      <c r="T172" s="733">
        <f t="shared" si="26"/>
        <v>0</v>
      </c>
      <c r="U172" s="730"/>
      <c r="V172" s="731"/>
      <c r="W172" s="730"/>
      <c r="X172" s="730"/>
      <c r="Y172" s="732">
        <f t="shared" si="22"/>
        <v>0</v>
      </c>
      <c r="Z172" s="731"/>
      <c r="AA172" s="731"/>
      <c r="AB172" s="733">
        <f t="shared" si="23"/>
        <v>0</v>
      </c>
      <c r="AC172" s="730"/>
      <c r="AD172" s="731"/>
      <c r="AE172" s="730"/>
      <c r="AF172" s="730"/>
      <c r="AG172" s="731"/>
      <c r="AH172" s="731"/>
      <c r="AI172" s="732">
        <f t="shared" si="27"/>
        <v>0</v>
      </c>
      <c r="AJ172" s="733">
        <f t="shared" si="28"/>
        <v>0</v>
      </c>
    </row>
    <row r="173" spans="1:36">
      <c r="A173" s="821" t="s">
        <v>61</v>
      </c>
      <c r="B173" s="822" t="s">
        <v>166</v>
      </c>
      <c r="C173" s="825" t="s">
        <v>167</v>
      </c>
      <c r="D173" s="823"/>
      <c r="E173" s="841"/>
      <c r="F173" s="840">
        <v>99</v>
      </c>
      <c r="G173" s="730"/>
      <c r="H173" s="731"/>
      <c r="I173" s="730"/>
      <c r="J173" s="731"/>
      <c r="K173" s="730"/>
      <c r="L173" s="731"/>
      <c r="M173" s="730"/>
      <c r="N173" s="730"/>
      <c r="O173" s="732">
        <f t="shared" si="21"/>
        <v>0</v>
      </c>
      <c r="P173" s="731"/>
      <c r="Q173" s="731"/>
      <c r="R173" s="733">
        <f t="shared" si="24"/>
        <v>0</v>
      </c>
      <c r="S173" s="732">
        <f t="shared" si="25"/>
        <v>0</v>
      </c>
      <c r="T173" s="733">
        <f t="shared" si="26"/>
        <v>0</v>
      </c>
      <c r="U173" s="730">
        <v>1440014</v>
      </c>
      <c r="V173" s="731">
        <v>2440014</v>
      </c>
      <c r="W173" s="730"/>
      <c r="X173" s="730"/>
      <c r="Y173" s="732">
        <f t="shared" si="22"/>
        <v>0</v>
      </c>
      <c r="Z173" s="731"/>
      <c r="AA173" s="731"/>
      <c r="AB173" s="733">
        <f t="shared" si="23"/>
        <v>0</v>
      </c>
      <c r="AC173" s="730"/>
      <c r="AD173" s="731"/>
      <c r="AE173" s="730"/>
      <c r="AF173" s="730"/>
      <c r="AG173" s="731"/>
      <c r="AH173" s="731"/>
      <c r="AI173" s="732">
        <f t="shared" si="27"/>
        <v>1440014</v>
      </c>
      <c r="AJ173" s="733">
        <f t="shared" si="28"/>
        <v>2440014</v>
      </c>
    </row>
    <row r="174" spans="1:36">
      <c r="A174" s="821" t="s">
        <v>61</v>
      </c>
      <c r="B174" s="822" t="s">
        <v>161</v>
      </c>
      <c r="C174" s="844" t="s">
        <v>168</v>
      </c>
      <c r="D174" s="823"/>
      <c r="E174" s="841"/>
      <c r="F174" s="840">
        <v>99</v>
      </c>
      <c r="G174" s="730"/>
      <c r="H174" s="731"/>
      <c r="I174" s="730"/>
      <c r="J174" s="731"/>
      <c r="K174" s="730"/>
      <c r="L174" s="731"/>
      <c r="M174" s="730"/>
      <c r="N174" s="730"/>
      <c r="O174" s="732">
        <f t="shared" si="21"/>
        <v>0</v>
      </c>
      <c r="P174" s="731"/>
      <c r="Q174" s="731"/>
      <c r="R174" s="733">
        <f t="shared" si="24"/>
        <v>0</v>
      </c>
      <c r="S174" s="732">
        <f t="shared" si="25"/>
        <v>0</v>
      </c>
      <c r="T174" s="733">
        <f t="shared" si="26"/>
        <v>0</v>
      </c>
      <c r="U174" s="730"/>
      <c r="V174" s="731"/>
      <c r="W174" s="730"/>
      <c r="X174" s="730"/>
      <c r="Y174" s="732">
        <f t="shared" si="22"/>
        <v>0</v>
      </c>
      <c r="Z174" s="731"/>
      <c r="AA174" s="731"/>
      <c r="AB174" s="733">
        <f t="shared" si="23"/>
        <v>0</v>
      </c>
      <c r="AC174" s="730"/>
      <c r="AD174" s="731"/>
      <c r="AE174" s="730"/>
      <c r="AF174" s="730"/>
      <c r="AG174" s="731"/>
      <c r="AH174" s="731"/>
      <c r="AI174" s="732">
        <f t="shared" si="27"/>
        <v>0</v>
      </c>
      <c r="AJ174" s="733">
        <f t="shared" si="28"/>
        <v>0</v>
      </c>
    </row>
    <row r="175" spans="1:36">
      <c r="A175" s="821" t="s">
        <v>61</v>
      </c>
      <c r="B175" s="822" t="s">
        <v>164</v>
      </c>
      <c r="C175" s="825" t="s">
        <v>165</v>
      </c>
      <c r="D175" s="823"/>
      <c r="E175" s="841"/>
      <c r="F175" s="840">
        <v>99</v>
      </c>
      <c r="G175" s="730"/>
      <c r="H175" s="731"/>
      <c r="I175" s="730"/>
      <c r="J175" s="731"/>
      <c r="K175" s="730"/>
      <c r="L175" s="731"/>
      <c r="M175" s="730"/>
      <c r="N175" s="730"/>
      <c r="O175" s="732">
        <f t="shared" si="21"/>
        <v>0</v>
      </c>
      <c r="P175" s="731"/>
      <c r="Q175" s="731"/>
      <c r="R175" s="733">
        <f t="shared" si="24"/>
        <v>0</v>
      </c>
      <c r="S175" s="732">
        <f t="shared" si="25"/>
        <v>0</v>
      </c>
      <c r="T175" s="733">
        <f t="shared" si="26"/>
        <v>0</v>
      </c>
      <c r="U175" s="730"/>
      <c r="V175" s="731"/>
      <c r="W175" s="730"/>
      <c r="X175" s="730"/>
      <c r="Y175" s="732">
        <f t="shared" si="22"/>
        <v>0</v>
      </c>
      <c r="Z175" s="731"/>
      <c r="AA175" s="731"/>
      <c r="AB175" s="733">
        <f t="shared" si="23"/>
        <v>0</v>
      </c>
      <c r="AC175" s="730"/>
      <c r="AD175" s="731"/>
      <c r="AE175" s="730"/>
      <c r="AF175" s="730"/>
      <c r="AG175" s="731"/>
      <c r="AH175" s="731"/>
      <c r="AI175" s="732">
        <f t="shared" si="27"/>
        <v>0</v>
      </c>
      <c r="AJ175" s="733">
        <f t="shared" si="28"/>
        <v>0</v>
      </c>
    </row>
    <row r="176" spans="1:36">
      <c r="A176" s="821" t="s">
        <v>61</v>
      </c>
      <c r="B176" s="822" t="s">
        <v>166</v>
      </c>
      <c r="C176" s="825" t="s">
        <v>167</v>
      </c>
      <c r="D176" s="823"/>
      <c r="E176" s="841"/>
      <c r="F176" s="840">
        <v>99</v>
      </c>
      <c r="G176" s="730"/>
      <c r="H176" s="731"/>
      <c r="I176" s="730"/>
      <c r="J176" s="731"/>
      <c r="K176" s="730"/>
      <c r="L176" s="731"/>
      <c r="M176" s="730"/>
      <c r="N176" s="730"/>
      <c r="O176" s="732">
        <f t="shared" si="21"/>
        <v>0</v>
      </c>
      <c r="P176" s="731"/>
      <c r="Q176" s="731"/>
      <c r="R176" s="733">
        <f t="shared" si="24"/>
        <v>0</v>
      </c>
      <c r="S176" s="732">
        <f t="shared" si="25"/>
        <v>0</v>
      </c>
      <c r="T176" s="733">
        <f t="shared" si="26"/>
        <v>0</v>
      </c>
      <c r="U176" s="730">
        <v>231166</v>
      </c>
      <c r="V176" s="731">
        <v>731166</v>
      </c>
      <c r="W176" s="730"/>
      <c r="X176" s="730"/>
      <c r="Y176" s="732">
        <f t="shared" si="22"/>
        <v>0</v>
      </c>
      <c r="Z176" s="731"/>
      <c r="AA176" s="731"/>
      <c r="AB176" s="733">
        <f t="shared" si="23"/>
        <v>0</v>
      </c>
      <c r="AC176" s="730"/>
      <c r="AD176" s="731"/>
      <c r="AE176" s="730"/>
      <c r="AF176" s="730"/>
      <c r="AG176" s="731"/>
      <c r="AH176" s="731"/>
      <c r="AI176" s="732">
        <f t="shared" si="27"/>
        <v>231166</v>
      </c>
      <c r="AJ176" s="733">
        <f t="shared" si="28"/>
        <v>731166</v>
      </c>
    </row>
    <row r="177" spans="1:36">
      <c r="A177" s="821" t="s">
        <v>61</v>
      </c>
      <c r="B177" s="822" t="s">
        <v>161</v>
      </c>
      <c r="C177" s="844" t="s">
        <v>169</v>
      </c>
      <c r="D177" s="823"/>
      <c r="E177" s="841"/>
      <c r="F177" s="840">
        <v>99</v>
      </c>
      <c r="G177" s="730"/>
      <c r="H177" s="731"/>
      <c r="I177" s="730"/>
      <c r="J177" s="731"/>
      <c r="K177" s="730"/>
      <c r="L177" s="731"/>
      <c r="M177" s="730"/>
      <c r="N177" s="730"/>
      <c r="O177" s="732">
        <f t="shared" si="21"/>
        <v>0</v>
      </c>
      <c r="P177" s="731"/>
      <c r="Q177" s="731"/>
      <c r="R177" s="733">
        <f t="shared" si="24"/>
        <v>0</v>
      </c>
      <c r="S177" s="732">
        <f t="shared" si="25"/>
        <v>0</v>
      </c>
      <c r="T177" s="733">
        <f t="shared" si="26"/>
        <v>0</v>
      </c>
      <c r="U177" s="730"/>
      <c r="V177" s="731"/>
      <c r="W177" s="730"/>
      <c r="X177" s="730"/>
      <c r="Y177" s="732">
        <f t="shared" si="22"/>
        <v>0</v>
      </c>
      <c r="Z177" s="731"/>
      <c r="AA177" s="731"/>
      <c r="AB177" s="733">
        <f t="shared" si="23"/>
        <v>0</v>
      </c>
      <c r="AC177" s="730"/>
      <c r="AD177" s="731"/>
      <c r="AE177" s="730"/>
      <c r="AF177" s="730"/>
      <c r="AG177" s="731"/>
      <c r="AH177" s="731"/>
      <c r="AI177" s="732">
        <f t="shared" si="27"/>
        <v>0</v>
      </c>
      <c r="AJ177" s="733">
        <f t="shared" si="28"/>
        <v>0</v>
      </c>
    </row>
    <row r="178" spans="1:36">
      <c r="A178" s="821" t="s">
        <v>61</v>
      </c>
      <c r="B178" s="845" t="s">
        <v>170</v>
      </c>
      <c r="C178" s="825" t="s">
        <v>171</v>
      </c>
      <c r="D178" s="823"/>
      <c r="E178" s="841"/>
      <c r="F178" s="840">
        <v>99</v>
      </c>
      <c r="G178" s="730"/>
      <c r="H178" s="731"/>
      <c r="I178" s="730"/>
      <c r="J178" s="731"/>
      <c r="K178" s="730"/>
      <c r="L178" s="731"/>
      <c r="M178" s="730"/>
      <c r="N178" s="730"/>
      <c r="O178" s="732">
        <f t="shared" si="21"/>
        <v>0</v>
      </c>
      <c r="P178" s="731"/>
      <c r="Q178" s="731"/>
      <c r="R178" s="733">
        <f t="shared" si="24"/>
        <v>0</v>
      </c>
      <c r="S178" s="732">
        <f t="shared" si="25"/>
        <v>0</v>
      </c>
      <c r="T178" s="733">
        <f t="shared" si="26"/>
        <v>0</v>
      </c>
      <c r="U178" s="730"/>
      <c r="V178" s="731"/>
      <c r="W178" s="730"/>
      <c r="X178" s="730"/>
      <c r="Y178" s="732">
        <f t="shared" si="22"/>
        <v>0</v>
      </c>
      <c r="Z178" s="731"/>
      <c r="AA178" s="731"/>
      <c r="AB178" s="733">
        <f t="shared" si="23"/>
        <v>0</v>
      </c>
      <c r="AC178" s="730"/>
      <c r="AD178" s="731"/>
      <c r="AE178" s="730"/>
      <c r="AF178" s="730"/>
      <c r="AG178" s="731"/>
      <c r="AH178" s="731"/>
      <c r="AI178" s="732">
        <f t="shared" si="27"/>
        <v>0</v>
      </c>
      <c r="AJ178" s="733">
        <f t="shared" si="28"/>
        <v>0</v>
      </c>
    </row>
    <row r="179" spans="1:36">
      <c r="A179" s="821" t="s">
        <v>61</v>
      </c>
      <c r="B179" s="845" t="s">
        <v>172</v>
      </c>
      <c r="C179" s="825" t="s">
        <v>165</v>
      </c>
      <c r="D179" s="823"/>
      <c r="E179" s="841"/>
      <c r="F179" s="840">
        <v>99</v>
      </c>
      <c r="G179" s="730"/>
      <c r="H179" s="731"/>
      <c r="I179" s="730"/>
      <c r="J179" s="731"/>
      <c r="K179" s="730"/>
      <c r="L179" s="731"/>
      <c r="M179" s="730"/>
      <c r="N179" s="730"/>
      <c r="O179" s="732">
        <f t="shared" si="21"/>
        <v>0</v>
      </c>
      <c r="P179" s="731"/>
      <c r="Q179" s="731"/>
      <c r="R179" s="733">
        <f t="shared" si="24"/>
        <v>0</v>
      </c>
      <c r="S179" s="732">
        <f t="shared" si="25"/>
        <v>0</v>
      </c>
      <c r="T179" s="733">
        <f t="shared" si="26"/>
        <v>0</v>
      </c>
      <c r="U179" s="730"/>
      <c r="V179" s="731"/>
      <c r="W179" s="730"/>
      <c r="X179" s="730"/>
      <c r="Y179" s="732">
        <f t="shared" si="22"/>
        <v>0</v>
      </c>
      <c r="Z179" s="731"/>
      <c r="AA179" s="731"/>
      <c r="AB179" s="733">
        <f t="shared" si="23"/>
        <v>0</v>
      </c>
      <c r="AC179" s="730"/>
      <c r="AD179" s="731"/>
      <c r="AE179" s="730"/>
      <c r="AF179" s="730"/>
      <c r="AG179" s="731"/>
      <c r="AH179" s="731"/>
      <c r="AI179" s="732">
        <f t="shared" si="27"/>
        <v>0</v>
      </c>
      <c r="AJ179" s="733">
        <f t="shared" si="28"/>
        <v>0</v>
      </c>
    </row>
    <row r="180" spans="1:36">
      <c r="A180" s="821" t="s">
        <v>61</v>
      </c>
      <c r="B180" s="845" t="s">
        <v>173</v>
      </c>
      <c r="C180" s="825" t="s">
        <v>167</v>
      </c>
      <c r="D180" s="823"/>
      <c r="E180" s="841"/>
      <c r="F180" s="840">
        <v>99</v>
      </c>
      <c r="G180" s="730"/>
      <c r="H180" s="731"/>
      <c r="I180" s="730"/>
      <c r="J180" s="731"/>
      <c r="K180" s="730"/>
      <c r="L180" s="731"/>
      <c r="M180" s="730"/>
      <c r="N180" s="730"/>
      <c r="O180" s="732">
        <f t="shared" si="21"/>
        <v>0</v>
      </c>
      <c r="P180" s="731"/>
      <c r="Q180" s="731"/>
      <c r="R180" s="733">
        <f t="shared" si="24"/>
        <v>0</v>
      </c>
      <c r="S180" s="732">
        <f t="shared" si="25"/>
        <v>0</v>
      </c>
      <c r="T180" s="733">
        <f t="shared" si="26"/>
        <v>0</v>
      </c>
      <c r="U180" s="730">
        <v>165000</v>
      </c>
      <c r="V180" s="731">
        <v>180000</v>
      </c>
      <c r="W180" s="730"/>
      <c r="X180" s="730"/>
      <c r="Y180" s="732">
        <f t="shared" si="22"/>
        <v>0</v>
      </c>
      <c r="Z180" s="731"/>
      <c r="AA180" s="731"/>
      <c r="AB180" s="733">
        <f t="shared" si="23"/>
        <v>0</v>
      </c>
      <c r="AC180" s="730"/>
      <c r="AD180" s="731"/>
      <c r="AE180" s="730"/>
      <c r="AF180" s="730"/>
      <c r="AG180" s="731"/>
      <c r="AH180" s="731"/>
      <c r="AI180" s="732">
        <f t="shared" si="27"/>
        <v>165000</v>
      </c>
      <c r="AJ180" s="733">
        <f t="shared" si="28"/>
        <v>180000</v>
      </c>
    </row>
    <row r="181" spans="1:36">
      <c r="A181" s="821" t="s">
        <v>61</v>
      </c>
      <c r="B181" s="822" t="s">
        <v>161</v>
      </c>
      <c r="C181" s="844" t="s">
        <v>174</v>
      </c>
      <c r="D181" s="823"/>
      <c r="E181" s="841"/>
      <c r="F181" s="840">
        <v>99</v>
      </c>
      <c r="G181" s="730"/>
      <c r="H181" s="731"/>
      <c r="I181" s="730"/>
      <c r="J181" s="731"/>
      <c r="K181" s="730"/>
      <c r="L181" s="731"/>
      <c r="M181" s="730"/>
      <c r="N181" s="730"/>
      <c r="O181" s="732">
        <f t="shared" si="21"/>
        <v>0</v>
      </c>
      <c r="P181" s="731"/>
      <c r="Q181" s="731"/>
      <c r="R181" s="733">
        <f t="shared" si="24"/>
        <v>0</v>
      </c>
      <c r="S181" s="732">
        <f t="shared" si="25"/>
        <v>0</v>
      </c>
      <c r="T181" s="733">
        <f t="shared" si="26"/>
        <v>0</v>
      </c>
      <c r="U181" s="730"/>
      <c r="V181" s="731"/>
      <c r="W181" s="730"/>
      <c r="X181" s="730"/>
      <c r="Y181" s="732">
        <f t="shared" si="22"/>
        <v>0</v>
      </c>
      <c r="Z181" s="731"/>
      <c r="AA181" s="731"/>
      <c r="AB181" s="733">
        <f t="shared" si="23"/>
        <v>0</v>
      </c>
      <c r="AC181" s="730"/>
      <c r="AD181" s="731"/>
      <c r="AE181" s="730"/>
      <c r="AF181" s="730"/>
      <c r="AG181" s="731"/>
      <c r="AH181" s="731"/>
      <c r="AI181" s="732">
        <f t="shared" si="27"/>
        <v>0</v>
      </c>
      <c r="AJ181" s="733">
        <f t="shared" si="28"/>
        <v>0</v>
      </c>
    </row>
    <row r="182" spans="1:36">
      <c r="A182" s="821" t="s">
        <v>61</v>
      </c>
      <c r="B182" s="822" t="s">
        <v>164</v>
      </c>
      <c r="C182" s="825" t="s">
        <v>165</v>
      </c>
      <c r="D182" s="823"/>
      <c r="E182" s="841"/>
      <c r="F182" s="840">
        <v>99</v>
      </c>
      <c r="G182" s="730"/>
      <c r="H182" s="731"/>
      <c r="I182" s="730"/>
      <c r="J182" s="731"/>
      <c r="K182" s="730"/>
      <c r="L182" s="731"/>
      <c r="M182" s="730"/>
      <c r="N182" s="730"/>
      <c r="O182" s="732">
        <f t="shared" si="21"/>
        <v>0</v>
      </c>
      <c r="P182" s="731"/>
      <c r="Q182" s="731"/>
      <c r="R182" s="733">
        <f t="shared" si="24"/>
        <v>0</v>
      </c>
      <c r="S182" s="732">
        <f t="shared" si="25"/>
        <v>0</v>
      </c>
      <c r="T182" s="733">
        <f t="shared" si="26"/>
        <v>0</v>
      </c>
      <c r="U182" s="730"/>
      <c r="V182" s="731"/>
      <c r="W182" s="730"/>
      <c r="X182" s="730"/>
      <c r="Y182" s="732">
        <f t="shared" si="22"/>
        <v>0</v>
      </c>
      <c r="Z182" s="731"/>
      <c r="AA182" s="731"/>
      <c r="AB182" s="733">
        <f t="shared" si="23"/>
        <v>0</v>
      </c>
      <c r="AC182" s="730"/>
      <c r="AD182" s="731"/>
      <c r="AE182" s="730"/>
      <c r="AF182" s="730"/>
      <c r="AG182" s="731"/>
      <c r="AH182" s="731"/>
      <c r="AI182" s="732">
        <f t="shared" si="27"/>
        <v>0</v>
      </c>
      <c r="AJ182" s="733">
        <f t="shared" si="28"/>
        <v>0</v>
      </c>
    </row>
    <row r="183" spans="1:36">
      <c r="A183" s="821" t="s">
        <v>61</v>
      </c>
      <c r="B183" s="822" t="s">
        <v>166</v>
      </c>
      <c r="C183" s="825" t="s">
        <v>167</v>
      </c>
      <c r="D183" s="823"/>
      <c r="E183" s="841"/>
      <c r="F183" s="840">
        <v>99</v>
      </c>
      <c r="G183" s="730"/>
      <c r="H183" s="731"/>
      <c r="I183" s="730"/>
      <c r="J183" s="731"/>
      <c r="K183" s="730"/>
      <c r="L183" s="731"/>
      <c r="M183" s="730"/>
      <c r="N183" s="730"/>
      <c r="O183" s="732">
        <f t="shared" si="21"/>
        <v>0</v>
      </c>
      <c r="P183" s="731"/>
      <c r="Q183" s="731"/>
      <c r="R183" s="733">
        <f t="shared" si="24"/>
        <v>0</v>
      </c>
      <c r="S183" s="732">
        <f t="shared" si="25"/>
        <v>0</v>
      </c>
      <c r="T183" s="733">
        <f t="shared" si="26"/>
        <v>0</v>
      </c>
      <c r="U183" s="730">
        <v>616027</v>
      </c>
      <c r="V183" s="731">
        <v>616027</v>
      </c>
      <c r="W183" s="730"/>
      <c r="X183" s="730"/>
      <c r="Y183" s="732">
        <f t="shared" si="22"/>
        <v>0</v>
      </c>
      <c r="Z183" s="731"/>
      <c r="AA183" s="731"/>
      <c r="AB183" s="733">
        <f t="shared" si="23"/>
        <v>0</v>
      </c>
      <c r="AC183" s="730"/>
      <c r="AD183" s="731"/>
      <c r="AE183" s="730"/>
      <c r="AF183" s="730"/>
      <c r="AG183" s="731"/>
      <c r="AH183" s="731"/>
      <c r="AI183" s="732">
        <f t="shared" si="27"/>
        <v>616027</v>
      </c>
      <c r="AJ183" s="733">
        <f t="shared" si="28"/>
        <v>616027</v>
      </c>
    </row>
    <row r="184" spans="1:36">
      <c r="A184" s="821" t="s">
        <v>61</v>
      </c>
      <c r="B184" s="822" t="s">
        <v>161</v>
      </c>
      <c r="C184" s="844" t="s">
        <v>175</v>
      </c>
      <c r="D184" s="823"/>
      <c r="E184" s="841"/>
      <c r="F184" s="840">
        <v>99</v>
      </c>
      <c r="G184" s="730"/>
      <c r="H184" s="731"/>
      <c r="I184" s="730"/>
      <c r="J184" s="731"/>
      <c r="K184" s="730"/>
      <c r="L184" s="731"/>
      <c r="M184" s="730"/>
      <c r="N184" s="730"/>
      <c r="O184" s="732">
        <f t="shared" si="21"/>
        <v>0</v>
      </c>
      <c r="P184" s="731"/>
      <c r="Q184" s="731"/>
      <c r="R184" s="733">
        <f t="shared" si="24"/>
        <v>0</v>
      </c>
      <c r="S184" s="732">
        <f t="shared" si="25"/>
        <v>0</v>
      </c>
      <c r="T184" s="733">
        <f t="shared" si="26"/>
        <v>0</v>
      </c>
      <c r="U184" s="730"/>
      <c r="V184" s="731"/>
      <c r="W184" s="730"/>
      <c r="X184" s="730"/>
      <c r="Y184" s="732">
        <f t="shared" si="22"/>
        <v>0</v>
      </c>
      <c r="Z184" s="731"/>
      <c r="AA184" s="731"/>
      <c r="AB184" s="733">
        <f t="shared" si="23"/>
        <v>0</v>
      </c>
      <c r="AC184" s="730"/>
      <c r="AD184" s="731"/>
      <c r="AE184" s="730"/>
      <c r="AF184" s="730"/>
      <c r="AG184" s="731"/>
      <c r="AH184" s="731"/>
      <c r="AI184" s="732">
        <f t="shared" si="27"/>
        <v>0</v>
      </c>
      <c r="AJ184" s="733">
        <f t="shared" si="28"/>
        <v>0</v>
      </c>
    </row>
    <row r="185" spans="1:36">
      <c r="A185" s="821" t="s">
        <v>61</v>
      </c>
      <c r="B185" s="845" t="s">
        <v>170</v>
      </c>
      <c r="C185" s="825" t="s">
        <v>171</v>
      </c>
      <c r="D185" s="823"/>
      <c r="E185" s="841"/>
      <c r="F185" s="840">
        <v>99</v>
      </c>
      <c r="G185" s="730"/>
      <c r="H185" s="731"/>
      <c r="I185" s="730"/>
      <c r="J185" s="731"/>
      <c r="K185" s="730"/>
      <c r="L185" s="731"/>
      <c r="M185" s="730"/>
      <c r="N185" s="730"/>
      <c r="O185" s="732">
        <f t="shared" si="21"/>
        <v>0</v>
      </c>
      <c r="P185" s="731"/>
      <c r="Q185" s="731"/>
      <c r="R185" s="733">
        <f t="shared" si="24"/>
        <v>0</v>
      </c>
      <c r="S185" s="732">
        <f t="shared" si="25"/>
        <v>0</v>
      </c>
      <c r="T185" s="733">
        <f t="shared" si="26"/>
        <v>0</v>
      </c>
      <c r="U185" s="730"/>
      <c r="V185" s="731"/>
      <c r="W185" s="730"/>
      <c r="X185" s="730"/>
      <c r="Y185" s="732">
        <f t="shared" si="22"/>
        <v>0</v>
      </c>
      <c r="Z185" s="731"/>
      <c r="AA185" s="731"/>
      <c r="AB185" s="733">
        <f t="shared" si="23"/>
        <v>0</v>
      </c>
      <c r="AC185" s="730"/>
      <c r="AD185" s="731"/>
      <c r="AE185" s="730"/>
      <c r="AF185" s="730"/>
      <c r="AG185" s="731"/>
      <c r="AH185" s="731"/>
      <c r="AI185" s="732">
        <f t="shared" si="27"/>
        <v>0</v>
      </c>
      <c r="AJ185" s="733">
        <f t="shared" si="28"/>
        <v>0</v>
      </c>
    </row>
    <row r="186" spans="1:36">
      <c r="A186" s="821" t="s">
        <v>61</v>
      </c>
      <c r="B186" s="845" t="s">
        <v>173</v>
      </c>
      <c r="C186" s="825" t="s">
        <v>167</v>
      </c>
      <c r="D186" s="823"/>
      <c r="E186" s="841"/>
      <c r="F186" s="840">
        <v>99</v>
      </c>
      <c r="G186" s="730"/>
      <c r="H186" s="731"/>
      <c r="I186" s="730"/>
      <c r="J186" s="731"/>
      <c r="K186" s="730"/>
      <c r="L186" s="731"/>
      <c r="M186" s="730"/>
      <c r="N186" s="730"/>
      <c r="O186" s="732">
        <f t="shared" si="21"/>
        <v>0</v>
      </c>
      <c r="P186" s="731"/>
      <c r="Q186" s="731"/>
      <c r="R186" s="733">
        <f t="shared" si="24"/>
        <v>0</v>
      </c>
      <c r="S186" s="732">
        <f t="shared" si="25"/>
        <v>0</v>
      </c>
      <c r="T186" s="733">
        <f t="shared" si="26"/>
        <v>0</v>
      </c>
      <c r="U186" s="730">
        <v>383724</v>
      </c>
      <c r="V186" s="731">
        <v>393706</v>
      </c>
      <c r="W186" s="730"/>
      <c r="X186" s="730"/>
      <c r="Y186" s="732">
        <f t="shared" si="22"/>
        <v>0</v>
      </c>
      <c r="Z186" s="731"/>
      <c r="AA186" s="731"/>
      <c r="AB186" s="733">
        <f t="shared" si="23"/>
        <v>0</v>
      </c>
      <c r="AC186" s="730"/>
      <c r="AD186" s="731"/>
      <c r="AE186" s="730"/>
      <c r="AF186" s="730"/>
      <c r="AG186" s="731"/>
      <c r="AH186" s="731"/>
      <c r="AI186" s="732">
        <f t="shared" si="27"/>
        <v>383724</v>
      </c>
      <c r="AJ186" s="733">
        <f t="shared" si="28"/>
        <v>393706</v>
      </c>
    </row>
    <row r="187" spans="1:36">
      <c r="A187" s="821" t="s">
        <v>61</v>
      </c>
      <c r="B187" s="845" t="s">
        <v>176</v>
      </c>
      <c r="C187" s="825" t="s">
        <v>177</v>
      </c>
      <c r="D187" s="823"/>
      <c r="E187" s="841"/>
      <c r="F187" s="840">
        <v>99</v>
      </c>
      <c r="G187" s="730"/>
      <c r="H187" s="731"/>
      <c r="I187" s="730"/>
      <c r="J187" s="731"/>
      <c r="K187" s="730"/>
      <c r="L187" s="731"/>
      <c r="M187" s="730"/>
      <c r="N187" s="730"/>
      <c r="O187" s="732">
        <f t="shared" si="21"/>
        <v>0</v>
      </c>
      <c r="P187" s="731"/>
      <c r="Q187" s="731"/>
      <c r="R187" s="733">
        <f t="shared" si="24"/>
        <v>0</v>
      </c>
      <c r="S187" s="732">
        <f t="shared" si="25"/>
        <v>0</v>
      </c>
      <c r="T187" s="733">
        <f t="shared" si="26"/>
        <v>0</v>
      </c>
      <c r="U187" s="730"/>
      <c r="V187" s="731"/>
      <c r="W187" s="730"/>
      <c r="X187" s="730"/>
      <c r="Y187" s="732">
        <f t="shared" si="22"/>
        <v>0</v>
      </c>
      <c r="Z187" s="731"/>
      <c r="AA187" s="731"/>
      <c r="AB187" s="733">
        <f t="shared" si="23"/>
        <v>0</v>
      </c>
      <c r="AC187" s="730"/>
      <c r="AD187" s="731"/>
      <c r="AE187" s="730"/>
      <c r="AF187" s="730"/>
      <c r="AG187" s="731"/>
      <c r="AH187" s="731"/>
      <c r="AI187" s="732">
        <f t="shared" si="27"/>
        <v>0</v>
      </c>
      <c r="AJ187" s="733">
        <f t="shared" si="28"/>
        <v>0</v>
      </c>
    </row>
    <row r="188" spans="1:36">
      <c r="A188" s="821" t="s">
        <v>61</v>
      </c>
      <c r="B188" s="845" t="s">
        <v>178</v>
      </c>
      <c r="C188" s="825" t="s">
        <v>167</v>
      </c>
      <c r="D188" s="823"/>
      <c r="E188" s="841"/>
      <c r="F188" s="840">
        <v>99</v>
      </c>
      <c r="G188" s="730"/>
      <c r="H188" s="731"/>
      <c r="I188" s="730"/>
      <c r="J188" s="731"/>
      <c r="K188" s="730"/>
      <c r="L188" s="731"/>
      <c r="M188" s="730"/>
      <c r="N188" s="730"/>
      <c r="O188" s="732">
        <f t="shared" si="21"/>
        <v>0</v>
      </c>
      <c r="P188" s="731"/>
      <c r="Q188" s="731"/>
      <c r="R188" s="733">
        <f t="shared" si="24"/>
        <v>0</v>
      </c>
      <c r="S188" s="732">
        <f t="shared" si="25"/>
        <v>0</v>
      </c>
      <c r="T188" s="733">
        <f t="shared" si="26"/>
        <v>0</v>
      </c>
      <c r="U188" s="730"/>
      <c r="V188" s="731"/>
      <c r="W188" s="730"/>
      <c r="X188" s="730"/>
      <c r="Y188" s="732">
        <f t="shared" si="22"/>
        <v>0</v>
      </c>
      <c r="Z188" s="731"/>
      <c r="AA188" s="731"/>
      <c r="AB188" s="733">
        <f t="shared" si="23"/>
        <v>0</v>
      </c>
      <c r="AC188" s="730"/>
      <c r="AD188" s="731"/>
      <c r="AE188" s="730"/>
      <c r="AF188" s="730"/>
      <c r="AG188" s="731"/>
      <c r="AH188" s="731"/>
      <c r="AI188" s="732">
        <f t="shared" si="27"/>
        <v>0</v>
      </c>
      <c r="AJ188" s="733">
        <f t="shared" si="28"/>
        <v>0</v>
      </c>
    </row>
    <row r="189" spans="1:36">
      <c r="A189" s="821" t="s">
        <v>61</v>
      </c>
      <c r="B189" s="822" t="s">
        <v>161</v>
      </c>
      <c r="C189" s="844" t="s">
        <v>179</v>
      </c>
      <c r="D189" s="823"/>
      <c r="E189" s="841"/>
      <c r="F189" s="840">
        <v>99</v>
      </c>
      <c r="G189" s="730"/>
      <c r="H189" s="731"/>
      <c r="I189" s="730"/>
      <c r="J189" s="731"/>
      <c r="K189" s="730"/>
      <c r="L189" s="731"/>
      <c r="M189" s="730"/>
      <c r="N189" s="730"/>
      <c r="O189" s="732">
        <f t="shared" si="21"/>
        <v>0</v>
      </c>
      <c r="P189" s="731"/>
      <c r="Q189" s="731"/>
      <c r="R189" s="733">
        <f t="shared" si="24"/>
        <v>0</v>
      </c>
      <c r="S189" s="732">
        <f t="shared" si="25"/>
        <v>0</v>
      </c>
      <c r="T189" s="733">
        <f t="shared" si="26"/>
        <v>0</v>
      </c>
      <c r="U189" s="730"/>
      <c r="V189" s="731"/>
      <c r="W189" s="730"/>
      <c r="X189" s="730"/>
      <c r="Y189" s="732">
        <f t="shared" si="22"/>
        <v>0</v>
      </c>
      <c r="Z189" s="731"/>
      <c r="AA189" s="731"/>
      <c r="AB189" s="733">
        <f t="shared" si="23"/>
        <v>0</v>
      </c>
      <c r="AC189" s="730"/>
      <c r="AD189" s="731"/>
      <c r="AE189" s="730"/>
      <c r="AF189" s="730"/>
      <c r="AG189" s="731"/>
      <c r="AH189" s="731"/>
      <c r="AI189" s="732">
        <f t="shared" si="27"/>
        <v>0</v>
      </c>
      <c r="AJ189" s="733">
        <f t="shared" si="28"/>
        <v>0</v>
      </c>
    </row>
    <row r="190" spans="1:36">
      <c r="A190" s="821" t="s">
        <v>61</v>
      </c>
      <c r="B190" s="845" t="s">
        <v>170</v>
      </c>
      <c r="C190" s="825" t="s">
        <v>171</v>
      </c>
      <c r="D190" s="823"/>
      <c r="E190" s="841"/>
      <c r="F190" s="840">
        <v>99</v>
      </c>
      <c r="G190" s="730"/>
      <c r="H190" s="731"/>
      <c r="I190" s="730"/>
      <c r="J190" s="731"/>
      <c r="K190" s="730"/>
      <c r="L190" s="731"/>
      <c r="M190" s="730"/>
      <c r="N190" s="730"/>
      <c r="O190" s="732">
        <f t="shared" si="21"/>
        <v>0</v>
      </c>
      <c r="P190" s="731"/>
      <c r="Q190" s="731"/>
      <c r="R190" s="733">
        <f t="shared" si="24"/>
        <v>0</v>
      </c>
      <c r="S190" s="732">
        <f t="shared" si="25"/>
        <v>0</v>
      </c>
      <c r="T190" s="733">
        <f t="shared" si="26"/>
        <v>0</v>
      </c>
      <c r="U190" s="730"/>
      <c r="V190" s="731"/>
      <c r="W190" s="730"/>
      <c r="X190" s="730"/>
      <c r="Y190" s="732">
        <f t="shared" si="22"/>
        <v>0</v>
      </c>
      <c r="Z190" s="731"/>
      <c r="AA190" s="731"/>
      <c r="AB190" s="733">
        <f t="shared" si="23"/>
        <v>0</v>
      </c>
      <c r="AC190" s="730"/>
      <c r="AD190" s="731"/>
      <c r="AE190" s="730"/>
      <c r="AF190" s="730"/>
      <c r="AG190" s="731"/>
      <c r="AH190" s="731"/>
      <c r="AI190" s="732">
        <f t="shared" si="27"/>
        <v>0</v>
      </c>
      <c r="AJ190" s="733">
        <f t="shared" si="28"/>
        <v>0</v>
      </c>
    </row>
    <row r="191" spans="1:36">
      <c r="A191" s="821" t="s">
        <v>61</v>
      </c>
      <c r="B191" s="845" t="s">
        <v>172</v>
      </c>
      <c r="C191" s="825" t="s">
        <v>165</v>
      </c>
      <c r="D191" s="823"/>
      <c r="E191" s="841"/>
      <c r="F191" s="840">
        <v>99</v>
      </c>
      <c r="G191" s="730"/>
      <c r="H191" s="731"/>
      <c r="I191" s="730"/>
      <c r="J191" s="731"/>
      <c r="K191" s="730"/>
      <c r="L191" s="731"/>
      <c r="M191" s="730"/>
      <c r="N191" s="730"/>
      <c r="O191" s="732">
        <f t="shared" si="21"/>
        <v>0</v>
      </c>
      <c r="P191" s="731"/>
      <c r="Q191" s="731"/>
      <c r="R191" s="733">
        <f t="shared" si="24"/>
        <v>0</v>
      </c>
      <c r="S191" s="732">
        <f t="shared" si="25"/>
        <v>0</v>
      </c>
      <c r="T191" s="733">
        <f t="shared" si="26"/>
        <v>0</v>
      </c>
      <c r="U191" s="730">
        <v>4507130</v>
      </c>
      <c r="V191" s="731">
        <v>4862533</v>
      </c>
      <c r="W191" s="730"/>
      <c r="X191" s="730"/>
      <c r="Y191" s="732">
        <f t="shared" si="22"/>
        <v>0</v>
      </c>
      <c r="Z191" s="731"/>
      <c r="AA191" s="731"/>
      <c r="AB191" s="733">
        <f t="shared" si="23"/>
        <v>0</v>
      </c>
      <c r="AC191" s="730"/>
      <c r="AD191" s="731"/>
      <c r="AE191" s="730"/>
      <c r="AF191" s="730"/>
      <c r="AG191" s="731"/>
      <c r="AH191" s="731"/>
      <c r="AI191" s="732">
        <f t="shared" si="27"/>
        <v>4507130</v>
      </c>
      <c r="AJ191" s="733">
        <f t="shared" si="28"/>
        <v>4862533</v>
      </c>
    </row>
    <row r="192" spans="1:36">
      <c r="A192" s="821" t="s">
        <v>61</v>
      </c>
      <c r="B192" s="845" t="s">
        <v>176</v>
      </c>
      <c r="C192" s="825" t="s">
        <v>177</v>
      </c>
      <c r="D192" s="823"/>
      <c r="E192" s="841"/>
      <c r="F192" s="840">
        <v>99</v>
      </c>
      <c r="G192" s="730"/>
      <c r="H192" s="731"/>
      <c r="I192" s="730"/>
      <c r="J192" s="731"/>
      <c r="K192" s="730"/>
      <c r="L192" s="731"/>
      <c r="M192" s="730"/>
      <c r="N192" s="730"/>
      <c r="O192" s="732">
        <f t="shared" si="21"/>
        <v>0</v>
      </c>
      <c r="P192" s="731"/>
      <c r="Q192" s="731"/>
      <c r="R192" s="733">
        <f t="shared" si="24"/>
        <v>0</v>
      </c>
      <c r="S192" s="732">
        <f t="shared" si="25"/>
        <v>0</v>
      </c>
      <c r="T192" s="733">
        <f t="shared" si="26"/>
        <v>0</v>
      </c>
      <c r="U192" s="730"/>
      <c r="V192" s="731"/>
      <c r="W192" s="730"/>
      <c r="X192" s="730"/>
      <c r="Y192" s="732">
        <f t="shared" si="22"/>
        <v>0</v>
      </c>
      <c r="Z192" s="731"/>
      <c r="AA192" s="731"/>
      <c r="AB192" s="733">
        <f t="shared" si="23"/>
        <v>0</v>
      </c>
      <c r="AC192" s="730"/>
      <c r="AD192" s="731"/>
      <c r="AE192" s="730"/>
      <c r="AF192" s="730"/>
      <c r="AG192" s="731"/>
      <c r="AH192" s="731"/>
      <c r="AI192" s="732">
        <f t="shared" si="27"/>
        <v>0</v>
      </c>
      <c r="AJ192" s="733">
        <f t="shared" si="28"/>
        <v>0</v>
      </c>
    </row>
    <row r="193" spans="1:36">
      <c r="A193" s="821" t="s">
        <v>61</v>
      </c>
      <c r="B193" s="845" t="s">
        <v>180</v>
      </c>
      <c r="C193" s="825" t="s">
        <v>165</v>
      </c>
      <c r="D193" s="823"/>
      <c r="E193" s="841"/>
      <c r="F193" s="840">
        <v>99</v>
      </c>
      <c r="G193" s="730"/>
      <c r="H193" s="731"/>
      <c r="I193" s="730"/>
      <c r="J193" s="731"/>
      <c r="K193" s="730"/>
      <c r="L193" s="731"/>
      <c r="M193" s="730"/>
      <c r="N193" s="730"/>
      <c r="O193" s="732">
        <f t="shared" si="21"/>
        <v>0</v>
      </c>
      <c r="P193" s="731"/>
      <c r="Q193" s="731"/>
      <c r="R193" s="733">
        <f t="shared" si="24"/>
        <v>0</v>
      </c>
      <c r="S193" s="732">
        <f t="shared" si="25"/>
        <v>0</v>
      </c>
      <c r="T193" s="733">
        <f t="shared" si="26"/>
        <v>0</v>
      </c>
      <c r="U193" s="730">
        <v>795376</v>
      </c>
      <c r="V193" s="731">
        <v>858094</v>
      </c>
      <c r="W193" s="730"/>
      <c r="X193" s="730"/>
      <c r="Y193" s="732">
        <f t="shared" si="22"/>
        <v>0</v>
      </c>
      <c r="Z193" s="731"/>
      <c r="AA193" s="731"/>
      <c r="AB193" s="733">
        <f t="shared" si="23"/>
        <v>0</v>
      </c>
      <c r="AC193" s="730"/>
      <c r="AD193" s="731"/>
      <c r="AE193" s="730"/>
      <c r="AF193" s="730"/>
      <c r="AG193" s="731"/>
      <c r="AH193" s="731"/>
      <c r="AI193" s="732">
        <f t="shared" si="27"/>
        <v>795376</v>
      </c>
      <c r="AJ193" s="733">
        <f t="shared" si="28"/>
        <v>858094</v>
      </c>
    </row>
    <row r="194" spans="1:36">
      <c r="A194" s="821" t="s">
        <v>61</v>
      </c>
      <c r="B194" s="822" t="s">
        <v>161</v>
      </c>
      <c r="C194" s="844" t="s">
        <v>181</v>
      </c>
      <c r="D194" s="823"/>
      <c r="E194" s="841"/>
      <c r="F194" s="840">
        <v>99</v>
      </c>
      <c r="G194" s="730"/>
      <c r="H194" s="731"/>
      <c r="I194" s="730"/>
      <c r="J194" s="731"/>
      <c r="K194" s="730"/>
      <c r="L194" s="731"/>
      <c r="M194" s="730"/>
      <c r="N194" s="730"/>
      <c r="O194" s="732">
        <f t="shared" si="21"/>
        <v>0</v>
      </c>
      <c r="P194" s="731"/>
      <c r="Q194" s="731"/>
      <c r="R194" s="733">
        <f t="shared" si="24"/>
        <v>0</v>
      </c>
      <c r="S194" s="732">
        <f t="shared" si="25"/>
        <v>0</v>
      </c>
      <c r="T194" s="733">
        <f t="shared" si="26"/>
        <v>0</v>
      </c>
      <c r="U194" s="730"/>
      <c r="V194" s="731"/>
      <c r="W194" s="730"/>
      <c r="X194" s="730"/>
      <c r="Y194" s="732">
        <f t="shared" si="22"/>
        <v>0</v>
      </c>
      <c r="Z194" s="731"/>
      <c r="AA194" s="731"/>
      <c r="AB194" s="733">
        <f t="shared" si="23"/>
        <v>0</v>
      </c>
      <c r="AC194" s="730"/>
      <c r="AD194" s="731"/>
      <c r="AE194" s="730"/>
      <c r="AF194" s="730"/>
      <c r="AG194" s="731"/>
      <c r="AH194" s="731"/>
      <c r="AI194" s="732">
        <f t="shared" si="27"/>
        <v>0</v>
      </c>
      <c r="AJ194" s="733">
        <f t="shared" si="28"/>
        <v>0</v>
      </c>
    </row>
    <row r="195" spans="1:36">
      <c r="A195" s="821" t="s">
        <v>61</v>
      </c>
      <c r="B195" s="822" t="s">
        <v>164</v>
      </c>
      <c r="C195" s="825" t="s">
        <v>165</v>
      </c>
      <c r="D195" s="823"/>
      <c r="E195" s="841"/>
      <c r="F195" s="840">
        <v>99</v>
      </c>
      <c r="G195" s="730"/>
      <c r="H195" s="731"/>
      <c r="I195" s="730"/>
      <c r="J195" s="731"/>
      <c r="K195" s="730"/>
      <c r="L195" s="731"/>
      <c r="M195" s="730"/>
      <c r="N195" s="730"/>
      <c r="O195" s="732">
        <f t="shared" si="21"/>
        <v>0</v>
      </c>
      <c r="P195" s="731"/>
      <c r="Q195" s="731"/>
      <c r="R195" s="733">
        <f t="shared" si="24"/>
        <v>0</v>
      </c>
      <c r="S195" s="732">
        <f t="shared" si="25"/>
        <v>0</v>
      </c>
      <c r="T195" s="733">
        <f t="shared" si="26"/>
        <v>0</v>
      </c>
      <c r="U195" s="730">
        <v>10399</v>
      </c>
      <c r="V195" s="731">
        <v>10399</v>
      </c>
      <c r="W195" s="730"/>
      <c r="X195" s="730"/>
      <c r="Y195" s="732">
        <f t="shared" si="22"/>
        <v>0</v>
      </c>
      <c r="Z195" s="731"/>
      <c r="AA195" s="731"/>
      <c r="AB195" s="733">
        <f t="shared" si="23"/>
        <v>0</v>
      </c>
      <c r="AC195" s="730"/>
      <c r="AD195" s="731"/>
      <c r="AE195" s="730"/>
      <c r="AF195" s="730"/>
      <c r="AG195" s="731"/>
      <c r="AH195" s="731"/>
      <c r="AI195" s="732">
        <f t="shared" si="27"/>
        <v>10399</v>
      </c>
      <c r="AJ195" s="733">
        <f t="shared" si="28"/>
        <v>10399</v>
      </c>
    </row>
    <row r="196" spans="1:36">
      <c r="A196" s="821" t="s">
        <v>61</v>
      </c>
      <c r="B196" s="822" t="s">
        <v>166</v>
      </c>
      <c r="C196" s="825" t="s">
        <v>167</v>
      </c>
      <c r="D196" s="823"/>
      <c r="E196" s="841"/>
      <c r="F196" s="840">
        <v>99</v>
      </c>
      <c r="G196" s="730"/>
      <c r="H196" s="731"/>
      <c r="I196" s="730"/>
      <c r="J196" s="731"/>
      <c r="K196" s="730"/>
      <c r="L196" s="731"/>
      <c r="M196" s="730"/>
      <c r="N196" s="730"/>
      <c r="O196" s="732">
        <f t="shared" si="21"/>
        <v>0</v>
      </c>
      <c r="P196" s="731"/>
      <c r="Q196" s="731"/>
      <c r="R196" s="733">
        <f t="shared" si="24"/>
        <v>0</v>
      </c>
      <c r="S196" s="732">
        <f t="shared" si="25"/>
        <v>0</v>
      </c>
      <c r="T196" s="733">
        <f t="shared" si="26"/>
        <v>0</v>
      </c>
      <c r="U196" s="730"/>
      <c r="V196" s="731"/>
      <c r="W196" s="730"/>
      <c r="X196" s="730"/>
      <c r="Y196" s="732">
        <f t="shared" si="22"/>
        <v>0</v>
      </c>
      <c r="Z196" s="731"/>
      <c r="AA196" s="731"/>
      <c r="AB196" s="733">
        <f t="shared" si="23"/>
        <v>0</v>
      </c>
      <c r="AC196" s="730"/>
      <c r="AD196" s="731"/>
      <c r="AE196" s="730"/>
      <c r="AF196" s="730"/>
      <c r="AG196" s="731"/>
      <c r="AH196" s="731"/>
      <c r="AI196" s="732">
        <f t="shared" si="27"/>
        <v>0</v>
      </c>
      <c r="AJ196" s="733">
        <f t="shared" si="28"/>
        <v>0</v>
      </c>
    </row>
    <row r="197" spans="1:36">
      <c r="A197" s="821" t="s">
        <v>61</v>
      </c>
      <c r="B197" s="822" t="s">
        <v>161</v>
      </c>
      <c r="C197" s="844" t="s">
        <v>182</v>
      </c>
      <c r="D197" s="823"/>
      <c r="E197" s="841"/>
      <c r="F197" s="840">
        <v>99</v>
      </c>
      <c r="G197" s="730"/>
      <c r="H197" s="731"/>
      <c r="I197" s="730"/>
      <c r="J197" s="731"/>
      <c r="K197" s="730"/>
      <c r="L197" s="731"/>
      <c r="M197" s="730"/>
      <c r="N197" s="730"/>
      <c r="O197" s="732">
        <f t="shared" si="21"/>
        <v>0</v>
      </c>
      <c r="P197" s="731"/>
      <c r="Q197" s="731"/>
      <c r="R197" s="733">
        <f t="shared" si="24"/>
        <v>0</v>
      </c>
      <c r="S197" s="732">
        <f t="shared" si="25"/>
        <v>0</v>
      </c>
      <c r="T197" s="733">
        <f t="shared" si="26"/>
        <v>0</v>
      </c>
      <c r="U197" s="730"/>
      <c r="V197" s="731"/>
      <c r="W197" s="730"/>
      <c r="X197" s="730"/>
      <c r="Y197" s="732">
        <f t="shared" si="22"/>
        <v>0</v>
      </c>
      <c r="Z197" s="731"/>
      <c r="AA197" s="731"/>
      <c r="AB197" s="733">
        <f t="shared" si="23"/>
        <v>0</v>
      </c>
      <c r="AC197" s="730"/>
      <c r="AD197" s="731"/>
      <c r="AE197" s="730"/>
      <c r="AF197" s="730"/>
      <c r="AG197" s="731"/>
      <c r="AH197" s="731"/>
      <c r="AI197" s="732">
        <f t="shared" si="27"/>
        <v>0</v>
      </c>
      <c r="AJ197" s="733">
        <f t="shared" si="28"/>
        <v>0</v>
      </c>
    </row>
    <row r="198" spans="1:36">
      <c r="A198" s="821" t="s">
        <v>61</v>
      </c>
      <c r="B198" s="845" t="s">
        <v>170</v>
      </c>
      <c r="C198" s="825" t="s">
        <v>171</v>
      </c>
      <c r="D198" s="823"/>
      <c r="E198" s="841"/>
      <c r="F198" s="840">
        <v>99</v>
      </c>
      <c r="G198" s="730"/>
      <c r="H198" s="731"/>
      <c r="I198" s="730"/>
      <c r="J198" s="731"/>
      <c r="K198" s="730"/>
      <c r="L198" s="731"/>
      <c r="M198" s="730"/>
      <c r="N198" s="730"/>
      <c r="O198" s="732">
        <f t="shared" si="21"/>
        <v>0</v>
      </c>
      <c r="P198" s="731"/>
      <c r="Q198" s="731"/>
      <c r="R198" s="733">
        <f t="shared" si="24"/>
        <v>0</v>
      </c>
      <c r="S198" s="732">
        <f t="shared" si="25"/>
        <v>0</v>
      </c>
      <c r="T198" s="733">
        <f t="shared" si="26"/>
        <v>0</v>
      </c>
      <c r="U198" s="730"/>
      <c r="V198" s="731"/>
      <c r="W198" s="730"/>
      <c r="X198" s="730"/>
      <c r="Y198" s="732">
        <f t="shared" si="22"/>
        <v>0</v>
      </c>
      <c r="Z198" s="731"/>
      <c r="AA198" s="731"/>
      <c r="AB198" s="733">
        <f t="shared" si="23"/>
        <v>0</v>
      </c>
      <c r="AC198" s="730"/>
      <c r="AD198" s="731"/>
      <c r="AE198" s="730"/>
      <c r="AF198" s="730"/>
      <c r="AG198" s="731"/>
      <c r="AH198" s="731"/>
      <c r="AI198" s="732">
        <f t="shared" si="27"/>
        <v>0</v>
      </c>
      <c r="AJ198" s="733">
        <f t="shared" si="28"/>
        <v>0</v>
      </c>
    </row>
    <row r="199" spans="1:36">
      <c r="A199" s="821" t="s">
        <v>61</v>
      </c>
      <c r="B199" s="845" t="s">
        <v>172</v>
      </c>
      <c r="C199" s="825" t="s">
        <v>165</v>
      </c>
      <c r="D199" s="823"/>
      <c r="E199" s="841"/>
      <c r="F199" s="840">
        <v>99</v>
      </c>
      <c r="G199" s="730"/>
      <c r="H199" s="731"/>
      <c r="I199" s="730"/>
      <c r="J199" s="731"/>
      <c r="K199" s="730"/>
      <c r="L199" s="731"/>
      <c r="M199" s="730"/>
      <c r="N199" s="730"/>
      <c r="O199" s="732">
        <f t="shared" si="21"/>
        <v>0</v>
      </c>
      <c r="P199" s="731"/>
      <c r="Q199" s="731"/>
      <c r="R199" s="733">
        <f t="shared" si="24"/>
        <v>0</v>
      </c>
      <c r="S199" s="732">
        <f t="shared" si="25"/>
        <v>0</v>
      </c>
      <c r="T199" s="733">
        <f t="shared" si="26"/>
        <v>0</v>
      </c>
      <c r="U199" s="730"/>
      <c r="V199" s="731"/>
      <c r="W199" s="730"/>
      <c r="X199" s="730"/>
      <c r="Y199" s="732">
        <f t="shared" si="22"/>
        <v>0</v>
      </c>
      <c r="Z199" s="731"/>
      <c r="AA199" s="731"/>
      <c r="AB199" s="733">
        <f t="shared" si="23"/>
        <v>0</v>
      </c>
      <c r="AC199" s="730"/>
      <c r="AD199" s="731"/>
      <c r="AE199" s="730"/>
      <c r="AF199" s="730"/>
      <c r="AG199" s="731"/>
      <c r="AH199" s="731"/>
      <c r="AI199" s="732">
        <f t="shared" si="27"/>
        <v>0</v>
      </c>
      <c r="AJ199" s="733">
        <f t="shared" si="28"/>
        <v>0</v>
      </c>
    </row>
    <row r="200" spans="1:36">
      <c r="A200" s="821" t="s">
        <v>61</v>
      </c>
      <c r="B200" s="845" t="s">
        <v>173</v>
      </c>
      <c r="C200" s="825" t="s">
        <v>167</v>
      </c>
      <c r="D200" s="823"/>
      <c r="E200" s="841"/>
      <c r="F200" s="840">
        <v>99</v>
      </c>
      <c r="G200" s="730"/>
      <c r="H200" s="731"/>
      <c r="I200" s="730"/>
      <c r="J200" s="731"/>
      <c r="K200" s="730"/>
      <c r="L200" s="731"/>
      <c r="M200" s="730"/>
      <c r="N200" s="730"/>
      <c r="O200" s="732">
        <f t="shared" si="21"/>
        <v>0</v>
      </c>
      <c r="P200" s="731"/>
      <c r="Q200" s="731"/>
      <c r="R200" s="733">
        <f t="shared" si="24"/>
        <v>0</v>
      </c>
      <c r="S200" s="732">
        <f t="shared" si="25"/>
        <v>0</v>
      </c>
      <c r="T200" s="733">
        <f t="shared" si="26"/>
        <v>0</v>
      </c>
      <c r="U200" s="730">
        <v>82584496</v>
      </c>
      <c r="V200" s="731">
        <v>82584496</v>
      </c>
      <c r="W200" s="730"/>
      <c r="X200" s="730"/>
      <c r="Y200" s="732">
        <f t="shared" si="22"/>
        <v>0</v>
      </c>
      <c r="Z200" s="731"/>
      <c r="AA200" s="731"/>
      <c r="AB200" s="733">
        <f t="shared" si="23"/>
        <v>0</v>
      </c>
      <c r="AC200" s="730"/>
      <c r="AD200" s="731"/>
      <c r="AE200" s="730"/>
      <c r="AF200" s="730"/>
      <c r="AG200" s="731"/>
      <c r="AH200" s="731"/>
      <c r="AI200" s="732">
        <f t="shared" si="27"/>
        <v>82584496</v>
      </c>
      <c r="AJ200" s="733">
        <f t="shared" si="28"/>
        <v>82584496</v>
      </c>
    </row>
    <row r="201" spans="1:36">
      <c r="A201" s="821" t="s">
        <v>61</v>
      </c>
      <c r="B201" s="845" t="s">
        <v>176</v>
      </c>
      <c r="C201" s="825" t="s">
        <v>177</v>
      </c>
      <c r="D201" s="823"/>
      <c r="E201" s="841"/>
      <c r="F201" s="840">
        <v>99</v>
      </c>
      <c r="G201" s="730"/>
      <c r="H201" s="731"/>
      <c r="I201" s="730"/>
      <c r="J201" s="731"/>
      <c r="K201" s="730"/>
      <c r="L201" s="731"/>
      <c r="M201" s="730"/>
      <c r="N201" s="730"/>
      <c r="O201" s="732">
        <f t="shared" si="21"/>
        <v>0</v>
      </c>
      <c r="P201" s="731"/>
      <c r="Q201" s="731"/>
      <c r="R201" s="733">
        <f t="shared" si="24"/>
        <v>0</v>
      </c>
      <c r="S201" s="732">
        <f t="shared" si="25"/>
        <v>0</v>
      </c>
      <c r="T201" s="733">
        <f t="shared" si="26"/>
        <v>0</v>
      </c>
      <c r="U201" s="730"/>
      <c r="V201" s="731"/>
      <c r="W201" s="730"/>
      <c r="X201" s="730"/>
      <c r="Y201" s="732">
        <f t="shared" si="22"/>
        <v>0</v>
      </c>
      <c r="Z201" s="731"/>
      <c r="AA201" s="731"/>
      <c r="AB201" s="733">
        <f t="shared" si="23"/>
        <v>0</v>
      </c>
      <c r="AC201" s="730"/>
      <c r="AD201" s="731"/>
      <c r="AE201" s="730"/>
      <c r="AF201" s="730"/>
      <c r="AG201" s="731"/>
      <c r="AH201" s="731"/>
      <c r="AI201" s="732">
        <f t="shared" si="27"/>
        <v>0</v>
      </c>
      <c r="AJ201" s="733">
        <f t="shared" si="28"/>
        <v>0</v>
      </c>
    </row>
    <row r="202" spans="1:36">
      <c r="A202" s="821" t="s">
        <v>61</v>
      </c>
      <c r="B202" s="845" t="s">
        <v>180</v>
      </c>
      <c r="C202" s="825" t="s">
        <v>165</v>
      </c>
      <c r="D202" s="823"/>
      <c r="E202" s="841"/>
      <c r="F202" s="840">
        <v>99</v>
      </c>
      <c r="G202" s="730"/>
      <c r="H202" s="731"/>
      <c r="I202" s="730"/>
      <c r="J202" s="731"/>
      <c r="K202" s="730"/>
      <c r="L202" s="731"/>
      <c r="M202" s="730"/>
      <c r="N202" s="730"/>
      <c r="O202" s="732">
        <f t="shared" ref="O202:O265" si="29">SUM(M202:N202)</f>
        <v>0</v>
      </c>
      <c r="P202" s="731"/>
      <c r="Q202" s="731"/>
      <c r="R202" s="733">
        <f t="shared" si="24"/>
        <v>0</v>
      </c>
      <c r="S202" s="732">
        <f t="shared" si="25"/>
        <v>0</v>
      </c>
      <c r="T202" s="733">
        <f t="shared" si="26"/>
        <v>0</v>
      </c>
      <c r="U202" s="730"/>
      <c r="V202" s="731"/>
      <c r="W202" s="730"/>
      <c r="X202" s="730"/>
      <c r="Y202" s="732">
        <f t="shared" ref="Y202:Y265" si="30">SUM(W202:X202)</f>
        <v>0</v>
      </c>
      <c r="Z202" s="731"/>
      <c r="AA202" s="731"/>
      <c r="AB202" s="733">
        <f t="shared" ref="AB202:AB265" si="31">SUM(Z202:AA202)</f>
        <v>0</v>
      </c>
      <c r="AC202" s="730"/>
      <c r="AD202" s="731"/>
      <c r="AE202" s="730"/>
      <c r="AF202" s="730"/>
      <c r="AG202" s="731"/>
      <c r="AH202" s="731"/>
      <c r="AI202" s="732">
        <f t="shared" si="27"/>
        <v>0</v>
      </c>
      <c r="AJ202" s="733">
        <f t="shared" si="28"/>
        <v>0</v>
      </c>
    </row>
    <row r="203" spans="1:36">
      <c r="A203" s="821" t="s">
        <v>61</v>
      </c>
      <c r="B203" s="845" t="s">
        <v>178</v>
      </c>
      <c r="C203" s="825" t="s">
        <v>167</v>
      </c>
      <c r="D203" s="823"/>
      <c r="E203" s="841"/>
      <c r="F203" s="840">
        <v>99</v>
      </c>
      <c r="G203" s="730"/>
      <c r="H203" s="731"/>
      <c r="I203" s="730"/>
      <c r="J203" s="731"/>
      <c r="K203" s="730"/>
      <c r="L203" s="731"/>
      <c r="M203" s="730"/>
      <c r="N203" s="730"/>
      <c r="O203" s="732">
        <f t="shared" si="29"/>
        <v>0</v>
      </c>
      <c r="P203" s="731"/>
      <c r="Q203" s="731"/>
      <c r="R203" s="733">
        <f t="shared" ref="R203:R266" si="32">SUM(P203:Q203)</f>
        <v>0</v>
      </c>
      <c r="S203" s="732">
        <f t="shared" ref="S203:S266" si="33">SUM(G203,I203,K203,M203)</f>
        <v>0</v>
      </c>
      <c r="T203" s="733">
        <f t="shared" ref="T203:T266" si="34">SUM(H203,J203,L203,P203)</f>
        <v>0</v>
      </c>
      <c r="U203" s="730"/>
      <c r="V203" s="731"/>
      <c r="W203" s="730"/>
      <c r="X203" s="730"/>
      <c r="Y203" s="732">
        <f t="shared" si="30"/>
        <v>0</v>
      </c>
      <c r="Z203" s="731"/>
      <c r="AA203" s="731"/>
      <c r="AB203" s="733">
        <f t="shared" si="31"/>
        <v>0</v>
      </c>
      <c r="AC203" s="730"/>
      <c r="AD203" s="731"/>
      <c r="AE203" s="730"/>
      <c r="AF203" s="730"/>
      <c r="AG203" s="731"/>
      <c r="AH203" s="731"/>
      <c r="AI203" s="732">
        <f t="shared" ref="AI203:AI266" si="35">SUM(S203,U203,W203,AC203,AE203)</f>
        <v>0</v>
      </c>
      <c r="AJ203" s="733">
        <f t="shared" ref="AJ203:AJ266" si="36">SUM(T203,V203,Z203,AD203,AG203)</f>
        <v>0</v>
      </c>
    </row>
    <row r="204" spans="1:36">
      <c r="A204" s="821" t="s">
        <v>61</v>
      </c>
      <c r="B204" s="822" t="s">
        <v>161</v>
      </c>
      <c r="C204" s="844" t="s">
        <v>183</v>
      </c>
      <c r="D204" s="823"/>
      <c r="E204" s="841"/>
      <c r="F204" s="840">
        <v>99</v>
      </c>
      <c r="G204" s="730"/>
      <c r="H204" s="731"/>
      <c r="I204" s="730"/>
      <c r="J204" s="731"/>
      <c r="K204" s="730"/>
      <c r="L204" s="731"/>
      <c r="M204" s="730"/>
      <c r="N204" s="730"/>
      <c r="O204" s="732">
        <f t="shared" si="29"/>
        <v>0</v>
      </c>
      <c r="P204" s="731"/>
      <c r="Q204" s="731"/>
      <c r="R204" s="733">
        <f t="shared" si="32"/>
        <v>0</v>
      </c>
      <c r="S204" s="732">
        <f t="shared" si="33"/>
        <v>0</v>
      </c>
      <c r="T204" s="733">
        <f t="shared" si="34"/>
        <v>0</v>
      </c>
      <c r="U204" s="730"/>
      <c r="V204" s="731"/>
      <c r="W204" s="730"/>
      <c r="X204" s="730"/>
      <c r="Y204" s="732">
        <f t="shared" si="30"/>
        <v>0</v>
      </c>
      <c r="Z204" s="731"/>
      <c r="AA204" s="731"/>
      <c r="AB204" s="733">
        <f t="shared" si="31"/>
        <v>0</v>
      </c>
      <c r="AC204" s="730"/>
      <c r="AD204" s="731"/>
      <c r="AE204" s="730"/>
      <c r="AF204" s="730"/>
      <c r="AG204" s="731"/>
      <c r="AH204" s="731"/>
      <c r="AI204" s="732">
        <f t="shared" si="35"/>
        <v>0</v>
      </c>
      <c r="AJ204" s="733">
        <f t="shared" si="36"/>
        <v>0</v>
      </c>
    </row>
    <row r="205" spans="1:36">
      <c r="A205" s="821" t="s">
        <v>61</v>
      </c>
      <c r="B205" s="845" t="s">
        <v>170</v>
      </c>
      <c r="C205" s="825" t="s">
        <v>171</v>
      </c>
      <c r="D205" s="823"/>
      <c r="E205" s="841"/>
      <c r="F205" s="840">
        <v>99</v>
      </c>
      <c r="G205" s="730"/>
      <c r="H205" s="731"/>
      <c r="I205" s="730"/>
      <c r="J205" s="731"/>
      <c r="K205" s="730"/>
      <c r="L205" s="731"/>
      <c r="M205" s="730"/>
      <c r="N205" s="730"/>
      <c r="O205" s="732">
        <f t="shared" si="29"/>
        <v>0</v>
      </c>
      <c r="P205" s="731"/>
      <c r="Q205" s="731"/>
      <c r="R205" s="733">
        <f t="shared" si="32"/>
        <v>0</v>
      </c>
      <c r="S205" s="732">
        <f t="shared" si="33"/>
        <v>0</v>
      </c>
      <c r="T205" s="733">
        <f t="shared" si="34"/>
        <v>0</v>
      </c>
      <c r="U205" s="730"/>
      <c r="V205" s="731"/>
      <c r="W205" s="730"/>
      <c r="X205" s="730"/>
      <c r="Y205" s="732">
        <f t="shared" si="30"/>
        <v>0</v>
      </c>
      <c r="Z205" s="731"/>
      <c r="AA205" s="731"/>
      <c r="AB205" s="733">
        <f t="shared" si="31"/>
        <v>0</v>
      </c>
      <c r="AC205" s="730"/>
      <c r="AD205" s="731"/>
      <c r="AE205" s="730"/>
      <c r="AF205" s="730"/>
      <c r="AG205" s="731"/>
      <c r="AH205" s="731"/>
      <c r="AI205" s="732">
        <f t="shared" si="35"/>
        <v>0</v>
      </c>
      <c r="AJ205" s="733">
        <f t="shared" si="36"/>
        <v>0</v>
      </c>
    </row>
    <row r="206" spans="1:36">
      <c r="A206" s="821" t="s">
        <v>61</v>
      </c>
      <c r="B206" s="845" t="s">
        <v>172</v>
      </c>
      <c r="C206" s="825" t="s">
        <v>165</v>
      </c>
      <c r="D206" s="823"/>
      <c r="E206" s="841"/>
      <c r="F206" s="840">
        <v>99</v>
      </c>
      <c r="G206" s="730"/>
      <c r="H206" s="731"/>
      <c r="I206" s="730"/>
      <c r="J206" s="731"/>
      <c r="K206" s="730"/>
      <c r="L206" s="731"/>
      <c r="M206" s="730"/>
      <c r="N206" s="730"/>
      <c r="O206" s="732">
        <f t="shared" si="29"/>
        <v>0</v>
      </c>
      <c r="P206" s="731"/>
      <c r="Q206" s="731"/>
      <c r="R206" s="733">
        <f t="shared" si="32"/>
        <v>0</v>
      </c>
      <c r="S206" s="732">
        <f t="shared" si="33"/>
        <v>0</v>
      </c>
      <c r="T206" s="733">
        <f t="shared" si="34"/>
        <v>0</v>
      </c>
      <c r="U206" s="730"/>
      <c r="V206" s="731"/>
      <c r="W206" s="730"/>
      <c r="X206" s="730"/>
      <c r="Y206" s="732">
        <f t="shared" si="30"/>
        <v>0</v>
      </c>
      <c r="Z206" s="731"/>
      <c r="AA206" s="731"/>
      <c r="AB206" s="733">
        <f t="shared" si="31"/>
        <v>0</v>
      </c>
      <c r="AC206" s="730"/>
      <c r="AD206" s="731"/>
      <c r="AE206" s="730"/>
      <c r="AF206" s="730"/>
      <c r="AG206" s="731"/>
      <c r="AH206" s="731"/>
      <c r="AI206" s="732">
        <f t="shared" si="35"/>
        <v>0</v>
      </c>
      <c r="AJ206" s="733">
        <f t="shared" si="36"/>
        <v>0</v>
      </c>
    </row>
    <row r="207" spans="1:36">
      <c r="A207" s="821" t="s">
        <v>61</v>
      </c>
      <c r="B207" s="845" t="s">
        <v>173</v>
      </c>
      <c r="C207" s="825" t="s">
        <v>167</v>
      </c>
      <c r="D207" s="823"/>
      <c r="E207" s="841"/>
      <c r="F207" s="840">
        <v>99</v>
      </c>
      <c r="G207" s="730"/>
      <c r="H207" s="731"/>
      <c r="I207" s="730"/>
      <c r="J207" s="731"/>
      <c r="K207" s="730"/>
      <c r="L207" s="731"/>
      <c r="M207" s="730"/>
      <c r="N207" s="730"/>
      <c r="O207" s="732">
        <f t="shared" si="29"/>
        <v>0</v>
      </c>
      <c r="P207" s="731"/>
      <c r="Q207" s="731"/>
      <c r="R207" s="733">
        <f t="shared" si="32"/>
        <v>0</v>
      </c>
      <c r="S207" s="732">
        <f t="shared" si="33"/>
        <v>0</v>
      </c>
      <c r="T207" s="733">
        <f t="shared" si="34"/>
        <v>0</v>
      </c>
      <c r="U207" s="730">
        <v>302000</v>
      </c>
      <c r="V207" s="731">
        <v>300000</v>
      </c>
      <c r="W207" s="730"/>
      <c r="X207" s="730"/>
      <c r="Y207" s="732">
        <f t="shared" si="30"/>
        <v>0</v>
      </c>
      <c r="Z207" s="731"/>
      <c r="AA207" s="731"/>
      <c r="AB207" s="733">
        <f t="shared" si="31"/>
        <v>0</v>
      </c>
      <c r="AC207" s="730"/>
      <c r="AD207" s="731"/>
      <c r="AE207" s="730"/>
      <c r="AF207" s="730"/>
      <c r="AG207" s="731"/>
      <c r="AH207" s="731"/>
      <c r="AI207" s="732">
        <f t="shared" si="35"/>
        <v>302000</v>
      </c>
      <c r="AJ207" s="733">
        <f t="shared" si="36"/>
        <v>300000</v>
      </c>
    </row>
    <row r="208" spans="1:36">
      <c r="A208" s="821" t="s">
        <v>61</v>
      </c>
      <c r="B208" s="822" t="s">
        <v>161</v>
      </c>
      <c r="C208" s="844" t="s">
        <v>184</v>
      </c>
      <c r="D208" s="823"/>
      <c r="E208" s="841"/>
      <c r="F208" s="840">
        <v>99</v>
      </c>
      <c r="G208" s="730"/>
      <c r="H208" s="731"/>
      <c r="I208" s="730"/>
      <c r="J208" s="731"/>
      <c r="K208" s="730"/>
      <c r="L208" s="731"/>
      <c r="M208" s="730"/>
      <c r="N208" s="730"/>
      <c r="O208" s="732">
        <f t="shared" si="29"/>
        <v>0</v>
      </c>
      <c r="P208" s="731"/>
      <c r="Q208" s="731"/>
      <c r="R208" s="733">
        <f t="shared" si="32"/>
        <v>0</v>
      </c>
      <c r="S208" s="732">
        <f t="shared" si="33"/>
        <v>0</v>
      </c>
      <c r="T208" s="733">
        <f t="shared" si="34"/>
        <v>0</v>
      </c>
      <c r="U208" s="730"/>
      <c r="V208" s="731"/>
      <c r="W208" s="730"/>
      <c r="X208" s="730"/>
      <c r="Y208" s="732">
        <f t="shared" si="30"/>
        <v>0</v>
      </c>
      <c r="Z208" s="731"/>
      <c r="AA208" s="731"/>
      <c r="AB208" s="733">
        <f t="shared" si="31"/>
        <v>0</v>
      </c>
      <c r="AC208" s="730"/>
      <c r="AD208" s="731"/>
      <c r="AE208" s="730"/>
      <c r="AF208" s="730"/>
      <c r="AG208" s="731"/>
      <c r="AH208" s="731"/>
      <c r="AI208" s="732">
        <f t="shared" si="35"/>
        <v>0</v>
      </c>
      <c r="AJ208" s="733">
        <f t="shared" si="36"/>
        <v>0</v>
      </c>
    </row>
    <row r="209" spans="1:36" s="13" customFormat="1" ht="12.75" customHeight="1">
      <c r="A209" s="821" t="s">
        <v>61</v>
      </c>
      <c r="B209" s="845" t="s">
        <v>170</v>
      </c>
      <c r="C209" s="825" t="s">
        <v>171</v>
      </c>
      <c r="D209" s="823"/>
      <c r="E209" s="841"/>
      <c r="F209" s="840">
        <v>99</v>
      </c>
      <c r="G209" s="730"/>
      <c r="H209" s="731"/>
      <c r="I209" s="730"/>
      <c r="J209" s="731"/>
      <c r="K209" s="730"/>
      <c r="L209" s="731"/>
      <c r="M209" s="730"/>
      <c r="N209" s="730"/>
      <c r="O209" s="732">
        <f t="shared" si="29"/>
        <v>0</v>
      </c>
      <c r="P209" s="731"/>
      <c r="Q209" s="731"/>
      <c r="R209" s="733">
        <f t="shared" si="32"/>
        <v>0</v>
      </c>
      <c r="S209" s="732">
        <f t="shared" si="33"/>
        <v>0</v>
      </c>
      <c r="T209" s="733">
        <f t="shared" si="34"/>
        <v>0</v>
      </c>
      <c r="U209" s="730">
        <v>1205608</v>
      </c>
      <c r="V209" s="731">
        <v>1205608</v>
      </c>
      <c r="W209" s="730"/>
      <c r="X209" s="730"/>
      <c r="Y209" s="732">
        <f t="shared" si="30"/>
        <v>0</v>
      </c>
      <c r="Z209" s="731"/>
      <c r="AA209" s="731"/>
      <c r="AB209" s="733">
        <f t="shared" si="31"/>
        <v>0</v>
      </c>
      <c r="AC209" s="730"/>
      <c r="AD209" s="731"/>
      <c r="AE209" s="730"/>
      <c r="AF209" s="730"/>
      <c r="AG209" s="731"/>
      <c r="AH209" s="731"/>
      <c r="AI209" s="732">
        <f t="shared" si="35"/>
        <v>1205608</v>
      </c>
      <c r="AJ209" s="733">
        <f t="shared" si="36"/>
        <v>1205608</v>
      </c>
    </row>
    <row r="210" spans="1:36" s="13" customFormat="1" ht="12.75" customHeight="1">
      <c r="A210" s="821" t="s">
        <v>61</v>
      </c>
      <c r="B210" s="845" t="s">
        <v>172</v>
      </c>
      <c r="C210" s="825" t="s">
        <v>165</v>
      </c>
      <c r="D210" s="823"/>
      <c r="E210" s="841"/>
      <c r="F210" s="840">
        <v>99</v>
      </c>
      <c r="G210" s="730"/>
      <c r="H210" s="731"/>
      <c r="I210" s="730"/>
      <c r="J210" s="731"/>
      <c r="K210" s="730"/>
      <c r="L210" s="731"/>
      <c r="M210" s="730"/>
      <c r="N210" s="730"/>
      <c r="O210" s="732">
        <f t="shared" si="29"/>
        <v>0</v>
      </c>
      <c r="P210" s="731"/>
      <c r="Q210" s="731"/>
      <c r="R210" s="733">
        <f t="shared" si="32"/>
        <v>0</v>
      </c>
      <c r="S210" s="732">
        <f t="shared" si="33"/>
        <v>0</v>
      </c>
      <c r="T210" s="733">
        <f t="shared" si="34"/>
        <v>0</v>
      </c>
      <c r="U210" s="730"/>
      <c r="V210" s="731"/>
      <c r="W210" s="730"/>
      <c r="X210" s="730"/>
      <c r="Y210" s="732">
        <f t="shared" si="30"/>
        <v>0</v>
      </c>
      <c r="Z210" s="731"/>
      <c r="AA210" s="731"/>
      <c r="AB210" s="733">
        <f t="shared" si="31"/>
        <v>0</v>
      </c>
      <c r="AC210" s="730"/>
      <c r="AD210" s="731"/>
      <c r="AE210" s="730"/>
      <c r="AF210" s="730"/>
      <c r="AG210" s="731"/>
      <c r="AH210" s="731"/>
      <c r="AI210" s="732">
        <f t="shared" si="35"/>
        <v>0</v>
      </c>
      <c r="AJ210" s="733">
        <f t="shared" si="36"/>
        <v>0</v>
      </c>
    </row>
    <row r="211" spans="1:36" s="13" customFormat="1" ht="12.75" customHeight="1">
      <c r="A211" s="821" t="s">
        <v>61</v>
      </c>
      <c r="B211" s="845" t="s">
        <v>176</v>
      </c>
      <c r="C211" s="825" t="s">
        <v>177</v>
      </c>
      <c r="D211" s="823"/>
      <c r="E211" s="841"/>
      <c r="F211" s="840">
        <v>99</v>
      </c>
      <c r="G211" s="730"/>
      <c r="H211" s="731"/>
      <c r="I211" s="730"/>
      <c r="J211" s="731"/>
      <c r="K211" s="730"/>
      <c r="L211" s="731"/>
      <c r="M211" s="730"/>
      <c r="N211" s="730"/>
      <c r="O211" s="732">
        <f t="shared" si="29"/>
        <v>0</v>
      </c>
      <c r="P211" s="731"/>
      <c r="Q211" s="731"/>
      <c r="R211" s="733">
        <f t="shared" si="32"/>
        <v>0</v>
      </c>
      <c r="S211" s="732">
        <f t="shared" si="33"/>
        <v>0</v>
      </c>
      <c r="T211" s="733">
        <f t="shared" si="34"/>
        <v>0</v>
      </c>
      <c r="U211" s="730"/>
      <c r="V211" s="731"/>
      <c r="W211" s="730"/>
      <c r="X211" s="730"/>
      <c r="Y211" s="732">
        <f t="shared" si="30"/>
        <v>0</v>
      </c>
      <c r="Z211" s="731"/>
      <c r="AA211" s="731"/>
      <c r="AB211" s="733">
        <f t="shared" si="31"/>
        <v>0</v>
      </c>
      <c r="AC211" s="730"/>
      <c r="AD211" s="731"/>
      <c r="AE211" s="730"/>
      <c r="AF211" s="730"/>
      <c r="AG211" s="731"/>
      <c r="AH211" s="731"/>
      <c r="AI211" s="732">
        <f t="shared" si="35"/>
        <v>0</v>
      </c>
      <c r="AJ211" s="733">
        <f t="shared" si="36"/>
        <v>0</v>
      </c>
    </row>
    <row r="212" spans="1:36" s="13" customFormat="1" ht="12.75" customHeight="1">
      <c r="A212" s="821" t="s">
        <v>61</v>
      </c>
      <c r="B212" s="845" t="s">
        <v>180</v>
      </c>
      <c r="C212" s="825" t="s">
        <v>165</v>
      </c>
      <c r="D212" s="823"/>
      <c r="E212" s="841"/>
      <c r="F212" s="840">
        <v>99</v>
      </c>
      <c r="G212" s="730"/>
      <c r="H212" s="731"/>
      <c r="I212" s="730"/>
      <c r="J212" s="731"/>
      <c r="K212" s="730"/>
      <c r="L212" s="731"/>
      <c r="M212" s="730"/>
      <c r="N212" s="730"/>
      <c r="O212" s="732">
        <f t="shared" si="29"/>
        <v>0</v>
      </c>
      <c r="P212" s="731"/>
      <c r="Q212" s="731"/>
      <c r="R212" s="733">
        <f t="shared" si="32"/>
        <v>0</v>
      </c>
      <c r="S212" s="732">
        <f t="shared" si="33"/>
        <v>0</v>
      </c>
      <c r="T212" s="733">
        <f t="shared" si="34"/>
        <v>0</v>
      </c>
      <c r="U212" s="730"/>
      <c r="V212" s="731"/>
      <c r="W212" s="730"/>
      <c r="X212" s="730"/>
      <c r="Y212" s="732">
        <f t="shared" si="30"/>
        <v>0</v>
      </c>
      <c r="Z212" s="731"/>
      <c r="AA212" s="731"/>
      <c r="AB212" s="733">
        <f t="shared" si="31"/>
        <v>0</v>
      </c>
      <c r="AC212" s="730"/>
      <c r="AD212" s="731"/>
      <c r="AE212" s="730"/>
      <c r="AF212" s="730"/>
      <c r="AG212" s="731"/>
      <c r="AH212" s="731"/>
      <c r="AI212" s="732">
        <f t="shared" si="35"/>
        <v>0</v>
      </c>
      <c r="AJ212" s="733">
        <f t="shared" si="36"/>
        <v>0</v>
      </c>
    </row>
    <row r="213" spans="1:36" s="13" customFormat="1" ht="12.75" customHeight="1">
      <c r="A213" s="821" t="s">
        <v>61</v>
      </c>
      <c r="B213" s="822" t="s">
        <v>161</v>
      </c>
      <c r="C213" s="844" t="s">
        <v>185</v>
      </c>
      <c r="D213" s="823"/>
      <c r="E213" s="841"/>
      <c r="F213" s="840">
        <v>99</v>
      </c>
      <c r="G213" s="730"/>
      <c r="H213" s="731"/>
      <c r="I213" s="730"/>
      <c r="J213" s="731"/>
      <c r="K213" s="730"/>
      <c r="L213" s="731"/>
      <c r="M213" s="730"/>
      <c r="N213" s="730"/>
      <c r="O213" s="732">
        <f t="shared" si="29"/>
        <v>0</v>
      </c>
      <c r="P213" s="731"/>
      <c r="Q213" s="731"/>
      <c r="R213" s="733">
        <f t="shared" si="32"/>
        <v>0</v>
      </c>
      <c r="S213" s="732">
        <f t="shared" si="33"/>
        <v>0</v>
      </c>
      <c r="T213" s="733">
        <f t="shared" si="34"/>
        <v>0</v>
      </c>
      <c r="U213" s="730"/>
      <c r="V213" s="731"/>
      <c r="W213" s="730"/>
      <c r="X213" s="730"/>
      <c r="Y213" s="732">
        <f t="shared" si="30"/>
        <v>0</v>
      </c>
      <c r="Z213" s="731"/>
      <c r="AA213" s="731"/>
      <c r="AB213" s="733">
        <f t="shared" si="31"/>
        <v>0</v>
      </c>
      <c r="AC213" s="730"/>
      <c r="AD213" s="731"/>
      <c r="AE213" s="730"/>
      <c r="AF213" s="730"/>
      <c r="AG213" s="731"/>
      <c r="AH213" s="731"/>
      <c r="AI213" s="732">
        <f t="shared" si="35"/>
        <v>0</v>
      </c>
      <c r="AJ213" s="733">
        <f t="shared" si="36"/>
        <v>0</v>
      </c>
    </row>
    <row r="214" spans="1:36" s="13" customFormat="1" ht="12.75" customHeight="1">
      <c r="A214" s="821" t="s">
        <v>61</v>
      </c>
      <c r="B214" s="845" t="s">
        <v>170</v>
      </c>
      <c r="C214" s="825" t="s">
        <v>171</v>
      </c>
      <c r="D214" s="823"/>
      <c r="E214" s="841"/>
      <c r="F214" s="840">
        <v>99</v>
      </c>
      <c r="G214" s="730"/>
      <c r="H214" s="731"/>
      <c r="I214" s="730"/>
      <c r="J214" s="731"/>
      <c r="K214" s="730"/>
      <c r="L214" s="731"/>
      <c r="M214" s="730"/>
      <c r="N214" s="730"/>
      <c r="O214" s="732">
        <f t="shared" si="29"/>
        <v>0</v>
      </c>
      <c r="P214" s="731"/>
      <c r="Q214" s="731"/>
      <c r="R214" s="733">
        <f t="shared" si="32"/>
        <v>0</v>
      </c>
      <c r="S214" s="732">
        <f t="shared" si="33"/>
        <v>0</v>
      </c>
      <c r="T214" s="733">
        <f t="shared" si="34"/>
        <v>0</v>
      </c>
      <c r="U214" s="730"/>
      <c r="V214" s="731"/>
      <c r="W214" s="730"/>
      <c r="X214" s="730"/>
      <c r="Y214" s="732">
        <f t="shared" si="30"/>
        <v>0</v>
      </c>
      <c r="Z214" s="731"/>
      <c r="AA214" s="731"/>
      <c r="AB214" s="733">
        <f t="shared" si="31"/>
        <v>0</v>
      </c>
      <c r="AC214" s="730"/>
      <c r="AD214" s="731"/>
      <c r="AE214" s="730"/>
      <c r="AF214" s="730"/>
      <c r="AG214" s="731"/>
      <c r="AH214" s="731"/>
      <c r="AI214" s="732">
        <f t="shared" si="35"/>
        <v>0</v>
      </c>
      <c r="AJ214" s="733">
        <f t="shared" si="36"/>
        <v>0</v>
      </c>
    </row>
    <row r="215" spans="1:36" s="13" customFormat="1" ht="12.75" customHeight="1">
      <c r="A215" s="821" t="s">
        <v>61</v>
      </c>
      <c r="B215" s="845" t="s">
        <v>172</v>
      </c>
      <c r="C215" s="825" t="s">
        <v>165</v>
      </c>
      <c r="D215" s="823"/>
      <c r="E215" s="841"/>
      <c r="F215" s="840">
        <v>99</v>
      </c>
      <c r="G215" s="730"/>
      <c r="H215" s="731"/>
      <c r="I215" s="730"/>
      <c r="J215" s="731"/>
      <c r="K215" s="730"/>
      <c r="L215" s="731"/>
      <c r="M215" s="730"/>
      <c r="N215" s="730"/>
      <c r="O215" s="732">
        <f t="shared" si="29"/>
        <v>0</v>
      </c>
      <c r="P215" s="731"/>
      <c r="Q215" s="731"/>
      <c r="R215" s="733">
        <f t="shared" si="32"/>
        <v>0</v>
      </c>
      <c r="S215" s="732">
        <f t="shared" si="33"/>
        <v>0</v>
      </c>
      <c r="T215" s="733">
        <f t="shared" si="34"/>
        <v>0</v>
      </c>
      <c r="U215" s="730"/>
      <c r="V215" s="731"/>
      <c r="W215" s="730"/>
      <c r="X215" s="730"/>
      <c r="Y215" s="732">
        <f t="shared" si="30"/>
        <v>0</v>
      </c>
      <c r="Z215" s="731"/>
      <c r="AA215" s="731"/>
      <c r="AB215" s="733">
        <f t="shared" si="31"/>
        <v>0</v>
      </c>
      <c r="AC215" s="730"/>
      <c r="AD215" s="731"/>
      <c r="AE215" s="730"/>
      <c r="AF215" s="730"/>
      <c r="AG215" s="731"/>
      <c r="AH215" s="731"/>
      <c r="AI215" s="732">
        <f t="shared" si="35"/>
        <v>0</v>
      </c>
      <c r="AJ215" s="733">
        <f t="shared" si="36"/>
        <v>0</v>
      </c>
    </row>
    <row r="216" spans="1:36" s="13" customFormat="1" ht="12.75" customHeight="1">
      <c r="A216" s="821" t="s">
        <v>61</v>
      </c>
      <c r="B216" s="845" t="s">
        <v>173</v>
      </c>
      <c r="C216" s="825" t="s">
        <v>167</v>
      </c>
      <c r="D216" s="823"/>
      <c r="E216" s="841"/>
      <c r="F216" s="840">
        <v>99</v>
      </c>
      <c r="G216" s="730"/>
      <c r="H216" s="731"/>
      <c r="I216" s="730"/>
      <c r="J216" s="731"/>
      <c r="K216" s="730"/>
      <c r="L216" s="731"/>
      <c r="M216" s="730"/>
      <c r="N216" s="730"/>
      <c r="O216" s="732">
        <f t="shared" si="29"/>
        <v>0</v>
      </c>
      <c r="P216" s="731"/>
      <c r="Q216" s="731"/>
      <c r="R216" s="733">
        <f t="shared" si="32"/>
        <v>0</v>
      </c>
      <c r="S216" s="732">
        <f t="shared" si="33"/>
        <v>0</v>
      </c>
      <c r="T216" s="733">
        <f t="shared" si="34"/>
        <v>0</v>
      </c>
      <c r="U216" s="730">
        <v>4314310</v>
      </c>
      <c r="V216" s="731">
        <v>4269865</v>
      </c>
      <c r="W216" s="730"/>
      <c r="X216" s="730"/>
      <c r="Y216" s="732">
        <f t="shared" si="30"/>
        <v>0</v>
      </c>
      <c r="Z216" s="731"/>
      <c r="AA216" s="731"/>
      <c r="AB216" s="733">
        <f t="shared" si="31"/>
        <v>0</v>
      </c>
      <c r="AC216" s="730"/>
      <c r="AD216" s="731"/>
      <c r="AE216" s="730"/>
      <c r="AF216" s="730"/>
      <c r="AG216" s="731"/>
      <c r="AH216" s="731"/>
      <c r="AI216" s="732">
        <f t="shared" si="35"/>
        <v>4314310</v>
      </c>
      <c r="AJ216" s="733">
        <f t="shared" si="36"/>
        <v>4269865</v>
      </c>
    </row>
    <row r="217" spans="1:36" s="13" customFormat="1" ht="12.75" customHeight="1">
      <c r="A217" s="821" t="s">
        <v>61</v>
      </c>
      <c r="B217" s="845" t="s">
        <v>176</v>
      </c>
      <c r="C217" s="825" t="s">
        <v>177</v>
      </c>
      <c r="D217" s="823"/>
      <c r="E217" s="841"/>
      <c r="F217" s="840">
        <v>99</v>
      </c>
      <c r="G217" s="730"/>
      <c r="H217" s="731"/>
      <c r="I217" s="730"/>
      <c r="J217" s="731"/>
      <c r="K217" s="730"/>
      <c r="L217" s="731"/>
      <c r="M217" s="730"/>
      <c r="N217" s="730"/>
      <c r="O217" s="732">
        <f t="shared" si="29"/>
        <v>0</v>
      </c>
      <c r="P217" s="731"/>
      <c r="Q217" s="731"/>
      <c r="R217" s="733">
        <f t="shared" si="32"/>
        <v>0</v>
      </c>
      <c r="S217" s="732">
        <f t="shared" si="33"/>
        <v>0</v>
      </c>
      <c r="T217" s="733">
        <f t="shared" si="34"/>
        <v>0</v>
      </c>
      <c r="U217" s="730"/>
      <c r="V217" s="731"/>
      <c r="W217" s="730"/>
      <c r="X217" s="730"/>
      <c r="Y217" s="732">
        <f t="shared" si="30"/>
        <v>0</v>
      </c>
      <c r="Z217" s="731"/>
      <c r="AA217" s="731"/>
      <c r="AB217" s="733">
        <f t="shared" si="31"/>
        <v>0</v>
      </c>
      <c r="AC217" s="730"/>
      <c r="AD217" s="731"/>
      <c r="AE217" s="730"/>
      <c r="AF217" s="730"/>
      <c r="AG217" s="731"/>
      <c r="AH217" s="731"/>
      <c r="AI217" s="732">
        <f t="shared" si="35"/>
        <v>0</v>
      </c>
      <c r="AJ217" s="733">
        <f t="shared" si="36"/>
        <v>0</v>
      </c>
    </row>
    <row r="218" spans="1:36" s="13" customFormat="1" ht="12.75" customHeight="1">
      <c r="A218" s="821" t="s">
        <v>61</v>
      </c>
      <c r="B218" s="845" t="s">
        <v>180</v>
      </c>
      <c r="C218" s="825" t="s">
        <v>165</v>
      </c>
      <c r="D218" s="823"/>
      <c r="E218" s="841"/>
      <c r="F218" s="840">
        <v>99</v>
      </c>
      <c r="G218" s="730"/>
      <c r="H218" s="731"/>
      <c r="I218" s="730"/>
      <c r="J218" s="731"/>
      <c r="K218" s="730"/>
      <c r="L218" s="731"/>
      <c r="M218" s="730"/>
      <c r="N218" s="730"/>
      <c r="O218" s="732">
        <f t="shared" si="29"/>
        <v>0</v>
      </c>
      <c r="P218" s="731"/>
      <c r="Q218" s="731"/>
      <c r="R218" s="733">
        <f t="shared" si="32"/>
        <v>0</v>
      </c>
      <c r="S218" s="732">
        <f t="shared" si="33"/>
        <v>0</v>
      </c>
      <c r="T218" s="733">
        <f t="shared" si="34"/>
        <v>0</v>
      </c>
      <c r="U218" s="730"/>
      <c r="V218" s="731"/>
      <c r="W218" s="730"/>
      <c r="X218" s="730"/>
      <c r="Y218" s="732">
        <f t="shared" si="30"/>
        <v>0</v>
      </c>
      <c r="Z218" s="731"/>
      <c r="AA218" s="731"/>
      <c r="AB218" s="733">
        <f t="shared" si="31"/>
        <v>0</v>
      </c>
      <c r="AC218" s="730"/>
      <c r="AD218" s="731"/>
      <c r="AE218" s="730"/>
      <c r="AF218" s="730"/>
      <c r="AG218" s="731"/>
      <c r="AH218" s="731"/>
      <c r="AI218" s="732">
        <f t="shared" si="35"/>
        <v>0</v>
      </c>
      <c r="AJ218" s="733">
        <f t="shared" si="36"/>
        <v>0</v>
      </c>
    </row>
    <row r="219" spans="1:36" s="13" customFormat="1" ht="12.75" customHeight="1">
      <c r="A219" s="821" t="s">
        <v>61</v>
      </c>
      <c r="B219" s="845" t="s">
        <v>178</v>
      </c>
      <c r="C219" s="825" t="s">
        <v>167</v>
      </c>
      <c r="D219" s="823"/>
      <c r="E219" s="841"/>
      <c r="F219" s="840">
        <v>99</v>
      </c>
      <c r="G219" s="730"/>
      <c r="H219" s="731"/>
      <c r="I219" s="730"/>
      <c r="J219" s="731"/>
      <c r="K219" s="730"/>
      <c r="L219" s="731"/>
      <c r="M219" s="730"/>
      <c r="N219" s="730"/>
      <c r="O219" s="732">
        <f t="shared" si="29"/>
        <v>0</v>
      </c>
      <c r="P219" s="731"/>
      <c r="Q219" s="731"/>
      <c r="R219" s="733">
        <f t="shared" si="32"/>
        <v>0</v>
      </c>
      <c r="S219" s="732">
        <f t="shared" si="33"/>
        <v>0</v>
      </c>
      <c r="T219" s="733">
        <f t="shared" si="34"/>
        <v>0</v>
      </c>
      <c r="U219" s="730">
        <v>479368</v>
      </c>
      <c r="V219" s="731">
        <v>474430</v>
      </c>
      <c r="W219" s="730"/>
      <c r="X219" s="730"/>
      <c r="Y219" s="732">
        <f t="shared" si="30"/>
        <v>0</v>
      </c>
      <c r="Z219" s="731"/>
      <c r="AA219" s="731"/>
      <c r="AB219" s="733">
        <f t="shared" si="31"/>
        <v>0</v>
      </c>
      <c r="AC219" s="730"/>
      <c r="AD219" s="731"/>
      <c r="AE219" s="730"/>
      <c r="AF219" s="730"/>
      <c r="AG219" s="731"/>
      <c r="AH219" s="731"/>
      <c r="AI219" s="732">
        <f t="shared" si="35"/>
        <v>479368</v>
      </c>
      <c r="AJ219" s="733">
        <f t="shared" si="36"/>
        <v>474430</v>
      </c>
    </row>
    <row r="220" spans="1:36" s="13" customFormat="1" ht="12.75" customHeight="1">
      <c r="A220" s="821" t="s">
        <v>61</v>
      </c>
      <c r="B220" s="845" t="s">
        <v>161</v>
      </c>
      <c r="C220" s="844" t="s">
        <v>1648</v>
      </c>
      <c r="D220" s="823"/>
      <c r="E220" s="841"/>
      <c r="F220" s="840">
        <v>99</v>
      </c>
      <c r="G220" s="730"/>
      <c r="H220" s="731"/>
      <c r="I220" s="730"/>
      <c r="J220" s="731"/>
      <c r="K220" s="730"/>
      <c r="L220" s="731"/>
      <c r="M220" s="730"/>
      <c r="N220" s="730"/>
      <c r="O220" s="732">
        <f t="shared" si="29"/>
        <v>0</v>
      </c>
      <c r="P220" s="731"/>
      <c r="Q220" s="731"/>
      <c r="R220" s="733">
        <f t="shared" si="32"/>
        <v>0</v>
      </c>
      <c r="S220" s="732">
        <f t="shared" si="33"/>
        <v>0</v>
      </c>
      <c r="T220" s="733">
        <f t="shared" si="34"/>
        <v>0</v>
      </c>
      <c r="U220" s="730"/>
      <c r="V220" s="731"/>
      <c r="W220" s="730"/>
      <c r="X220" s="730"/>
      <c r="Y220" s="732">
        <f t="shared" si="30"/>
        <v>0</v>
      </c>
      <c r="Z220" s="731"/>
      <c r="AA220" s="731"/>
      <c r="AB220" s="733">
        <f t="shared" si="31"/>
        <v>0</v>
      </c>
      <c r="AC220" s="730"/>
      <c r="AD220" s="731"/>
      <c r="AE220" s="730"/>
      <c r="AF220" s="730"/>
      <c r="AG220" s="731"/>
      <c r="AH220" s="731"/>
      <c r="AI220" s="732">
        <f t="shared" si="35"/>
        <v>0</v>
      </c>
      <c r="AJ220" s="733">
        <f t="shared" si="36"/>
        <v>0</v>
      </c>
    </row>
    <row r="221" spans="1:36" s="13" customFormat="1" ht="12.75" customHeight="1">
      <c r="A221" s="821" t="s">
        <v>61</v>
      </c>
      <c r="B221" s="845" t="s">
        <v>172</v>
      </c>
      <c r="C221" s="825" t="s">
        <v>165</v>
      </c>
      <c r="D221" s="823"/>
      <c r="E221" s="841"/>
      <c r="F221" s="840">
        <v>99</v>
      </c>
      <c r="G221" s="730"/>
      <c r="H221" s="731"/>
      <c r="I221" s="730"/>
      <c r="J221" s="731"/>
      <c r="K221" s="730"/>
      <c r="L221" s="731"/>
      <c r="M221" s="730"/>
      <c r="N221" s="730"/>
      <c r="O221" s="732">
        <f t="shared" si="29"/>
        <v>0</v>
      </c>
      <c r="P221" s="731"/>
      <c r="Q221" s="731"/>
      <c r="R221" s="733">
        <f t="shared" si="32"/>
        <v>0</v>
      </c>
      <c r="S221" s="732">
        <f t="shared" si="33"/>
        <v>0</v>
      </c>
      <c r="T221" s="733">
        <f t="shared" si="34"/>
        <v>0</v>
      </c>
      <c r="U221" s="730"/>
      <c r="V221" s="731"/>
      <c r="W221" s="730"/>
      <c r="X221" s="730"/>
      <c r="Y221" s="732">
        <f t="shared" si="30"/>
        <v>0</v>
      </c>
      <c r="Z221" s="731"/>
      <c r="AA221" s="731"/>
      <c r="AB221" s="733">
        <f t="shared" si="31"/>
        <v>0</v>
      </c>
      <c r="AC221" s="730"/>
      <c r="AD221" s="731"/>
      <c r="AE221" s="730"/>
      <c r="AF221" s="730"/>
      <c r="AG221" s="731"/>
      <c r="AH221" s="731"/>
      <c r="AI221" s="732">
        <f t="shared" si="35"/>
        <v>0</v>
      </c>
      <c r="AJ221" s="733">
        <f t="shared" si="36"/>
        <v>0</v>
      </c>
    </row>
    <row r="222" spans="1:36" s="13" customFormat="1" ht="12.75" customHeight="1">
      <c r="A222" s="821" t="s">
        <v>61</v>
      </c>
      <c r="B222" s="845" t="s">
        <v>173</v>
      </c>
      <c r="C222" s="825" t="s">
        <v>167</v>
      </c>
      <c r="D222" s="823"/>
      <c r="E222" s="841"/>
      <c r="F222" s="840">
        <v>99</v>
      </c>
      <c r="G222" s="730"/>
      <c r="H222" s="731"/>
      <c r="I222" s="730"/>
      <c r="J222" s="731"/>
      <c r="K222" s="730"/>
      <c r="L222" s="731"/>
      <c r="M222" s="730"/>
      <c r="N222" s="730"/>
      <c r="O222" s="732">
        <f t="shared" si="29"/>
        <v>0</v>
      </c>
      <c r="P222" s="731"/>
      <c r="Q222" s="731"/>
      <c r="R222" s="733">
        <f t="shared" si="32"/>
        <v>0</v>
      </c>
      <c r="S222" s="732">
        <f t="shared" si="33"/>
        <v>0</v>
      </c>
      <c r="T222" s="733">
        <f t="shared" si="34"/>
        <v>0</v>
      </c>
      <c r="U222" s="730"/>
      <c r="V222" s="731">
        <v>750000</v>
      </c>
      <c r="W222" s="730"/>
      <c r="X222" s="730"/>
      <c r="Y222" s="732">
        <f t="shared" si="30"/>
        <v>0</v>
      </c>
      <c r="Z222" s="731"/>
      <c r="AA222" s="731"/>
      <c r="AB222" s="733">
        <f t="shared" si="31"/>
        <v>0</v>
      </c>
      <c r="AC222" s="730"/>
      <c r="AD222" s="731"/>
      <c r="AE222" s="730"/>
      <c r="AF222" s="730"/>
      <c r="AG222" s="731"/>
      <c r="AH222" s="731"/>
      <c r="AI222" s="732">
        <f t="shared" si="35"/>
        <v>0</v>
      </c>
      <c r="AJ222" s="733">
        <f t="shared" si="36"/>
        <v>750000</v>
      </c>
    </row>
    <row r="223" spans="1:36" s="13" customFormat="1" ht="12.75" customHeight="1">
      <c r="A223" s="821" t="s">
        <v>61</v>
      </c>
      <c r="B223" s="822" t="s">
        <v>161</v>
      </c>
      <c r="C223" s="844" t="s">
        <v>186</v>
      </c>
      <c r="D223" s="823"/>
      <c r="E223" s="841"/>
      <c r="F223" s="840">
        <v>99</v>
      </c>
      <c r="G223" s="730"/>
      <c r="H223" s="731"/>
      <c r="I223" s="730"/>
      <c r="J223" s="731"/>
      <c r="K223" s="730"/>
      <c r="L223" s="731"/>
      <c r="M223" s="730"/>
      <c r="N223" s="730"/>
      <c r="O223" s="732">
        <f t="shared" si="29"/>
        <v>0</v>
      </c>
      <c r="P223" s="731"/>
      <c r="Q223" s="731"/>
      <c r="R223" s="733">
        <f t="shared" si="32"/>
        <v>0</v>
      </c>
      <c r="S223" s="732">
        <f t="shared" si="33"/>
        <v>0</v>
      </c>
      <c r="T223" s="733">
        <f t="shared" si="34"/>
        <v>0</v>
      </c>
      <c r="U223" s="730"/>
      <c r="V223" s="731"/>
      <c r="W223" s="730"/>
      <c r="X223" s="730"/>
      <c r="Y223" s="732">
        <f t="shared" si="30"/>
        <v>0</v>
      </c>
      <c r="Z223" s="731"/>
      <c r="AA223" s="731"/>
      <c r="AB223" s="733">
        <f t="shared" si="31"/>
        <v>0</v>
      </c>
      <c r="AC223" s="730"/>
      <c r="AD223" s="731"/>
      <c r="AE223" s="730"/>
      <c r="AF223" s="730"/>
      <c r="AG223" s="731"/>
      <c r="AH223" s="731"/>
      <c r="AI223" s="732">
        <f t="shared" si="35"/>
        <v>0</v>
      </c>
      <c r="AJ223" s="733">
        <f t="shared" si="36"/>
        <v>0</v>
      </c>
    </row>
    <row r="224" spans="1:36" s="13" customFormat="1" ht="12.75" customHeight="1">
      <c r="A224" s="821" t="s">
        <v>61</v>
      </c>
      <c r="B224" s="845" t="s">
        <v>170</v>
      </c>
      <c r="C224" s="825" t="s">
        <v>171</v>
      </c>
      <c r="D224" s="823"/>
      <c r="E224" s="841"/>
      <c r="F224" s="840">
        <v>99</v>
      </c>
      <c r="G224" s="730"/>
      <c r="H224" s="731"/>
      <c r="I224" s="730"/>
      <c r="J224" s="731"/>
      <c r="K224" s="730"/>
      <c r="L224" s="731"/>
      <c r="M224" s="730"/>
      <c r="N224" s="730"/>
      <c r="O224" s="732">
        <f t="shared" si="29"/>
        <v>0</v>
      </c>
      <c r="P224" s="731"/>
      <c r="Q224" s="731"/>
      <c r="R224" s="733">
        <f t="shared" si="32"/>
        <v>0</v>
      </c>
      <c r="S224" s="732">
        <f t="shared" si="33"/>
        <v>0</v>
      </c>
      <c r="T224" s="733">
        <f t="shared" si="34"/>
        <v>0</v>
      </c>
      <c r="U224" s="730"/>
      <c r="V224" s="731"/>
      <c r="W224" s="730"/>
      <c r="X224" s="730"/>
      <c r="Y224" s="732">
        <f t="shared" si="30"/>
        <v>0</v>
      </c>
      <c r="Z224" s="731"/>
      <c r="AA224" s="731"/>
      <c r="AB224" s="733">
        <f t="shared" si="31"/>
        <v>0</v>
      </c>
      <c r="AC224" s="730"/>
      <c r="AD224" s="731"/>
      <c r="AE224" s="730"/>
      <c r="AF224" s="730"/>
      <c r="AG224" s="731"/>
      <c r="AH224" s="731"/>
      <c r="AI224" s="732">
        <f t="shared" si="35"/>
        <v>0</v>
      </c>
      <c r="AJ224" s="733">
        <f t="shared" si="36"/>
        <v>0</v>
      </c>
    </row>
    <row r="225" spans="1:36" s="13" customFormat="1" ht="12.75" customHeight="1">
      <c r="A225" s="821" t="s">
        <v>61</v>
      </c>
      <c r="B225" s="845" t="s">
        <v>172</v>
      </c>
      <c r="C225" s="825" t="s">
        <v>165</v>
      </c>
      <c r="D225" s="823"/>
      <c r="E225" s="841"/>
      <c r="F225" s="840">
        <v>99</v>
      </c>
      <c r="G225" s="730"/>
      <c r="H225" s="731"/>
      <c r="I225" s="730"/>
      <c r="J225" s="731"/>
      <c r="K225" s="730"/>
      <c r="L225" s="731"/>
      <c r="M225" s="730"/>
      <c r="N225" s="730"/>
      <c r="O225" s="732">
        <f t="shared" si="29"/>
        <v>0</v>
      </c>
      <c r="P225" s="731"/>
      <c r="Q225" s="731"/>
      <c r="R225" s="733">
        <f t="shared" si="32"/>
        <v>0</v>
      </c>
      <c r="S225" s="732">
        <f t="shared" si="33"/>
        <v>0</v>
      </c>
      <c r="T225" s="733">
        <f t="shared" si="34"/>
        <v>0</v>
      </c>
      <c r="U225" s="730"/>
      <c r="V225" s="731"/>
      <c r="W225" s="730"/>
      <c r="X225" s="730"/>
      <c r="Y225" s="732">
        <f t="shared" si="30"/>
        <v>0</v>
      </c>
      <c r="Z225" s="731"/>
      <c r="AA225" s="731"/>
      <c r="AB225" s="733">
        <f t="shared" si="31"/>
        <v>0</v>
      </c>
      <c r="AC225" s="730"/>
      <c r="AD225" s="731"/>
      <c r="AE225" s="730"/>
      <c r="AF225" s="730"/>
      <c r="AG225" s="731"/>
      <c r="AH225" s="731"/>
      <c r="AI225" s="732">
        <f t="shared" si="35"/>
        <v>0</v>
      </c>
      <c r="AJ225" s="733">
        <f t="shared" si="36"/>
        <v>0</v>
      </c>
    </row>
    <row r="226" spans="1:36" s="13" customFormat="1" ht="12.75" customHeight="1">
      <c r="A226" s="821" t="s">
        <v>61</v>
      </c>
      <c r="B226" s="845" t="s">
        <v>173</v>
      </c>
      <c r="C226" s="825" t="s">
        <v>167</v>
      </c>
      <c r="D226" s="823"/>
      <c r="E226" s="841"/>
      <c r="F226" s="840">
        <v>99</v>
      </c>
      <c r="G226" s="730"/>
      <c r="H226" s="731"/>
      <c r="I226" s="730"/>
      <c r="J226" s="731"/>
      <c r="K226" s="730"/>
      <c r="L226" s="731"/>
      <c r="M226" s="730"/>
      <c r="N226" s="730"/>
      <c r="O226" s="732">
        <f t="shared" si="29"/>
        <v>0</v>
      </c>
      <c r="P226" s="731"/>
      <c r="Q226" s="731"/>
      <c r="R226" s="733">
        <f t="shared" si="32"/>
        <v>0</v>
      </c>
      <c r="S226" s="732">
        <f t="shared" si="33"/>
        <v>0</v>
      </c>
      <c r="T226" s="733">
        <f t="shared" si="34"/>
        <v>0</v>
      </c>
      <c r="U226" s="730">
        <v>725000</v>
      </c>
      <c r="V226" s="731">
        <v>703250</v>
      </c>
      <c r="W226" s="730"/>
      <c r="X226" s="730"/>
      <c r="Y226" s="732">
        <f t="shared" si="30"/>
        <v>0</v>
      </c>
      <c r="Z226" s="731"/>
      <c r="AA226" s="731"/>
      <c r="AB226" s="733">
        <f t="shared" si="31"/>
        <v>0</v>
      </c>
      <c r="AC226" s="730"/>
      <c r="AD226" s="731"/>
      <c r="AE226" s="730"/>
      <c r="AF226" s="730"/>
      <c r="AG226" s="731"/>
      <c r="AH226" s="731"/>
      <c r="AI226" s="732">
        <f t="shared" si="35"/>
        <v>725000</v>
      </c>
      <c r="AJ226" s="733">
        <f t="shared" si="36"/>
        <v>703250</v>
      </c>
    </row>
    <row r="227" spans="1:36" s="13" customFormat="1" ht="12.75" customHeight="1">
      <c r="A227" s="821" t="s">
        <v>61</v>
      </c>
      <c r="B227" s="845" t="s">
        <v>176</v>
      </c>
      <c r="C227" s="825" t="s">
        <v>177</v>
      </c>
      <c r="D227" s="823"/>
      <c r="E227" s="841"/>
      <c r="F227" s="840">
        <v>99</v>
      </c>
      <c r="G227" s="730"/>
      <c r="H227" s="731"/>
      <c r="I227" s="730"/>
      <c r="J227" s="731"/>
      <c r="K227" s="730"/>
      <c r="L227" s="731"/>
      <c r="M227" s="730"/>
      <c r="N227" s="730"/>
      <c r="O227" s="732">
        <f t="shared" si="29"/>
        <v>0</v>
      </c>
      <c r="P227" s="731"/>
      <c r="Q227" s="731"/>
      <c r="R227" s="733">
        <f t="shared" si="32"/>
        <v>0</v>
      </c>
      <c r="S227" s="732">
        <f t="shared" si="33"/>
        <v>0</v>
      </c>
      <c r="T227" s="733">
        <f t="shared" si="34"/>
        <v>0</v>
      </c>
      <c r="U227" s="730"/>
      <c r="V227" s="731"/>
      <c r="W227" s="730"/>
      <c r="X227" s="730"/>
      <c r="Y227" s="732">
        <f t="shared" si="30"/>
        <v>0</v>
      </c>
      <c r="Z227" s="731"/>
      <c r="AA227" s="731"/>
      <c r="AB227" s="733">
        <f t="shared" si="31"/>
        <v>0</v>
      </c>
      <c r="AC227" s="730"/>
      <c r="AD227" s="731"/>
      <c r="AE227" s="730"/>
      <c r="AF227" s="730"/>
      <c r="AG227" s="731"/>
      <c r="AH227" s="731"/>
      <c r="AI227" s="732">
        <f t="shared" si="35"/>
        <v>0</v>
      </c>
      <c r="AJ227" s="733">
        <f t="shared" si="36"/>
        <v>0</v>
      </c>
    </row>
    <row r="228" spans="1:36" s="13" customFormat="1" ht="12.75" customHeight="1">
      <c r="A228" s="821" t="s">
        <v>61</v>
      </c>
      <c r="B228" s="845" t="s">
        <v>180</v>
      </c>
      <c r="C228" s="825" t="s">
        <v>165</v>
      </c>
      <c r="D228" s="823"/>
      <c r="E228" s="841"/>
      <c r="F228" s="840">
        <v>99</v>
      </c>
      <c r="G228" s="730"/>
      <c r="H228" s="731"/>
      <c r="I228" s="730"/>
      <c r="J228" s="731"/>
      <c r="K228" s="730"/>
      <c r="L228" s="731"/>
      <c r="M228" s="730"/>
      <c r="N228" s="730"/>
      <c r="O228" s="732">
        <f t="shared" si="29"/>
        <v>0</v>
      </c>
      <c r="P228" s="731"/>
      <c r="Q228" s="731"/>
      <c r="R228" s="733">
        <f t="shared" si="32"/>
        <v>0</v>
      </c>
      <c r="S228" s="732">
        <f t="shared" si="33"/>
        <v>0</v>
      </c>
      <c r="T228" s="733">
        <f t="shared" si="34"/>
        <v>0</v>
      </c>
      <c r="U228" s="730"/>
      <c r="V228" s="731"/>
      <c r="W228" s="730"/>
      <c r="X228" s="730"/>
      <c r="Y228" s="732">
        <f t="shared" si="30"/>
        <v>0</v>
      </c>
      <c r="Z228" s="731"/>
      <c r="AA228" s="731"/>
      <c r="AB228" s="733">
        <f t="shared" si="31"/>
        <v>0</v>
      </c>
      <c r="AC228" s="730"/>
      <c r="AD228" s="731"/>
      <c r="AE228" s="730"/>
      <c r="AF228" s="730"/>
      <c r="AG228" s="731"/>
      <c r="AH228" s="731"/>
      <c r="AI228" s="732">
        <f t="shared" si="35"/>
        <v>0</v>
      </c>
      <c r="AJ228" s="733">
        <f t="shared" si="36"/>
        <v>0</v>
      </c>
    </row>
    <row r="229" spans="1:36" s="13" customFormat="1" ht="12.75" customHeight="1">
      <c r="A229" s="821" t="s">
        <v>61</v>
      </c>
      <c r="B229" s="845" t="s">
        <v>178</v>
      </c>
      <c r="C229" s="825" t="s">
        <v>167</v>
      </c>
      <c r="D229" s="823"/>
      <c r="E229" s="841"/>
      <c r="F229" s="840">
        <v>99</v>
      </c>
      <c r="G229" s="730"/>
      <c r="H229" s="731"/>
      <c r="I229" s="730"/>
      <c r="J229" s="731"/>
      <c r="K229" s="730"/>
      <c r="L229" s="731"/>
      <c r="M229" s="730"/>
      <c r="N229" s="730"/>
      <c r="O229" s="732">
        <f t="shared" si="29"/>
        <v>0</v>
      </c>
      <c r="P229" s="731"/>
      <c r="Q229" s="731"/>
      <c r="R229" s="733">
        <f t="shared" si="32"/>
        <v>0</v>
      </c>
      <c r="S229" s="732">
        <f t="shared" si="33"/>
        <v>0</v>
      </c>
      <c r="T229" s="733">
        <f t="shared" si="34"/>
        <v>0</v>
      </c>
      <c r="U229" s="730"/>
      <c r="V229" s="731"/>
      <c r="W229" s="730"/>
      <c r="X229" s="730"/>
      <c r="Y229" s="732">
        <f t="shared" si="30"/>
        <v>0</v>
      </c>
      <c r="Z229" s="731"/>
      <c r="AA229" s="731"/>
      <c r="AB229" s="733">
        <f t="shared" si="31"/>
        <v>0</v>
      </c>
      <c r="AC229" s="730"/>
      <c r="AD229" s="731"/>
      <c r="AE229" s="730"/>
      <c r="AF229" s="730"/>
      <c r="AG229" s="731"/>
      <c r="AH229" s="731"/>
      <c r="AI229" s="732">
        <f t="shared" si="35"/>
        <v>0</v>
      </c>
      <c r="AJ229" s="733">
        <f t="shared" si="36"/>
        <v>0</v>
      </c>
    </row>
    <row r="230" spans="1:36" s="13" customFormat="1" ht="12.75" customHeight="1">
      <c r="A230" s="821" t="s">
        <v>61</v>
      </c>
      <c r="B230" s="845" t="s">
        <v>187</v>
      </c>
      <c r="C230" s="843" t="s">
        <v>188</v>
      </c>
      <c r="D230" s="823"/>
      <c r="E230" s="841"/>
      <c r="F230" s="840">
        <v>99</v>
      </c>
      <c r="G230" s="730"/>
      <c r="H230" s="731"/>
      <c r="I230" s="730"/>
      <c r="J230" s="731"/>
      <c r="K230" s="730"/>
      <c r="L230" s="731"/>
      <c r="M230" s="730"/>
      <c r="N230" s="730"/>
      <c r="O230" s="732">
        <f t="shared" si="29"/>
        <v>0</v>
      </c>
      <c r="P230" s="731"/>
      <c r="Q230" s="731"/>
      <c r="R230" s="733">
        <f t="shared" si="32"/>
        <v>0</v>
      </c>
      <c r="S230" s="732">
        <f t="shared" si="33"/>
        <v>0</v>
      </c>
      <c r="T230" s="733">
        <f t="shared" si="34"/>
        <v>0</v>
      </c>
      <c r="U230" s="730"/>
      <c r="V230" s="731"/>
      <c r="W230" s="730"/>
      <c r="X230" s="730"/>
      <c r="Y230" s="732">
        <f t="shared" si="30"/>
        <v>0</v>
      </c>
      <c r="Z230" s="731"/>
      <c r="AA230" s="731"/>
      <c r="AB230" s="733">
        <f t="shared" si="31"/>
        <v>0</v>
      </c>
      <c r="AC230" s="730"/>
      <c r="AD230" s="731"/>
      <c r="AE230" s="730"/>
      <c r="AF230" s="730"/>
      <c r="AG230" s="731"/>
      <c r="AH230" s="731"/>
      <c r="AI230" s="732">
        <f t="shared" si="35"/>
        <v>0</v>
      </c>
      <c r="AJ230" s="733">
        <f t="shared" si="36"/>
        <v>0</v>
      </c>
    </row>
    <row r="231" spans="1:36" s="13" customFormat="1" ht="12.75" customHeight="1">
      <c r="A231" s="821" t="s">
        <v>61</v>
      </c>
      <c r="B231" s="822" t="s">
        <v>161</v>
      </c>
      <c r="C231" s="844" t="s">
        <v>189</v>
      </c>
      <c r="D231" s="823"/>
      <c r="E231" s="841"/>
      <c r="F231" s="840">
        <v>99</v>
      </c>
      <c r="G231" s="730"/>
      <c r="H231" s="731"/>
      <c r="I231" s="730"/>
      <c r="J231" s="731"/>
      <c r="K231" s="730"/>
      <c r="L231" s="731"/>
      <c r="M231" s="730"/>
      <c r="N231" s="730"/>
      <c r="O231" s="732">
        <f t="shared" si="29"/>
        <v>0</v>
      </c>
      <c r="P231" s="731"/>
      <c r="Q231" s="731"/>
      <c r="R231" s="733">
        <f t="shared" si="32"/>
        <v>0</v>
      </c>
      <c r="S231" s="732">
        <f t="shared" si="33"/>
        <v>0</v>
      </c>
      <c r="T231" s="733">
        <f t="shared" si="34"/>
        <v>0</v>
      </c>
      <c r="U231" s="730"/>
      <c r="V231" s="731"/>
      <c r="W231" s="730"/>
      <c r="X231" s="730"/>
      <c r="Y231" s="732">
        <f t="shared" si="30"/>
        <v>0</v>
      </c>
      <c r="Z231" s="731"/>
      <c r="AA231" s="731"/>
      <c r="AB231" s="733">
        <f t="shared" si="31"/>
        <v>0</v>
      </c>
      <c r="AC231" s="730"/>
      <c r="AD231" s="731"/>
      <c r="AE231" s="730"/>
      <c r="AF231" s="730"/>
      <c r="AG231" s="731"/>
      <c r="AH231" s="731"/>
      <c r="AI231" s="732">
        <f t="shared" si="35"/>
        <v>0</v>
      </c>
      <c r="AJ231" s="733">
        <f t="shared" si="36"/>
        <v>0</v>
      </c>
    </row>
    <row r="232" spans="1:36" s="13" customFormat="1" ht="12.75" customHeight="1">
      <c r="A232" s="821" t="s">
        <v>61</v>
      </c>
      <c r="B232" s="845" t="s">
        <v>190</v>
      </c>
      <c r="C232" s="825" t="s">
        <v>165</v>
      </c>
      <c r="D232" s="823"/>
      <c r="E232" s="841"/>
      <c r="F232" s="840">
        <v>99</v>
      </c>
      <c r="G232" s="730"/>
      <c r="H232" s="731"/>
      <c r="I232" s="730"/>
      <c r="J232" s="731"/>
      <c r="K232" s="730"/>
      <c r="L232" s="731"/>
      <c r="M232" s="730"/>
      <c r="N232" s="730"/>
      <c r="O232" s="732">
        <f t="shared" si="29"/>
        <v>0</v>
      </c>
      <c r="P232" s="731"/>
      <c r="Q232" s="731"/>
      <c r="R232" s="733">
        <f t="shared" si="32"/>
        <v>0</v>
      </c>
      <c r="S232" s="732">
        <f t="shared" si="33"/>
        <v>0</v>
      </c>
      <c r="T232" s="733">
        <f t="shared" si="34"/>
        <v>0</v>
      </c>
      <c r="U232" s="730"/>
      <c r="V232" s="731"/>
      <c r="W232" s="730"/>
      <c r="X232" s="730"/>
      <c r="Y232" s="732">
        <f t="shared" si="30"/>
        <v>0</v>
      </c>
      <c r="Z232" s="731"/>
      <c r="AA232" s="731"/>
      <c r="AB232" s="733">
        <f t="shared" si="31"/>
        <v>0</v>
      </c>
      <c r="AC232" s="730"/>
      <c r="AD232" s="731"/>
      <c r="AE232" s="730"/>
      <c r="AF232" s="730"/>
      <c r="AG232" s="731"/>
      <c r="AH232" s="731"/>
      <c r="AI232" s="732">
        <f t="shared" si="35"/>
        <v>0</v>
      </c>
      <c r="AJ232" s="733">
        <f t="shared" si="36"/>
        <v>0</v>
      </c>
    </row>
    <row r="233" spans="1:36" s="13" customFormat="1" ht="12.75" customHeight="1">
      <c r="A233" s="821" t="s">
        <v>61</v>
      </c>
      <c r="B233" s="845" t="s">
        <v>191</v>
      </c>
      <c r="C233" s="825" t="s">
        <v>167</v>
      </c>
      <c r="D233" s="823"/>
      <c r="E233" s="841"/>
      <c r="F233" s="840">
        <v>99</v>
      </c>
      <c r="G233" s="730"/>
      <c r="H233" s="731"/>
      <c r="I233" s="730"/>
      <c r="J233" s="731"/>
      <c r="K233" s="730"/>
      <c r="L233" s="731"/>
      <c r="M233" s="730"/>
      <c r="N233" s="730"/>
      <c r="O233" s="732">
        <f t="shared" si="29"/>
        <v>0</v>
      </c>
      <c r="P233" s="731"/>
      <c r="Q233" s="731"/>
      <c r="R233" s="733">
        <f t="shared" si="32"/>
        <v>0</v>
      </c>
      <c r="S233" s="732">
        <f t="shared" si="33"/>
        <v>0</v>
      </c>
      <c r="T233" s="733">
        <f t="shared" si="34"/>
        <v>0</v>
      </c>
      <c r="U233" s="730">
        <v>112500</v>
      </c>
      <c r="V233" s="731">
        <v>112500</v>
      </c>
      <c r="W233" s="730"/>
      <c r="X233" s="730"/>
      <c r="Y233" s="732">
        <f t="shared" si="30"/>
        <v>0</v>
      </c>
      <c r="Z233" s="731"/>
      <c r="AA233" s="731"/>
      <c r="AB233" s="733">
        <f t="shared" si="31"/>
        <v>0</v>
      </c>
      <c r="AC233" s="730"/>
      <c r="AD233" s="731"/>
      <c r="AE233" s="730"/>
      <c r="AF233" s="730"/>
      <c r="AG233" s="731"/>
      <c r="AH233" s="731"/>
      <c r="AI233" s="732">
        <f t="shared" si="35"/>
        <v>112500</v>
      </c>
      <c r="AJ233" s="733">
        <f t="shared" si="36"/>
        <v>112500</v>
      </c>
    </row>
    <row r="234" spans="1:36" s="13" customFormat="1" ht="12.75" customHeight="1">
      <c r="A234" s="821" t="s">
        <v>61</v>
      </c>
      <c r="B234" s="845" t="s">
        <v>192</v>
      </c>
      <c r="C234" s="843" t="s">
        <v>193</v>
      </c>
      <c r="D234" s="823"/>
      <c r="E234" s="841"/>
      <c r="F234" s="840">
        <v>99</v>
      </c>
      <c r="G234" s="730"/>
      <c r="H234" s="731"/>
      <c r="I234" s="730"/>
      <c r="J234" s="731"/>
      <c r="K234" s="730"/>
      <c r="L234" s="731"/>
      <c r="M234" s="730"/>
      <c r="N234" s="730"/>
      <c r="O234" s="732">
        <f t="shared" si="29"/>
        <v>0</v>
      </c>
      <c r="P234" s="731"/>
      <c r="Q234" s="731"/>
      <c r="R234" s="733">
        <f t="shared" si="32"/>
        <v>0</v>
      </c>
      <c r="S234" s="732">
        <f t="shared" si="33"/>
        <v>0</v>
      </c>
      <c r="T234" s="733">
        <f t="shared" si="34"/>
        <v>0</v>
      </c>
      <c r="U234" s="730"/>
      <c r="V234" s="731"/>
      <c r="W234" s="730"/>
      <c r="X234" s="730"/>
      <c r="Y234" s="732">
        <f t="shared" si="30"/>
        <v>0</v>
      </c>
      <c r="Z234" s="731"/>
      <c r="AA234" s="731"/>
      <c r="AB234" s="733">
        <f t="shared" si="31"/>
        <v>0</v>
      </c>
      <c r="AC234" s="730"/>
      <c r="AD234" s="731"/>
      <c r="AE234" s="730"/>
      <c r="AF234" s="730"/>
      <c r="AG234" s="731"/>
      <c r="AH234" s="731"/>
      <c r="AI234" s="732">
        <f t="shared" si="35"/>
        <v>0</v>
      </c>
      <c r="AJ234" s="733">
        <f t="shared" si="36"/>
        <v>0</v>
      </c>
    </row>
    <row r="235" spans="1:36" s="13" customFormat="1" ht="12.75" customHeight="1">
      <c r="A235" s="821" t="s">
        <v>61</v>
      </c>
      <c r="B235" s="822" t="s">
        <v>192</v>
      </c>
      <c r="C235" s="844" t="s">
        <v>194</v>
      </c>
      <c r="D235" s="839"/>
      <c r="E235" s="841"/>
      <c r="F235" s="840">
        <v>99</v>
      </c>
      <c r="G235" s="781"/>
      <c r="H235" s="731"/>
      <c r="I235" s="730"/>
      <c r="J235" s="731"/>
      <c r="K235" s="730"/>
      <c r="L235" s="731"/>
      <c r="M235" s="730"/>
      <c r="N235" s="730"/>
      <c r="O235" s="732">
        <f t="shared" si="29"/>
        <v>0</v>
      </c>
      <c r="P235" s="731"/>
      <c r="Q235" s="731"/>
      <c r="R235" s="733">
        <f t="shared" si="32"/>
        <v>0</v>
      </c>
      <c r="S235" s="732">
        <f t="shared" si="33"/>
        <v>0</v>
      </c>
      <c r="T235" s="733">
        <f t="shared" si="34"/>
        <v>0</v>
      </c>
      <c r="U235" s="730"/>
      <c r="V235" s="731"/>
      <c r="W235" s="730"/>
      <c r="X235" s="730"/>
      <c r="Y235" s="732">
        <f t="shared" si="30"/>
        <v>0</v>
      </c>
      <c r="Z235" s="731"/>
      <c r="AA235" s="731"/>
      <c r="AB235" s="733">
        <f t="shared" si="31"/>
        <v>0</v>
      </c>
      <c r="AC235" s="730"/>
      <c r="AD235" s="731"/>
      <c r="AE235" s="730"/>
      <c r="AF235" s="730"/>
      <c r="AG235" s="731"/>
      <c r="AH235" s="731"/>
      <c r="AI235" s="732">
        <f t="shared" si="35"/>
        <v>0</v>
      </c>
      <c r="AJ235" s="733">
        <f t="shared" si="36"/>
        <v>0</v>
      </c>
    </row>
    <row r="236" spans="1:36" s="13" customFormat="1" ht="12.75" customHeight="1">
      <c r="A236" s="821" t="s">
        <v>61</v>
      </c>
      <c r="B236" s="845" t="s">
        <v>195</v>
      </c>
      <c r="C236" s="825" t="s">
        <v>165</v>
      </c>
      <c r="D236" s="823"/>
      <c r="E236" s="841"/>
      <c r="F236" s="840">
        <v>99</v>
      </c>
      <c r="G236" s="781"/>
      <c r="H236" s="731"/>
      <c r="I236" s="730"/>
      <c r="J236" s="731"/>
      <c r="K236" s="730"/>
      <c r="L236" s="731"/>
      <c r="M236" s="730"/>
      <c r="N236" s="730"/>
      <c r="O236" s="732">
        <f t="shared" si="29"/>
        <v>0</v>
      </c>
      <c r="P236" s="731"/>
      <c r="Q236" s="731"/>
      <c r="R236" s="733">
        <f t="shared" si="32"/>
        <v>0</v>
      </c>
      <c r="S236" s="732">
        <f t="shared" si="33"/>
        <v>0</v>
      </c>
      <c r="T236" s="733">
        <f t="shared" si="34"/>
        <v>0</v>
      </c>
      <c r="U236" s="730"/>
      <c r="V236" s="731"/>
      <c r="W236" s="730"/>
      <c r="X236" s="730"/>
      <c r="Y236" s="732">
        <f t="shared" si="30"/>
        <v>0</v>
      </c>
      <c r="Z236" s="731"/>
      <c r="AA236" s="731"/>
      <c r="AB236" s="733">
        <f t="shared" si="31"/>
        <v>0</v>
      </c>
      <c r="AC236" s="730"/>
      <c r="AD236" s="731"/>
      <c r="AE236" s="730"/>
      <c r="AF236" s="730"/>
      <c r="AG236" s="731"/>
      <c r="AH236" s="731"/>
      <c r="AI236" s="732">
        <f t="shared" si="35"/>
        <v>0</v>
      </c>
      <c r="AJ236" s="733">
        <f t="shared" si="36"/>
        <v>0</v>
      </c>
    </row>
    <row r="237" spans="1:36" s="13" customFormat="1" ht="12.75" customHeight="1">
      <c r="A237" s="821" t="s">
        <v>61</v>
      </c>
      <c r="B237" s="845" t="s">
        <v>196</v>
      </c>
      <c r="C237" s="825" t="s">
        <v>167</v>
      </c>
      <c r="D237" s="823"/>
      <c r="E237" s="841"/>
      <c r="F237" s="840">
        <v>99</v>
      </c>
      <c r="G237" s="781"/>
      <c r="H237" s="731"/>
      <c r="I237" s="730"/>
      <c r="J237" s="731"/>
      <c r="K237" s="730"/>
      <c r="L237" s="731"/>
      <c r="M237" s="730"/>
      <c r="N237" s="730"/>
      <c r="O237" s="732">
        <f t="shared" si="29"/>
        <v>0</v>
      </c>
      <c r="P237" s="731"/>
      <c r="Q237" s="731"/>
      <c r="R237" s="733">
        <f t="shared" si="32"/>
        <v>0</v>
      </c>
      <c r="S237" s="732">
        <f t="shared" si="33"/>
        <v>0</v>
      </c>
      <c r="T237" s="733">
        <f t="shared" si="34"/>
        <v>0</v>
      </c>
      <c r="U237" s="730">
        <v>6366482</v>
      </c>
      <c r="V237" s="731">
        <v>6795945</v>
      </c>
      <c r="W237" s="730"/>
      <c r="X237" s="730"/>
      <c r="Y237" s="732">
        <f t="shared" si="30"/>
        <v>0</v>
      </c>
      <c r="Z237" s="731"/>
      <c r="AA237" s="731"/>
      <c r="AB237" s="733">
        <f t="shared" si="31"/>
        <v>0</v>
      </c>
      <c r="AC237" s="730"/>
      <c r="AD237" s="731"/>
      <c r="AE237" s="730"/>
      <c r="AF237" s="730"/>
      <c r="AG237" s="731"/>
      <c r="AH237" s="731"/>
      <c r="AI237" s="732">
        <f t="shared" si="35"/>
        <v>6366482</v>
      </c>
      <c r="AJ237" s="733">
        <f t="shared" si="36"/>
        <v>6795945</v>
      </c>
    </row>
    <row r="238" spans="1:36">
      <c r="A238" s="846" t="s">
        <v>197</v>
      </c>
      <c r="B238" s="847" t="s">
        <v>62</v>
      </c>
      <c r="C238" s="848" t="s">
        <v>198</v>
      </c>
      <c r="D238" s="849"/>
      <c r="E238" s="850">
        <v>106397</v>
      </c>
      <c r="F238" s="851">
        <v>1</v>
      </c>
      <c r="G238" s="730">
        <v>132493798</v>
      </c>
      <c r="H238" s="734">
        <f>127499863+6141453</f>
        <v>133641316</v>
      </c>
      <c r="I238" s="730"/>
      <c r="J238" s="731"/>
      <c r="K238" s="730"/>
      <c r="L238" s="731"/>
      <c r="M238" s="730">
        <v>250062036</v>
      </c>
      <c r="N238" s="730"/>
      <c r="O238" s="732">
        <f t="shared" si="29"/>
        <v>250062036</v>
      </c>
      <c r="P238" s="731">
        <v>330448683</v>
      </c>
      <c r="Q238" s="731"/>
      <c r="R238" s="733">
        <f t="shared" si="32"/>
        <v>330448683</v>
      </c>
      <c r="S238" s="732">
        <f t="shared" si="33"/>
        <v>382555834</v>
      </c>
      <c r="T238" s="733">
        <f t="shared" si="34"/>
        <v>464089999</v>
      </c>
      <c r="U238" s="730"/>
      <c r="V238" s="731"/>
      <c r="W238" s="730"/>
      <c r="X238" s="730"/>
      <c r="Y238" s="732">
        <f t="shared" si="30"/>
        <v>0</v>
      </c>
      <c r="Z238" s="731"/>
      <c r="AA238" s="731"/>
      <c r="AB238" s="733">
        <f t="shared" si="31"/>
        <v>0</v>
      </c>
      <c r="AC238" s="730"/>
      <c r="AD238" s="731"/>
      <c r="AE238" s="730"/>
      <c r="AF238" s="730"/>
      <c r="AG238" s="731"/>
      <c r="AH238" s="731"/>
      <c r="AI238" s="732">
        <f t="shared" si="35"/>
        <v>382555834</v>
      </c>
      <c r="AJ238" s="733">
        <f t="shared" si="36"/>
        <v>464089999</v>
      </c>
    </row>
    <row r="239" spans="1:36">
      <c r="A239" s="852" t="s">
        <v>197</v>
      </c>
      <c r="B239" s="847" t="s">
        <v>199</v>
      </c>
      <c r="C239" s="853" t="s">
        <v>75</v>
      </c>
      <c r="D239" s="854"/>
      <c r="E239" s="850">
        <v>106397</v>
      </c>
      <c r="F239" s="851">
        <v>1</v>
      </c>
      <c r="G239" s="730"/>
      <c r="H239" s="734"/>
      <c r="I239" s="730"/>
      <c r="J239" s="731"/>
      <c r="K239" s="730"/>
      <c r="L239" s="731"/>
      <c r="M239" s="730"/>
      <c r="N239" s="730"/>
      <c r="O239" s="732">
        <f t="shared" si="29"/>
        <v>0</v>
      </c>
      <c r="P239" s="731"/>
      <c r="Q239" s="731"/>
      <c r="R239" s="733">
        <f t="shared" si="32"/>
        <v>0</v>
      </c>
      <c r="S239" s="732">
        <f t="shared" si="33"/>
        <v>0</v>
      </c>
      <c r="T239" s="733">
        <f t="shared" si="34"/>
        <v>0</v>
      </c>
      <c r="U239" s="730"/>
      <c r="V239" s="731"/>
      <c r="W239" s="730"/>
      <c r="X239" s="730"/>
      <c r="Y239" s="732">
        <f t="shared" si="30"/>
        <v>0</v>
      </c>
      <c r="Z239" s="731"/>
      <c r="AA239" s="731"/>
      <c r="AB239" s="733">
        <f t="shared" si="31"/>
        <v>0</v>
      </c>
      <c r="AC239" s="730"/>
      <c r="AD239" s="731"/>
      <c r="AE239" s="730"/>
      <c r="AF239" s="730"/>
      <c r="AG239" s="731"/>
      <c r="AH239" s="731"/>
      <c r="AI239" s="732">
        <f t="shared" si="35"/>
        <v>0</v>
      </c>
      <c r="AJ239" s="733">
        <f t="shared" si="36"/>
        <v>0</v>
      </c>
    </row>
    <row r="240" spans="1:36">
      <c r="A240" s="852" t="s">
        <v>197</v>
      </c>
      <c r="B240" s="847" t="s">
        <v>199</v>
      </c>
      <c r="C240" s="855" t="s">
        <v>200</v>
      </c>
      <c r="D240" s="854"/>
      <c r="E240" s="850">
        <v>106397</v>
      </c>
      <c r="F240" s="851">
        <v>1</v>
      </c>
      <c r="G240" s="730"/>
      <c r="H240" s="734"/>
      <c r="I240" s="730">
        <v>70123228</v>
      </c>
      <c r="J240" s="731">
        <f>68900495+3290007</f>
        <v>72190502</v>
      </c>
      <c r="K240" s="730"/>
      <c r="L240" s="731"/>
      <c r="M240" s="730">
        <v>0</v>
      </c>
      <c r="N240" s="730"/>
      <c r="O240" s="732">
        <f t="shared" si="29"/>
        <v>0</v>
      </c>
      <c r="P240" s="731"/>
      <c r="Q240" s="731"/>
      <c r="R240" s="733">
        <f t="shared" si="32"/>
        <v>0</v>
      </c>
      <c r="S240" s="732">
        <f t="shared" si="33"/>
        <v>70123228</v>
      </c>
      <c r="T240" s="733">
        <f t="shared" si="34"/>
        <v>72190502</v>
      </c>
      <c r="U240" s="730"/>
      <c r="V240" s="731"/>
      <c r="W240" s="730"/>
      <c r="X240" s="730"/>
      <c r="Y240" s="732">
        <f t="shared" si="30"/>
        <v>0</v>
      </c>
      <c r="Z240" s="731"/>
      <c r="AA240" s="731"/>
      <c r="AB240" s="733">
        <f t="shared" si="31"/>
        <v>0</v>
      </c>
      <c r="AC240" s="730"/>
      <c r="AD240" s="731"/>
      <c r="AE240" s="730"/>
      <c r="AF240" s="730"/>
      <c r="AG240" s="731"/>
      <c r="AH240" s="731"/>
      <c r="AI240" s="732">
        <f t="shared" si="35"/>
        <v>70123228</v>
      </c>
      <c r="AJ240" s="733">
        <f t="shared" si="36"/>
        <v>72190502</v>
      </c>
    </row>
    <row r="241" spans="1:36">
      <c r="A241" s="852" t="s">
        <v>197</v>
      </c>
      <c r="B241" s="847" t="s">
        <v>120</v>
      </c>
      <c r="C241" s="855" t="s">
        <v>201</v>
      </c>
      <c r="D241" s="854"/>
      <c r="E241" s="850">
        <v>106397</v>
      </c>
      <c r="F241" s="851">
        <v>1</v>
      </c>
      <c r="G241" s="730"/>
      <c r="H241" s="734"/>
      <c r="I241" s="730">
        <v>2520148</v>
      </c>
      <c r="J241" s="731">
        <f>2406498+118464</f>
        <v>2524962</v>
      </c>
      <c r="K241" s="730"/>
      <c r="L241" s="731"/>
      <c r="M241" s="730">
        <v>0</v>
      </c>
      <c r="N241" s="730"/>
      <c r="O241" s="732">
        <f t="shared" si="29"/>
        <v>0</v>
      </c>
      <c r="P241" s="731"/>
      <c r="Q241" s="731"/>
      <c r="R241" s="733">
        <f t="shared" si="32"/>
        <v>0</v>
      </c>
      <c r="S241" s="732">
        <f t="shared" si="33"/>
        <v>2520148</v>
      </c>
      <c r="T241" s="733">
        <f t="shared" si="34"/>
        <v>2524962</v>
      </c>
      <c r="U241" s="730"/>
      <c r="V241" s="731"/>
      <c r="W241" s="730"/>
      <c r="X241" s="730"/>
      <c r="Y241" s="732">
        <f t="shared" si="30"/>
        <v>0</v>
      </c>
      <c r="Z241" s="731"/>
      <c r="AA241" s="731"/>
      <c r="AB241" s="733">
        <f t="shared" si="31"/>
        <v>0</v>
      </c>
      <c r="AC241" s="730"/>
      <c r="AD241" s="731"/>
      <c r="AE241" s="730"/>
      <c r="AF241" s="730"/>
      <c r="AG241" s="731"/>
      <c r="AH241" s="731"/>
      <c r="AI241" s="732">
        <f t="shared" si="35"/>
        <v>2520148</v>
      </c>
      <c r="AJ241" s="733">
        <f t="shared" si="36"/>
        <v>2524962</v>
      </c>
    </row>
    <row r="242" spans="1:36">
      <c r="A242" s="852" t="s">
        <v>197</v>
      </c>
      <c r="B242" s="847" t="s">
        <v>120</v>
      </c>
      <c r="C242" s="855" t="s">
        <v>202</v>
      </c>
      <c r="D242" s="854"/>
      <c r="E242" s="850">
        <v>106397</v>
      </c>
      <c r="F242" s="851">
        <v>1</v>
      </c>
      <c r="G242" s="730"/>
      <c r="H242" s="734"/>
      <c r="I242" s="730">
        <v>1858633</v>
      </c>
      <c r="J242" s="731">
        <f>2145702+112932</f>
        <v>2258634</v>
      </c>
      <c r="K242" s="730"/>
      <c r="L242" s="731"/>
      <c r="M242" s="730">
        <v>0</v>
      </c>
      <c r="N242" s="730"/>
      <c r="O242" s="732">
        <f t="shared" si="29"/>
        <v>0</v>
      </c>
      <c r="P242" s="731"/>
      <c r="Q242" s="731"/>
      <c r="R242" s="733">
        <f t="shared" si="32"/>
        <v>0</v>
      </c>
      <c r="S242" s="732">
        <f t="shared" si="33"/>
        <v>1858633</v>
      </c>
      <c r="T242" s="733">
        <f t="shared" si="34"/>
        <v>2258634</v>
      </c>
      <c r="U242" s="730"/>
      <c r="V242" s="731"/>
      <c r="W242" s="730"/>
      <c r="X242" s="730"/>
      <c r="Y242" s="732">
        <f t="shared" si="30"/>
        <v>0</v>
      </c>
      <c r="Z242" s="731"/>
      <c r="AA242" s="731"/>
      <c r="AB242" s="733">
        <f t="shared" si="31"/>
        <v>0</v>
      </c>
      <c r="AC242" s="730"/>
      <c r="AD242" s="731"/>
      <c r="AE242" s="730"/>
      <c r="AF242" s="730"/>
      <c r="AG242" s="731"/>
      <c r="AH242" s="731"/>
      <c r="AI242" s="732">
        <f t="shared" si="35"/>
        <v>1858633</v>
      </c>
      <c r="AJ242" s="733">
        <f t="shared" si="36"/>
        <v>2258634</v>
      </c>
    </row>
    <row r="243" spans="1:36">
      <c r="A243" s="852" t="s">
        <v>197</v>
      </c>
      <c r="B243" s="847" t="s">
        <v>69</v>
      </c>
      <c r="C243" s="853" t="s">
        <v>70</v>
      </c>
      <c r="D243" s="854"/>
      <c r="E243" s="850">
        <v>106397</v>
      </c>
      <c r="F243" s="851">
        <v>1</v>
      </c>
      <c r="G243" s="730"/>
      <c r="H243" s="734"/>
      <c r="I243" s="730"/>
      <c r="J243" s="731"/>
      <c r="K243" s="730"/>
      <c r="L243" s="731"/>
      <c r="M243" s="730"/>
      <c r="N243" s="730"/>
      <c r="O243" s="732">
        <f t="shared" si="29"/>
        <v>0</v>
      </c>
      <c r="P243" s="731"/>
      <c r="Q243" s="731"/>
      <c r="R243" s="733">
        <f t="shared" si="32"/>
        <v>0</v>
      </c>
      <c r="S243" s="732">
        <f t="shared" si="33"/>
        <v>0</v>
      </c>
      <c r="T243" s="733">
        <f t="shared" si="34"/>
        <v>0</v>
      </c>
      <c r="U243" s="730"/>
      <c r="V243" s="731"/>
      <c r="W243" s="730"/>
      <c r="X243" s="730"/>
      <c r="Y243" s="732">
        <f t="shared" si="30"/>
        <v>0</v>
      </c>
      <c r="Z243" s="731"/>
      <c r="AA243" s="731"/>
      <c r="AB243" s="733">
        <f t="shared" si="31"/>
        <v>0</v>
      </c>
      <c r="AC243" s="730"/>
      <c r="AD243" s="731"/>
      <c r="AE243" s="730"/>
      <c r="AF243" s="730"/>
      <c r="AG243" s="731"/>
      <c r="AH243" s="731"/>
      <c r="AI243" s="732">
        <f t="shared" si="35"/>
        <v>0</v>
      </c>
      <c r="AJ243" s="733">
        <f t="shared" si="36"/>
        <v>0</v>
      </c>
    </row>
    <row r="244" spans="1:36">
      <c r="A244" s="852" t="s">
        <v>197</v>
      </c>
      <c r="B244" s="847" t="s">
        <v>69</v>
      </c>
      <c r="C244" s="855" t="s">
        <v>203</v>
      </c>
      <c r="D244" s="854"/>
      <c r="E244" s="850">
        <v>106397</v>
      </c>
      <c r="F244" s="851">
        <v>1</v>
      </c>
      <c r="G244" s="730"/>
      <c r="H244" s="734"/>
      <c r="I244" s="730">
        <v>9408690</v>
      </c>
      <c r="J244" s="731">
        <f>9616202+56652</f>
        <v>9672854</v>
      </c>
      <c r="K244" s="730"/>
      <c r="L244" s="731"/>
      <c r="M244" s="730">
        <v>0</v>
      </c>
      <c r="N244" s="730"/>
      <c r="O244" s="732">
        <f t="shared" si="29"/>
        <v>0</v>
      </c>
      <c r="P244" s="731"/>
      <c r="Q244" s="731"/>
      <c r="R244" s="733">
        <f t="shared" si="32"/>
        <v>0</v>
      </c>
      <c r="S244" s="732">
        <f t="shared" si="33"/>
        <v>9408690</v>
      </c>
      <c r="T244" s="733">
        <f t="shared" si="34"/>
        <v>9672854</v>
      </c>
      <c r="U244" s="730"/>
      <c r="V244" s="731"/>
      <c r="W244" s="730"/>
      <c r="X244" s="730"/>
      <c r="Y244" s="732">
        <f t="shared" si="30"/>
        <v>0</v>
      </c>
      <c r="Z244" s="731"/>
      <c r="AA244" s="731"/>
      <c r="AB244" s="733">
        <f t="shared" si="31"/>
        <v>0</v>
      </c>
      <c r="AC244" s="730"/>
      <c r="AD244" s="731"/>
      <c r="AE244" s="730"/>
      <c r="AF244" s="730"/>
      <c r="AG244" s="731"/>
      <c r="AH244" s="731"/>
      <c r="AI244" s="732">
        <f t="shared" si="35"/>
        <v>9408690</v>
      </c>
      <c r="AJ244" s="733">
        <f t="shared" si="36"/>
        <v>9672854</v>
      </c>
    </row>
    <row r="245" spans="1:36">
      <c r="A245" s="846" t="s">
        <v>197</v>
      </c>
      <c r="B245" s="847" t="s">
        <v>62</v>
      </c>
      <c r="C245" s="855" t="s">
        <v>204</v>
      </c>
      <c r="D245" s="854"/>
      <c r="E245" s="850">
        <v>106397</v>
      </c>
      <c r="F245" s="851">
        <v>1</v>
      </c>
      <c r="G245" s="730"/>
      <c r="H245" s="734"/>
      <c r="I245" s="730">
        <v>2336895</v>
      </c>
      <c r="J245" s="731">
        <f>2220051+116845</f>
        <v>2336896</v>
      </c>
      <c r="K245" s="730"/>
      <c r="L245" s="731"/>
      <c r="M245" s="730">
        <v>1325000</v>
      </c>
      <c r="N245" s="730"/>
      <c r="O245" s="732">
        <f t="shared" si="29"/>
        <v>1325000</v>
      </c>
      <c r="P245" s="731">
        <v>1048844</v>
      </c>
      <c r="Q245" s="731"/>
      <c r="R245" s="733">
        <f t="shared" si="32"/>
        <v>1048844</v>
      </c>
      <c r="S245" s="732">
        <f t="shared" si="33"/>
        <v>3661895</v>
      </c>
      <c r="T245" s="733">
        <f t="shared" si="34"/>
        <v>3385740</v>
      </c>
      <c r="U245" s="730"/>
      <c r="V245" s="731"/>
      <c r="W245" s="730"/>
      <c r="X245" s="730"/>
      <c r="Y245" s="732">
        <f t="shared" si="30"/>
        <v>0</v>
      </c>
      <c r="Z245" s="731"/>
      <c r="AA245" s="731"/>
      <c r="AB245" s="733">
        <f t="shared" si="31"/>
        <v>0</v>
      </c>
      <c r="AC245" s="730"/>
      <c r="AD245" s="731"/>
      <c r="AE245" s="730"/>
      <c r="AF245" s="730"/>
      <c r="AG245" s="731"/>
      <c r="AH245" s="731"/>
      <c r="AI245" s="732">
        <f t="shared" si="35"/>
        <v>3661895</v>
      </c>
      <c r="AJ245" s="733">
        <f t="shared" si="36"/>
        <v>3385740</v>
      </c>
    </row>
    <row r="246" spans="1:36">
      <c r="A246" s="852" t="s">
        <v>197</v>
      </c>
      <c r="B246" s="847" t="s">
        <v>62</v>
      </c>
      <c r="C246" s="848" t="s">
        <v>205</v>
      </c>
      <c r="D246" s="856"/>
      <c r="E246" s="850">
        <v>106245</v>
      </c>
      <c r="F246" s="851">
        <v>2</v>
      </c>
      <c r="G246" s="730">
        <v>62805132</v>
      </c>
      <c r="H246" s="734">
        <f>60270946+2822419</f>
        <v>63093365</v>
      </c>
      <c r="I246" s="730"/>
      <c r="J246" s="731"/>
      <c r="K246" s="730"/>
      <c r="L246" s="731"/>
      <c r="M246" s="730">
        <v>71918687</v>
      </c>
      <c r="N246" s="730"/>
      <c r="O246" s="732">
        <f t="shared" si="29"/>
        <v>71918687</v>
      </c>
      <c r="P246" s="731">
        <v>65571181</v>
      </c>
      <c r="Q246" s="731"/>
      <c r="R246" s="733">
        <f t="shared" si="32"/>
        <v>65571181</v>
      </c>
      <c r="S246" s="732">
        <f t="shared" si="33"/>
        <v>134723819</v>
      </c>
      <c r="T246" s="733">
        <f t="shared" si="34"/>
        <v>128664546</v>
      </c>
      <c r="U246" s="730"/>
      <c r="V246" s="731"/>
      <c r="W246" s="730"/>
      <c r="X246" s="730"/>
      <c r="Y246" s="732">
        <f t="shared" si="30"/>
        <v>0</v>
      </c>
      <c r="Z246" s="731"/>
      <c r="AA246" s="731"/>
      <c r="AB246" s="733">
        <f t="shared" si="31"/>
        <v>0</v>
      </c>
      <c r="AC246" s="730"/>
      <c r="AD246" s="731"/>
      <c r="AE246" s="730"/>
      <c r="AF246" s="730"/>
      <c r="AG246" s="731"/>
      <c r="AH246" s="731"/>
      <c r="AI246" s="732">
        <f t="shared" si="35"/>
        <v>134723819</v>
      </c>
      <c r="AJ246" s="733">
        <f t="shared" si="36"/>
        <v>128664546</v>
      </c>
    </row>
    <row r="247" spans="1:36">
      <c r="A247" s="852" t="s">
        <v>197</v>
      </c>
      <c r="B247" s="847" t="s">
        <v>69</v>
      </c>
      <c r="C247" s="853" t="s">
        <v>70</v>
      </c>
      <c r="D247" s="854"/>
      <c r="E247" s="850">
        <v>106245</v>
      </c>
      <c r="F247" s="851">
        <v>2</v>
      </c>
      <c r="G247" s="730"/>
      <c r="H247" s="734"/>
      <c r="I247" s="730"/>
      <c r="J247" s="731"/>
      <c r="K247" s="730"/>
      <c r="L247" s="731"/>
      <c r="M247" s="730"/>
      <c r="N247" s="730"/>
      <c r="O247" s="732">
        <f t="shared" si="29"/>
        <v>0</v>
      </c>
      <c r="P247" s="731"/>
      <c r="Q247" s="731"/>
      <c r="R247" s="733">
        <f t="shared" si="32"/>
        <v>0</v>
      </c>
      <c r="S247" s="732">
        <f t="shared" si="33"/>
        <v>0</v>
      </c>
      <c r="T247" s="733">
        <f t="shared" si="34"/>
        <v>0</v>
      </c>
      <c r="U247" s="730"/>
      <c r="V247" s="731"/>
      <c r="W247" s="730"/>
      <c r="X247" s="730"/>
      <c r="Y247" s="732">
        <f t="shared" si="30"/>
        <v>0</v>
      </c>
      <c r="Z247" s="731"/>
      <c r="AA247" s="731"/>
      <c r="AB247" s="733">
        <f t="shared" si="31"/>
        <v>0</v>
      </c>
      <c r="AC247" s="730"/>
      <c r="AD247" s="731"/>
      <c r="AE247" s="730"/>
      <c r="AF247" s="730"/>
      <c r="AG247" s="731"/>
      <c r="AH247" s="731"/>
      <c r="AI247" s="732">
        <f t="shared" si="35"/>
        <v>0</v>
      </c>
      <c r="AJ247" s="733">
        <f t="shared" si="36"/>
        <v>0</v>
      </c>
    </row>
    <row r="248" spans="1:36">
      <c r="A248" s="852" t="s">
        <v>197</v>
      </c>
      <c r="B248" s="847" t="s">
        <v>69</v>
      </c>
      <c r="C248" s="855" t="s">
        <v>206</v>
      </c>
      <c r="D248" s="854"/>
      <c r="E248" s="850">
        <v>106245</v>
      </c>
      <c r="F248" s="851">
        <v>2</v>
      </c>
      <c r="G248" s="730"/>
      <c r="H248" s="734"/>
      <c r="I248" s="730">
        <v>4161417</v>
      </c>
      <c r="J248" s="731">
        <f>3957815+203602</f>
        <v>4161417</v>
      </c>
      <c r="K248" s="730"/>
      <c r="L248" s="731"/>
      <c r="M248" s="730"/>
      <c r="N248" s="730"/>
      <c r="O248" s="732">
        <f t="shared" si="29"/>
        <v>0</v>
      </c>
      <c r="P248" s="731"/>
      <c r="Q248" s="731"/>
      <c r="R248" s="733">
        <f t="shared" si="32"/>
        <v>0</v>
      </c>
      <c r="S248" s="732">
        <f t="shared" si="33"/>
        <v>4161417</v>
      </c>
      <c r="T248" s="733">
        <f t="shared" si="34"/>
        <v>4161417</v>
      </c>
      <c r="U248" s="730"/>
      <c r="V248" s="731"/>
      <c r="W248" s="730"/>
      <c r="X248" s="730"/>
      <c r="Y248" s="732">
        <f t="shared" si="30"/>
        <v>0</v>
      </c>
      <c r="Z248" s="731"/>
      <c r="AA248" s="731"/>
      <c r="AB248" s="733">
        <f t="shared" si="31"/>
        <v>0</v>
      </c>
      <c r="AC248" s="730"/>
      <c r="AD248" s="731"/>
      <c r="AE248" s="730"/>
      <c r="AF248" s="730"/>
      <c r="AG248" s="731"/>
      <c r="AH248" s="731"/>
      <c r="AI248" s="732">
        <f t="shared" si="35"/>
        <v>4161417</v>
      </c>
      <c r="AJ248" s="733">
        <f t="shared" si="36"/>
        <v>4161417</v>
      </c>
    </row>
    <row r="249" spans="1:36">
      <c r="A249" s="852" t="s">
        <v>197</v>
      </c>
      <c r="B249" s="847" t="s">
        <v>62</v>
      </c>
      <c r="C249" s="848" t="s">
        <v>207</v>
      </c>
      <c r="D249" s="849"/>
      <c r="E249" s="850">
        <v>106458</v>
      </c>
      <c r="F249" s="851">
        <v>3</v>
      </c>
      <c r="G249" s="730">
        <v>63192266</v>
      </c>
      <c r="H249" s="734">
        <f>61401020+2840816+342914+21182</f>
        <v>64605932</v>
      </c>
      <c r="I249" s="730"/>
      <c r="J249" s="731"/>
      <c r="K249" s="730"/>
      <c r="L249" s="731"/>
      <c r="M249" s="730">
        <v>101588348</v>
      </c>
      <c r="N249" s="730"/>
      <c r="O249" s="732">
        <f t="shared" si="29"/>
        <v>101588348</v>
      </c>
      <c r="P249" s="731">
        <v>104536058</v>
      </c>
      <c r="Q249" s="731"/>
      <c r="R249" s="733">
        <f t="shared" si="32"/>
        <v>104536058</v>
      </c>
      <c r="S249" s="732">
        <f t="shared" si="33"/>
        <v>164780614</v>
      </c>
      <c r="T249" s="733">
        <f t="shared" si="34"/>
        <v>169141990</v>
      </c>
      <c r="U249" s="730"/>
      <c r="V249" s="731"/>
      <c r="W249" s="730"/>
      <c r="X249" s="730"/>
      <c r="Y249" s="732">
        <f t="shared" si="30"/>
        <v>0</v>
      </c>
      <c r="Z249" s="731"/>
      <c r="AA249" s="731"/>
      <c r="AB249" s="733">
        <f t="shared" si="31"/>
        <v>0</v>
      </c>
      <c r="AC249" s="730"/>
      <c r="AD249" s="731"/>
      <c r="AE249" s="730"/>
      <c r="AF249" s="730"/>
      <c r="AG249" s="731"/>
      <c r="AH249" s="731"/>
      <c r="AI249" s="732">
        <f t="shared" si="35"/>
        <v>164780614</v>
      </c>
      <c r="AJ249" s="733">
        <f t="shared" si="36"/>
        <v>169141990</v>
      </c>
    </row>
    <row r="250" spans="1:36">
      <c r="A250" s="852" t="s">
        <v>197</v>
      </c>
      <c r="B250" s="847" t="s">
        <v>69</v>
      </c>
      <c r="C250" s="853" t="s">
        <v>70</v>
      </c>
      <c r="D250" s="854"/>
      <c r="E250" s="850">
        <v>106458</v>
      </c>
      <c r="F250" s="851">
        <v>3</v>
      </c>
      <c r="G250" s="730"/>
      <c r="H250" s="734"/>
      <c r="I250" s="730"/>
      <c r="J250" s="731"/>
      <c r="K250" s="730"/>
      <c r="L250" s="731"/>
      <c r="M250" s="730"/>
      <c r="N250" s="730"/>
      <c r="O250" s="732">
        <f t="shared" si="29"/>
        <v>0</v>
      </c>
      <c r="P250" s="731"/>
      <c r="Q250" s="731"/>
      <c r="R250" s="733">
        <f t="shared" si="32"/>
        <v>0</v>
      </c>
      <c r="S250" s="732">
        <f t="shared" si="33"/>
        <v>0</v>
      </c>
      <c r="T250" s="733">
        <f t="shared" si="34"/>
        <v>0</v>
      </c>
      <c r="U250" s="730"/>
      <c r="V250" s="731"/>
      <c r="W250" s="730"/>
      <c r="X250" s="730"/>
      <c r="Y250" s="732">
        <f t="shared" si="30"/>
        <v>0</v>
      </c>
      <c r="Z250" s="731"/>
      <c r="AA250" s="731"/>
      <c r="AB250" s="733">
        <f t="shared" si="31"/>
        <v>0</v>
      </c>
      <c r="AC250" s="730"/>
      <c r="AD250" s="731"/>
      <c r="AE250" s="730"/>
      <c r="AF250" s="730"/>
      <c r="AG250" s="731"/>
      <c r="AH250" s="731"/>
      <c r="AI250" s="732">
        <f t="shared" si="35"/>
        <v>0</v>
      </c>
      <c r="AJ250" s="733">
        <f t="shared" si="36"/>
        <v>0</v>
      </c>
    </row>
    <row r="251" spans="1:36">
      <c r="A251" s="852" t="s">
        <v>197</v>
      </c>
      <c r="B251" s="847" t="s">
        <v>62</v>
      </c>
      <c r="C251" s="857" t="s">
        <v>208</v>
      </c>
      <c r="D251" s="858"/>
      <c r="E251" s="851">
        <v>106467</v>
      </c>
      <c r="F251" s="851">
        <v>3</v>
      </c>
      <c r="G251" s="730">
        <v>32733915</v>
      </c>
      <c r="H251" s="734">
        <f>31777830+1545287</f>
        <v>33323117</v>
      </c>
      <c r="I251" s="730"/>
      <c r="J251" s="731"/>
      <c r="K251" s="730"/>
      <c r="L251" s="731"/>
      <c r="M251" s="730">
        <v>68551156</v>
      </c>
      <c r="N251" s="730"/>
      <c r="O251" s="732">
        <f t="shared" si="29"/>
        <v>68551156</v>
      </c>
      <c r="P251" s="731">
        <v>67337772</v>
      </c>
      <c r="Q251" s="731"/>
      <c r="R251" s="733">
        <f t="shared" si="32"/>
        <v>67337772</v>
      </c>
      <c r="S251" s="732">
        <f t="shared" si="33"/>
        <v>101285071</v>
      </c>
      <c r="T251" s="733">
        <f t="shared" si="34"/>
        <v>100660889</v>
      </c>
      <c r="U251" s="730"/>
      <c r="V251" s="731"/>
      <c r="W251" s="730"/>
      <c r="X251" s="730"/>
      <c r="Y251" s="732">
        <f t="shared" si="30"/>
        <v>0</v>
      </c>
      <c r="Z251" s="731"/>
      <c r="AA251" s="731"/>
      <c r="AB251" s="733">
        <f t="shared" si="31"/>
        <v>0</v>
      </c>
      <c r="AC251" s="730"/>
      <c r="AD251" s="731"/>
      <c r="AE251" s="730"/>
      <c r="AF251" s="730"/>
      <c r="AG251" s="731"/>
      <c r="AH251" s="731"/>
      <c r="AI251" s="732">
        <f t="shared" si="35"/>
        <v>101285071</v>
      </c>
      <c r="AJ251" s="733">
        <f t="shared" si="36"/>
        <v>100660889</v>
      </c>
    </row>
    <row r="252" spans="1:36">
      <c r="A252" s="852" t="s">
        <v>197</v>
      </c>
      <c r="B252" s="847" t="s">
        <v>69</v>
      </c>
      <c r="C252" s="853" t="s">
        <v>70</v>
      </c>
      <c r="D252" s="854"/>
      <c r="E252" s="850">
        <v>106467</v>
      </c>
      <c r="F252" s="851">
        <v>3</v>
      </c>
      <c r="G252" s="730"/>
      <c r="H252" s="734"/>
      <c r="I252" s="730"/>
      <c r="J252" s="731"/>
      <c r="K252" s="730"/>
      <c r="L252" s="731"/>
      <c r="M252" s="730"/>
      <c r="N252" s="730"/>
      <c r="O252" s="732">
        <f t="shared" si="29"/>
        <v>0</v>
      </c>
      <c r="P252" s="731"/>
      <c r="Q252" s="731"/>
      <c r="R252" s="733">
        <f t="shared" si="32"/>
        <v>0</v>
      </c>
      <c r="S252" s="732">
        <f t="shared" si="33"/>
        <v>0</v>
      </c>
      <c r="T252" s="733">
        <f t="shared" si="34"/>
        <v>0</v>
      </c>
      <c r="U252" s="730"/>
      <c r="V252" s="731"/>
      <c r="W252" s="730"/>
      <c r="X252" s="730"/>
      <c r="Y252" s="732">
        <f t="shared" si="30"/>
        <v>0</v>
      </c>
      <c r="Z252" s="731"/>
      <c r="AA252" s="731"/>
      <c r="AB252" s="733">
        <f t="shared" si="31"/>
        <v>0</v>
      </c>
      <c r="AC252" s="730"/>
      <c r="AD252" s="731"/>
      <c r="AE252" s="730"/>
      <c r="AF252" s="730"/>
      <c r="AG252" s="731"/>
      <c r="AH252" s="731"/>
      <c r="AI252" s="732">
        <f t="shared" si="35"/>
        <v>0</v>
      </c>
      <c r="AJ252" s="733">
        <f t="shared" si="36"/>
        <v>0</v>
      </c>
    </row>
    <row r="253" spans="1:36">
      <c r="A253" s="852" t="s">
        <v>197</v>
      </c>
      <c r="B253" s="847" t="s">
        <v>69</v>
      </c>
      <c r="C253" s="855" t="s">
        <v>209</v>
      </c>
      <c r="D253" s="854"/>
      <c r="E253" s="850">
        <v>106467</v>
      </c>
      <c r="F253" s="851">
        <v>3</v>
      </c>
      <c r="G253" s="730"/>
      <c r="H253" s="734"/>
      <c r="I253" s="730">
        <v>3213029</v>
      </c>
      <c r="J253" s="731">
        <f>3152028+124081</f>
        <v>3276109</v>
      </c>
      <c r="K253" s="730"/>
      <c r="L253" s="731"/>
      <c r="M253" s="730">
        <v>5201550</v>
      </c>
      <c r="N253" s="730"/>
      <c r="O253" s="732">
        <f t="shared" si="29"/>
        <v>5201550</v>
      </c>
      <c r="P253" s="731">
        <v>4828050</v>
      </c>
      <c r="Q253" s="731"/>
      <c r="R253" s="733">
        <f t="shared" si="32"/>
        <v>4828050</v>
      </c>
      <c r="S253" s="732">
        <f t="shared" si="33"/>
        <v>8414579</v>
      </c>
      <c r="T253" s="733">
        <f t="shared" si="34"/>
        <v>8104159</v>
      </c>
      <c r="U253" s="730"/>
      <c r="V253" s="731"/>
      <c r="W253" s="730"/>
      <c r="X253" s="730"/>
      <c r="Y253" s="732">
        <f t="shared" si="30"/>
        <v>0</v>
      </c>
      <c r="Z253" s="731"/>
      <c r="AA253" s="731"/>
      <c r="AB253" s="733">
        <f t="shared" si="31"/>
        <v>0</v>
      </c>
      <c r="AC253" s="730"/>
      <c r="AD253" s="731"/>
      <c r="AE253" s="730"/>
      <c r="AF253" s="730"/>
      <c r="AG253" s="731"/>
      <c r="AH253" s="731"/>
      <c r="AI253" s="732">
        <f t="shared" si="35"/>
        <v>8414579</v>
      </c>
      <c r="AJ253" s="733">
        <f t="shared" si="36"/>
        <v>8104159</v>
      </c>
    </row>
    <row r="254" spans="1:36">
      <c r="A254" s="852" t="s">
        <v>197</v>
      </c>
      <c r="B254" s="847" t="s">
        <v>62</v>
      </c>
      <c r="C254" s="848" t="s">
        <v>210</v>
      </c>
      <c r="D254" s="849"/>
      <c r="E254" s="850">
        <v>106704</v>
      </c>
      <c r="F254" s="851">
        <v>3</v>
      </c>
      <c r="G254" s="730">
        <v>59635056</v>
      </c>
      <c r="H254" s="734">
        <f>57994007+2762659</f>
        <v>60756666</v>
      </c>
      <c r="I254" s="730"/>
      <c r="J254" s="731"/>
      <c r="K254" s="730"/>
      <c r="L254" s="731"/>
      <c r="M254" s="730">
        <v>90714545</v>
      </c>
      <c r="N254" s="730"/>
      <c r="O254" s="732">
        <f t="shared" si="29"/>
        <v>90714545</v>
      </c>
      <c r="P254" s="731">
        <v>95119694</v>
      </c>
      <c r="Q254" s="731"/>
      <c r="R254" s="733">
        <f t="shared" si="32"/>
        <v>95119694</v>
      </c>
      <c r="S254" s="732">
        <f t="shared" si="33"/>
        <v>150349601</v>
      </c>
      <c r="T254" s="733">
        <f t="shared" si="34"/>
        <v>155876360</v>
      </c>
      <c r="U254" s="730"/>
      <c r="V254" s="731"/>
      <c r="W254" s="730"/>
      <c r="X254" s="730"/>
      <c r="Y254" s="732">
        <f t="shared" si="30"/>
        <v>0</v>
      </c>
      <c r="Z254" s="731"/>
      <c r="AA254" s="731"/>
      <c r="AB254" s="733">
        <f t="shared" si="31"/>
        <v>0</v>
      </c>
      <c r="AC254" s="730"/>
      <c r="AD254" s="731"/>
      <c r="AE254" s="730"/>
      <c r="AF254" s="730"/>
      <c r="AG254" s="731"/>
      <c r="AH254" s="731"/>
      <c r="AI254" s="732">
        <f t="shared" si="35"/>
        <v>150349601</v>
      </c>
      <c r="AJ254" s="733">
        <f t="shared" si="36"/>
        <v>155876360</v>
      </c>
    </row>
    <row r="255" spans="1:36">
      <c r="A255" s="852" t="s">
        <v>197</v>
      </c>
      <c r="B255" s="847" t="s">
        <v>62</v>
      </c>
      <c r="C255" s="848" t="s">
        <v>211</v>
      </c>
      <c r="D255" s="849"/>
      <c r="E255" s="850">
        <v>107071</v>
      </c>
      <c r="F255" s="851">
        <v>4</v>
      </c>
      <c r="G255" s="730">
        <v>21389785</v>
      </c>
      <c r="H255" s="734">
        <f>20502855+947525</f>
        <v>21450380</v>
      </c>
      <c r="I255" s="730"/>
      <c r="J255" s="731"/>
      <c r="K255" s="730"/>
      <c r="L255" s="731"/>
      <c r="M255" s="730">
        <v>29278838</v>
      </c>
      <c r="N255" s="730"/>
      <c r="O255" s="732">
        <f t="shared" si="29"/>
        <v>29278838</v>
      </c>
      <c r="P255" s="731">
        <v>27214559</v>
      </c>
      <c r="Q255" s="731"/>
      <c r="R255" s="733">
        <f t="shared" si="32"/>
        <v>27214559</v>
      </c>
      <c r="S255" s="732">
        <f t="shared" si="33"/>
        <v>50668623</v>
      </c>
      <c r="T255" s="733">
        <f t="shared" si="34"/>
        <v>48664939</v>
      </c>
      <c r="U255" s="730"/>
      <c r="V255" s="731"/>
      <c r="W255" s="730"/>
      <c r="X255" s="730"/>
      <c r="Y255" s="732">
        <f t="shared" si="30"/>
        <v>0</v>
      </c>
      <c r="Z255" s="731"/>
      <c r="AA255" s="731"/>
      <c r="AB255" s="733">
        <f t="shared" si="31"/>
        <v>0</v>
      </c>
      <c r="AC255" s="730"/>
      <c r="AD255" s="731"/>
      <c r="AE255" s="730"/>
      <c r="AF255" s="730"/>
      <c r="AG255" s="731"/>
      <c r="AH255" s="731"/>
      <c r="AI255" s="732">
        <f t="shared" si="35"/>
        <v>50668623</v>
      </c>
      <c r="AJ255" s="733">
        <f t="shared" si="36"/>
        <v>48664939</v>
      </c>
    </row>
    <row r="256" spans="1:36">
      <c r="A256" s="852" t="s">
        <v>197</v>
      </c>
      <c r="B256" s="847" t="s">
        <v>69</v>
      </c>
      <c r="C256" s="853" t="s">
        <v>70</v>
      </c>
      <c r="D256" s="854"/>
      <c r="E256" s="850">
        <v>107071</v>
      </c>
      <c r="F256" s="851">
        <v>4</v>
      </c>
      <c r="G256" s="730"/>
      <c r="H256" s="734"/>
      <c r="I256" s="730"/>
      <c r="J256" s="731"/>
      <c r="K256" s="730"/>
      <c r="L256" s="731"/>
      <c r="M256" s="730"/>
      <c r="N256" s="730"/>
      <c r="O256" s="732">
        <f t="shared" si="29"/>
        <v>0</v>
      </c>
      <c r="P256" s="731"/>
      <c r="Q256" s="731"/>
      <c r="R256" s="733">
        <f t="shared" si="32"/>
        <v>0</v>
      </c>
      <c r="S256" s="732">
        <f t="shared" si="33"/>
        <v>0</v>
      </c>
      <c r="T256" s="733">
        <f t="shared" si="34"/>
        <v>0</v>
      </c>
      <c r="U256" s="730"/>
      <c r="V256" s="731"/>
      <c r="W256" s="730"/>
      <c r="X256" s="730"/>
      <c r="Y256" s="732">
        <f t="shared" si="30"/>
        <v>0</v>
      </c>
      <c r="Z256" s="731"/>
      <c r="AA256" s="731"/>
      <c r="AB256" s="733">
        <f t="shared" si="31"/>
        <v>0</v>
      </c>
      <c r="AC256" s="730"/>
      <c r="AD256" s="731"/>
      <c r="AE256" s="730"/>
      <c r="AF256" s="730"/>
      <c r="AG256" s="731"/>
      <c r="AH256" s="731"/>
      <c r="AI256" s="732">
        <f t="shared" si="35"/>
        <v>0</v>
      </c>
      <c r="AJ256" s="733">
        <f t="shared" si="36"/>
        <v>0</v>
      </c>
    </row>
    <row r="257" spans="1:36">
      <c r="A257" s="852" t="s">
        <v>197</v>
      </c>
      <c r="B257" s="847" t="s">
        <v>69</v>
      </c>
      <c r="C257" s="855" t="s">
        <v>212</v>
      </c>
      <c r="D257" s="859"/>
      <c r="E257" s="850">
        <v>107071</v>
      </c>
      <c r="F257" s="851">
        <v>4</v>
      </c>
      <c r="G257" s="730"/>
      <c r="H257" s="734"/>
      <c r="I257" s="730">
        <v>81234</v>
      </c>
      <c r="J257" s="731">
        <f>77211+4023</f>
        <v>81234</v>
      </c>
      <c r="K257" s="730"/>
      <c r="L257" s="731"/>
      <c r="M257" s="730"/>
      <c r="N257" s="730"/>
      <c r="O257" s="732">
        <f t="shared" si="29"/>
        <v>0</v>
      </c>
      <c r="P257" s="731"/>
      <c r="Q257" s="731"/>
      <c r="R257" s="733">
        <f t="shared" si="32"/>
        <v>0</v>
      </c>
      <c r="S257" s="732">
        <f t="shared" si="33"/>
        <v>81234</v>
      </c>
      <c r="T257" s="733">
        <f t="shared" si="34"/>
        <v>81234</v>
      </c>
      <c r="U257" s="730"/>
      <c r="V257" s="731"/>
      <c r="W257" s="730"/>
      <c r="X257" s="730"/>
      <c r="Y257" s="732">
        <f t="shared" si="30"/>
        <v>0</v>
      </c>
      <c r="Z257" s="731"/>
      <c r="AA257" s="731"/>
      <c r="AB257" s="733">
        <f t="shared" si="31"/>
        <v>0</v>
      </c>
      <c r="AC257" s="730"/>
      <c r="AD257" s="731"/>
      <c r="AE257" s="730"/>
      <c r="AF257" s="730"/>
      <c r="AG257" s="731"/>
      <c r="AH257" s="731"/>
      <c r="AI257" s="732">
        <f t="shared" si="35"/>
        <v>81234</v>
      </c>
      <c r="AJ257" s="733">
        <f t="shared" si="36"/>
        <v>81234</v>
      </c>
    </row>
    <row r="258" spans="1:36">
      <c r="A258" s="852" t="s">
        <v>197</v>
      </c>
      <c r="B258" s="847" t="s">
        <v>62</v>
      </c>
      <c r="C258" s="857" t="s">
        <v>213</v>
      </c>
      <c r="D258" s="858"/>
      <c r="E258" s="850">
        <v>107983</v>
      </c>
      <c r="F258" s="851">
        <v>4</v>
      </c>
      <c r="G258" s="730">
        <v>18975426</v>
      </c>
      <c r="H258" s="734">
        <f>17798662+858959</f>
        <v>18657621</v>
      </c>
      <c r="I258" s="730"/>
      <c r="J258" s="731"/>
      <c r="K258" s="730"/>
      <c r="L258" s="731"/>
      <c r="M258" s="730">
        <v>35485878</v>
      </c>
      <c r="N258" s="730"/>
      <c r="O258" s="732">
        <f t="shared" si="29"/>
        <v>35485878</v>
      </c>
      <c r="P258" s="731">
        <v>41895786</v>
      </c>
      <c r="Q258" s="731"/>
      <c r="R258" s="733">
        <f t="shared" si="32"/>
        <v>41895786</v>
      </c>
      <c r="S258" s="732">
        <f t="shared" si="33"/>
        <v>54461304</v>
      </c>
      <c r="T258" s="733">
        <f t="shared" si="34"/>
        <v>60553407</v>
      </c>
      <c r="U258" s="730"/>
      <c r="V258" s="731"/>
      <c r="W258" s="730"/>
      <c r="X258" s="730"/>
      <c r="Y258" s="732">
        <f t="shared" si="30"/>
        <v>0</v>
      </c>
      <c r="Z258" s="731"/>
      <c r="AA258" s="731"/>
      <c r="AB258" s="733">
        <f t="shared" si="31"/>
        <v>0</v>
      </c>
      <c r="AC258" s="730"/>
      <c r="AD258" s="731"/>
      <c r="AE258" s="730"/>
      <c r="AF258" s="730"/>
      <c r="AG258" s="731"/>
      <c r="AH258" s="731"/>
      <c r="AI258" s="732">
        <f t="shared" si="35"/>
        <v>54461304</v>
      </c>
      <c r="AJ258" s="733">
        <f t="shared" si="36"/>
        <v>60553407</v>
      </c>
    </row>
    <row r="259" spans="1:36">
      <c r="A259" s="852" t="s">
        <v>197</v>
      </c>
      <c r="B259" s="847" t="s">
        <v>62</v>
      </c>
      <c r="C259" s="848" t="s">
        <v>214</v>
      </c>
      <c r="D259" s="856"/>
      <c r="E259" s="850">
        <v>106485</v>
      </c>
      <c r="F259" s="860">
        <v>4</v>
      </c>
      <c r="G259" s="730">
        <v>14326386</v>
      </c>
      <c r="H259" s="734">
        <f>13871159+654514</f>
        <v>14525673</v>
      </c>
      <c r="I259" s="730"/>
      <c r="J259" s="731"/>
      <c r="K259" s="730"/>
      <c r="L259" s="731"/>
      <c r="M259" s="730">
        <v>17236033</v>
      </c>
      <c r="N259" s="730"/>
      <c r="O259" s="732">
        <f t="shared" si="29"/>
        <v>17236033</v>
      </c>
      <c r="P259" s="731">
        <v>20242443</v>
      </c>
      <c r="Q259" s="731"/>
      <c r="R259" s="733">
        <f t="shared" si="32"/>
        <v>20242443</v>
      </c>
      <c r="S259" s="732">
        <f t="shared" si="33"/>
        <v>31562419</v>
      </c>
      <c r="T259" s="733">
        <f t="shared" si="34"/>
        <v>34768116</v>
      </c>
      <c r="U259" s="730"/>
      <c r="V259" s="731"/>
      <c r="W259" s="730"/>
      <c r="X259" s="730"/>
      <c r="Y259" s="732">
        <f t="shared" si="30"/>
        <v>0</v>
      </c>
      <c r="Z259" s="731"/>
      <c r="AA259" s="731"/>
      <c r="AB259" s="733">
        <f t="shared" si="31"/>
        <v>0</v>
      </c>
      <c r="AC259" s="730"/>
      <c r="AD259" s="731"/>
      <c r="AE259" s="730"/>
      <c r="AF259" s="730"/>
      <c r="AG259" s="731"/>
      <c r="AH259" s="731"/>
      <c r="AI259" s="732">
        <f t="shared" si="35"/>
        <v>31562419</v>
      </c>
      <c r="AJ259" s="733">
        <f t="shared" si="36"/>
        <v>34768116</v>
      </c>
    </row>
    <row r="260" spans="1:36">
      <c r="A260" s="852" t="s">
        <v>197</v>
      </c>
      <c r="B260" s="847" t="s">
        <v>69</v>
      </c>
      <c r="C260" s="853" t="s">
        <v>70</v>
      </c>
      <c r="D260" s="861" t="s">
        <v>1784</v>
      </c>
      <c r="E260" s="850">
        <v>106485</v>
      </c>
      <c r="F260" s="860">
        <v>4</v>
      </c>
      <c r="G260" s="730"/>
      <c r="H260" s="734"/>
      <c r="I260" s="730"/>
      <c r="J260" s="731"/>
      <c r="K260" s="730"/>
      <c r="L260" s="731"/>
      <c r="M260" s="730"/>
      <c r="N260" s="730"/>
      <c r="O260" s="732">
        <f t="shared" si="29"/>
        <v>0</v>
      </c>
      <c r="P260" s="731"/>
      <c r="Q260" s="731"/>
      <c r="R260" s="733">
        <f t="shared" si="32"/>
        <v>0</v>
      </c>
      <c r="S260" s="732">
        <f t="shared" si="33"/>
        <v>0</v>
      </c>
      <c r="T260" s="733">
        <f t="shared" si="34"/>
        <v>0</v>
      </c>
      <c r="U260" s="730"/>
      <c r="V260" s="731"/>
      <c r="W260" s="730"/>
      <c r="X260" s="730"/>
      <c r="Y260" s="732">
        <f t="shared" si="30"/>
        <v>0</v>
      </c>
      <c r="Z260" s="731"/>
      <c r="AA260" s="731"/>
      <c r="AB260" s="733">
        <f t="shared" si="31"/>
        <v>0</v>
      </c>
      <c r="AC260" s="730"/>
      <c r="AD260" s="731"/>
      <c r="AE260" s="730"/>
      <c r="AF260" s="730"/>
      <c r="AG260" s="731"/>
      <c r="AH260" s="731"/>
      <c r="AI260" s="732">
        <f t="shared" si="35"/>
        <v>0</v>
      </c>
      <c r="AJ260" s="733">
        <f t="shared" si="36"/>
        <v>0</v>
      </c>
    </row>
    <row r="261" spans="1:36">
      <c r="A261" s="852" t="s">
        <v>197</v>
      </c>
      <c r="B261" s="847" t="s">
        <v>69</v>
      </c>
      <c r="C261" s="855" t="s">
        <v>215</v>
      </c>
      <c r="D261" s="861" t="s">
        <v>1784</v>
      </c>
      <c r="E261" s="850">
        <v>106485</v>
      </c>
      <c r="F261" s="860">
        <v>4</v>
      </c>
      <c r="G261" s="730"/>
      <c r="H261" s="734"/>
      <c r="I261" s="730">
        <v>2412775</v>
      </c>
      <c r="J261" s="731">
        <f>2346632+86344</f>
        <v>2432976</v>
      </c>
      <c r="K261" s="730"/>
      <c r="L261" s="731"/>
      <c r="M261" s="730">
        <v>815562</v>
      </c>
      <c r="N261" s="730"/>
      <c r="O261" s="732">
        <f t="shared" si="29"/>
        <v>815562</v>
      </c>
      <c r="P261" s="731">
        <v>941462</v>
      </c>
      <c r="Q261" s="731"/>
      <c r="R261" s="733">
        <f t="shared" si="32"/>
        <v>941462</v>
      </c>
      <c r="S261" s="732">
        <f t="shared" si="33"/>
        <v>3228337</v>
      </c>
      <c r="T261" s="733">
        <f t="shared" si="34"/>
        <v>3374438</v>
      </c>
      <c r="U261" s="730"/>
      <c r="V261" s="731"/>
      <c r="W261" s="730"/>
      <c r="X261" s="730"/>
      <c r="Y261" s="732">
        <f t="shared" si="30"/>
        <v>0</v>
      </c>
      <c r="Z261" s="731"/>
      <c r="AA261" s="731"/>
      <c r="AB261" s="733">
        <f t="shared" si="31"/>
        <v>0</v>
      </c>
      <c r="AC261" s="730"/>
      <c r="AD261" s="731"/>
      <c r="AE261" s="730"/>
      <c r="AF261" s="730"/>
      <c r="AG261" s="731"/>
      <c r="AH261" s="731"/>
      <c r="AI261" s="732">
        <f t="shared" si="35"/>
        <v>3228337</v>
      </c>
      <c r="AJ261" s="733">
        <f t="shared" si="36"/>
        <v>3374438</v>
      </c>
    </row>
    <row r="262" spans="1:36">
      <c r="A262" s="852" t="s">
        <v>197</v>
      </c>
      <c r="B262" s="847" t="s">
        <v>69</v>
      </c>
      <c r="C262" s="855" t="s">
        <v>216</v>
      </c>
      <c r="D262" s="861"/>
      <c r="E262" s="850">
        <v>106485</v>
      </c>
      <c r="F262" s="860">
        <v>4</v>
      </c>
      <c r="G262" s="730"/>
      <c r="H262" s="734"/>
      <c r="I262" s="730">
        <v>1799780</v>
      </c>
      <c r="J262" s="731">
        <f>1755492+86344</f>
        <v>1841836</v>
      </c>
      <c r="K262" s="730"/>
      <c r="L262" s="731"/>
      <c r="M262" s="730">
        <v>888743</v>
      </c>
      <c r="N262" s="730"/>
      <c r="O262" s="732">
        <f t="shared" si="29"/>
        <v>888743</v>
      </c>
      <c r="P262" s="731">
        <v>791917</v>
      </c>
      <c r="Q262" s="731"/>
      <c r="R262" s="733">
        <f t="shared" si="32"/>
        <v>791917</v>
      </c>
      <c r="S262" s="732">
        <f t="shared" si="33"/>
        <v>2688523</v>
      </c>
      <c r="T262" s="733">
        <f t="shared" si="34"/>
        <v>2633753</v>
      </c>
      <c r="U262" s="730"/>
      <c r="V262" s="731"/>
      <c r="W262" s="730"/>
      <c r="X262" s="730"/>
      <c r="Y262" s="732">
        <f t="shared" si="30"/>
        <v>0</v>
      </c>
      <c r="Z262" s="731"/>
      <c r="AA262" s="731"/>
      <c r="AB262" s="733">
        <f t="shared" si="31"/>
        <v>0</v>
      </c>
      <c r="AC262" s="730"/>
      <c r="AD262" s="731"/>
      <c r="AE262" s="730"/>
      <c r="AF262" s="730"/>
      <c r="AG262" s="731"/>
      <c r="AH262" s="731"/>
      <c r="AI262" s="732">
        <f t="shared" si="35"/>
        <v>2688523</v>
      </c>
      <c r="AJ262" s="733">
        <f t="shared" si="36"/>
        <v>2633753</v>
      </c>
    </row>
    <row r="263" spans="1:36">
      <c r="A263" s="852" t="s">
        <v>197</v>
      </c>
      <c r="B263" s="847" t="s">
        <v>62</v>
      </c>
      <c r="C263" s="857" t="s">
        <v>217</v>
      </c>
      <c r="D263" s="859"/>
      <c r="E263" s="850">
        <v>108092</v>
      </c>
      <c r="F263" s="851">
        <v>6</v>
      </c>
      <c r="G263" s="730">
        <v>24144594</v>
      </c>
      <c r="H263" s="734">
        <f>23013844+1017360</f>
        <v>24031204</v>
      </c>
      <c r="I263" s="730"/>
      <c r="J263" s="731"/>
      <c r="K263" s="730">
        <v>6247185</v>
      </c>
      <c r="L263" s="731">
        <v>7246839</v>
      </c>
      <c r="M263" s="730">
        <v>33795071</v>
      </c>
      <c r="N263" s="730"/>
      <c r="O263" s="732">
        <f t="shared" si="29"/>
        <v>33795071</v>
      </c>
      <c r="P263" s="731">
        <v>37037703</v>
      </c>
      <c r="Q263" s="731"/>
      <c r="R263" s="733">
        <f t="shared" si="32"/>
        <v>37037703</v>
      </c>
      <c r="S263" s="732">
        <f t="shared" si="33"/>
        <v>64186850</v>
      </c>
      <c r="T263" s="733">
        <f t="shared" si="34"/>
        <v>68315746</v>
      </c>
      <c r="U263" s="730"/>
      <c r="V263" s="731"/>
      <c r="W263" s="730"/>
      <c r="X263" s="730"/>
      <c r="Y263" s="732">
        <f t="shared" si="30"/>
        <v>0</v>
      </c>
      <c r="Z263" s="731"/>
      <c r="AA263" s="731"/>
      <c r="AB263" s="733">
        <f t="shared" si="31"/>
        <v>0</v>
      </c>
      <c r="AC263" s="730"/>
      <c r="AD263" s="731"/>
      <c r="AE263" s="730"/>
      <c r="AF263" s="730"/>
      <c r="AG263" s="731"/>
      <c r="AH263" s="731"/>
      <c r="AI263" s="732">
        <f t="shared" si="35"/>
        <v>64186850</v>
      </c>
      <c r="AJ263" s="733">
        <f t="shared" si="36"/>
        <v>68315746</v>
      </c>
    </row>
    <row r="264" spans="1:36">
      <c r="A264" s="852" t="s">
        <v>197</v>
      </c>
      <c r="B264" s="847" t="s">
        <v>62</v>
      </c>
      <c r="C264" s="857" t="s">
        <v>218</v>
      </c>
      <c r="D264" s="856" t="s">
        <v>1796</v>
      </c>
      <c r="E264" s="850">
        <v>106412</v>
      </c>
      <c r="F264" s="851">
        <v>6</v>
      </c>
      <c r="G264" s="730">
        <v>24280824</v>
      </c>
      <c r="H264" s="734">
        <f>23591317+1122534+3525178+188071</f>
        <v>28427100</v>
      </c>
      <c r="I264" s="730"/>
      <c r="J264" s="731"/>
      <c r="K264" s="730"/>
      <c r="L264" s="731"/>
      <c r="M264" s="730">
        <v>20719242</v>
      </c>
      <c r="N264" s="730"/>
      <c r="O264" s="732">
        <f t="shared" si="29"/>
        <v>20719242</v>
      </c>
      <c r="P264" s="731">
        <v>23399599</v>
      </c>
      <c r="Q264" s="731"/>
      <c r="R264" s="733">
        <f t="shared" si="32"/>
        <v>23399599</v>
      </c>
      <c r="S264" s="732">
        <f t="shared" si="33"/>
        <v>45000066</v>
      </c>
      <c r="T264" s="733">
        <f t="shared" si="34"/>
        <v>51826699</v>
      </c>
      <c r="U264" s="730"/>
      <c r="V264" s="731"/>
      <c r="W264" s="730"/>
      <c r="X264" s="730"/>
      <c r="Y264" s="732">
        <f t="shared" si="30"/>
        <v>0</v>
      </c>
      <c r="Z264" s="731"/>
      <c r="AA264" s="731"/>
      <c r="AB264" s="733">
        <f t="shared" si="31"/>
        <v>0</v>
      </c>
      <c r="AC264" s="730"/>
      <c r="AD264" s="731"/>
      <c r="AE264" s="730"/>
      <c r="AF264" s="730"/>
      <c r="AG264" s="731"/>
      <c r="AH264" s="731"/>
      <c r="AI264" s="732">
        <f t="shared" si="35"/>
        <v>45000066</v>
      </c>
      <c r="AJ264" s="733">
        <f t="shared" si="36"/>
        <v>51826699</v>
      </c>
    </row>
    <row r="265" spans="1:36">
      <c r="A265" s="852" t="s">
        <v>197</v>
      </c>
      <c r="B265" s="847" t="s">
        <v>62</v>
      </c>
      <c r="C265" s="857" t="s">
        <v>219</v>
      </c>
      <c r="D265" s="856" t="s">
        <v>1797</v>
      </c>
      <c r="E265" s="850">
        <v>367459</v>
      </c>
      <c r="F265" s="851">
        <v>8</v>
      </c>
      <c r="G265" s="730">
        <v>12559563</v>
      </c>
      <c r="H265" s="734">
        <f>12754260+608639</f>
        <v>13362899</v>
      </c>
      <c r="I265" s="730"/>
      <c r="J265" s="731"/>
      <c r="K265" s="730">
        <v>11003333</v>
      </c>
      <c r="L265" s="731">
        <v>11984504</v>
      </c>
      <c r="M265" s="730">
        <v>23408921</v>
      </c>
      <c r="N265" s="730"/>
      <c r="O265" s="732">
        <f t="shared" si="29"/>
        <v>23408921</v>
      </c>
      <c r="P265" s="731">
        <v>23171155</v>
      </c>
      <c r="Q265" s="731"/>
      <c r="R265" s="733">
        <f t="shared" si="32"/>
        <v>23171155</v>
      </c>
      <c r="S265" s="732">
        <f t="shared" si="33"/>
        <v>46971817</v>
      </c>
      <c r="T265" s="733">
        <f t="shared" si="34"/>
        <v>48518558</v>
      </c>
      <c r="U265" s="730"/>
      <c r="V265" s="731"/>
      <c r="W265" s="730"/>
      <c r="X265" s="730"/>
      <c r="Y265" s="732">
        <f t="shared" si="30"/>
        <v>0</v>
      </c>
      <c r="Z265" s="731"/>
      <c r="AA265" s="731"/>
      <c r="AB265" s="733">
        <f t="shared" si="31"/>
        <v>0</v>
      </c>
      <c r="AC265" s="730"/>
      <c r="AD265" s="731"/>
      <c r="AE265" s="730"/>
      <c r="AF265" s="730"/>
      <c r="AG265" s="731"/>
      <c r="AH265" s="731"/>
      <c r="AI265" s="732">
        <f t="shared" si="35"/>
        <v>46971817</v>
      </c>
      <c r="AJ265" s="733">
        <f t="shared" si="36"/>
        <v>48518558</v>
      </c>
    </row>
    <row r="266" spans="1:36">
      <c r="A266" s="852" t="s">
        <v>197</v>
      </c>
      <c r="B266" s="847" t="s">
        <v>62</v>
      </c>
      <c r="C266" s="848" t="s">
        <v>220</v>
      </c>
      <c r="D266" s="856"/>
      <c r="E266" s="850">
        <v>106449</v>
      </c>
      <c r="F266" s="851">
        <v>9</v>
      </c>
      <c r="G266" s="730">
        <v>14422334</v>
      </c>
      <c r="H266" s="734">
        <f>13710086+587542</f>
        <v>14297628</v>
      </c>
      <c r="I266" s="730"/>
      <c r="J266" s="731"/>
      <c r="K266" s="730">
        <v>1791708</v>
      </c>
      <c r="L266" s="731">
        <v>2292974</v>
      </c>
      <c r="M266" s="730">
        <v>9945394</v>
      </c>
      <c r="N266" s="730"/>
      <c r="O266" s="732">
        <f t="shared" ref="O266:O329" si="37">SUM(M266:N266)</f>
        <v>9945394</v>
      </c>
      <c r="P266" s="731">
        <v>8252503</v>
      </c>
      <c r="Q266" s="731"/>
      <c r="R266" s="733">
        <f t="shared" si="32"/>
        <v>8252503</v>
      </c>
      <c r="S266" s="732">
        <f t="shared" si="33"/>
        <v>26159436</v>
      </c>
      <c r="T266" s="733">
        <f t="shared" si="34"/>
        <v>24843105</v>
      </c>
      <c r="U266" s="730"/>
      <c r="V266" s="731"/>
      <c r="W266" s="730"/>
      <c r="X266" s="730"/>
      <c r="Y266" s="732">
        <f t="shared" ref="Y266:Y329" si="38">SUM(W266:X266)</f>
        <v>0</v>
      </c>
      <c r="Z266" s="731"/>
      <c r="AA266" s="731"/>
      <c r="AB266" s="733">
        <f t="shared" ref="AB266:AB329" si="39">SUM(Z266:AA266)</f>
        <v>0</v>
      </c>
      <c r="AC266" s="730"/>
      <c r="AD266" s="731"/>
      <c r="AE266" s="730"/>
      <c r="AF266" s="730"/>
      <c r="AG266" s="731"/>
      <c r="AH266" s="731"/>
      <c r="AI266" s="732">
        <f t="shared" si="35"/>
        <v>26159436</v>
      </c>
      <c r="AJ266" s="733">
        <f t="shared" si="36"/>
        <v>24843105</v>
      </c>
    </row>
    <row r="267" spans="1:36">
      <c r="A267" s="852" t="s">
        <v>197</v>
      </c>
      <c r="B267" s="847" t="s">
        <v>62</v>
      </c>
      <c r="C267" s="848" t="s">
        <v>1062</v>
      </c>
      <c r="D267" s="863"/>
      <c r="E267" s="850">
        <v>107664</v>
      </c>
      <c r="F267" s="851">
        <v>9</v>
      </c>
      <c r="G267" s="730">
        <v>17404858</v>
      </c>
      <c r="H267" s="734">
        <f>16448355+738064</f>
        <v>17186419</v>
      </c>
      <c r="I267" s="730"/>
      <c r="J267" s="731"/>
      <c r="K267" s="730"/>
      <c r="L267" s="731"/>
      <c r="M267" s="730">
        <v>23293269</v>
      </c>
      <c r="N267" s="730"/>
      <c r="O267" s="732">
        <f t="shared" si="37"/>
        <v>23293269</v>
      </c>
      <c r="P267" s="731">
        <v>22870418</v>
      </c>
      <c r="Q267" s="731"/>
      <c r="R267" s="733">
        <f t="shared" ref="R267:R330" si="40">SUM(P267:Q267)</f>
        <v>22870418</v>
      </c>
      <c r="S267" s="732">
        <f t="shared" ref="S267:S330" si="41">SUM(G267,I267,K267,M267)</f>
        <v>40698127</v>
      </c>
      <c r="T267" s="733">
        <f t="shared" ref="T267:T330" si="42">SUM(H267,J267,L267,P267)</f>
        <v>40056837</v>
      </c>
      <c r="U267" s="730"/>
      <c r="V267" s="731"/>
      <c r="W267" s="730"/>
      <c r="X267" s="730"/>
      <c r="Y267" s="732">
        <f t="shared" si="38"/>
        <v>0</v>
      </c>
      <c r="Z267" s="731"/>
      <c r="AA267" s="731"/>
      <c r="AB267" s="733">
        <f t="shared" si="39"/>
        <v>0</v>
      </c>
      <c r="AC267" s="730"/>
      <c r="AD267" s="731"/>
      <c r="AE267" s="730"/>
      <c r="AF267" s="730"/>
      <c r="AG267" s="731"/>
      <c r="AH267" s="731"/>
      <c r="AI267" s="732">
        <f t="shared" ref="AI267:AI330" si="43">SUM(S267,U267,W267,AC267,AE267)</f>
        <v>40698127</v>
      </c>
      <c r="AJ267" s="733">
        <f t="shared" ref="AJ267:AJ330" si="44">SUM(T267,V267,Z267,AD267,AG267)</f>
        <v>40056837</v>
      </c>
    </row>
    <row r="268" spans="1:36">
      <c r="A268" s="852" t="s">
        <v>197</v>
      </c>
      <c r="B268" s="847" t="s">
        <v>62</v>
      </c>
      <c r="C268" s="848" t="s">
        <v>222</v>
      </c>
      <c r="D268" s="849"/>
      <c r="E268" s="850">
        <v>107327</v>
      </c>
      <c r="F268" s="851">
        <v>10</v>
      </c>
      <c r="G268" s="730">
        <v>10140236</v>
      </c>
      <c r="H268" s="734">
        <f>9942739+434921</f>
        <v>10377660</v>
      </c>
      <c r="I268" s="730"/>
      <c r="J268" s="731"/>
      <c r="K268" s="730">
        <v>841684</v>
      </c>
      <c r="L268" s="731">
        <v>846473</v>
      </c>
      <c r="M268" s="730">
        <v>2672249</v>
      </c>
      <c r="N268" s="730"/>
      <c r="O268" s="732">
        <f t="shared" si="37"/>
        <v>2672249</v>
      </c>
      <c r="P268" s="731">
        <v>2748343</v>
      </c>
      <c r="Q268" s="731"/>
      <c r="R268" s="733">
        <f t="shared" si="40"/>
        <v>2748343</v>
      </c>
      <c r="S268" s="732">
        <f t="shared" si="41"/>
        <v>13654169</v>
      </c>
      <c r="T268" s="733">
        <f t="shared" si="42"/>
        <v>13972476</v>
      </c>
      <c r="U268" s="730"/>
      <c r="V268" s="731"/>
      <c r="W268" s="730"/>
      <c r="X268" s="730"/>
      <c r="Y268" s="732">
        <f t="shared" si="38"/>
        <v>0</v>
      </c>
      <c r="Z268" s="731"/>
      <c r="AA268" s="731"/>
      <c r="AB268" s="733">
        <f t="shared" si="39"/>
        <v>0</v>
      </c>
      <c r="AC268" s="730"/>
      <c r="AD268" s="731"/>
      <c r="AE268" s="730"/>
      <c r="AF268" s="730"/>
      <c r="AG268" s="731"/>
      <c r="AH268" s="731"/>
      <c r="AI268" s="732">
        <f t="shared" si="43"/>
        <v>13654169</v>
      </c>
      <c r="AJ268" s="733">
        <f t="shared" si="44"/>
        <v>13972476</v>
      </c>
    </row>
    <row r="269" spans="1:36">
      <c r="A269" s="852" t="s">
        <v>197</v>
      </c>
      <c r="B269" s="847" t="s">
        <v>62</v>
      </c>
      <c r="C269" s="857" t="s">
        <v>223</v>
      </c>
      <c r="D269" s="849"/>
      <c r="E269" s="850">
        <v>107318</v>
      </c>
      <c r="F269" s="851">
        <v>10</v>
      </c>
      <c r="G269" s="730">
        <v>6136414</v>
      </c>
      <c r="H269" s="735">
        <f>6005528+200769+1476300+77700</f>
        <v>7760297</v>
      </c>
      <c r="I269" s="730"/>
      <c r="J269" s="731"/>
      <c r="K269" s="730">
        <v>2935242</v>
      </c>
      <c r="L269" s="731">
        <v>3087368</v>
      </c>
      <c r="M269" s="730">
        <v>3121525</v>
      </c>
      <c r="N269" s="730"/>
      <c r="O269" s="732">
        <f t="shared" si="37"/>
        <v>3121525</v>
      </c>
      <c r="P269" s="731">
        <v>2617185</v>
      </c>
      <c r="Q269" s="731"/>
      <c r="R269" s="733">
        <f t="shared" si="40"/>
        <v>2617185</v>
      </c>
      <c r="S269" s="732">
        <f t="shared" si="41"/>
        <v>12193181</v>
      </c>
      <c r="T269" s="733">
        <f t="shared" si="42"/>
        <v>13464850</v>
      </c>
      <c r="U269" s="730"/>
      <c r="V269" s="731"/>
      <c r="W269" s="730"/>
      <c r="X269" s="730"/>
      <c r="Y269" s="732">
        <f t="shared" si="38"/>
        <v>0</v>
      </c>
      <c r="Z269" s="731"/>
      <c r="AA269" s="731"/>
      <c r="AB269" s="733">
        <f t="shared" si="39"/>
        <v>0</v>
      </c>
      <c r="AC269" s="730"/>
      <c r="AD269" s="731"/>
      <c r="AE269" s="730"/>
      <c r="AF269" s="730"/>
      <c r="AG269" s="731"/>
      <c r="AH269" s="731"/>
      <c r="AI269" s="732">
        <f t="shared" si="43"/>
        <v>12193181</v>
      </c>
      <c r="AJ269" s="733">
        <f t="shared" si="44"/>
        <v>13464850</v>
      </c>
    </row>
    <row r="270" spans="1:36" customFormat="1" ht="15" customHeight="1">
      <c r="A270" s="852" t="s">
        <v>197</v>
      </c>
      <c r="B270" s="847" t="s">
        <v>62</v>
      </c>
      <c r="C270" s="848" t="s">
        <v>224</v>
      </c>
      <c r="D270" s="849"/>
      <c r="E270" s="850">
        <v>420538</v>
      </c>
      <c r="F270" s="851">
        <v>10</v>
      </c>
      <c r="G270" s="730">
        <v>4664755</v>
      </c>
      <c r="H270" s="734">
        <f>4323503+184188</f>
        <v>4507691</v>
      </c>
      <c r="I270" s="730"/>
      <c r="J270" s="731"/>
      <c r="K270" s="730">
        <v>1454816</v>
      </c>
      <c r="L270" s="731">
        <v>1592529</v>
      </c>
      <c r="M270" s="730">
        <v>4177189</v>
      </c>
      <c r="N270" s="730"/>
      <c r="O270" s="732">
        <f t="shared" si="37"/>
        <v>4177189</v>
      </c>
      <c r="P270" s="731">
        <v>3805066</v>
      </c>
      <c r="Q270" s="731"/>
      <c r="R270" s="733">
        <f t="shared" si="40"/>
        <v>3805066</v>
      </c>
      <c r="S270" s="732">
        <f t="shared" si="41"/>
        <v>10296760</v>
      </c>
      <c r="T270" s="733">
        <f t="shared" si="42"/>
        <v>9905286</v>
      </c>
      <c r="U270" s="730"/>
      <c r="V270" s="731"/>
      <c r="W270" s="730"/>
      <c r="X270" s="730"/>
      <c r="Y270" s="732">
        <f t="shared" si="38"/>
        <v>0</v>
      </c>
      <c r="Z270" s="731"/>
      <c r="AA270" s="731"/>
      <c r="AB270" s="733">
        <f t="shared" si="39"/>
        <v>0</v>
      </c>
      <c r="AC270" s="730"/>
      <c r="AD270" s="731"/>
      <c r="AE270" s="730"/>
      <c r="AF270" s="730"/>
      <c r="AG270" s="731"/>
      <c r="AH270" s="731"/>
      <c r="AI270" s="732">
        <f t="shared" si="43"/>
        <v>10296760</v>
      </c>
      <c r="AJ270" s="733">
        <f t="shared" si="44"/>
        <v>9905286</v>
      </c>
    </row>
    <row r="271" spans="1:36">
      <c r="A271" s="852" t="s">
        <v>197</v>
      </c>
      <c r="B271" s="847" t="s">
        <v>62</v>
      </c>
      <c r="C271" s="848" t="s">
        <v>225</v>
      </c>
      <c r="D271" s="849"/>
      <c r="E271" s="850">
        <v>440402</v>
      </c>
      <c r="F271" s="851">
        <v>10</v>
      </c>
      <c r="G271" s="730">
        <v>8391250</v>
      </c>
      <c r="H271" s="734">
        <f>7875752+339901</f>
        <v>8215653</v>
      </c>
      <c r="I271" s="730"/>
      <c r="J271" s="731"/>
      <c r="K271" s="730">
        <v>1060410</v>
      </c>
      <c r="L271" s="731">
        <v>1190965</v>
      </c>
      <c r="M271" s="730">
        <v>7710652</v>
      </c>
      <c r="N271" s="730"/>
      <c r="O271" s="732">
        <f t="shared" si="37"/>
        <v>7710652</v>
      </c>
      <c r="P271" s="731">
        <v>6683755</v>
      </c>
      <c r="Q271" s="731"/>
      <c r="R271" s="733">
        <f t="shared" si="40"/>
        <v>6683755</v>
      </c>
      <c r="S271" s="732">
        <f t="shared" si="41"/>
        <v>17162312</v>
      </c>
      <c r="T271" s="733">
        <f t="shared" si="42"/>
        <v>16090373</v>
      </c>
      <c r="U271" s="730"/>
      <c r="V271" s="731"/>
      <c r="W271" s="730"/>
      <c r="X271" s="730"/>
      <c r="Y271" s="732">
        <f t="shared" si="38"/>
        <v>0</v>
      </c>
      <c r="Z271" s="731"/>
      <c r="AA271" s="731"/>
      <c r="AB271" s="733">
        <f t="shared" si="39"/>
        <v>0</v>
      </c>
      <c r="AC271" s="730"/>
      <c r="AD271" s="731"/>
      <c r="AE271" s="730"/>
      <c r="AF271" s="730"/>
      <c r="AG271" s="731"/>
      <c r="AH271" s="731"/>
      <c r="AI271" s="732">
        <f t="shared" si="43"/>
        <v>17162312</v>
      </c>
      <c r="AJ271" s="733">
        <f t="shared" si="44"/>
        <v>16090373</v>
      </c>
    </row>
    <row r="272" spans="1:36">
      <c r="A272" s="852" t="s">
        <v>197</v>
      </c>
      <c r="B272" s="847" t="s">
        <v>62</v>
      </c>
      <c r="C272" s="857" t="s">
        <v>226</v>
      </c>
      <c r="D272" s="859"/>
      <c r="E272" s="850">
        <v>106625</v>
      </c>
      <c r="F272" s="851">
        <v>10</v>
      </c>
      <c r="G272" s="730">
        <v>8356160</v>
      </c>
      <c r="H272" s="734">
        <f>7969860+298080</f>
        <v>8267940</v>
      </c>
      <c r="I272" s="730"/>
      <c r="J272" s="731"/>
      <c r="K272" s="730"/>
      <c r="L272" s="731"/>
      <c r="M272" s="730">
        <v>4980575</v>
      </c>
      <c r="N272" s="730"/>
      <c r="O272" s="732">
        <f t="shared" si="37"/>
        <v>4980575</v>
      </c>
      <c r="P272" s="731">
        <v>6084064</v>
      </c>
      <c r="Q272" s="731"/>
      <c r="R272" s="733">
        <f t="shared" si="40"/>
        <v>6084064</v>
      </c>
      <c r="S272" s="732">
        <f t="shared" si="41"/>
        <v>13336735</v>
      </c>
      <c r="T272" s="733">
        <f t="shared" si="42"/>
        <v>14352004</v>
      </c>
      <c r="U272" s="730"/>
      <c r="V272" s="731"/>
      <c r="W272" s="730"/>
      <c r="X272" s="730"/>
      <c r="Y272" s="732">
        <f t="shared" si="38"/>
        <v>0</v>
      </c>
      <c r="Z272" s="731"/>
      <c r="AA272" s="731"/>
      <c r="AB272" s="733">
        <f t="shared" si="39"/>
        <v>0</v>
      </c>
      <c r="AC272" s="730"/>
      <c r="AD272" s="731"/>
      <c r="AE272" s="730"/>
      <c r="AF272" s="730"/>
      <c r="AG272" s="731"/>
      <c r="AH272" s="731"/>
      <c r="AI272" s="732">
        <f t="shared" si="43"/>
        <v>13336735</v>
      </c>
      <c r="AJ272" s="733">
        <f t="shared" si="44"/>
        <v>14352004</v>
      </c>
    </row>
    <row r="273" spans="1:36">
      <c r="A273" s="852" t="s">
        <v>197</v>
      </c>
      <c r="B273" s="847" t="s">
        <v>62</v>
      </c>
      <c r="C273" s="857" t="s">
        <v>1432</v>
      </c>
      <c r="D273" s="856" t="s">
        <v>1433</v>
      </c>
      <c r="E273" s="850">
        <v>107521</v>
      </c>
      <c r="F273" s="851">
        <v>10</v>
      </c>
      <c r="G273" s="730">
        <v>4714219</v>
      </c>
      <c r="H273" s="734">
        <f>4489312+173544</f>
        <v>4662856</v>
      </c>
      <c r="I273" s="730"/>
      <c r="J273" s="731"/>
      <c r="K273" s="730"/>
      <c r="L273" s="731"/>
      <c r="M273" s="730">
        <v>2908500</v>
      </c>
      <c r="N273" s="730"/>
      <c r="O273" s="732">
        <f t="shared" si="37"/>
        <v>2908500</v>
      </c>
      <c r="P273" s="731">
        <v>2877603</v>
      </c>
      <c r="Q273" s="731"/>
      <c r="R273" s="733">
        <f t="shared" si="40"/>
        <v>2877603</v>
      </c>
      <c r="S273" s="732">
        <f t="shared" si="41"/>
        <v>7622719</v>
      </c>
      <c r="T273" s="733">
        <f t="shared" si="42"/>
        <v>7540459</v>
      </c>
      <c r="U273" s="730"/>
      <c r="V273" s="731"/>
      <c r="W273" s="730"/>
      <c r="X273" s="730"/>
      <c r="Y273" s="732">
        <f t="shared" si="38"/>
        <v>0</v>
      </c>
      <c r="Z273" s="731"/>
      <c r="AA273" s="731"/>
      <c r="AB273" s="733">
        <f t="shared" si="39"/>
        <v>0</v>
      </c>
      <c r="AC273" s="730"/>
      <c r="AD273" s="731"/>
      <c r="AE273" s="730"/>
      <c r="AF273" s="730"/>
      <c r="AG273" s="731"/>
      <c r="AH273" s="731"/>
      <c r="AI273" s="732">
        <f t="shared" si="43"/>
        <v>7622719</v>
      </c>
      <c r="AJ273" s="733">
        <f t="shared" si="44"/>
        <v>7540459</v>
      </c>
    </row>
    <row r="274" spans="1:36">
      <c r="A274" s="852" t="s">
        <v>197</v>
      </c>
      <c r="B274" s="847" t="s">
        <v>62</v>
      </c>
      <c r="C274" s="848" t="s">
        <v>227</v>
      </c>
      <c r="D274" s="849"/>
      <c r="E274" s="850">
        <v>106795</v>
      </c>
      <c r="F274" s="851">
        <v>10</v>
      </c>
      <c r="G274" s="730">
        <v>4962939</v>
      </c>
      <c r="H274" s="734">
        <f>4652574+173802</f>
        <v>4826376</v>
      </c>
      <c r="I274" s="730"/>
      <c r="J274" s="731"/>
      <c r="K274" s="730">
        <v>1377932</v>
      </c>
      <c r="L274" s="731">
        <f>494583+371389+21511+464920</f>
        <v>1352403</v>
      </c>
      <c r="M274" s="730">
        <v>4150000</v>
      </c>
      <c r="N274" s="730"/>
      <c r="O274" s="732">
        <f t="shared" si="37"/>
        <v>4150000</v>
      </c>
      <c r="P274" s="731">
        <v>3963495</v>
      </c>
      <c r="Q274" s="731"/>
      <c r="R274" s="733">
        <f t="shared" si="40"/>
        <v>3963495</v>
      </c>
      <c r="S274" s="732">
        <f t="shared" si="41"/>
        <v>10490871</v>
      </c>
      <c r="T274" s="733">
        <f t="shared" si="42"/>
        <v>10142274</v>
      </c>
      <c r="U274" s="730"/>
      <c r="V274" s="731"/>
      <c r="W274" s="730"/>
      <c r="X274" s="730"/>
      <c r="Y274" s="732">
        <f t="shared" si="38"/>
        <v>0</v>
      </c>
      <c r="Z274" s="731"/>
      <c r="AA274" s="731"/>
      <c r="AB274" s="733">
        <f t="shared" si="39"/>
        <v>0</v>
      </c>
      <c r="AC274" s="730"/>
      <c r="AD274" s="731"/>
      <c r="AE274" s="730"/>
      <c r="AF274" s="730"/>
      <c r="AG274" s="731"/>
      <c r="AH274" s="731"/>
      <c r="AI274" s="732">
        <f t="shared" si="43"/>
        <v>10490871</v>
      </c>
      <c r="AJ274" s="733">
        <f t="shared" si="44"/>
        <v>10142274</v>
      </c>
    </row>
    <row r="275" spans="1:36">
      <c r="A275" s="852" t="s">
        <v>197</v>
      </c>
      <c r="B275" s="847" t="s">
        <v>62</v>
      </c>
      <c r="C275" s="848" t="s">
        <v>228</v>
      </c>
      <c r="D275" s="849"/>
      <c r="E275" s="850">
        <v>106883</v>
      </c>
      <c r="F275" s="851">
        <v>10</v>
      </c>
      <c r="G275" s="730">
        <v>10084694</v>
      </c>
      <c r="H275" s="734">
        <f>9600040+412215</f>
        <v>10012255</v>
      </c>
      <c r="I275" s="730"/>
      <c r="J275" s="731"/>
      <c r="K275" s="730">
        <v>316550</v>
      </c>
      <c r="L275" s="731">
        <v>370073</v>
      </c>
      <c r="M275" s="730">
        <v>3086740</v>
      </c>
      <c r="N275" s="730"/>
      <c r="O275" s="732">
        <f t="shared" si="37"/>
        <v>3086740</v>
      </c>
      <c r="P275" s="731">
        <v>2760731</v>
      </c>
      <c r="Q275" s="731"/>
      <c r="R275" s="733">
        <f t="shared" si="40"/>
        <v>2760731</v>
      </c>
      <c r="S275" s="732">
        <f t="shared" si="41"/>
        <v>13487984</v>
      </c>
      <c r="T275" s="733">
        <f t="shared" si="42"/>
        <v>13143059</v>
      </c>
      <c r="U275" s="730"/>
      <c r="V275" s="731"/>
      <c r="W275" s="730"/>
      <c r="X275" s="730"/>
      <c r="Y275" s="732">
        <f t="shared" si="38"/>
        <v>0</v>
      </c>
      <c r="Z275" s="731"/>
      <c r="AA275" s="731"/>
      <c r="AB275" s="733">
        <f t="shared" si="39"/>
        <v>0</v>
      </c>
      <c r="AC275" s="730"/>
      <c r="AD275" s="731"/>
      <c r="AE275" s="730"/>
      <c r="AF275" s="730"/>
      <c r="AG275" s="731"/>
      <c r="AH275" s="731"/>
      <c r="AI275" s="732">
        <f t="shared" si="43"/>
        <v>13487984</v>
      </c>
      <c r="AJ275" s="733">
        <f t="shared" si="44"/>
        <v>13143059</v>
      </c>
    </row>
    <row r="276" spans="1:36">
      <c r="A276" s="852" t="s">
        <v>197</v>
      </c>
      <c r="B276" s="847" t="s">
        <v>62</v>
      </c>
      <c r="C276" s="864" t="s">
        <v>221</v>
      </c>
      <c r="D276" s="865"/>
      <c r="E276" s="850">
        <v>106980</v>
      </c>
      <c r="F276" s="851">
        <v>10</v>
      </c>
      <c r="G276" s="730">
        <v>11015738</v>
      </c>
      <c r="H276" s="734">
        <f>10485767+441084</f>
        <v>10926851</v>
      </c>
      <c r="I276" s="730"/>
      <c r="J276" s="731"/>
      <c r="K276" s="730">
        <v>1493881</v>
      </c>
      <c r="L276" s="731">
        <v>1695833</v>
      </c>
      <c r="M276" s="730">
        <v>7987000</v>
      </c>
      <c r="N276" s="730"/>
      <c r="O276" s="732">
        <f t="shared" si="37"/>
        <v>7987000</v>
      </c>
      <c r="P276" s="731">
        <v>7052667</v>
      </c>
      <c r="Q276" s="731"/>
      <c r="R276" s="733">
        <f t="shared" si="40"/>
        <v>7052667</v>
      </c>
      <c r="S276" s="732">
        <f t="shared" si="41"/>
        <v>20496619</v>
      </c>
      <c r="T276" s="733">
        <f t="shared" si="42"/>
        <v>19675351</v>
      </c>
      <c r="U276" s="730"/>
      <c r="V276" s="731"/>
      <c r="W276" s="730"/>
      <c r="X276" s="730"/>
      <c r="Y276" s="732">
        <f t="shared" si="38"/>
        <v>0</v>
      </c>
      <c r="Z276" s="731"/>
      <c r="AA276" s="731"/>
      <c r="AB276" s="733">
        <f t="shared" si="39"/>
        <v>0</v>
      </c>
      <c r="AC276" s="730"/>
      <c r="AD276" s="731"/>
      <c r="AE276" s="730"/>
      <c r="AF276" s="730"/>
      <c r="AG276" s="731"/>
      <c r="AH276" s="731"/>
      <c r="AI276" s="732">
        <f t="shared" si="43"/>
        <v>20496619</v>
      </c>
      <c r="AJ276" s="733">
        <f t="shared" si="44"/>
        <v>19675351</v>
      </c>
    </row>
    <row r="277" spans="1:36">
      <c r="A277" s="852" t="s">
        <v>197</v>
      </c>
      <c r="B277" s="847" t="s">
        <v>62</v>
      </c>
      <c r="C277" s="848" t="s">
        <v>229</v>
      </c>
      <c r="D277" s="849"/>
      <c r="E277" s="850">
        <v>107460</v>
      </c>
      <c r="F277" s="851">
        <v>10</v>
      </c>
      <c r="G277" s="730">
        <v>9093165</v>
      </c>
      <c r="H277" s="734">
        <f>8603729+390354</f>
        <v>8994083</v>
      </c>
      <c r="I277" s="730"/>
      <c r="J277" s="731"/>
      <c r="K277" s="730">
        <v>898777</v>
      </c>
      <c r="L277" s="731">
        <v>946561</v>
      </c>
      <c r="M277" s="730">
        <v>5002707</v>
      </c>
      <c r="N277" s="730"/>
      <c r="O277" s="732">
        <f t="shared" si="37"/>
        <v>5002707</v>
      </c>
      <c r="P277" s="731">
        <v>4928551</v>
      </c>
      <c r="Q277" s="731"/>
      <c r="R277" s="733">
        <f t="shared" si="40"/>
        <v>4928551</v>
      </c>
      <c r="S277" s="732">
        <f t="shared" si="41"/>
        <v>14994649</v>
      </c>
      <c r="T277" s="733">
        <f t="shared" si="42"/>
        <v>14869195</v>
      </c>
      <c r="U277" s="730"/>
      <c r="V277" s="731"/>
      <c r="W277" s="730"/>
      <c r="X277" s="730"/>
      <c r="Y277" s="732">
        <f t="shared" si="38"/>
        <v>0</v>
      </c>
      <c r="Z277" s="731"/>
      <c r="AA277" s="731"/>
      <c r="AB277" s="733">
        <f t="shared" si="39"/>
        <v>0</v>
      </c>
      <c r="AC277" s="730"/>
      <c r="AD277" s="731"/>
      <c r="AE277" s="730"/>
      <c r="AF277" s="730"/>
      <c r="AG277" s="731"/>
      <c r="AH277" s="731"/>
      <c r="AI277" s="732">
        <f t="shared" si="43"/>
        <v>14994649</v>
      </c>
      <c r="AJ277" s="733">
        <f t="shared" si="44"/>
        <v>14869195</v>
      </c>
    </row>
    <row r="278" spans="1:36">
      <c r="A278" s="852" t="s">
        <v>197</v>
      </c>
      <c r="B278" s="847" t="s">
        <v>62</v>
      </c>
      <c r="C278" s="848" t="s">
        <v>230</v>
      </c>
      <c r="D278" s="849"/>
      <c r="E278" s="850">
        <v>107549</v>
      </c>
      <c r="F278" s="851">
        <v>10</v>
      </c>
      <c r="G278" s="730">
        <v>4397004</v>
      </c>
      <c r="H278" s="734">
        <f>4199449+152439</f>
        <v>4351888</v>
      </c>
      <c r="I278" s="730"/>
      <c r="J278" s="731"/>
      <c r="K278" s="730">
        <v>477739</v>
      </c>
      <c r="L278" s="731">
        <f>417327+174067</f>
        <v>591394</v>
      </c>
      <c r="M278" s="730">
        <v>3362720</v>
      </c>
      <c r="N278" s="730"/>
      <c r="O278" s="732">
        <f t="shared" si="37"/>
        <v>3362720</v>
      </c>
      <c r="P278" s="731">
        <v>3745392</v>
      </c>
      <c r="Q278" s="731"/>
      <c r="R278" s="733">
        <f t="shared" si="40"/>
        <v>3745392</v>
      </c>
      <c r="S278" s="732">
        <f t="shared" si="41"/>
        <v>8237463</v>
      </c>
      <c r="T278" s="733">
        <f t="shared" si="42"/>
        <v>8688674</v>
      </c>
      <c r="U278" s="730"/>
      <c r="V278" s="731"/>
      <c r="W278" s="730"/>
      <c r="X278" s="730"/>
      <c r="Y278" s="732">
        <f t="shared" si="38"/>
        <v>0</v>
      </c>
      <c r="Z278" s="731"/>
      <c r="AA278" s="731"/>
      <c r="AB278" s="733">
        <f t="shared" si="39"/>
        <v>0</v>
      </c>
      <c r="AC278" s="730"/>
      <c r="AD278" s="731"/>
      <c r="AE278" s="730"/>
      <c r="AF278" s="730"/>
      <c r="AG278" s="731"/>
      <c r="AH278" s="731"/>
      <c r="AI278" s="732">
        <f t="shared" si="43"/>
        <v>8237463</v>
      </c>
      <c r="AJ278" s="733">
        <f t="shared" si="44"/>
        <v>8688674</v>
      </c>
    </row>
    <row r="279" spans="1:36">
      <c r="A279" s="852" t="s">
        <v>197</v>
      </c>
      <c r="B279" s="847" t="s">
        <v>62</v>
      </c>
      <c r="C279" s="848" t="s">
        <v>231</v>
      </c>
      <c r="D279" s="849"/>
      <c r="E279" s="850">
        <v>107619</v>
      </c>
      <c r="F279" s="851">
        <v>10</v>
      </c>
      <c r="G279" s="730">
        <v>10438889</v>
      </c>
      <c r="H279" s="734">
        <f>10036618+449435</f>
        <v>10486053</v>
      </c>
      <c r="I279" s="730"/>
      <c r="J279" s="731"/>
      <c r="K279" s="730">
        <v>2215791</v>
      </c>
      <c r="L279" s="731">
        <f>154244+1926725</f>
        <v>2080969</v>
      </c>
      <c r="M279" s="730">
        <v>3009900</v>
      </c>
      <c r="N279" s="730"/>
      <c r="O279" s="732">
        <f t="shared" si="37"/>
        <v>3009900</v>
      </c>
      <c r="P279" s="731">
        <v>2311596</v>
      </c>
      <c r="Q279" s="731"/>
      <c r="R279" s="733">
        <f t="shared" si="40"/>
        <v>2311596</v>
      </c>
      <c r="S279" s="732">
        <f t="shared" si="41"/>
        <v>15664580</v>
      </c>
      <c r="T279" s="733">
        <f t="shared" si="42"/>
        <v>14878618</v>
      </c>
      <c r="U279" s="730"/>
      <c r="V279" s="731"/>
      <c r="W279" s="730"/>
      <c r="X279" s="730"/>
      <c r="Y279" s="732">
        <f t="shared" si="38"/>
        <v>0</v>
      </c>
      <c r="Z279" s="731"/>
      <c r="AA279" s="731"/>
      <c r="AB279" s="733">
        <f t="shared" si="39"/>
        <v>0</v>
      </c>
      <c r="AC279" s="730"/>
      <c r="AD279" s="731"/>
      <c r="AE279" s="730"/>
      <c r="AF279" s="730"/>
      <c r="AG279" s="731"/>
      <c r="AH279" s="731"/>
      <c r="AI279" s="732">
        <f t="shared" si="43"/>
        <v>15664580</v>
      </c>
      <c r="AJ279" s="733">
        <f t="shared" si="44"/>
        <v>14878618</v>
      </c>
    </row>
    <row r="280" spans="1:36">
      <c r="A280" s="852" t="s">
        <v>197</v>
      </c>
      <c r="B280" s="847" t="s">
        <v>62</v>
      </c>
      <c r="C280" s="848" t="s">
        <v>1063</v>
      </c>
      <c r="D280" s="849"/>
      <c r="E280" s="850">
        <v>107743</v>
      </c>
      <c r="F280" s="851">
        <v>10</v>
      </c>
      <c r="G280" s="730">
        <v>3435845</v>
      </c>
      <c r="H280" s="734">
        <f>3653086+178071</f>
        <v>3831157</v>
      </c>
      <c r="I280" s="730"/>
      <c r="J280" s="731"/>
      <c r="K280" s="730">
        <v>441316</v>
      </c>
      <c r="L280" s="731">
        <v>484757</v>
      </c>
      <c r="M280" s="730">
        <v>2718885</v>
      </c>
      <c r="N280" s="730"/>
      <c r="O280" s="732">
        <f t="shared" si="37"/>
        <v>2718885</v>
      </c>
      <c r="P280" s="731">
        <v>2665126</v>
      </c>
      <c r="Q280" s="731"/>
      <c r="R280" s="733">
        <f t="shared" si="40"/>
        <v>2665126</v>
      </c>
      <c r="S280" s="732">
        <f t="shared" si="41"/>
        <v>6596046</v>
      </c>
      <c r="T280" s="733">
        <f t="shared" si="42"/>
        <v>6981040</v>
      </c>
      <c r="U280" s="730"/>
      <c r="V280" s="731"/>
      <c r="W280" s="730"/>
      <c r="X280" s="730"/>
      <c r="Y280" s="732">
        <f t="shared" si="38"/>
        <v>0</v>
      </c>
      <c r="Z280" s="731"/>
      <c r="AA280" s="731"/>
      <c r="AB280" s="733">
        <f t="shared" si="39"/>
        <v>0</v>
      </c>
      <c r="AC280" s="730"/>
      <c r="AD280" s="731"/>
      <c r="AE280" s="730"/>
      <c r="AF280" s="730"/>
      <c r="AG280" s="731"/>
      <c r="AH280" s="731"/>
      <c r="AI280" s="732">
        <f t="shared" si="43"/>
        <v>6596046</v>
      </c>
      <c r="AJ280" s="733">
        <f t="shared" si="44"/>
        <v>6981040</v>
      </c>
    </row>
    <row r="281" spans="1:36">
      <c r="A281" s="852" t="s">
        <v>197</v>
      </c>
      <c r="B281" s="847" t="s">
        <v>62</v>
      </c>
      <c r="C281" s="848" t="s">
        <v>232</v>
      </c>
      <c r="D281" s="849"/>
      <c r="E281" s="850">
        <v>107974</v>
      </c>
      <c r="F281" s="851">
        <v>10</v>
      </c>
      <c r="G281" s="730">
        <v>7310943</v>
      </c>
      <c r="H281" s="734">
        <f>6808502+301647</f>
        <v>7110149</v>
      </c>
      <c r="I281" s="730"/>
      <c r="J281" s="731"/>
      <c r="K281" s="730">
        <v>484475</v>
      </c>
      <c r="L281" s="731">
        <v>477165</v>
      </c>
      <c r="M281" s="730">
        <v>4650156</v>
      </c>
      <c r="N281" s="730"/>
      <c r="O281" s="732">
        <f t="shared" si="37"/>
        <v>4650156</v>
      </c>
      <c r="P281" s="731">
        <v>3895501</v>
      </c>
      <c r="Q281" s="731"/>
      <c r="R281" s="733">
        <f t="shared" si="40"/>
        <v>3895501</v>
      </c>
      <c r="S281" s="732">
        <f t="shared" si="41"/>
        <v>12445574</v>
      </c>
      <c r="T281" s="733">
        <f t="shared" si="42"/>
        <v>11482815</v>
      </c>
      <c r="U281" s="730"/>
      <c r="V281" s="731"/>
      <c r="W281" s="730"/>
      <c r="X281" s="730"/>
      <c r="Y281" s="732">
        <f t="shared" si="38"/>
        <v>0</v>
      </c>
      <c r="Z281" s="731"/>
      <c r="AA281" s="731"/>
      <c r="AB281" s="733">
        <f t="shared" si="39"/>
        <v>0</v>
      </c>
      <c r="AC281" s="730"/>
      <c r="AD281" s="731"/>
      <c r="AE281" s="730"/>
      <c r="AF281" s="730"/>
      <c r="AG281" s="731"/>
      <c r="AH281" s="731"/>
      <c r="AI281" s="732">
        <f t="shared" si="43"/>
        <v>12445574</v>
      </c>
      <c r="AJ281" s="733">
        <f t="shared" si="44"/>
        <v>11482815</v>
      </c>
    </row>
    <row r="282" spans="1:36">
      <c r="A282" s="852" t="s">
        <v>197</v>
      </c>
      <c r="B282" s="847" t="s">
        <v>62</v>
      </c>
      <c r="C282" s="848" t="s">
        <v>233</v>
      </c>
      <c r="D282" s="849"/>
      <c r="E282" s="850">
        <v>107637</v>
      </c>
      <c r="F282" s="851">
        <v>10</v>
      </c>
      <c r="G282" s="730">
        <v>7609632</v>
      </c>
      <c r="H282" s="734">
        <f>7253454+274836</f>
        <v>7528290</v>
      </c>
      <c r="I282" s="730"/>
      <c r="J282" s="731"/>
      <c r="K282" s="730"/>
      <c r="L282" s="731"/>
      <c r="M282" s="730">
        <v>3244789</v>
      </c>
      <c r="N282" s="730"/>
      <c r="O282" s="732">
        <f t="shared" si="37"/>
        <v>3244789</v>
      </c>
      <c r="P282" s="731">
        <v>3297710</v>
      </c>
      <c r="Q282" s="731"/>
      <c r="R282" s="733">
        <f t="shared" si="40"/>
        <v>3297710</v>
      </c>
      <c r="S282" s="732">
        <f t="shared" si="41"/>
        <v>10854421</v>
      </c>
      <c r="T282" s="733">
        <f t="shared" si="42"/>
        <v>10826000</v>
      </c>
      <c r="U282" s="730"/>
      <c r="V282" s="731"/>
      <c r="W282" s="730"/>
      <c r="X282" s="730"/>
      <c r="Y282" s="732">
        <f t="shared" si="38"/>
        <v>0</v>
      </c>
      <c r="Z282" s="731"/>
      <c r="AA282" s="731"/>
      <c r="AB282" s="733">
        <f t="shared" si="39"/>
        <v>0</v>
      </c>
      <c r="AC282" s="730"/>
      <c r="AD282" s="731"/>
      <c r="AE282" s="730"/>
      <c r="AF282" s="730"/>
      <c r="AG282" s="731"/>
      <c r="AH282" s="731"/>
      <c r="AI282" s="732">
        <f t="shared" si="43"/>
        <v>10854421</v>
      </c>
      <c r="AJ282" s="733">
        <f t="shared" si="44"/>
        <v>10826000</v>
      </c>
    </row>
    <row r="283" spans="1:36">
      <c r="A283" s="852" t="s">
        <v>197</v>
      </c>
      <c r="B283" s="847" t="s">
        <v>62</v>
      </c>
      <c r="C283" s="848" t="s">
        <v>234</v>
      </c>
      <c r="D283" s="849"/>
      <c r="E283" s="850">
        <v>107992</v>
      </c>
      <c r="F283" s="851">
        <v>10</v>
      </c>
      <c r="G283" s="730">
        <v>5938370</v>
      </c>
      <c r="H283" s="734">
        <f>5592184+278546</f>
        <v>5870730</v>
      </c>
      <c r="I283" s="730"/>
      <c r="J283" s="731"/>
      <c r="K283" s="730"/>
      <c r="L283" s="731"/>
      <c r="M283" s="730">
        <v>4954055</v>
      </c>
      <c r="N283" s="730"/>
      <c r="O283" s="732">
        <f t="shared" si="37"/>
        <v>4954055</v>
      </c>
      <c r="P283" s="731">
        <v>4103870</v>
      </c>
      <c r="Q283" s="731"/>
      <c r="R283" s="733">
        <f t="shared" si="40"/>
        <v>4103870</v>
      </c>
      <c r="S283" s="732">
        <f t="shared" si="41"/>
        <v>10892425</v>
      </c>
      <c r="T283" s="733">
        <f t="shared" si="42"/>
        <v>9974600</v>
      </c>
      <c r="U283" s="730"/>
      <c r="V283" s="731"/>
      <c r="W283" s="730"/>
      <c r="X283" s="730"/>
      <c r="Y283" s="732">
        <f t="shared" si="38"/>
        <v>0</v>
      </c>
      <c r="Z283" s="731"/>
      <c r="AA283" s="731"/>
      <c r="AB283" s="733">
        <f t="shared" si="39"/>
        <v>0</v>
      </c>
      <c r="AC283" s="730"/>
      <c r="AD283" s="731"/>
      <c r="AE283" s="730"/>
      <c r="AF283" s="730"/>
      <c r="AG283" s="731"/>
      <c r="AH283" s="731"/>
      <c r="AI283" s="732">
        <f t="shared" si="43"/>
        <v>10892425</v>
      </c>
      <c r="AJ283" s="733">
        <f t="shared" si="44"/>
        <v>9974600</v>
      </c>
    </row>
    <row r="284" spans="1:36">
      <c r="A284" s="852" t="s">
        <v>197</v>
      </c>
      <c r="B284" s="847" t="s">
        <v>69</v>
      </c>
      <c r="C284" s="855" t="s">
        <v>235</v>
      </c>
      <c r="D284" s="866"/>
      <c r="E284" s="850">
        <v>107992</v>
      </c>
      <c r="F284" s="851">
        <v>10</v>
      </c>
      <c r="G284" s="730"/>
      <c r="H284" s="734"/>
      <c r="I284" s="730">
        <v>2194790</v>
      </c>
      <c r="J284" s="731">
        <f>396851+18752+1699571+84047</f>
        <v>2199221</v>
      </c>
      <c r="K284" s="730"/>
      <c r="L284" s="731"/>
      <c r="M284" s="730">
        <v>435500</v>
      </c>
      <c r="N284" s="730"/>
      <c r="O284" s="732">
        <f t="shared" si="37"/>
        <v>435500</v>
      </c>
      <c r="P284" s="731">
        <f>327377+196093</f>
        <v>523470</v>
      </c>
      <c r="Q284" s="731"/>
      <c r="R284" s="733">
        <f t="shared" si="40"/>
        <v>523470</v>
      </c>
      <c r="S284" s="732">
        <f t="shared" si="41"/>
        <v>2630290</v>
      </c>
      <c r="T284" s="733">
        <f t="shared" si="42"/>
        <v>2722691</v>
      </c>
      <c r="U284" s="730"/>
      <c r="V284" s="731"/>
      <c r="W284" s="730"/>
      <c r="X284" s="730"/>
      <c r="Y284" s="732">
        <f t="shared" si="38"/>
        <v>0</v>
      </c>
      <c r="Z284" s="731"/>
      <c r="AA284" s="731"/>
      <c r="AB284" s="733">
        <f t="shared" si="39"/>
        <v>0</v>
      </c>
      <c r="AC284" s="730"/>
      <c r="AD284" s="731"/>
      <c r="AE284" s="730"/>
      <c r="AF284" s="730"/>
      <c r="AG284" s="731"/>
      <c r="AH284" s="731"/>
      <c r="AI284" s="732">
        <f t="shared" si="43"/>
        <v>2630290</v>
      </c>
      <c r="AJ284" s="733">
        <f t="shared" si="44"/>
        <v>2722691</v>
      </c>
    </row>
    <row r="285" spans="1:36">
      <c r="A285" s="852" t="s">
        <v>197</v>
      </c>
      <c r="B285" s="847" t="s">
        <v>62</v>
      </c>
      <c r="C285" s="848" t="s">
        <v>236</v>
      </c>
      <c r="D285" s="849"/>
      <c r="E285" s="850">
        <v>106999</v>
      </c>
      <c r="F285" s="851">
        <v>10</v>
      </c>
      <c r="G285" s="730">
        <v>5061933</v>
      </c>
      <c r="H285" s="734">
        <f>4790386+206507</f>
        <v>4996893</v>
      </c>
      <c r="I285" s="730"/>
      <c r="J285" s="731"/>
      <c r="K285" s="730">
        <v>1502001</v>
      </c>
      <c r="L285" s="731">
        <v>1765284</v>
      </c>
      <c r="M285" s="730">
        <v>3490637</v>
      </c>
      <c r="N285" s="730"/>
      <c r="O285" s="732">
        <f t="shared" si="37"/>
        <v>3490637</v>
      </c>
      <c r="P285" s="731">
        <v>3011700</v>
      </c>
      <c r="Q285" s="731"/>
      <c r="R285" s="733">
        <f t="shared" si="40"/>
        <v>3011700</v>
      </c>
      <c r="S285" s="732">
        <f t="shared" si="41"/>
        <v>10054571</v>
      </c>
      <c r="T285" s="733">
        <f t="shared" si="42"/>
        <v>9773877</v>
      </c>
      <c r="U285" s="730"/>
      <c r="V285" s="731"/>
      <c r="W285" s="730"/>
      <c r="X285" s="730"/>
      <c r="Y285" s="732">
        <f t="shared" si="38"/>
        <v>0</v>
      </c>
      <c r="Z285" s="731"/>
      <c r="AA285" s="731"/>
      <c r="AB285" s="733">
        <f t="shared" si="39"/>
        <v>0</v>
      </c>
      <c r="AC285" s="730"/>
      <c r="AD285" s="731"/>
      <c r="AE285" s="730"/>
      <c r="AF285" s="730"/>
      <c r="AG285" s="731"/>
      <c r="AH285" s="731"/>
      <c r="AI285" s="732">
        <f t="shared" si="43"/>
        <v>10054571</v>
      </c>
      <c r="AJ285" s="733">
        <f t="shared" si="44"/>
        <v>9773877</v>
      </c>
    </row>
    <row r="286" spans="1:36">
      <c r="A286" s="852" t="s">
        <v>197</v>
      </c>
      <c r="B286" s="847" t="s">
        <v>62</v>
      </c>
      <c r="C286" s="848" t="s">
        <v>1434</v>
      </c>
      <c r="D286" s="849"/>
      <c r="E286" s="850">
        <v>107725</v>
      </c>
      <c r="F286" s="851">
        <v>10</v>
      </c>
      <c r="G286" s="730">
        <v>6971807</v>
      </c>
      <c r="H286" s="734">
        <f>6698588+249455</f>
        <v>6948043</v>
      </c>
      <c r="I286" s="730"/>
      <c r="J286" s="731"/>
      <c r="K286" s="730">
        <v>1501704</v>
      </c>
      <c r="L286" s="731">
        <v>1561687</v>
      </c>
      <c r="M286" s="730">
        <v>3415558</v>
      </c>
      <c r="N286" s="730"/>
      <c r="O286" s="732">
        <f t="shared" si="37"/>
        <v>3415558</v>
      </c>
      <c r="P286" s="731">
        <v>2867899</v>
      </c>
      <c r="Q286" s="731"/>
      <c r="R286" s="733">
        <f t="shared" si="40"/>
        <v>2867899</v>
      </c>
      <c r="S286" s="732">
        <f t="shared" si="41"/>
        <v>11889069</v>
      </c>
      <c r="T286" s="733">
        <f t="shared" si="42"/>
        <v>11377629</v>
      </c>
      <c r="U286" s="730"/>
      <c r="V286" s="731"/>
      <c r="W286" s="730"/>
      <c r="X286" s="730"/>
      <c r="Y286" s="732">
        <f t="shared" si="38"/>
        <v>0</v>
      </c>
      <c r="Z286" s="731"/>
      <c r="AA286" s="731"/>
      <c r="AB286" s="733">
        <f t="shared" si="39"/>
        <v>0</v>
      </c>
      <c r="AC286" s="730"/>
      <c r="AD286" s="731"/>
      <c r="AE286" s="730"/>
      <c r="AF286" s="730"/>
      <c r="AG286" s="731"/>
      <c r="AH286" s="731"/>
      <c r="AI286" s="732">
        <f t="shared" si="43"/>
        <v>11889069</v>
      </c>
      <c r="AJ286" s="733">
        <f t="shared" si="44"/>
        <v>11377629</v>
      </c>
    </row>
    <row r="287" spans="1:36">
      <c r="A287" s="852" t="s">
        <v>197</v>
      </c>
      <c r="B287" s="847" t="s">
        <v>62</v>
      </c>
      <c r="C287" s="848" t="s">
        <v>237</v>
      </c>
      <c r="D287" s="849"/>
      <c r="E287" s="850">
        <v>107585</v>
      </c>
      <c r="F287" s="851">
        <v>10</v>
      </c>
      <c r="G287" s="730">
        <v>6311812</v>
      </c>
      <c r="H287" s="734">
        <f>6427273+268402</f>
        <v>6695675</v>
      </c>
      <c r="I287" s="730"/>
      <c r="J287" s="731"/>
      <c r="K287" s="730">
        <v>744688</v>
      </c>
      <c r="L287" s="731">
        <v>891469</v>
      </c>
      <c r="M287" s="730">
        <v>6497934</v>
      </c>
      <c r="N287" s="730"/>
      <c r="O287" s="732">
        <f t="shared" si="37"/>
        <v>6497934</v>
      </c>
      <c r="P287" s="731">
        <v>6167665</v>
      </c>
      <c r="Q287" s="731"/>
      <c r="R287" s="733">
        <f t="shared" si="40"/>
        <v>6167665</v>
      </c>
      <c r="S287" s="732">
        <f t="shared" si="41"/>
        <v>13554434</v>
      </c>
      <c r="T287" s="733">
        <f t="shared" si="42"/>
        <v>13754809</v>
      </c>
      <c r="U287" s="730"/>
      <c r="V287" s="731"/>
      <c r="W287" s="730"/>
      <c r="X287" s="730"/>
      <c r="Y287" s="732">
        <f t="shared" si="38"/>
        <v>0</v>
      </c>
      <c r="Z287" s="731"/>
      <c r="AA287" s="731"/>
      <c r="AB287" s="733">
        <f t="shared" si="39"/>
        <v>0</v>
      </c>
      <c r="AC287" s="730"/>
      <c r="AD287" s="731"/>
      <c r="AE287" s="730"/>
      <c r="AF287" s="730"/>
      <c r="AG287" s="731"/>
      <c r="AH287" s="731"/>
      <c r="AI287" s="732">
        <f t="shared" si="43"/>
        <v>13554434</v>
      </c>
      <c r="AJ287" s="733">
        <f t="shared" si="44"/>
        <v>13754809</v>
      </c>
    </row>
    <row r="288" spans="1:36">
      <c r="A288" s="852" t="s">
        <v>197</v>
      </c>
      <c r="B288" s="847" t="s">
        <v>238</v>
      </c>
      <c r="C288" s="848" t="s">
        <v>239</v>
      </c>
      <c r="D288" s="849"/>
      <c r="E288" s="850">
        <v>106263</v>
      </c>
      <c r="F288" s="851">
        <v>15</v>
      </c>
      <c r="G288" s="730"/>
      <c r="H288" s="734"/>
      <c r="I288" s="730"/>
      <c r="J288" s="731"/>
      <c r="K288" s="730"/>
      <c r="L288" s="731"/>
      <c r="M288" s="730"/>
      <c r="N288" s="730"/>
      <c r="O288" s="732">
        <f t="shared" si="37"/>
        <v>0</v>
      </c>
      <c r="P288" s="731"/>
      <c r="Q288" s="731"/>
      <c r="R288" s="733">
        <f t="shared" si="40"/>
        <v>0</v>
      </c>
      <c r="S288" s="732">
        <f t="shared" si="41"/>
        <v>0</v>
      </c>
      <c r="T288" s="733">
        <f t="shared" si="42"/>
        <v>0</v>
      </c>
      <c r="U288" s="730"/>
      <c r="V288" s="731"/>
      <c r="W288" s="730"/>
      <c r="X288" s="730"/>
      <c r="Y288" s="732">
        <f t="shared" si="38"/>
        <v>0</v>
      </c>
      <c r="Z288" s="731"/>
      <c r="AA288" s="731"/>
      <c r="AB288" s="733">
        <f t="shared" si="39"/>
        <v>0</v>
      </c>
      <c r="AC288" s="730">
        <v>107777725</v>
      </c>
      <c r="AD288" s="731">
        <f>94546416+4400644+710820+696881+1885845+5438508+37412+36678+99255+271917</f>
        <v>108124376</v>
      </c>
      <c r="AE288" s="730">
        <v>47840199</v>
      </c>
      <c r="AF288" s="730"/>
      <c r="AG288" s="731">
        <v>49671650</v>
      </c>
      <c r="AH288" s="731"/>
      <c r="AI288" s="732">
        <f t="shared" si="43"/>
        <v>155617924</v>
      </c>
      <c r="AJ288" s="733">
        <f t="shared" si="44"/>
        <v>157796026</v>
      </c>
    </row>
    <row r="289" spans="1:36">
      <c r="A289" s="852" t="s">
        <v>197</v>
      </c>
      <c r="B289" s="847" t="s">
        <v>132</v>
      </c>
      <c r="C289" s="867" t="s">
        <v>240</v>
      </c>
      <c r="D289" s="849"/>
      <c r="E289" s="868"/>
      <c r="F289" s="869">
        <v>99</v>
      </c>
      <c r="G289" s="730"/>
      <c r="H289" s="734"/>
      <c r="I289" s="730"/>
      <c r="J289" s="731"/>
      <c r="K289" s="730"/>
      <c r="L289" s="731"/>
      <c r="M289" s="730"/>
      <c r="N289" s="730"/>
      <c r="O289" s="732">
        <f t="shared" si="37"/>
        <v>0</v>
      </c>
      <c r="P289" s="731"/>
      <c r="Q289" s="731"/>
      <c r="R289" s="733">
        <f t="shared" si="40"/>
        <v>0</v>
      </c>
      <c r="S289" s="732">
        <f t="shared" si="41"/>
        <v>0</v>
      </c>
      <c r="T289" s="733">
        <f t="shared" si="42"/>
        <v>0</v>
      </c>
      <c r="U289" s="730"/>
      <c r="V289" s="731"/>
      <c r="W289" s="730"/>
      <c r="X289" s="730"/>
      <c r="Y289" s="732">
        <f t="shared" si="38"/>
        <v>0</v>
      </c>
      <c r="Z289" s="731"/>
      <c r="AA289" s="731"/>
      <c r="AB289" s="733">
        <f t="shared" si="39"/>
        <v>0</v>
      </c>
      <c r="AC289" s="730"/>
      <c r="AD289" s="731"/>
      <c r="AE289" s="730"/>
      <c r="AF289" s="730"/>
      <c r="AG289" s="731"/>
      <c r="AH289" s="731"/>
      <c r="AI289" s="732">
        <f t="shared" si="43"/>
        <v>0</v>
      </c>
      <c r="AJ289" s="733">
        <f t="shared" si="44"/>
        <v>0</v>
      </c>
    </row>
    <row r="290" spans="1:36">
      <c r="A290" s="852" t="s">
        <v>197</v>
      </c>
      <c r="B290" s="847" t="s">
        <v>132</v>
      </c>
      <c r="C290" s="855" t="s">
        <v>241</v>
      </c>
      <c r="D290" s="854"/>
      <c r="E290" s="868"/>
      <c r="F290" s="869">
        <v>99</v>
      </c>
      <c r="G290" s="730"/>
      <c r="H290" s="734"/>
      <c r="I290" s="730"/>
      <c r="J290" s="731"/>
      <c r="K290" s="730"/>
      <c r="L290" s="731"/>
      <c r="M290" s="730"/>
      <c r="N290" s="730"/>
      <c r="O290" s="732">
        <f t="shared" si="37"/>
        <v>0</v>
      </c>
      <c r="P290" s="731"/>
      <c r="Q290" s="731"/>
      <c r="R290" s="733">
        <f t="shared" si="40"/>
        <v>0</v>
      </c>
      <c r="S290" s="732">
        <f t="shared" si="41"/>
        <v>0</v>
      </c>
      <c r="T290" s="733">
        <f t="shared" si="42"/>
        <v>0</v>
      </c>
      <c r="U290" s="730"/>
      <c r="V290" s="731"/>
      <c r="W290" s="730"/>
      <c r="X290" s="730"/>
      <c r="Y290" s="732">
        <f t="shared" si="38"/>
        <v>0</v>
      </c>
      <c r="Z290" s="731"/>
      <c r="AA290" s="731"/>
      <c r="AB290" s="733">
        <f t="shared" si="39"/>
        <v>0</v>
      </c>
      <c r="AC290" s="730"/>
      <c r="AD290" s="731"/>
      <c r="AE290" s="730"/>
      <c r="AF290" s="730"/>
      <c r="AG290" s="731"/>
      <c r="AH290" s="731"/>
      <c r="AI290" s="732">
        <f t="shared" si="43"/>
        <v>0</v>
      </c>
      <c r="AJ290" s="733">
        <f t="shared" si="44"/>
        <v>0</v>
      </c>
    </row>
    <row r="291" spans="1:36">
      <c r="A291" s="852" t="s">
        <v>197</v>
      </c>
      <c r="B291" s="847" t="s">
        <v>132</v>
      </c>
      <c r="C291" s="855" t="s">
        <v>242</v>
      </c>
      <c r="D291" s="854"/>
      <c r="E291" s="868"/>
      <c r="F291" s="869">
        <v>99</v>
      </c>
      <c r="G291" s="730"/>
      <c r="H291" s="734"/>
      <c r="I291" s="730">
        <v>350000</v>
      </c>
      <c r="J291" s="731">
        <v>350000</v>
      </c>
      <c r="K291" s="730"/>
      <c r="L291" s="731"/>
      <c r="M291" s="730"/>
      <c r="N291" s="730"/>
      <c r="O291" s="732">
        <f t="shared" si="37"/>
        <v>0</v>
      </c>
      <c r="P291" s="731"/>
      <c r="Q291" s="731"/>
      <c r="R291" s="733">
        <f t="shared" si="40"/>
        <v>0</v>
      </c>
      <c r="S291" s="732">
        <f t="shared" si="41"/>
        <v>350000</v>
      </c>
      <c r="T291" s="733">
        <f t="shared" si="42"/>
        <v>350000</v>
      </c>
      <c r="U291" s="730"/>
      <c r="V291" s="731"/>
      <c r="W291" s="730"/>
      <c r="X291" s="730"/>
      <c r="Y291" s="732">
        <f t="shared" si="38"/>
        <v>0</v>
      </c>
      <c r="Z291" s="731"/>
      <c r="AA291" s="731"/>
      <c r="AB291" s="733">
        <f t="shared" si="39"/>
        <v>0</v>
      </c>
      <c r="AC291" s="730"/>
      <c r="AD291" s="731"/>
      <c r="AE291" s="730"/>
      <c r="AF291" s="730"/>
      <c r="AG291" s="731"/>
      <c r="AH291" s="731"/>
      <c r="AI291" s="732">
        <f t="shared" si="43"/>
        <v>350000</v>
      </c>
      <c r="AJ291" s="733">
        <f t="shared" si="44"/>
        <v>350000</v>
      </c>
    </row>
    <row r="292" spans="1:36">
      <c r="A292" s="852" t="s">
        <v>197</v>
      </c>
      <c r="B292" s="847" t="s">
        <v>138</v>
      </c>
      <c r="C292" s="867" t="s">
        <v>139</v>
      </c>
      <c r="D292" s="849"/>
      <c r="E292" s="868"/>
      <c r="F292" s="869">
        <v>99</v>
      </c>
      <c r="G292" s="730"/>
      <c r="H292" s="734"/>
      <c r="I292" s="730"/>
      <c r="J292" s="731"/>
      <c r="K292" s="730"/>
      <c r="L292" s="731"/>
      <c r="M292" s="730"/>
      <c r="N292" s="730"/>
      <c r="O292" s="732">
        <f t="shared" si="37"/>
        <v>0</v>
      </c>
      <c r="P292" s="731"/>
      <c r="Q292" s="731"/>
      <c r="R292" s="733">
        <f t="shared" si="40"/>
        <v>0</v>
      </c>
      <c r="S292" s="732">
        <f t="shared" si="41"/>
        <v>0</v>
      </c>
      <c r="T292" s="733">
        <f t="shared" si="42"/>
        <v>0</v>
      </c>
      <c r="U292" s="730"/>
      <c r="V292" s="731"/>
      <c r="W292" s="730"/>
      <c r="X292" s="730"/>
      <c r="Y292" s="732">
        <f t="shared" si="38"/>
        <v>0</v>
      </c>
      <c r="Z292" s="731"/>
      <c r="AA292" s="731"/>
      <c r="AB292" s="733">
        <f t="shared" si="39"/>
        <v>0</v>
      </c>
      <c r="AC292" s="730"/>
      <c r="AD292" s="731"/>
      <c r="AE292" s="730"/>
      <c r="AF292" s="730"/>
      <c r="AG292" s="731"/>
      <c r="AH292" s="731"/>
      <c r="AI292" s="732">
        <f t="shared" si="43"/>
        <v>0</v>
      </c>
      <c r="AJ292" s="733">
        <f t="shared" si="44"/>
        <v>0</v>
      </c>
    </row>
    <row r="293" spans="1:36">
      <c r="A293" s="852" t="s">
        <v>197</v>
      </c>
      <c r="B293" s="847" t="s">
        <v>140</v>
      </c>
      <c r="C293" s="853" t="s">
        <v>141</v>
      </c>
      <c r="D293" s="854"/>
      <c r="E293" s="868"/>
      <c r="F293" s="869">
        <v>99</v>
      </c>
      <c r="G293" s="730"/>
      <c r="H293" s="734"/>
      <c r="I293" s="730"/>
      <c r="J293" s="731"/>
      <c r="K293" s="730"/>
      <c r="L293" s="731"/>
      <c r="M293" s="730"/>
      <c r="N293" s="730"/>
      <c r="O293" s="732">
        <f t="shared" si="37"/>
        <v>0</v>
      </c>
      <c r="P293" s="731"/>
      <c r="Q293" s="731"/>
      <c r="R293" s="733">
        <f t="shared" si="40"/>
        <v>0</v>
      </c>
      <c r="S293" s="732">
        <f t="shared" si="41"/>
        <v>0</v>
      </c>
      <c r="T293" s="733">
        <f t="shared" si="42"/>
        <v>0</v>
      </c>
      <c r="U293" s="730"/>
      <c r="V293" s="731"/>
      <c r="W293" s="730"/>
      <c r="X293" s="730"/>
      <c r="Y293" s="732">
        <f t="shared" si="38"/>
        <v>0</v>
      </c>
      <c r="Z293" s="731"/>
      <c r="AA293" s="731"/>
      <c r="AB293" s="733">
        <f t="shared" si="39"/>
        <v>0</v>
      </c>
      <c r="AC293" s="730"/>
      <c r="AD293" s="731"/>
      <c r="AE293" s="730"/>
      <c r="AF293" s="730"/>
      <c r="AG293" s="731"/>
      <c r="AH293" s="731"/>
      <c r="AI293" s="732">
        <f t="shared" si="43"/>
        <v>0</v>
      </c>
      <c r="AJ293" s="733">
        <f t="shared" si="44"/>
        <v>0</v>
      </c>
    </row>
    <row r="294" spans="1:36">
      <c r="A294" s="852" t="s">
        <v>197</v>
      </c>
      <c r="B294" s="847" t="s">
        <v>140</v>
      </c>
      <c r="C294" s="855" t="s">
        <v>243</v>
      </c>
      <c r="D294" s="854"/>
      <c r="E294" s="868"/>
      <c r="F294" s="869">
        <v>99</v>
      </c>
      <c r="G294" s="730"/>
      <c r="H294" s="734"/>
      <c r="I294" s="730"/>
      <c r="J294" s="731"/>
      <c r="K294" s="730"/>
      <c r="L294" s="731"/>
      <c r="M294" s="730"/>
      <c r="N294" s="730"/>
      <c r="O294" s="732">
        <f t="shared" si="37"/>
        <v>0</v>
      </c>
      <c r="P294" s="731"/>
      <c r="Q294" s="731"/>
      <c r="R294" s="733">
        <f t="shared" si="40"/>
        <v>0</v>
      </c>
      <c r="S294" s="732">
        <f t="shared" si="41"/>
        <v>0</v>
      </c>
      <c r="T294" s="733">
        <f t="shared" si="42"/>
        <v>0</v>
      </c>
      <c r="U294" s="730">
        <v>3401648</v>
      </c>
      <c r="V294" s="731">
        <v>3644080</v>
      </c>
      <c r="W294" s="730"/>
      <c r="X294" s="730"/>
      <c r="Y294" s="732">
        <f t="shared" si="38"/>
        <v>0</v>
      </c>
      <c r="Z294" s="731"/>
      <c r="AA294" s="731"/>
      <c r="AB294" s="733">
        <f t="shared" si="39"/>
        <v>0</v>
      </c>
      <c r="AC294" s="730"/>
      <c r="AD294" s="731"/>
      <c r="AE294" s="730"/>
      <c r="AF294" s="730"/>
      <c r="AG294" s="731"/>
      <c r="AH294" s="731"/>
      <c r="AI294" s="732">
        <f t="shared" si="43"/>
        <v>3401648</v>
      </c>
      <c r="AJ294" s="733">
        <f t="shared" si="44"/>
        <v>3644080</v>
      </c>
    </row>
    <row r="295" spans="1:36">
      <c r="A295" s="852" t="s">
        <v>197</v>
      </c>
      <c r="B295" s="847" t="s">
        <v>140</v>
      </c>
      <c r="C295" s="855" t="s">
        <v>244</v>
      </c>
      <c r="D295" s="854"/>
      <c r="E295" s="868"/>
      <c r="F295" s="869">
        <v>99</v>
      </c>
      <c r="G295" s="730"/>
      <c r="H295" s="734"/>
      <c r="I295" s="730"/>
      <c r="J295" s="731"/>
      <c r="K295" s="730"/>
      <c r="L295" s="731"/>
      <c r="M295" s="730"/>
      <c r="N295" s="730"/>
      <c r="O295" s="732">
        <f t="shared" si="37"/>
        <v>0</v>
      </c>
      <c r="P295" s="731"/>
      <c r="Q295" s="731"/>
      <c r="R295" s="733">
        <f t="shared" si="40"/>
        <v>0</v>
      </c>
      <c r="S295" s="732">
        <f t="shared" si="41"/>
        <v>0</v>
      </c>
      <c r="T295" s="733">
        <f t="shared" si="42"/>
        <v>0</v>
      </c>
      <c r="U295" s="730">
        <v>3999721</v>
      </c>
      <c r="V295" s="731">
        <f>3842355+173974</f>
        <v>4016329</v>
      </c>
      <c r="W295" s="730"/>
      <c r="X295" s="730"/>
      <c r="Y295" s="732">
        <f t="shared" si="38"/>
        <v>0</v>
      </c>
      <c r="Z295" s="731"/>
      <c r="AA295" s="731"/>
      <c r="AB295" s="733">
        <f t="shared" si="39"/>
        <v>0</v>
      </c>
      <c r="AC295" s="730"/>
      <c r="AD295" s="731"/>
      <c r="AE295" s="730"/>
      <c r="AF295" s="730"/>
      <c r="AG295" s="731"/>
      <c r="AH295" s="731"/>
      <c r="AI295" s="732">
        <f t="shared" si="43"/>
        <v>3999721</v>
      </c>
      <c r="AJ295" s="733">
        <f t="shared" si="44"/>
        <v>4016329</v>
      </c>
    </row>
    <row r="296" spans="1:36">
      <c r="A296" s="852" t="s">
        <v>197</v>
      </c>
      <c r="B296" s="847" t="s">
        <v>140</v>
      </c>
      <c r="C296" s="855" t="s">
        <v>245</v>
      </c>
      <c r="D296" s="854"/>
      <c r="E296" s="868"/>
      <c r="F296" s="869">
        <v>99</v>
      </c>
      <c r="G296" s="730"/>
      <c r="H296" s="734"/>
      <c r="I296" s="730"/>
      <c r="J296" s="731"/>
      <c r="K296" s="730"/>
      <c r="L296" s="731"/>
      <c r="M296" s="730"/>
      <c r="N296" s="730"/>
      <c r="O296" s="732">
        <f t="shared" si="37"/>
        <v>0</v>
      </c>
      <c r="P296" s="731"/>
      <c r="Q296" s="731"/>
      <c r="R296" s="733">
        <f t="shared" si="40"/>
        <v>0</v>
      </c>
      <c r="S296" s="732">
        <f t="shared" si="41"/>
        <v>0</v>
      </c>
      <c r="T296" s="733">
        <f t="shared" si="42"/>
        <v>0</v>
      </c>
      <c r="U296" s="730">
        <v>2568683</v>
      </c>
      <c r="V296" s="731">
        <f>2443259+122847</f>
        <v>2566106</v>
      </c>
      <c r="W296" s="730"/>
      <c r="X296" s="730"/>
      <c r="Y296" s="732">
        <f t="shared" si="38"/>
        <v>0</v>
      </c>
      <c r="Z296" s="731"/>
      <c r="AA296" s="731"/>
      <c r="AB296" s="733">
        <f t="shared" si="39"/>
        <v>0</v>
      </c>
      <c r="AC296" s="730"/>
      <c r="AD296" s="731"/>
      <c r="AE296" s="730"/>
      <c r="AF296" s="730"/>
      <c r="AG296" s="731"/>
      <c r="AH296" s="731"/>
      <c r="AI296" s="732">
        <f t="shared" si="43"/>
        <v>2568683</v>
      </c>
      <c r="AJ296" s="733">
        <f t="shared" si="44"/>
        <v>2566106</v>
      </c>
    </row>
    <row r="297" spans="1:36">
      <c r="A297" s="852" t="s">
        <v>197</v>
      </c>
      <c r="B297" s="847" t="s">
        <v>145</v>
      </c>
      <c r="C297" s="853" t="s">
        <v>146</v>
      </c>
      <c r="D297" s="854"/>
      <c r="E297" s="868"/>
      <c r="F297" s="869">
        <v>99</v>
      </c>
      <c r="G297" s="730"/>
      <c r="H297" s="734"/>
      <c r="I297" s="730"/>
      <c r="J297" s="731"/>
      <c r="K297" s="730"/>
      <c r="L297" s="731"/>
      <c r="M297" s="730"/>
      <c r="N297" s="730"/>
      <c r="O297" s="732">
        <f t="shared" si="37"/>
        <v>0</v>
      </c>
      <c r="P297" s="731"/>
      <c r="Q297" s="731"/>
      <c r="R297" s="733">
        <f t="shared" si="40"/>
        <v>0</v>
      </c>
      <c r="S297" s="732">
        <f t="shared" si="41"/>
        <v>0</v>
      </c>
      <c r="T297" s="733">
        <f t="shared" si="42"/>
        <v>0</v>
      </c>
      <c r="U297" s="730"/>
      <c r="V297" s="731"/>
      <c r="W297" s="730"/>
      <c r="X297" s="730"/>
      <c r="Y297" s="732">
        <f t="shared" si="38"/>
        <v>0</v>
      </c>
      <c r="Z297" s="731"/>
      <c r="AA297" s="731"/>
      <c r="AB297" s="733">
        <f t="shared" si="39"/>
        <v>0</v>
      </c>
      <c r="AC297" s="730"/>
      <c r="AD297" s="731"/>
      <c r="AE297" s="730"/>
      <c r="AF297" s="730"/>
      <c r="AG297" s="731"/>
      <c r="AH297" s="731"/>
      <c r="AI297" s="732">
        <f t="shared" si="43"/>
        <v>0</v>
      </c>
      <c r="AJ297" s="733">
        <f t="shared" si="44"/>
        <v>0</v>
      </c>
    </row>
    <row r="298" spans="1:36">
      <c r="A298" s="852" t="s">
        <v>197</v>
      </c>
      <c r="B298" s="847" t="s">
        <v>145</v>
      </c>
      <c r="C298" s="855" t="s">
        <v>246</v>
      </c>
      <c r="D298" s="854"/>
      <c r="E298" s="868"/>
      <c r="F298" s="869">
        <v>99</v>
      </c>
      <c r="G298" s="730"/>
      <c r="H298" s="734"/>
      <c r="I298" s="730"/>
      <c r="J298" s="731"/>
      <c r="K298" s="730"/>
      <c r="L298" s="731"/>
      <c r="M298" s="730"/>
      <c r="N298" s="730"/>
      <c r="O298" s="732">
        <f t="shared" si="37"/>
        <v>0</v>
      </c>
      <c r="P298" s="731"/>
      <c r="Q298" s="731"/>
      <c r="R298" s="733">
        <f t="shared" si="40"/>
        <v>0</v>
      </c>
      <c r="S298" s="732">
        <f t="shared" si="41"/>
        <v>0</v>
      </c>
      <c r="T298" s="733">
        <f t="shared" si="42"/>
        <v>0</v>
      </c>
      <c r="U298" s="730"/>
      <c r="V298" s="731"/>
      <c r="W298" s="730"/>
      <c r="X298" s="730"/>
      <c r="Y298" s="732">
        <f t="shared" si="38"/>
        <v>0</v>
      </c>
      <c r="Z298" s="731"/>
      <c r="AA298" s="731"/>
      <c r="AB298" s="733">
        <f t="shared" si="39"/>
        <v>0</v>
      </c>
      <c r="AC298" s="730"/>
      <c r="AD298" s="731"/>
      <c r="AE298" s="730"/>
      <c r="AF298" s="730"/>
      <c r="AG298" s="731"/>
      <c r="AH298" s="731"/>
      <c r="AI298" s="732">
        <f t="shared" si="43"/>
        <v>0</v>
      </c>
      <c r="AJ298" s="733">
        <f t="shared" si="44"/>
        <v>0</v>
      </c>
    </row>
    <row r="299" spans="1:36">
      <c r="A299" s="852" t="s">
        <v>197</v>
      </c>
      <c r="B299" s="847" t="s">
        <v>149</v>
      </c>
      <c r="C299" s="870" t="s">
        <v>247</v>
      </c>
      <c r="D299" s="871"/>
      <c r="E299" s="868"/>
      <c r="F299" s="869">
        <v>99</v>
      </c>
      <c r="G299" s="730"/>
      <c r="H299" s="734"/>
      <c r="I299" s="730"/>
      <c r="J299" s="731"/>
      <c r="K299" s="730"/>
      <c r="L299" s="731"/>
      <c r="M299" s="730"/>
      <c r="N299" s="730"/>
      <c r="O299" s="732">
        <f t="shared" si="37"/>
        <v>0</v>
      </c>
      <c r="P299" s="731"/>
      <c r="Q299" s="731"/>
      <c r="R299" s="733">
        <f t="shared" si="40"/>
        <v>0</v>
      </c>
      <c r="S299" s="732">
        <f t="shared" si="41"/>
        <v>0</v>
      </c>
      <c r="T299" s="733">
        <f t="shared" si="42"/>
        <v>0</v>
      </c>
      <c r="U299" s="730"/>
      <c r="V299" s="731"/>
      <c r="W299" s="730"/>
      <c r="X299" s="730"/>
      <c r="Y299" s="732">
        <f t="shared" si="38"/>
        <v>0</v>
      </c>
      <c r="Z299" s="731"/>
      <c r="AA299" s="731"/>
      <c r="AB299" s="733">
        <f t="shared" si="39"/>
        <v>0</v>
      </c>
      <c r="AC299" s="730"/>
      <c r="AD299" s="731"/>
      <c r="AE299" s="730"/>
      <c r="AF299" s="730"/>
      <c r="AG299" s="731"/>
      <c r="AH299" s="731"/>
      <c r="AI299" s="732">
        <f t="shared" si="43"/>
        <v>0</v>
      </c>
      <c r="AJ299" s="733">
        <f t="shared" si="44"/>
        <v>0</v>
      </c>
    </row>
    <row r="300" spans="1:36">
      <c r="A300" s="852" t="s">
        <v>197</v>
      </c>
      <c r="B300" s="847" t="s">
        <v>151</v>
      </c>
      <c r="C300" s="867" t="s">
        <v>152</v>
      </c>
      <c r="D300" s="849"/>
      <c r="E300" s="868"/>
      <c r="F300" s="869">
        <v>99</v>
      </c>
      <c r="G300" s="730"/>
      <c r="H300" s="734"/>
      <c r="I300" s="730"/>
      <c r="J300" s="731"/>
      <c r="K300" s="730"/>
      <c r="L300" s="731"/>
      <c r="M300" s="730"/>
      <c r="N300" s="730"/>
      <c r="O300" s="732">
        <f t="shared" si="37"/>
        <v>0</v>
      </c>
      <c r="P300" s="731"/>
      <c r="Q300" s="731"/>
      <c r="R300" s="733">
        <f t="shared" si="40"/>
        <v>0</v>
      </c>
      <c r="S300" s="732">
        <f t="shared" si="41"/>
        <v>0</v>
      </c>
      <c r="T300" s="733">
        <f t="shared" si="42"/>
        <v>0</v>
      </c>
      <c r="U300" s="730"/>
      <c r="V300" s="731"/>
      <c r="W300" s="730"/>
      <c r="X300" s="730"/>
      <c r="Y300" s="732">
        <f t="shared" si="38"/>
        <v>0</v>
      </c>
      <c r="Z300" s="731"/>
      <c r="AA300" s="731"/>
      <c r="AB300" s="733">
        <f t="shared" si="39"/>
        <v>0</v>
      </c>
      <c r="AC300" s="730"/>
      <c r="AD300" s="731"/>
      <c r="AE300" s="730"/>
      <c r="AF300" s="730"/>
      <c r="AG300" s="731"/>
      <c r="AH300" s="731"/>
      <c r="AI300" s="732">
        <f t="shared" si="43"/>
        <v>0</v>
      </c>
      <c r="AJ300" s="733">
        <f t="shared" si="44"/>
        <v>0</v>
      </c>
    </row>
    <row r="301" spans="1:36">
      <c r="A301" s="852" t="s">
        <v>197</v>
      </c>
      <c r="B301" s="847" t="s">
        <v>248</v>
      </c>
      <c r="C301" s="867" t="s">
        <v>249</v>
      </c>
      <c r="D301" s="849"/>
      <c r="E301" s="868"/>
      <c r="F301" s="869">
        <v>99</v>
      </c>
      <c r="G301" s="730"/>
      <c r="H301" s="734"/>
      <c r="I301" s="730"/>
      <c r="J301" s="731"/>
      <c r="K301" s="730"/>
      <c r="L301" s="731"/>
      <c r="M301" s="730"/>
      <c r="N301" s="730"/>
      <c r="O301" s="732">
        <f t="shared" si="37"/>
        <v>0</v>
      </c>
      <c r="P301" s="731"/>
      <c r="Q301" s="731"/>
      <c r="R301" s="733">
        <f t="shared" si="40"/>
        <v>0</v>
      </c>
      <c r="S301" s="732">
        <f t="shared" si="41"/>
        <v>0</v>
      </c>
      <c r="T301" s="733">
        <f t="shared" si="42"/>
        <v>0</v>
      </c>
      <c r="U301" s="730"/>
      <c r="V301" s="731"/>
      <c r="W301" s="730"/>
      <c r="X301" s="730"/>
      <c r="Y301" s="732">
        <f t="shared" si="38"/>
        <v>0</v>
      </c>
      <c r="Z301" s="731"/>
      <c r="AA301" s="731"/>
      <c r="AB301" s="733">
        <f t="shared" si="39"/>
        <v>0</v>
      </c>
      <c r="AC301" s="730"/>
      <c r="AD301" s="731"/>
      <c r="AE301" s="730"/>
      <c r="AF301" s="730"/>
      <c r="AG301" s="731"/>
      <c r="AH301" s="731"/>
      <c r="AI301" s="732">
        <f t="shared" si="43"/>
        <v>0</v>
      </c>
      <c r="AJ301" s="733">
        <f t="shared" si="44"/>
        <v>0</v>
      </c>
    </row>
    <row r="302" spans="1:36">
      <c r="A302" s="852" t="s">
        <v>197</v>
      </c>
      <c r="B302" s="847" t="s">
        <v>250</v>
      </c>
      <c r="C302" s="853" t="s">
        <v>251</v>
      </c>
      <c r="D302" s="854"/>
      <c r="E302" s="868"/>
      <c r="F302" s="869">
        <v>99</v>
      </c>
      <c r="G302" s="730"/>
      <c r="H302" s="734"/>
      <c r="I302" s="730"/>
      <c r="J302" s="731"/>
      <c r="K302" s="730"/>
      <c r="L302" s="731"/>
      <c r="M302" s="730"/>
      <c r="N302" s="730"/>
      <c r="O302" s="732">
        <f t="shared" si="37"/>
        <v>0</v>
      </c>
      <c r="P302" s="731"/>
      <c r="Q302" s="731"/>
      <c r="R302" s="733">
        <f t="shared" si="40"/>
        <v>0</v>
      </c>
      <c r="S302" s="732">
        <f t="shared" si="41"/>
        <v>0</v>
      </c>
      <c r="T302" s="733">
        <f t="shared" si="42"/>
        <v>0</v>
      </c>
      <c r="U302" s="730"/>
      <c r="V302" s="731"/>
      <c r="W302" s="730"/>
      <c r="X302" s="730"/>
      <c r="Y302" s="732">
        <f t="shared" si="38"/>
        <v>0</v>
      </c>
      <c r="Z302" s="731"/>
      <c r="AA302" s="731"/>
      <c r="AB302" s="733">
        <f t="shared" si="39"/>
        <v>0</v>
      </c>
      <c r="AC302" s="730"/>
      <c r="AD302" s="731"/>
      <c r="AE302" s="730"/>
      <c r="AF302" s="730"/>
      <c r="AG302" s="731"/>
      <c r="AH302" s="731"/>
      <c r="AI302" s="732">
        <f t="shared" si="43"/>
        <v>0</v>
      </c>
      <c r="AJ302" s="733">
        <f t="shared" si="44"/>
        <v>0</v>
      </c>
    </row>
    <row r="303" spans="1:36">
      <c r="A303" s="852" t="s">
        <v>197</v>
      </c>
      <c r="B303" s="847" t="s">
        <v>250</v>
      </c>
      <c r="C303" s="855" t="s">
        <v>252</v>
      </c>
      <c r="D303" s="854"/>
      <c r="E303" s="868"/>
      <c r="F303" s="869">
        <v>99</v>
      </c>
      <c r="G303" s="730"/>
      <c r="H303" s="734"/>
      <c r="I303" s="730"/>
      <c r="J303" s="731"/>
      <c r="K303" s="730"/>
      <c r="L303" s="731"/>
      <c r="M303" s="730"/>
      <c r="N303" s="730"/>
      <c r="O303" s="732">
        <f t="shared" si="37"/>
        <v>0</v>
      </c>
      <c r="P303" s="731"/>
      <c r="Q303" s="731"/>
      <c r="R303" s="733">
        <f t="shared" si="40"/>
        <v>0</v>
      </c>
      <c r="S303" s="732">
        <f t="shared" si="41"/>
        <v>0</v>
      </c>
      <c r="T303" s="733">
        <f t="shared" si="42"/>
        <v>0</v>
      </c>
      <c r="U303" s="730">
        <v>13000</v>
      </c>
      <c r="V303" s="1150">
        <v>0</v>
      </c>
      <c r="W303" s="730"/>
      <c r="X303" s="730"/>
      <c r="Y303" s="732">
        <f t="shared" si="38"/>
        <v>0</v>
      </c>
      <c r="Z303" s="731"/>
      <c r="AA303" s="731"/>
      <c r="AB303" s="733">
        <f t="shared" si="39"/>
        <v>0</v>
      </c>
      <c r="AC303" s="730"/>
      <c r="AD303" s="731"/>
      <c r="AE303" s="730"/>
      <c r="AF303" s="730"/>
      <c r="AG303" s="731"/>
      <c r="AH303" s="731"/>
      <c r="AI303" s="732">
        <f t="shared" si="43"/>
        <v>13000</v>
      </c>
      <c r="AJ303" s="733">
        <f t="shared" si="44"/>
        <v>0</v>
      </c>
    </row>
    <row r="304" spans="1:36">
      <c r="A304" s="852" t="s">
        <v>197</v>
      </c>
      <c r="B304" s="847" t="s">
        <v>250</v>
      </c>
      <c r="C304" s="855" t="s">
        <v>253</v>
      </c>
      <c r="D304" s="854"/>
      <c r="E304" s="868"/>
      <c r="F304" s="869">
        <v>99</v>
      </c>
      <c r="G304" s="730"/>
      <c r="H304" s="734"/>
      <c r="I304" s="730"/>
      <c r="J304" s="731"/>
      <c r="K304" s="730"/>
      <c r="L304" s="731"/>
      <c r="M304" s="730"/>
      <c r="N304" s="730"/>
      <c r="O304" s="732">
        <f t="shared" si="37"/>
        <v>0</v>
      </c>
      <c r="P304" s="731"/>
      <c r="Q304" s="731"/>
      <c r="R304" s="733">
        <f t="shared" si="40"/>
        <v>0</v>
      </c>
      <c r="S304" s="732">
        <f t="shared" si="41"/>
        <v>0</v>
      </c>
      <c r="T304" s="733">
        <f t="shared" si="42"/>
        <v>0</v>
      </c>
      <c r="U304" s="730">
        <v>21900</v>
      </c>
      <c r="V304" s="1151">
        <f>32850+32850</f>
        <v>65700</v>
      </c>
      <c r="W304" s="730"/>
      <c r="X304" s="730"/>
      <c r="Y304" s="732">
        <f t="shared" si="38"/>
        <v>0</v>
      </c>
      <c r="Z304" s="731"/>
      <c r="AA304" s="731"/>
      <c r="AB304" s="733">
        <f t="shared" si="39"/>
        <v>0</v>
      </c>
      <c r="AC304" s="730"/>
      <c r="AD304" s="731"/>
      <c r="AE304" s="730"/>
      <c r="AF304" s="730"/>
      <c r="AG304" s="731"/>
      <c r="AH304" s="731"/>
      <c r="AI304" s="732">
        <f t="shared" si="43"/>
        <v>21900</v>
      </c>
      <c r="AJ304" s="733">
        <f t="shared" si="44"/>
        <v>65700</v>
      </c>
    </row>
    <row r="305" spans="1:36">
      <c r="A305" s="852" t="s">
        <v>197</v>
      </c>
      <c r="B305" s="847" t="s">
        <v>250</v>
      </c>
      <c r="C305" s="855" t="s">
        <v>254</v>
      </c>
      <c r="D305" s="854"/>
      <c r="E305" s="868"/>
      <c r="F305" s="869">
        <v>99</v>
      </c>
      <c r="G305" s="730"/>
      <c r="H305" s="734"/>
      <c r="I305" s="730"/>
      <c r="J305" s="731"/>
      <c r="K305" s="730"/>
      <c r="L305" s="731"/>
      <c r="M305" s="730"/>
      <c r="N305" s="730"/>
      <c r="O305" s="732">
        <f t="shared" si="37"/>
        <v>0</v>
      </c>
      <c r="P305" s="731"/>
      <c r="Q305" s="731"/>
      <c r="R305" s="733">
        <f t="shared" si="40"/>
        <v>0</v>
      </c>
      <c r="S305" s="732">
        <f t="shared" si="41"/>
        <v>0</v>
      </c>
      <c r="T305" s="733">
        <f t="shared" si="42"/>
        <v>0</v>
      </c>
      <c r="U305" s="730">
        <v>26000</v>
      </c>
      <c r="V305" s="1150">
        <v>0</v>
      </c>
      <c r="W305" s="730"/>
      <c r="X305" s="730"/>
      <c r="Y305" s="732">
        <f t="shared" si="38"/>
        <v>0</v>
      </c>
      <c r="Z305" s="731"/>
      <c r="AA305" s="731"/>
      <c r="AB305" s="733">
        <f t="shared" si="39"/>
        <v>0</v>
      </c>
      <c r="AC305" s="730"/>
      <c r="AD305" s="731"/>
      <c r="AE305" s="730"/>
      <c r="AF305" s="730"/>
      <c r="AG305" s="731"/>
      <c r="AH305" s="731"/>
      <c r="AI305" s="732">
        <f t="shared" si="43"/>
        <v>26000</v>
      </c>
      <c r="AJ305" s="733">
        <f t="shared" si="44"/>
        <v>0</v>
      </c>
    </row>
    <row r="306" spans="1:36">
      <c r="A306" s="852" t="s">
        <v>197</v>
      </c>
      <c r="B306" s="847" t="s">
        <v>250</v>
      </c>
      <c r="C306" s="855" t="s">
        <v>255</v>
      </c>
      <c r="D306" s="854"/>
      <c r="E306" s="868"/>
      <c r="F306" s="869">
        <v>99</v>
      </c>
      <c r="G306" s="730"/>
      <c r="H306" s="734"/>
      <c r="I306" s="730"/>
      <c r="J306" s="731"/>
      <c r="K306" s="730"/>
      <c r="L306" s="731"/>
      <c r="M306" s="730"/>
      <c r="N306" s="730"/>
      <c r="O306" s="732">
        <f t="shared" si="37"/>
        <v>0</v>
      </c>
      <c r="P306" s="731"/>
      <c r="Q306" s="731"/>
      <c r="R306" s="733">
        <f t="shared" si="40"/>
        <v>0</v>
      </c>
      <c r="S306" s="732">
        <f t="shared" si="41"/>
        <v>0</v>
      </c>
      <c r="T306" s="733">
        <f t="shared" si="42"/>
        <v>0</v>
      </c>
      <c r="U306" s="730">
        <v>384000</v>
      </c>
      <c r="V306" s="731">
        <f>192000+192000</f>
        <v>384000</v>
      </c>
      <c r="W306" s="730"/>
      <c r="X306" s="730"/>
      <c r="Y306" s="732">
        <f t="shared" si="38"/>
        <v>0</v>
      </c>
      <c r="Z306" s="731"/>
      <c r="AA306" s="731"/>
      <c r="AB306" s="733">
        <f t="shared" si="39"/>
        <v>0</v>
      </c>
      <c r="AC306" s="730"/>
      <c r="AD306" s="731"/>
      <c r="AE306" s="730"/>
      <c r="AF306" s="730"/>
      <c r="AG306" s="731"/>
      <c r="AH306" s="731"/>
      <c r="AI306" s="732">
        <f t="shared" si="43"/>
        <v>384000</v>
      </c>
      <c r="AJ306" s="733">
        <f t="shared" si="44"/>
        <v>384000</v>
      </c>
    </row>
    <row r="307" spans="1:36">
      <c r="A307" s="852" t="s">
        <v>197</v>
      </c>
      <c r="B307" s="847" t="s">
        <v>250</v>
      </c>
      <c r="C307" s="855" t="s">
        <v>256</v>
      </c>
      <c r="D307" s="854"/>
      <c r="E307" s="868"/>
      <c r="F307" s="869">
        <v>99</v>
      </c>
      <c r="G307" s="730"/>
      <c r="H307" s="734"/>
      <c r="I307" s="730"/>
      <c r="J307" s="731"/>
      <c r="K307" s="730"/>
      <c r="L307" s="731"/>
      <c r="M307" s="730"/>
      <c r="N307" s="730"/>
      <c r="O307" s="732">
        <f t="shared" si="37"/>
        <v>0</v>
      </c>
      <c r="P307" s="731"/>
      <c r="Q307" s="731"/>
      <c r="R307" s="733">
        <f t="shared" si="40"/>
        <v>0</v>
      </c>
      <c r="S307" s="732">
        <f t="shared" si="41"/>
        <v>0</v>
      </c>
      <c r="T307" s="733">
        <f t="shared" si="42"/>
        <v>0</v>
      </c>
      <c r="U307" s="730">
        <v>0</v>
      </c>
      <c r="V307" s="731">
        <v>0</v>
      </c>
      <c r="W307" s="730"/>
      <c r="X307" s="730"/>
      <c r="Y307" s="732">
        <f t="shared" si="38"/>
        <v>0</v>
      </c>
      <c r="Z307" s="731"/>
      <c r="AA307" s="731"/>
      <c r="AB307" s="733">
        <f t="shared" si="39"/>
        <v>0</v>
      </c>
      <c r="AC307" s="730"/>
      <c r="AD307" s="731"/>
      <c r="AE307" s="730"/>
      <c r="AF307" s="730"/>
      <c r="AG307" s="731"/>
      <c r="AH307" s="731"/>
      <c r="AI307" s="732">
        <f t="shared" si="43"/>
        <v>0</v>
      </c>
      <c r="AJ307" s="733">
        <f t="shared" si="44"/>
        <v>0</v>
      </c>
    </row>
    <row r="308" spans="1:36">
      <c r="A308" s="852" t="s">
        <v>197</v>
      </c>
      <c r="B308" s="847" t="s">
        <v>250</v>
      </c>
      <c r="C308" s="855" t="s">
        <v>257</v>
      </c>
      <c r="D308" s="854"/>
      <c r="E308" s="868"/>
      <c r="F308" s="869">
        <v>99</v>
      </c>
      <c r="G308" s="730"/>
      <c r="H308" s="734"/>
      <c r="I308" s="730"/>
      <c r="J308" s="731"/>
      <c r="K308" s="730"/>
      <c r="L308" s="731"/>
      <c r="M308" s="730"/>
      <c r="N308" s="730"/>
      <c r="O308" s="732">
        <f t="shared" si="37"/>
        <v>0</v>
      </c>
      <c r="P308" s="731"/>
      <c r="Q308" s="731"/>
      <c r="R308" s="733">
        <f t="shared" si="40"/>
        <v>0</v>
      </c>
      <c r="S308" s="732">
        <f t="shared" si="41"/>
        <v>0</v>
      </c>
      <c r="T308" s="733">
        <f t="shared" si="42"/>
        <v>0</v>
      </c>
      <c r="U308" s="730">
        <v>0</v>
      </c>
      <c r="V308" s="731">
        <v>0</v>
      </c>
      <c r="W308" s="730"/>
      <c r="X308" s="730"/>
      <c r="Y308" s="732">
        <f t="shared" si="38"/>
        <v>0</v>
      </c>
      <c r="Z308" s="731"/>
      <c r="AA308" s="731"/>
      <c r="AB308" s="733">
        <f t="shared" si="39"/>
        <v>0</v>
      </c>
      <c r="AC308" s="730"/>
      <c r="AD308" s="731"/>
      <c r="AE308" s="730"/>
      <c r="AF308" s="730"/>
      <c r="AG308" s="731"/>
      <c r="AH308" s="731"/>
      <c r="AI308" s="732">
        <f t="shared" si="43"/>
        <v>0</v>
      </c>
      <c r="AJ308" s="733">
        <f t="shared" si="44"/>
        <v>0</v>
      </c>
    </row>
    <row r="309" spans="1:36">
      <c r="A309" s="852" t="s">
        <v>197</v>
      </c>
      <c r="B309" s="847" t="s">
        <v>258</v>
      </c>
      <c r="C309" s="853" t="s">
        <v>259</v>
      </c>
      <c r="D309" s="854"/>
      <c r="E309" s="868"/>
      <c r="F309" s="869">
        <v>99</v>
      </c>
      <c r="G309" s="730"/>
      <c r="H309" s="734"/>
      <c r="I309" s="730"/>
      <c r="J309" s="731"/>
      <c r="K309" s="730"/>
      <c r="L309" s="731"/>
      <c r="M309" s="730"/>
      <c r="N309" s="730"/>
      <c r="O309" s="732">
        <f t="shared" si="37"/>
        <v>0</v>
      </c>
      <c r="P309" s="731"/>
      <c r="Q309" s="731"/>
      <c r="R309" s="733">
        <f t="shared" si="40"/>
        <v>0</v>
      </c>
      <c r="S309" s="732">
        <f t="shared" si="41"/>
        <v>0</v>
      </c>
      <c r="T309" s="733">
        <f t="shared" si="42"/>
        <v>0</v>
      </c>
      <c r="U309" s="730"/>
      <c r="V309" s="731"/>
      <c r="W309" s="730"/>
      <c r="X309" s="730"/>
      <c r="Y309" s="732">
        <f t="shared" si="38"/>
        <v>0</v>
      </c>
      <c r="Z309" s="731"/>
      <c r="AA309" s="731"/>
      <c r="AB309" s="733">
        <f t="shared" si="39"/>
        <v>0</v>
      </c>
      <c r="AC309" s="730"/>
      <c r="AD309" s="731"/>
      <c r="AE309" s="730"/>
      <c r="AF309" s="730"/>
      <c r="AG309" s="731"/>
      <c r="AH309" s="731"/>
      <c r="AI309" s="732">
        <f t="shared" si="43"/>
        <v>0</v>
      </c>
      <c r="AJ309" s="733">
        <f t="shared" si="44"/>
        <v>0</v>
      </c>
    </row>
    <row r="310" spans="1:36">
      <c r="A310" s="852" t="s">
        <v>197</v>
      </c>
      <c r="B310" s="847" t="s">
        <v>258</v>
      </c>
      <c r="C310" s="855" t="s">
        <v>260</v>
      </c>
      <c r="D310" s="854"/>
      <c r="E310" s="868"/>
      <c r="F310" s="869">
        <v>99</v>
      </c>
      <c r="G310" s="730"/>
      <c r="H310" s="734"/>
      <c r="I310" s="730"/>
      <c r="J310" s="731"/>
      <c r="K310" s="730"/>
      <c r="L310" s="731"/>
      <c r="M310" s="730"/>
      <c r="N310" s="730"/>
      <c r="O310" s="732">
        <f t="shared" si="37"/>
        <v>0</v>
      </c>
      <c r="P310" s="731"/>
      <c r="Q310" s="731"/>
      <c r="R310" s="733">
        <f t="shared" si="40"/>
        <v>0</v>
      </c>
      <c r="S310" s="732">
        <f t="shared" si="41"/>
        <v>0</v>
      </c>
      <c r="T310" s="733">
        <f t="shared" si="42"/>
        <v>0</v>
      </c>
      <c r="U310" s="730">
        <v>328500</v>
      </c>
      <c r="V310" s="731">
        <f>175200+175200</f>
        <v>350400</v>
      </c>
      <c r="W310" s="730"/>
      <c r="X310" s="730"/>
      <c r="Y310" s="732">
        <f t="shared" si="38"/>
        <v>0</v>
      </c>
      <c r="Z310" s="731"/>
      <c r="AA310" s="731"/>
      <c r="AB310" s="733">
        <f t="shared" si="39"/>
        <v>0</v>
      </c>
      <c r="AC310" s="730"/>
      <c r="AD310" s="731"/>
      <c r="AE310" s="730"/>
      <c r="AF310" s="730"/>
      <c r="AG310" s="731"/>
      <c r="AH310" s="731"/>
      <c r="AI310" s="732">
        <f t="shared" si="43"/>
        <v>328500</v>
      </c>
      <c r="AJ310" s="733">
        <f t="shared" si="44"/>
        <v>350400</v>
      </c>
    </row>
    <row r="311" spans="1:36">
      <c r="A311" s="852" t="s">
        <v>197</v>
      </c>
      <c r="B311" s="847" t="s">
        <v>258</v>
      </c>
      <c r="C311" s="855" t="s">
        <v>261</v>
      </c>
      <c r="D311" s="854"/>
      <c r="E311" s="868"/>
      <c r="F311" s="869">
        <v>99</v>
      </c>
      <c r="G311" s="730"/>
      <c r="H311" s="734"/>
      <c r="I311" s="730"/>
      <c r="J311" s="731"/>
      <c r="K311" s="730"/>
      <c r="L311" s="731"/>
      <c r="M311" s="730"/>
      <c r="N311" s="730"/>
      <c r="O311" s="732">
        <f t="shared" si="37"/>
        <v>0</v>
      </c>
      <c r="P311" s="731"/>
      <c r="Q311" s="731"/>
      <c r="R311" s="733">
        <f t="shared" si="40"/>
        <v>0</v>
      </c>
      <c r="S311" s="732">
        <f t="shared" si="41"/>
        <v>0</v>
      </c>
      <c r="T311" s="733">
        <f t="shared" si="42"/>
        <v>0</v>
      </c>
      <c r="U311" s="730">
        <v>0</v>
      </c>
      <c r="V311" s="731">
        <v>0</v>
      </c>
      <c r="W311" s="730"/>
      <c r="X311" s="730"/>
      <c r="Y311" s="732">
        <f t="shared" si="38"/>
        <v>0</v>
      </c>
      <c r="Z311" s="731"/>
      <c r="AA311" s="731"/>
      <c r="AB311" s="733">
        <f t="shared" si="39"/>
        <v>0</v>
      </c>
      <c r="AC311" s="730"/>
      <c r="AD311" s="731"/>
      <c r="AE311" s="730"/>
      <c r="AF311" s="730"/>
      <c r="AG311" s="731"/>
      <c r="AH311" s="731"/>
      <c r="AI311" s="732">
        <f t="shared" si="43"/>
        <v>0</v>
      </c>
      <c r="AJ311" s="733">
        <f t="shared" si="44"/>
        <v>0</v>
      </c>
    </row>
    <row r="312" spans="1:36">
      <c r="A312" s="852" t="s">
        <v>197</v>
      </c>
      <c r="B312" s="847" t="s">
        <v>258</v>
      </c>
      <c r="C312" s="855" t="s">
        <v>262</v>
      </c>
      <c r="D312" s="854"/>
      <c r="E312" s="868"/>
      <c r="F312" s="869">
        <v>99</v>
      </c>
      <c r="G312" s="730"/>
      <c r="H312" s="734"/>
      <c r="I312" s="730"/>
      <c r="J312" s="731"/>
      <c r="K312" s="730"/>
      <c r="L312" s="731"/>
      <c r="M312" s="730"/>
      <c r="N312" s="730"/>
      <c r="O312" s="732">
        <f t="shared" si="37"/>
        <v>0</v>
      </c>
      <c r="P312" s="731"/>
      <c r="Q312" s="731"/>
      <c r="R312" s="733">
        <f t="shared" si="40"/>
        <v>0</v>
      </c>
      <c r="S312" s="732">
        <f t="shared" si="41"/>
        <v>0</v>
      </c>
      <c r="T312" s="733">
        <f t="shared" si="42"/>
        <v>0</v>
      </c>
      <c r="U312" s="730">
        <v>0</v>
      </c>
      <c r="V312" s="731">
        <v>0</v>
      </c>
      <c r="W312" s="730"/>
      <c r="X312" s="730"/>
      <c r="Y312" s="732">
        <f t="shared" si="38"/>
        <v>0</v>
      </c>
      <c r="Z312" s="731"/>
      <c r="AA312" s="731"/>
      <c r="AB312" s="733">
        <f t="shared" si="39"/>
        <v>0</v>
      </c>
      <c r="AC312" s="730"/>
      <c r="AD312" s="731"/>
      <c r="AE312" s="730"/>
      <c r="AF312" s="730"/>
      <c r="AG312" s="731"/>
      <c r="AH312" s="731"/>
      <c r="AI312" s="732">
        <f t="shared" si="43"/>
        <v>0</v>
      </c>
      <c r="AJ312" s="733">
        <f t="shared" si="44"/>
        <v>0</v>
      </c>
    </row>
    <row r="313" spans="1:36">
      <c r="A313" s="852" t="s">
        <v>197</v>
      </c>
      <c r="B313" s="847" t="s">
        <v>258</v>
      </c>
      <c r="C313" s="855" t="s">
        <v>263</v>
      </c>
      <c r="D313" s="854"/>
      <c r="E313" s="868"/>
      <c r="F313" s="869">
        <v>99</v>
      </c>
      <c r="G313" s="730"/>
      <c r="H313" s="734"/>
      <c r="I313" s="730"/>
      <c r="J313" s="731"/>
      <c r="K313" s="730"/>
      <c r="L313" s="731"/>
      <c r="M313" s="730"/>
      <c r="N313" s="730"/>
      <c r="O313" s="732">
        <f t="shared" si="37"/>
        <v>0</v>
      </c>
      <c r="P313" s="731"/>
      <c r="Q313" s="731"/>
      <c r="R313" s="733">
        <f t="shared" si="40"/>
        <v>0</v>
      </c>
      <c r="S313" s="732">
        <f t="shared" si="41"/>
        <v>0</v>
      </c>
      <c r="T313" s="733">
        <f t="shared" si="42"/>
        <v>0</v>
      </c>
      <c r="U313" s="730">
        <v>1894350</v>
      </c>
      <c r="V313" s="731">
        <f>1007400+1007400</f>
        <v>2014800</v>
      </c>
      <c r="W313" s="730"/>
      <c r="X313" s="730"/>
      <c r="Y313" s="732">
        <f t="shared" si="38"/>
        <v>0</v>
      </c>
      <c r="Z313" s="731"/>
      <c r="AA313" s="731"/>
      <c r="AB313" s="733">
        <f t="shared" si="39"/>
        <v>0</v>
      </c>
      <c r="AC313" s="730"/>
      <c r="AD313" s="731"/>
      <c r="AE313" s="730"/>
      <c r="AF313" s="730"/>
      <c r="AG313" s="731"/>
      <c r="AH313" s="731"/>
      <c r="AI313" s="732">
        <f t="shared" si="43"/>
        <v>1894350</v>
      </c>
      <c r="AJ313" s="733">
        <f t="shared" si="44"/>
        <v>2014800</v>
      </c>
    </row>
    <row r="314" spans="1:36">
      <c r="A314" s="852" t="s">
        <v>197</v>
      </c>
      <c r="B314" s="847" t="s">
        <v>258</v>
      </c>
      <c r="C314" s="855" t="s">
        <v>264</v>
      </c>
      <c r="D314" s="854"/>
      <c r="E314" s="868"/>
      <c r="F314" s="869">
        <v>99</v>
      </c>
      <c r="G314" s="730"/>
      <c r="H314" s="734"/>
      <c r="I314" s="730"/>
      <c r="J314" s="731"/>
      <c r="K314" s="730"/>
      <c r="L314" s="731"/>
      <c r="M314" s="730"/>
      <c r="N314" s="730"/>
      <c r="O314" s="732">
        <f t="shared" si="37"/>
        <v>0</v>
      </c>
      <c r="P314" s="731"/>
      <c r="Q314" s="731"/>
      <c r="R314" s="733">
        <f t="shared" si="40"/>
        <v>0</v>
      </c>
      <c r="S314" s="732">
        <f t="shared" si="41"/>
        <v>0</v>
      </c>
      <c r="T314" s="733">
        <f t="shared" si="42"/>
        <v>0</v>
      </c>
      <c r="U314" s="730">
        <v>43800</v>
      </c>
      <c r="V314" s="1150">
        <v>0</v>
      </c>
      <c r="W314" s="730"/>
      <c r="X314" s="730"/>
      <c r="Y314" s="732">
        <f t="shared" si="38"/>
        <v>0</v>
      </c>
      <c r="Z314" s="731"/>
      <c r="AA314" s="731"/>
      <c r="AB314" s="733">
        <f t="shared" si="39"/>
        <v>0</v>
      </c>
      <c r="AC314" s="730"/>
      <c r="AD314" s="731"/>
      <c r="AE314" s="730"/>
      <c r="AF314" s="730"/>
      <c r="AG314" s="731"/>
      <c r="AH314" s="731"/>
      <c r="AI314" s="732">
        <f t="shared" si="43"/>
        <v>43800</v>
      </c>
      <c r="AJ314" s="733">
        <f t="shared" si="44"/>
        <v>0</v>
      </c>
    </row>
    <row r="315" spans="1:36">
      <c r="A315" s="852" t="s">
        <v>197</v>
      </c>
      <c r="B315" s="847" t="s">
        <v>258</v>
      </c>
      <c r="C315" s="855" t="s">
        <v>265</v>
      </c>
      <c r="D315" s="854"/>
      <c r="E315" s="868"/>
      <c r="F315" s="869">
        <v>99</v>
      </c>
      <c r="G315" s="730"/>
      <c r="H315" s="734"/>
      <c r="I315" s="730"/>
      <c r="J315" s="731"/>
      <c r="K315" s="730"/>
      <c r="L315" s="731"/>
      <c r="M315" s="730"/>
      <c r="N315" s="730"/>
      <c r="O315" s="732">
        <f t="shared" si="37"/>
        <v>0</v>
      </c>
      <c r="P315" s="731"/>
      <c r="Q315" s="731"/>
      <c r="R315" s="733">
        <f t="shared" si="40"/>
        <v>0</v>
      </c>
      <c r="S315" s="732">
        <f t="shared" si="41"/>
        <v>0</v>
      </c>
      <c r="T315" s="733">
        <f t="shared" si="42"/>
        <v>0</v>
      </c>
      <c r="U315" s="730">
        <v>197100</v>
      </c>
      <c r="V315" s="731">
        <f>98550+98550</f>
        <v>197100</v>
      </c>
      <c r="W315" s="730"/>
      <c r="X315" s="730"/>
      <c r="Y315" s="732">
        <f t="shared" si="38"/>
        <v>0</v>
      </c>
      <c r="Z315" s="731"/>
      <c r="AA315" s="731"/>
      <c r="AB315" s="733">
        <f t="shared" si="39"/>
        <v>0</v>
      </c>
      <c r="AC315" s="730"/>
      <c r="AD315" s="731"/>
      <c r="AE315" s="730"/>
      <c r="AF315" s="730"/>
      <c r="AG315" s="731"/>
      <c r="AH315" s="731"/>
      <c r="AI315" s="732">
        <f t="shared" si="43"/>
        <v>197100</v>
      </c>
      <c r="AJ315" s="733">
        <f t="shared" si="44"/>
        <v>197100</v>
      </c>
    </row>
    <row r="316" spans="1:36">
      <c r="A316" s="852" t="s">
        <v>197</v>
      </c>
      <c r="B316" s="847" t="s">
        <v>258</v>
      </c>
      <c r="C316" s="855" t="s">
        <v>266</v>
      </c>
      <c r="D316" s="854"/>
      <c r="E316" s="868"/>
      <c r="F316" s="869">
        <v>99</v>
      </c>
      <c r="G316" s="730"/>
      <c r="H316" s="734"/>
      <c r="I316" s="730"/>
      <c r="J316" s="731"/>
      <c r="K316" s="730"/>
      <c r="L316" s="731"/>
      <c r="M316" s="730"/>
      <c r="N316" s="730"/>
      <c r="O316" s="732">
        <f t="shared" si="37"/>
        <v>0</v>
      </c>
      <c r="P316" s="731"/>
      <c r="Q316" s="731"/>
      <c r="R316" s="733">
        <f t="shared" si="40"/>
        <v>0</v>
      </c>
      <c r="S316" s="732">
        <f t="shared" si="41"/>
        <v>0</v>
      </c>
      <c r="T316" s="733">
        <f t="shared" si="42"/>
        <v>0</v>
      </c>
      <c r="U316" s="730">
        <v>1206000</v>
      </c>
      <c r="V316" s="731">
        <f>611375+603000</f>
        <v>1214375</v>
      </c>
      <c r="W316" s="730"/>
      <c r="X316" s="730"/>
      <c r="Y316" s="732">
        <f t="shared" si="38"/>
        <v>0</v>
      </c>
      <c r="Z316" s="731"/>
      <c r="AA316" s="731"/>
      <c r="AB316" s="733">
        <f t="shared" si="39"/>
        <v>0</v>
      </c>
      <c r="AC316" s="730"/>
      <c r="AD316" s="731"/>
      <c r="AE316" s="730"/>
      <c r="AF316" s="730"/>
      <c r="AG316" s="731"/>
      <c r="AH316" s="731"/>
      <c r="AI316" s="732">
        <f t="shared" si="43"/>
        <v>1206000</v>
      </c>
      <c r="AJ316" s="733">
        <f t="shared" si="44"/>
        <v>1214375</v>
      </c>
    </row>
    <row r="317" spans="1:36">
      <c r="A317" s="852" t="s">
        <v>197</v>
      </c>
      <c r="B317" s="847" t="s">
        <v>258</v>
      </c>
      <c r="C317" s="855" t="s">
        <v>267</v>
      </c>
      <c r="D317" s="854"/>
      <c r="E317" s="868"/>
      <c r="F317" s="869">
        <v>99</v>
      </c>
      <c r="G317" s="730"/>
      <c r="H317" s="734"/>
      <c r="I317" s="730"/>
      <c r="J317" s="731"/>
      <c r="K317" s="730"/>
      <c r="L317" s="731"/>
      <c r="M317" s="730"/>
      <c r="N317" s="730"/>
      <c r="O317" s="732">
        <f t="shared" si="37"/>
        <v>0</v>
      </c>
      <c r="P317" s="731"/>
      <c r="Q317" s="731"/>
      <c r="R317" s="733">
        <f t="shared" si="40"/>
        <v>0</v>
      </c>
      <c r="S317" s="732">
        <f t="shared" si="41"/>
        <v>0</v>
      </c>
      <c r="T317" s="733">
        <f t="shared" si="42"/>
        <v>0</v>
      </c>
      <c r="U317" s="730">
        <v>134400</v>
      </c>
      <c r="V317" s="731">
        <f>57600+57600</f>
        <v>115200</v>
      </c>
      <c r="W317" s="730"/>
      <c r="X317" s="730"/>
      <c r="Y317" s="732">
        <f t="shared" si="38"/>
        <v>0</v>
      </c>
      <c r="Z317" s="731"/>
      <c r="AA317" s="731"/>
      <c r="AB317" s="733">
        <f t="shared" si="39"/>
        <v>0</v>
      </c>
      <c r="AC317" s="730"/>
      <c r="AD317" s="731"/>
      <c r="AE317" s="730"/>
      <c r="AF317" s="730"/>
      <c r="AG317" s="731"/>
      <c r="AH317" s="731"/>
      <c r="AI317" s="732">
        <f t="shared" si="43"/>
        <v>134400</v>
      </c>
      <c r="AJ317" s="733">
        <f t="shared" si="44"/>
        <v>115200</v>
      </c>
    </row>
    <row r="318" spans="1:36">
      <c r="A318" s="852" t="s">
        <v>197</v>
      </c>
      <c r="B318" s="847" t="s">
        <v>258</v>
      </c>
      <c r="C318" s="855" t="s">
        <v>268</v>
      </c>
      <c r="D318" s="854"/>
      <c r="E318" s="868"/>
      <c r="F318" s="869">
        <v>99</v>
      </c>
      <c r="G318" s="730"/>
      <c r="H318" s="734"/>
      <c r="I318" s="730"/>
      <c r="J318" s="731"/>
      <c r="K318" s="730"/>
      <c r="L318" s="731"/>
      <c r="M318" s="730"/>
      <c r="N318" s="730"/>
      <c r="O318" s="732">
        <f t="shared" si="37"/>
        <v>0</v>
      </c>
      <c r="P318" s="731"/>
      <c r="Q318" s="731"/>
      <c r="R318" s="733">
        <f t="shared" si="40"/>
        <v>0</v>
      </c>
      <c r="S318" s="732">
        <f t="shared" si="41"/>
        <v>0</v>
      </c>
      <c r="T318" s="733">
        <f t="shared" si="42"/>
        <v>0</v>
      </c>
      <c r="U318" s="730">
        <v>21900</v>
      </c>
      <c r="V318" s="1150">
        <v>0</v>
      </c>
      <c r="W318" s="730"/>
      <c r="X318" s="730"/>
      <c r="Y318" s="732">
        <f t="shared" si="38"/>
        <v>0</v>
      </c>
      <c r="Z318" s="731"/>
      <c r="AA318" s="731"/>
      <c r="AB318" s="733">
        <f t="shared" si="39"/>
        <v>0</v>
      </c>
      <c r="AC318" s="730"/>
      <c r="AD318" s="731"/>
      <c r="AE318" s="730"/>
      <c r="AF318" s="730"/>
      <c r="AG318" s="731"/>
      <c r="AH318" s="731"/>
      <c r="AI318" s="732">
        <f t="shared" si="43"/>
        <v>21900</v>
      </c>
      <c r="AJ318" s="733">
        <f t="shared" si="44"/>
        <v>0</v>
      </c>
    </row>
    <row r="319" spans="1:36">
      <c r="A319" s="852" t="s">
        <v>197</v>
      </c>
      <c r="B319" s="847" t="s">
        <v>157</v>
      </c>
      <c r="C319" s="853" t="s">
        <v>158</v>
      </c>
      <c r="D319" s="854"/>
      <c r="E319" s="868"/>
      <c r="F319" s="869">
        <v>99</v>
      </c>
      <c r="G319" s="730"/>
      <c r="H319" s="734"/>
      <c r="I319" s="730"/>
      <c r="J319" s="731"/>
      <c r="K319" s="730"/>
      <c r="L319" s="731"/>
      <c r="M319" s="730"/>
      <c r="N319" s="730"/>
      <c r="O319" s="732">
        <f t="shared" si="37"/>
        <v>0</v>
      </c>
      <c r="P319" s="731"/>
      <c r="Q319" s="731"/>
      <c r="R319" s="733">
        <f t="shared" si="40"/>
        <v>0</v>
      </c>
      <c r="S319" s="732">
        <f t="shared" si="41"/>
        <v>0</v>
      </c>
      <c r="T319" s="733">
        <f t="shared" si="42"/>
        <v>0</v>
      </c>
      <c r="U319" s="730"/>
      <c r="V319" s="731"/>
      <c r="W319" s="730"/>
      <c r="X319" s="730"/>
      <c r="Y319" s="732">
        <f t="shared" si="38"/>
        <v>0</v>
      </c>
      <c r="Z319" s="731"/>
      <c r="AA319" s="731"/>
      <c r="AB319" s="733">
        <f t="shared" si="39"/>
        <v>0</v>
      </c>
      <c r="AC319" s="730"/>
      <c r="AD319" s="731"/>
      <c r="AE319" s="730"/>
      <c r="AF319" s="730"/>
      <c r="AG319" s="731"/>
      <c r="AH319" s="731"/>
      <c r="AI319" s="732">
        <f t="shared" si="43"/>
        <v>0</v>
      </c>
      <c r="AJ319" s="733">
        <f t="shared" si="44"/>
        <v>0</v>
      </c>
    </row>
    <row r="320" spans="1:36">
      <c r="A320" s="852" t="s">
        <v>197</v>
      </c>
      <c r="B320" s="847" t="s">
        <v>159</v>
      </c>
      <c r="C320" s="867" t="s">
        <v>160</v>
      </c>
      <c r="D320" s="849"/>
      <c r="E320" s="868"/>
      <c r="F320" s="869">
        <v>99</v>
      </c>
      <c r="G320" s="730"/>
      <c r="H320" s="734"/>
      <c r="I320" s="730"/>
      <c r="J320" s="731"/>
      <c r="K320" s="730"/>
      <c r="L320" s="731"/>
      <c r="M320" s="730"/>
      <c r="N320" s="730"/>
      <c r="O320" s="732">
        <f t="shared" si="37"/>
        <v>0</v>
      </c>
      <c r="P320" s="731"/>
      <c r="Q320" s="731"/>
      <c r="R320" s="733">
        <f t="shared" si="40"/>
        <v>0</v>
      </c>
      <c r="S320" s="732">
        <f t="shared" si="41"/>
        <v>0</v>
      </c>
      <c r="T320" s="733">
        <f t="shared" si="42"/>
        <v>0</v>
      </c>
      <c r="U320" s="730"/>
      <c r="V320" s="731"/>
      <c r="W320" s="730"/>
      <c r="X320" s="730"/>
      <c r="Y320" s="732">
        <f t="shared" si="38"/>
        <v>0</v>
      </c>
      <c r="Z320" s="731"/>
      <c r="AA320" s="731"/>
      <c r="AB320" s="733">
        <f t="shared" si="39"/>
        <v>0</v>
      </c>
      <c r="AC320" s="730"/>
      <c r="AD320" s="731"/>
      <c r="AE320" s="730"/>
      <c r="AF320" s="730"/>
      <c r="AG320" s="731"/>
      <c r="AH320" s="731"/>
      <c r="AI320" s="732">
        <f t="shared" si="43"/>
        <v>0</v>
      </c>
      <c r="AJ320" s="733">
        <f t="shared" si="44"/>
        <v>0</v>
      </c>
    </row>
    <row r="321" spans="1:36">
      <c r="A321" s="852" t="s">
        <v>197</v>
      </c>
      <c r="B321" s="847" t="s">
        <v>161</v>
      </c>
      <c r="C321" s="872" t="s">
        <v>162</v>
      </c>
      <c r="D321" s="866"/>
      <c r="E321" s="868"/>
      <c r="F321" s="869">
        <v>99</v>
      </c>
      <c r="G321" s="730"/>
      <c r="H321" s="734"/>
      <c r="I321" s="730"/>
      <c r="J321" s="731"/>
      <c r="K321" s="730"/>
      <c r="L321" s="731"/>
      <c r="M321" s="730"/>
      <c r="N321" s="730"/>
      <c r="O321" s="732">
        <f t="shared" si="37"/>
        <v>0</v>
      </c>
      <c r="P321" s="731"/>
      <c r="Q321" s="731"/>
      <c r="R321" s="733">
        <f t="shared" si="40"/>
        <v>0</v>
      </c>
      <c r="S321" s="732">
        <f t="shared" si="41"/>
        <v>0</v>
      </c>
      <c r="T321" s="733">
        <f t="shared" si="42"/>
        <v>0</v>
      </c>
      <c r="U321" s="730"/>
      <c r="V321" s="731"/>
      <c r="W321" s="730"/>
      <c r="X321" s="730"/>
      <c r="Y321" s="732">
        <f t="shared" si="38"/>
        <v>0</v>
      </c>
      <c r="Z321" s="731"/>
      <c r="AA321" s="731"/>
      <c r="AB321" s="733">
        <f t="shared" si="39"/>
        <v>0</v>
      </c>
      <c r="AC321" s="730"/>
      <c r="AD321" s="731"/>
      <c r="AE321" s="730"/>
      <c r="AF321" s="730"/>
      <c r="AG321" s="731"/>
      <c r="AH321" s="731"/>
      <c r="AI321" s="732">
        <f t="shared" si="43"/>
        <v>0</v>
      </c>
      <c r="AJ321" s="733">
        <f t="shared" si="44"/>
        <v>0</v>
      </c>
    </row>
    <row r="322" spans="1:36">
      <c r="A322" s="852" t="s">
        <v>197</v>
      </c>
      <c r="B322" s="847" t="s">
        <v>161</v>
      </c>
      <c r="C322" s="873" t="s">
        <v>269</v>
      </c>
      <c r="D322" s="854"/>
      <c r="E322" s="868"/>
      <c r="F322" s="869">
        <v>99</v>
      </c>
      <c r="G322" s="730"/>
      <c r="H322" s="734"/>
      <c r="I322" s="730"/>
      <c r="J322" s="731"/>
      <c r="K322" s="730"/>
      <c r="L322" s="731"/>
      <c r="M322" s="730"/>
      <c r="N322" s="730"/>
      <c r="O322" s="732">
        <f t="shared" si="37"/>
        <v>0</v>
      </c>
      <c r="P322" s="731"/>
      <c r="Q322" s="731"/>
      <c r="R322" s="733">
        <f t="shared" si="40"/>
        <v>0</v>
      </c>
      <c r="S322" s="732">
        <f t="shared" si="41"/>
        <v>0</v>
      </c>
      <c r="T322" s="733">
        <f t="shared" si="42"/>
        <v>0</v>
      </c>
      <c r="U322" s="730"/>
      <c r="V322" s="731"/>
      <c r="W322" s="730"/>
      <c r="X322" s="730"/>
      <c r="Y322" s="732">
        <f t="shared" si="38"/>
        <v>0</v>
      </c>
      <c r="Z322" s="731"/>
      <c r="AA322" s="731"/>
      <c r="AB322" s="733">
        <f t="shared" si="39"/>
        <v>0</v>
      </c>
      <c r="AC322" s="730"/>
      <c r="AD322" s="731"/>
      <c r="AE322" s="730"/>
      <c r="AF322" s="730"/>
      <c r="AG322" s="731"/>
      <c r="AH322" s="731"/>
      <c r="AI322" s="732">
        <f t="shared" si="43"/>
        <v>0</v>
      </c>
      <c r="AJ322" s="733">
        <f t="shared" si="44"/>
        <v>0</v>
      </c>
    </row>
    <row r="323" spans="1:36">
      <c r="A323" s="852" t="s">
        <v>197</v>
      </c>
      <c r="B323" s="874" t="s">
        <v>170</v>
      </c>
      <c r="C323" s="875" t="s">
        <v>171</v>
      </c>
      <c r="D323" s="871"/>
      <c r="E323" s="868"/>
      <c r="F323" s="869">
        <v>99</v>
      </c>
      <c r="G323" s="730"/>
      <c r="H323" s="734"/>
      <c r="I323" s="730"/>
      <c r="J323" s="731"/>
      <c r="K323" s="730"/>
      <c r="L323" s="731"/>
      <c r="M323" s="730"/>
      <c r="N323" s="730"/>
      <c r="O323" s="732">
        <f t="shared" si="37"/>
        <v>0</v>
      </c>
      <c r="P323" s="731"/>
      <c r="Q323" s="731"/>
      <c r="R323" s="733">
        <f t="shared" si="40"/>
        <v>0</v>
      </c>
      <c r="S323" s="732">
        <f t="shared" si="41"/>
        <v>0</v>
      </c>
      <c r="T323" s="733">
        <f t="shared" si="42"/>
        <v>0</v>
      </c>
      <c r="U323" s="730"/>
      <c r="V323" s="731"/>
      <c r="W323" s="730"/>
      <c r="X323" s="730"/>
      <c r="Y323" s="732">
        <f t="shared" si="38"/>
        <v>0</v>
      </c>
      <c r="Z323" s="731"/>
      <c r="AA323" s="731"/>
      <c r="AB323" s="733">
        <f t="shared" si="39"/>
        <v>0</v>
      </c>
      <c r="AC323" s="730"/>
      <c r="AD323" s="731"/>
      <c r="AE323" s="730"/>
      <c r="AF323" s="730"/>
      <c r="AG323" s="731"/>
      <c r="AH323" s="731"/>
      <c r="AI323" s="732">
        <f t="shared" si="43"/>
        <v>0</v>
      </c>
      <c r="AJ323" s="733">
        <f t="shared" si="44"/>
        <v>0</v>
      </c>
    </row>
    <row r="324" spans="1:36">
      <c r="A324" s="852" t="s">
        <v>197</v>
      </c>
      <c r="B324" s="874" t="s">
        <v>172</v>
      </c>
      <c r="C324" s="875" t="s">
        <v>165</v>
      </c>
      <c r="D324" s="871"/>
      <c r="E324" s="868"/>
      <c r="F324" s="869">
        <v>99</v>
      </c>
      <c r="G324" s="730"/>
      <c r="H324" s="734"/>
      <c r="I324" s="730"/>
      <c r="J324" s="731"/>
      <c r="K324" s="730"/>
      <c r="L324" s="731"/>
      <c r="M324" s="730"/>
      <c r="N324" s="730"/>
      <c r="O324" s="732">
        <f t="shared" si="37"/>
        <v>0</v>
      </c>
      <c r="P324" s="731"/>
      <c r="Q324" s="731"/>
      <c r="R324" s="733">
        <f t="shared" si="40"/>
        <v>0</v>
      </c>
      <c r="S324" s="732">
        <f t="shared" si="41"/>
        <v>0</v>
      </c>
      <c r="T324" s="733">
        <f t="shared" si="42"/>
        <v>0</v>
      </c>
      <c r="U324" s="730"/>
      <c r="V324" s="731"/>
      <c r="W324" s="730"/>
      <c r="X324" s="730"/>
      <c r="Y324" s="732">
        <f t="shared" si="38"/>
        <v>0</v>
      </c>
      <c r="Z324" s="731"/>
      <c r="AA324" s="731"/>
      <c r="AB324" s="733">
        <f t="shared" si="39"/>
        <v>0</v>
      </c>
      <c r="AC324" s="730"/>
      <c r="AD324" s="731"/>
      <c r="AE324" s="730"/>
      <c r="AF324" s="730"/>
      <c r="AG324" s="731"/>
      <c r="AH324" s="731"/>
      <c r="AI324" s="732">
        <f t="shared" si="43"/>
        <v>0</v>
      </c>
      <c r="AJ324" s="733">
        <f t="shared" si="44"/>
        <v>0</v>
      </c>
    </row>
    <row r="325" spans="1:36">
      <c r="A325" s="852" t="s">
        <v>197</v>
      </c>
      <c r="B325" s="874" t="s">
        <v>173</v>
      </c>
      <c r="C325" s="875" t="s">
        <v>167</v>
      </c>
      <c r="D325" s="871"/>
      <c r="E325" s="868"/>
      <c r="F325" s="869">
        <v>99</v>
      </c>
      <c r="G325" s="730"/>
      <c r="H325" s="734"/>
      <c r="I325" s="730"/>
      <c r="J325" s="731"/>
      <c r="K325" s="730"/>
      <c r="L325" s="731"/>
      <c r="M325" s="730"/>
      <c r="N325" s="730"/>
      <c r="O325" s="732">
        <f t="shared" si="37"/>
        <v>0</v>
      </c>
      <c r="P325" s="731"/>
      <c r="Q325" s="731"/>
      <c r="R325" s="733">
        <f t="shared" si="40"/>
        <v>0</v>
      </c>
      <c r="S325" s="732">
        <f t="shared" si="41"/>
        <v>0</v>
      </c>
      <c r="T325" s="733">
        <f t="shared" si="42"/>
        <v>0</v>
      </c>
      <c r="U325" s="730">
        <v>15978161</v>
      </c>
      <c r="V325" s="731">
        <v>17755384</v>
      </c>
      <c r="W325" s="730"/>
      <c r="X325" s="730"/>
      <c r="Y325" s="732">
        <f t="shared" si="38"/>
        <v>0</v>
      </c>
      <c r="Z325" s="731"/>
      <c r="AA325" s="731"/>
      <c r="AB325" s="733">
        <f t="shared" si="39"/>
        <v>0</v>
      </c>
      <c r="AC325" s="730"/>
      <c r="AD325" s="731"/>
      <c r="AE325" s="730"/>
      <c r="AF325" s="730"/>
      <c r="AG325" s="731"/>
      <c r="AH325" s="731"/>
      <c r="AI325" s="732">
        <f t="shared" si="43"/>
        <v>15978161</v>
      </c>
      <c r="AJ325" s="733">
        <f t="shared" si="44"/>
        <v>17755384</v>
      </c>
    </row>
    <row r="326" spans="1:36">
      <c r="A326" s="852" t="s">
        <v>197</v>
      </c>
      <c r="B326" s="874" t="s">
        <v>176</v>
      </c>
      <c r="C326" s="875" t="s">
        <v>177</v>
      </c>
      <c r="D326" s="871"/>
      <c r="E326" s="868"/>
      <c r="F326" s="869">
        <v>99</v>
      </c>
      <c r="G326" s="730"/>
      <c r="H326" s="734"/>
      <c r="I326" s="730"/>
      <c r="J326" s="731"/>
      <c r="K326" s="730"/>
      <c r="L326" s="731"/>
      <c r="M326" s="730"/>
      <c r="N326" s="730"/>
      <c r="O326" s="732">
        <f t="shared" si="37"/>
        <v>0</v>
      </c>
      <c r="P326" s="731"/>
      <c r="Q326" s="731"/>
      <c r="R326" s="733">
        <f t="shared" si="40"/>
        <v>0</v>
      </c>
      <c r="S326" s="732">
        <f t="shared" si="41"/>
        <v>0</v>
      </c>
      <c r="T326" s="733">
        <f t="shared" si="42"/>
        <v>0</v>
      </c>
      <c r="U326" s="730"/>
      <c r="V326" s="731"/>
      <c r="W326" s="730"/>
      <c r="X326" s="730"/>
      <c r="Y326" s="732">
        <f t="shared" si="38"/>
        <v>0</v>
      </c>
      <c r="Z326" s="731"/>
      <c r="AA326" s="731"/>
      <c r="AB326" s="733">
        <f t="shared" si="39"/>
        <v>0</v>
      </c>
      <c r="AC326" s="730"/>
      <c r="AD326" s="731"/>
      <c r="AE326" s="730"/>
      <c r="AF326" s="730"/>
      <c r="AG326" s="731"/>
      <c r="AH326" s="731"/>
      <c r="AI326" s="732">
        <f t="shared" si="43"/>
        <v>0</v>
      </c>
      <c r="AJ326" s="733">
        <f t="shared" si="44"/>
        <v>0</v>
      </c>
    </row>
    <row r="327" spans="1:36">
      <c r="A327" s="852" t="s">
        <v>197</v>
      </c>
      <c r="B327" s="874" t="s">
        <v>180</v>
      </c>
      <c r="C327" s="875" t="s">
        <v>165</v>
      </c>
      <c r="D327" s="871"/>
      <c r="E327" s="868"/>
      <c r="F327" s="869">
        <v>99</v>
      </c>
      <c r="G327" s="730"/>
      <c r="H327" s="734"/>
      <c r="I327" s="730"/>
      <c r="J327" s="731"/>
      <c r="K327" s="730"/>
      <c r="L327" s="731"/>
      <c r="M327" s="730"/>
      <c r="N327" s="730"/>
      <c r="O327" s="732">
        <f t="shared" si="37"/>
        <v>0</v>
      </c>
      <c r="P327" s="731"/>
      <c r="Q327" s="731"/>
      <c r="R327" s="733">
        <f t="shared" si="40"/>
        <v>0</v>
      </c>
      <c r="S327" s="732">
        <f t="shared" si="41"/>
        <v>0</v>
      </c>
      <c r="T327" s="733">
        <f t="shared" si="42"/>
        <v>0</v>
      </c>
      <c r="U327" s="730"/>
      <c r="V327" s="731"/>
      <c r="W327" s="730"/>
      <c r="X327" s="730"/>
      <c r="Y327" s="732">
        <f t="shared" si="38"/>
        <v>0</v>
      </c>
      <c r="Z327" s="731"/>
      <c r="AA327" s="731"/>
      <c r="AB327" s="733">
        <f t="shared" si="39"/>
        <v>0</v>
      </c>
      <c r="AC327" s="730"/>
      <c r="AD327" s="731"/>
      <c r="AE327" s="730"/>
      <c r="AF327" s="730"/>
      <c r="AG327" s="731"/>
      <c r="AH327" s="731"/>
      <c r="AI327" s="732">
        <f t="shared" si="43"/>
        <v>0</v>
      </c>
      <c r="AJ327" s="733">
        <f t="shared" si="44"/>
        <v>0</v>
      </c>
    </row>
    <row r="328" spans="1:36">
      <c r="A328" s="852" t="s">
        <v>197</v>
      </c>
      <c r="B328" s="874" t="s">
        <v>178</v>
      </c>
      <c r="C328" s="875" t="s">
        <v>167</v>
      </c>
      <c r="D328" s="871"/>
      <c r="E328" s="868"/>
      <c r="F328" s="869">
        <v>99</v>
      </c>
      <c r="G328" s="730"/>
      <c r="H328" s="734"/>
      <c r="I328" s="730"/>
      <c r="J328" s="731"/>
      <c r="K328" s="730"/>
      <c r="L328" s="731"/>
      <c r="M328" s="730"/>
      <c r="N328" s="730"/>
      <c r="O328" s="732">
        <f t="shared" si="37"/>
        <v>0</v>
      </c>
      <c r="P328" s="731"/>
      <c r="Q328" s="731"/>
      <c r="R328" s="733">
        <f t="shared" si="40"/>
        <v>0</v>
      </c>
      <c r="S328" s="732">
        <f t="shared" si="41"/>
        <v>0</v>
      </c>
      <c r="T328" s="733">
        <f t="shared" si="42"/>
        <v>0</v>
      </c>
      <c r="U328" s="730">
        <v>4242434</v>
      </c>
      <c r="V328" s="731">
        <v>4189940</v>
      </c>
      <c r="W328" s="730"/>
      <c r="X328" s="730"/>
      <c r="Y328" s="732">
        <f t="shared" si="38"/>
        <v>0</v>
      </c>
      <c r="Z328" s="731"/>
      <c r="AA328" s="731"/>
      <c r="AB328" s="733">
        <f t="shared" si="39"/>
        <v>0</v>
      </c>
      <c r="AC328" s="730"/>
      <c r="AD328" s="731"/>
      <c r="AE328" s="730"/>
      <c r="AF328" s="730"/>
      <c r="AG328" s="731"/>
      <c r="AH328" s="731"/>
      <c r="AI328" s="732">
        <f t="shared" si="43"/>
        <v>4242434</v>
      </c>
      <c r="AJ328" s="733">
        <f t="shared" si="44"/>
        <v>4189940</v>
      </c>
    </row>
    <row r="329" spans="1:36">
      <c r="A329" s="852" t="s">
        <v>197</v>
      </c>
      <c r="B329" s="847" t="s">
        <v>161</v>
      </c>
      <c r="C329" s="873" t="s">
        <v>270</v>
      </c>
      <c r="D329" s="854"/>
      <c r="E329" s="868"/>
      <c r="F329" s="869">
        <v>99</v>
      </c>
      <c r="G329" s="730"/>
      <c r="H329" s="734"/>
      <c r="I329" s="730"/>
      <c r="J329" s="731"/>
      <c r="K329" s="730"/>
      <c r="L329" s="731"/>
      <c r="M329" s="730"/>
      <c r="N329" s="730"/>
      <c r="O329" s="732">
        <f t="shared" si="37"/>
        <v>0</v>
      </c>
      <c r="P329" s="731"/>
      <c r="Q329" s="731"/>
      <c r="R329" s="733">
        <f t="shared" si="40"/>
        <v>0</v>
      </c>
      <c r="S329" s="732">
        <f t="shared" si="41"/>
        <v>0</v>
      </c>
      <c r="T329" s="733">
        <f t="shared" si="42"/>
        <v>0</v>
      </c>
      <c r="U329" s="730"/>
      <c r="V329" s="731"/>
      <c r="W329" s="730"/>
      <c r="X329" s="730"/>
      <c r="Y329" s="732">
        <f t="shared" si="38"/>
        <v>0</v>
      </c>
      <c r="Z329" s="731"/>
      <c r="AA329" s="731"/>
      <c r="AB329" s="733">
        <f t="shared" si="39"/>
        <v>0</v>
      </c>
      <c r="AC329" s="730"/>
      <c r="AD329" s="731"/>
      <c r="AE329" s="730"/>
      <c r="AF329" s="730"/>
      <c r="AG329" s="731"/>
      <c r="AH329" s="731"/>
      <c r="AI329" s="732">
        <f t="shared" si="43"/>
        <v>0</v>
      </c>
      <c r="AJ329" s="733">
        <f t="shared" si="44"/>
        <v>0</v>
      </c>
    </row>
    <row r="330" spans="1:36">
      <c r="A330" s="852" t="s">
        <v>197</v>
      </c>
      <c r="B330" s="874" t="s">
        <v>170</v>
      </c>
      <c r="C330" s="875" t="s">
        <v>171</v>
      </c>
      <c r="D330" s="871"/>
      <c r="E330" s="868"/>
      <c r="F330" s="869">
        <v>99</v>
      </c>
      <c r="G330" s="730"/>
      <c r="H330" s="734"/>
      <c r="I330" s="730"/>
      <c r="J330" s="731"/>
      <c r="K330" s="730"/>
      <c r="L330" s="731"/>
      <c r="M330" s="730"/>
      <c r="N330" s="730"/>
      <c r="O330" s="732">
        <f t="shared" ref="O330:O393" si="45">SUM(M330:N330)</f>
        <v>0</v>
      </c>
      <c r="P330" s="731"/>
      <c r="Q330" s="731"/>
      <c r="R330" s="733">
        <f t="shared" si="40"/>
        <v>0</v>
      </c>
      <c r="S330" s="732">
        <f t="shared" si="41"/>
        <v>0</v>
      </c>
      <c r="T330" s="733">
        <f t="shared" si="42"/>
        <v>0</v>
      </c>
      <c r="U330" s="730"/>
      <c r="V330" s="731"/>
      <c r="W330" s="730"/>
      <c r="X330" s="730"/>
      <c r="Y330" s="732">
        <f t="shared" ref="Y330:Y393" si="46">SUM(W330:X330)</f>
        <v>0</v>
      </c>
      <c r="Z330" s="731"/>
      <c r="AA330" s="731"/>
      <c r="AB330" s="733">
        <f t="shared" ref="AB330:AB393" si="47">SUM(Z330:AA330)</f>
        <v>0</v>
      </c>
      <c r="AC330" s="730"/>
      <c r="AD330" s="731"/>
      <c r="AE330" s="730"/>
      <c r="AF330" s="730"/>
      <c r="AG330" s="731"/>
      <c r="AH330" s="731"/>
      <c r="AI330" s="732">
        <f t="shared" si="43"/>
        <v>0</v>
      </c>
      <c r="AJ330" s="733">
        <f t="shared" si="44"/>
        <v>0</v>
      </c>
    </row>
    <row r="331" spans="1:36">
      <c r="A331" s="852" t="s">
        <v>197</v>
      </c>
      <c r="B331" s="874" t="s">
        <v>172</v>
      </c>
      <c r="C331" s="875" t="s">
        <v>165</v>
      </c>
      <c r="D331" s="871"/>
      <c r="E331" s="868"/>
      <c r="F331" s="869">
        <v>99</v>
      </c>
      <c r="G331" s="730"/>
      <c r="H331" s="734"/>
      <c r="I331" s="730"/>
      <c r="J331" s="731"/>
      <c r="K331" s="730"/>
      <c r="L331" s="731"/>
      <c r="M331" s="730"/>
      <c r="N331" s="730"/>
      <c r="O331" s="732">
        <f t="shared" si="45"/>
        <v>0</v>
      </c>
      <c r="P331" s="731"/>
      <c r="Q331" s="731"/>
      <c r="R331" s="733">
        <f t="shared" ref="R331:R394" si="48">SUM(P331:Q331)</f>
        <v>0</v>
      </c>
      <c r="S331" s="732">
        <f t="shared" ref="S331:S394" si="49">SUM(G331,I331,K331,M331)</f>
        <v>0</v>
      </c>
      <c r="T331" s="733">
        <f t="shared" ref="T331:T394" si="50">SUM(H331,J331,L331,P331)</f>
        <v>0</v>
      </c>
      <c r="U331" s="730"/>
      <c r="V331" s="731"/>
      <c r="W331" s="730"/>
      <c r="X331" s="730"/>
      <c r="Y331" s="732">
        <f t="shared" si="46"/>
        <v>0</v>
      </c>
      <c r="Z331" s="731"/>
      <c r="AA331" s="731"/>
      <c r="AB331" s="733">
        <f t="shared" si="47"/>
        <v>0</v>
      </c>
      <c r="AC331" s="730"/>
      <c r="AD331" s="731"/>
      <c r="AE331" s="730"/>
      <c r="AF331" s="730"/>
      <c r="AG331" s="731"/>
      <c r="AH331" s="731"/>
      <c r="AI331" s="732">
        <f t="shared" ref="AI331:AI394" si="51">SUM(S331,U331,W331,AC331,AE331)</f>
        <v>0</v>
      </c>
      <c r="AJ331" s="733">
        <f t="shared" ref="AJ331:AJ394" si="52">SUM(T331,V331,Z331,AD331,AG331)</f>
        <v>0</v>
      </c>
    </row>
    <row r="332" spans="1:36">
      <c r="A332" s="852" t="s">
        <v>197</v>
      </c>
      <c r="B332" s="874" t="s">
        <v>173</v>
      </c>
      <c r="C332" s="875" t="s">
        <v>167</v>
      </c>
      <c r="D332" s="871"/>
      <c r="E332" s="868"/>
      <c r="F332" s="869">
        <v>99</v>
      </c>
      <c r="G332" s="730"/>
      <c r="H332" s="734"/>
      <c r="I332" s="730"/>
      <c r="J332" s="731"/>
      <c r="K332" s="730"/>
      <c r="L332" s="731"/>
      <c r="M332" s="730"/>
      <c r="N332" s="730"/>
      <c r="O332" s="732">
        <f t="shared" si="45"/>
        <v>0</v>
      </c>
      <c r="P332" s="731"/>
      <c r="Q332" s="731"/>
      <c r="R332" s="733">
        <f t="shared" si="48"/>
        <v>0</v>
      </c>
      <c r="S332" s="732">
        <f t="shared" si="49"/>
        <v>0</v>
      </c>
      <c r="T332" s="733">
        <f t="shared" si="50"/>
        <v>0</v>
      </c>
      <c r="U332" s="730">
        <v>78690208</v>
      </c>
      <c r="V332" s="731">
        <v>78052566</v>
      </c>
      <c r="W332" s="730"/>
      <c r="X332" s="730"/>
      <c r="Y332" s="732">
        <f t="shared" si="46"/>
        <v>0</v>
      </c>
      <c r="Z332" s="731"/>
      <c r="AA332" s="731"/>
      <c r="AB332" s="733">
        <f t="shared" si="47"/>
        <v>0</v>
      </c>
      <c r="AC332" s="730"/>
      <c r="AD332" s="731"/>
      <c r="AE332" s="730"/>
      <c r="AF332" s="730"/>
      <c r="AG332" s="731"/>
      <c r="AH332" s="731"/>
      <c r="AI332" s="732">
        <f t="shared" si="51"/>
        <v>78690208</v>
      </c>
      <c r="AJ332" s="733">
        <f t="shared" si="52"/>
        <v>78052566</v>
      </c>
    </row>
    <row r="333" spans="1:36">
      <c r="A333" s="852" t="s">
        <v>197</v>
      </c>
      <c r="B333" s="874" t="s">
        <v>176</v>
      </c>
      <c r="C333" s="875" t="s">
        <v>177</v>
      </c>
      <c r="D333" s="871"/>
      <c r="E333" s="868"/>
      <c r="F333" s="869">
        <v>99</v>
      </c>
      <c r="G333" s="730"/>
      <c r="H333" s="734"/>
      <c r="I333" s="730"/>
      <c r="J333" s="731"/>
      <c r="K333" s="730"/>
      <c r="L333" s="731"/>
      <c r="M333" s="730"/>
      <c r="N333" s="730"/>
      <c r="O333" s="732">
        <f t="shared" si="45"/>
        <v>0</v>
      </c>
      <c r="P333" s="731"/>
      <c r="Q333" s="731"/>
      <c r="R333" s="733">
        <f t="shared" si="48"/>
        <v>0</v>
      </c>
      <c r="S333" s="732">
        <f t="shared" si="49"/>
        <v>0</v>
      </c>
      <c r="T333" s="733">
        <f t="shared" si="50"/>
        <v>0</v>
      </c>
      <c r="U333" s="730"/>
      <c r="V333" s="731"/>
      <c r="W333" s="730"/>
      <c r="X333" s="730"/>
      <c r="Y333" s="732">
        <f t="shared" si="46"/>
        <v>0</v>
      </c>
      <c r="Z333" s="731"/>
      <c r="AA333" s="731"/>
      <c r="AB333" s="733">
        <f t="shared" si="47"/>
        <v>0</v>
      </c>
      <c r="AC333" s="730"/>
      <c r="AD333" s="731"/>
      <c r="AE333" s="730"/>
      <c r="AF333" s="730"/>
      <c r="AG333" s="731"/>
      <c r="AH333" s="731"/>
      <c r="AI333" s="732">
        <f t="shared" si="51"/>
        <v>0</v>
      </c>
      <c r="AJ333" s="733">
        <f t="shared" si="52"/>
        <v>0</v>
      </c>
    </row>
    <row r="334" spans="1:36">
      <c r="A334" s="852" t="s">
        <v>197</v>
      </c>
      <c r="B334" s="874" t="s">
        <v>180</v>
      </c>
      <c r="C334" s="875" t="s">
        <v>165</v>
      </c>
      <c r="D334" s="871"/>
      <c r="E334" s="868"/>
      <c r="F334" s="869">
        <v>99</v>
      </c>
      <c r="G334" s="730"/>
      <c r="H334" s="734"/>
      <c r="I334" s="730"/>
      <c r="J334" s="731"/>
      <c r="K334" s="730"/>
      <c r="L334" s="731"/>
      <c r="M334" s="730"/>
      <c r="N334" s="730"/>
      <c r="O334" s="732">
        <f t="shared" si="45"/>
        <v>0</v>
      </c>
      <c r="P334" s="731"/>
      <c r="Q334" s="731"/>
      <c r="R334" s="733">
        <f t="shared" si="48"/>
        <v>0</v>
      </c>
      <c r="S334" s="732">
        <f t="shared" si="49"/>
        <v>0</v>
      </c>
      <c r="T334" s="733">
        <f t="shared" si="50"/>
        <v>0</v>
      </c>
      <c r="U334" s="730"/>
      <c r="V334" s="731"/>
      <c r="W334" s="730"/>
      <c r="X334" s="730"/>
      <c r="Y334" s="732">
        <f t="shared" si="46"/>
        <v>0</v>
      </c>
      <c r="Z334" s="731"/>
      <c r="AA334" s="731"/>
      <c r="AB334" s="733">
        <f t="shared" si="47"/>
        <v>0</v>
      </c>
      <c r="AC334" s="730"/>
      <c r="AD334" s="731"/>
      <c r="AE334" s="730"/>
      <c r="AF334" s="730"/>
      <c r="AG334" s="731"/>
      <c r="AH334" s="731"/>
      <c r="AI334" s="732">
        <f t="shared" si="51"/>
        <v>0</v>
      </c>
      <c r="AJ334" s="733">
        <f t="shared" si="52"/>
        <v>0</v>
      </c>
    </row>
    <row r="335" spans="1:36">
      <c r="A335" s="852" t="s">
        <v>197</v>
      </c>
      <c r="B335" s="874" t="s">
        <v>178</v>
      </c>
      <c r="C335" s="875" t="s">
        <v>167</v>
      </c>
      <c r="D335" s="871"/>
      <c r="E335" s="868"/>
      <c r="F335" s="869">
        <v>99</v>
      </c>
      <c r="G335" s="730"/>
      <c r="H335" s="734"/>
      <c r="I335" s="730"/>
      <c r="J335" s="731"/>
      <c r="K335" s="730"/>
      <c r="L335" s="731"/>
      <c r="M335" s="730"/>
      <c r="N335" s="730"/>
      <c r="O335" s="732">
        <f t="shared" si="45"/>
        <v>0</v>
      </c>
      <c r="P335" s="731"/>
      <c r="Q335" s="731"/>
      <c r="R335" s="733">
        <f t="shared" si="48"/>
        <v>0</v>
      </c>
      <c r="S335" s="732">
        <f t="shared" si="49"/>
        <v>0</v>
      </c>
      <c r="T335" s="733">
        <f t="shared" si="50"/>
        <v>0</v>
      </c>
      <c r="U335" s="730">
        <v>9939076</v>
      </c>
      <c r="V335" s="731">
        <v>10004601</v>
      </c>
      <c r="W335" s="730"/>
      <c r="X335" s="730"/>
      <c r="Y335" s="732">
        <f t="shared" si="46"/>
        <v>0</v>
      </c>
      <c r="Z335" s="731"/>
      <c r="AA335" s="731"/>
      <c r="AB335" s="733">
        <f t="shared" si="47"/>
        <v>0</v>
      </c>
      <c r="AC335" s="730"/>
      <c r="AD335" s="731"/>
      <c r="AE335" s="730"/>
      <c r="AF335" s="730"/>
      <c r="AG335" s="731"/>
      <c r="AH335" s="731"/>
      <c r="AI335" s="732">
        <f t="shared" si="51"/>
        <v>9939076</v>
      </c>
      <c r="AJ335" s="733">
        <f t="shared" si="52"/>
        <v>10004601</v>
      </c>
    </row>
    <row r="336" spans="1:36">
      <c r="A336" s="852" t="s">
        <v>197</v>
      </c>
      <c r="B336" s="847" t="s">
        <v>161</v>
      </c>
      <c r="C336" s="876" t="s">
        <v>271</v>
      </c>
      <c r="D336" s="871"/>
      <c r="E336" s="868"/>
      <c r="F336" s="869">
        <v>99</v>
      </c>
      <c r="G336" s="730"/>
      <c r="H336" s="734"/>
      <c r="I336" s="730"/>
      <c r="J336" s="731"/>
      <c r="K336" s="730"/>
      <c r="L336" s="731"/>
      <c r="M336" s="730"/>
      <c r="N336" s="730"/>
      <c r="O336" s="732">
        <f t="shared" si="45"/>
        <v>0</v>
      </c>
      <c r="P336" s="731"/>
      <c r="Q336" s="731"/>
      <c r="R336" s="733">
        <f t="shared" si="48"/>
        <v>0</v>
      </c>
      <c r="S336" s="732">
        <f t="shared" si="49"/>
        <v>0</v>
      </c>
      <c r="T336" s="733">
        <f t="shared" si="50"/>
        <v>0</v>
      </c>
      <c r="U336" s="730"/>
      <c r="V336" s="731"/>
      <c r="W336" s="730"/>
      <c r="X336" s="730"/>
      <c r="Y336" s="732">
        <f t="shared" si="46"/>
        <v>0</v>
      </c>
      <c r="Z336" s="731"/>
      <c r="AA336" s="731"/>
      <c r="AB336" s="733">
        <f t="shared" si="47"/>
        <v>0</v>
      </c>
      <c r="AC336" s="730"/>
      <c r="AD336" s="731"/>
      <c r="AE336" s="730"/>
      <c r="AF336" s="730"/>
      <c r="AG336" s="731"/>
      <c r="AH336" s="731"/>
      <c r="AI336" s="732">
        <f t="shared" si="51"/>
        <v>0</v>
      </c>
      <c r="AJ336" s="733">
        <f t="shared" si="52"/>
        <v>0</v>
      </c>
    </row>
    <row r="337" spans="1:36">
      <c r="A337" s="852" t="s">
        <v>197</v>
      </c>
      <c r="B337" s="874" t="s">
        <v>170</v>
      </c>
      <c r="C337" s="875" t="s">
        <v>171</v>
      </c>
      <c r="D337" s="871"/>
      <c r="E337" s="868"/>
      <c r="F337" s="869">
        <v>99</v>
      </c>
      <c r="G337" s="730"/>
      <c r="H337" s="734"/>
      <c r="I337" s="730"/>
      <c r="J337" s="731"/>
      <c r="K337" s="730"/>
      <c r="L337" s="731"/>
      <c r="M337" s="730"/>
      <c r="N337" s="730"/>
      <c r="O337" s="732">
        <f t="shared" si="45"/>
        <v>0</v>
      </c>
      <c r="P337" s="731"/>
      <c r="Q337" s="731"/>
      <c r="R337" s="733">
        <f t="shared" si="48"/>
        <v>0</v>
      </c>
      <c r="S337" s="732">
        <f t="shared" si="49"/>
        <v>0</v>
      </c>
      <c r="T337" s="733">
        <f t="shared" si="50"/>
        <v>0</v>
      </c>
      <c r="U337" s="730"/>
      <c r="V337" s="731"/>
      <c r="W337" s="730"/>
      <c r="X337" s="730"/>
      <c r="Y337" s="732">
        <f t="shared" si="46"/>
        <v>0</v>
      </c>
      <c r="Z337" s="731"/>
      <c r="AA337" s="731"/>
      <c r="AB337" s="733">
        <f t="shared" si="47"/>
        <v>0</v>
      </c>
      <c r="AC337" s="730"/>
      <c r="AD337" s="731"/>
      <c r="AE337" s="730"/>
      <c r="AF337" s="730"/>
      <c r="AG337" s="731"/>
      <c r="AH337" s="731"/>
      <c r="AI337" s="732">
        <f t="shared" si="51"/>
        <v>0</v>
      </c>
      <c r="AJ337" s="733">
        <f t="shared" si="52"/>
        <v>0</v>
      </c>
    </row>
    <row r="338" spans="1:36">
      <c r="A338" s="852" t="s">
        <v>197</v>
      </c>
      <c r="B338" s="874" t="s">
        <v>172</v>
      </c>
      <c r="C338" s="875" t="s">
        <v>165</v>
      </c>
      <c r="D338" s="871"/>
      <c r="E338" s="868"/>
      <c r="F338" s="869">
        <v>99</v>
      </c>
      <c r="G338" s="730"/>
      <c r="H338" s="734"/>
      <c r="I338" s="730"/>
      <c r="J338" s="731"/>
      <c r="K338" s="730"/>
      <c r="L338" s="731"/>
      <c r="M338" s="730"/>
      <c r="N338" s="730"/>
      <c r="O338" s="732">
        <f t="shared" si="45"/>
        <v>0</v>
      </c>
      <c r="P338" s="731"/>
      <c r="Q338" s="731"/>
      <c r="R338" s="733">
        <f t="shared" si="48"/>
        <v>0</v>
      </c>
      <c r="S338" s="732">
        <f t="shared" si="49"/>
        <v>0</v>
      </c>
      <c r="T338" s="733">
        <f t="shared" si="50"/>
        <v>0</v>
      </c>
      <c r="U338" s="730">
        <v>628750</v>
      </c>
      <c r="V338" s="1150">
        <v>105191</v>
      </c>
      <c r="W338" s="730"/>
      <c r="X338" s="730"/>
      <c r="Y338" s="732">
        <f t="shared" si="46"/>
        <v>0</v>
      </c>
      <c r="Z338" s="731"/>
      <c r="AA338" s="731"/>
      <c r="AB338" s="733">
        <f t="shared" si="47"/>
        <v>0</v>
      </c>
      <c r="AC338" s="730"/>
      <c r="AD338" s="731"/>
      <c r="AE338" s="730"/>
      <c r="AF338" s="730"/>
      <c r="AG338" s="731"/>
      <c r="AH338" s="731"/>
      <c r="AI338" s="732">
        <f t="shared" si="51"/>
        <v>628750</v>
      </c>
      <c r="AJ338" s="733">
        <f t="shared" si="52"/>
        <v>105191</v>
      </c>
    </row>
    <row r="339" spans="1:36">
      <c r="A339" s="852" t="s">
        <v>197</v>
      </c>
      <c r="B339" s="874" t="s">
        <v>173</v>
      </c>
      <c r="C339" s="875" t="s">
        <v>167</v>
      </c>
      <c r="D339" s="871"/>
      <c r="E339" s="868"/>
      <c r="F339" s="869">
        <v>99</v>
      </c>
      <c r="G339" s="730"/>
      <c r="H339" s="734"/>
      <c r="I339" s="730"/>
      <c r="J339" s="731"/>
      <c r="K339" s="730"/>
      <c r="L339" s="731"/>
      <c r="M339" s="730"/>
      <c r="N339" s="730"/>
      <c r="O339" s="732">
        <f t="shared" si="45"/>
        <v>0</v>
      </c>
      <c r="P339" s="731"/>
      <c r="Q339" s="731"/>
      <c r="R339" s="733">
        <f t="shared" si="48"/>
        <v>0</v>
      </c>
      <c r="S339" s="732">
        <f t="shared" si="49"/>
        <v>0</v>
      </c>
      <c r="T339" s="733">
        <f t="shared" si="50"/>
        <v>0</v>
      </c>
      <c r="U339" s="730"/>
      <c r="V339" s="731"/>
      <c r="W339" s="730"/>
      <c r="X339" s="730"/>
      <c r="Y339" s="732">
        <f t="shared" si="46"/>
        <v>0</v>
      </c>
      <c r="Z339" s="731"/>
      <c r="AA339" s="731"/>
      <c r="AB339" s="733">
        <f t="shared" si="47"/>
        <v>0</v>
      </c>
      <c r="AC339" s="730"/>
      <c r="AD339" s="731"/>
      <c r="AE339" s="730"/>
      <c r="AF339" s="730"/>
      <c r="AG339" s="731"/>
      <c r="AH339" s="731"/>
      <c r="AI339" s="732">
        <f t="shared" si="51"/>
        <v>0</v>
      </c>
      <c r="AJ339" s="733">
        <f t="shared" si="52"/>
        <v>0</v>
      </c>
    </row>
    <row r="340" spans="1:36">
      <c r="A340" s="852" t="s">
        <v>197</v>
      </c>
      <c r="B340" s="874" t="s">
        <v>176</v>
      </c>
      <c r="C340" s="875" t="s">
        <v>177</v>
      </c>
      <c r="D340" s="871"/>
      <c r="E340" s="868"/>
      <c r="F340" s="869">
        <v>99</v>
      </c>
      <c r="G340" s="730"/>
      <c r="H340" s="734"/>
      <c r="I340" s="730"/>
      <c r="J340" s="731"/>
      <c r="K340" s="730"/>
      <c r="L340" s="731"/>
      <c r="M340" s="730"/>
      <c r="N340" s="730"/>
      <c r="O340" s="732">
        <f t="shared" si="45"/>
        <v>0</v>
      </c>
      <c r="P340" s="731"/>
      <c r="Q340" s="731"/>
      <c r="R340" s="733">
        <f t="shared" si="48"/>
        <v>0</v>
      </c>
      <c r="S340" s="732">
        <f t="shared" si="49"/>
        <v>0</v>
      </c>
      <c r="T340" s="733">
        <f t="shared" si="50"/>
        <v>0</v>
      </c>
      <c r="U340" s="730"/>
      <c r="V340" s="731"/>
      <c r="W340" s="730"/>
      <c r="X340" s="730"/>
      <c r="Y340" s="732">
        <f t="shared" si="46"/>
        <v>0</v>
      </c>
      <c r="Z340" s="731"/>
      <c r="AA340" s="731"/>
      <c r="AB340" s="733">
        <f t="shared" si="47"/>
        <v>0</v>
      </c>
      <c r="AC340" s="730"/>
      <c r="AD340" s="731"/>
      <c r="AE340" s="730"/>
      <c r="AF340" s="730"/>
      <c r="AG340" s="731"/>
      <c r="AH340" s="731"/>
      <c r="AI340" s="732">
        <f t="shared" si="51"/>
        <v>0</v>
      </c>
      <c r="AJ340" s="733">
        <f t="shared" si="52"/>
        <v>0</v>
      </c>
    </row>
    <row r="341" spans="1:36">
      <c r="A341" s="852" t="s">
        <v>197</v>
      </c>
      <c r="B341" s="874" t="s">
        <v>180</v>
      </c>
      <c r="C341" s="875" t="s">
        <v>165</v>
      </c>
      <c r="D341" s="871"/>
      <c r="E341" s="868"/>
      <c r="F341" s="869">
        <v>99</v>
      </c>
      <c r="G341" s="730"/>
      <c r="H341" s="734"/>
      <c r="I341" s="730"/>
      <c r="J341" s="731"/>
      <c r="K341" s="730"/>
      <c r="L341" s="731"/>
      <c r="M341" s="730"/>
      <c r="N341" s="730"/>
      <c r="O341" s="732">
        <f t="shared" si="45"/>
        <v>0</v>
      </c>
      <c r="P341" s="731"/>
      <c r="Q341" s="731"/>
      <c r="R341" s="733">
        <f t="shared" si="48"/>
        <v>0</v>
      </c>
      <c r="S341" s="732">
        <f t="shared" si="49"/>
        <v>0</v>
      </c>
      <c r="T341" s="733">
        <f t="shared" si="50"/>
        <v>0</v>
      </c>
      <c r="U341" s="730">
        <v>51685</v>
      </c>
      <c r="V341" s="1150">
        <v>2500</v>
      </c>
      <c r="W341" s="730"/>
      <c r="X341" s="730"/>
      <c r="Y341" s="732">
        <f t="shared" si="46"/>
        <v>0</v>
      </c>
      <c r="Z341" s="731"/>
      <c r="AA341" s="731"/>
      <c r="AB341" s="733">
        <f t="shared" si="47"/>
        <v>0</v>
      </c>
      <c r="AC341" s="730"/>
      <c r="AD341" s="731"/>
      <c r="AE341" s="730"/>
      <c r="AF341" s="730"/>
      <c r="AG341" s="731"/>
      <c r="AH341" s="731"/>
      <c r="AI341" s="732">
        <f t="shared" si="51"/>
        <v>51685</v>
      </c>
      <c r="AJ341" s="733">
        <f t="shared" si="52"/>
        <v>2500</v>
      </c>
    </row>
    <row r="342" spans="1:36">
      <c r="A342" s="852" t="s">
        <v>197</v>
      </c>
      <c r="B342" s="874" t="s">
        <v>178</v>
      </c>
      <c r="C342" s="875" t="s">
        <v>167</v>
      </c>
      <c r="D342" s="871"/>
      <c r="E342" s="868"/>
      <c r="F342" s="869">
        <v>99</v>
      </c>
      <c r="G342" s="730"/>
      <c r="H342" s="734"/>
      <c r="I342" s="730"/>
      <c r="J342" s="731"/>
      <c r="K342" s="730"/>
      <c r="L342" s="731"/>
      <c r="M342" s="730"/>
      <c r="N342" s="730"/>
      <c r="O342" s="732">
        <f t="shared" si="45"/>
        <v>0</v>
      </c>
      <c r="P342" s="731"/>
      <c r="Q342" s="731"/>
      <c r="R342" s="733">
        <f t="shared" si="48"/>
        <v>0</v>
      </c>
      <c r="S342" s="732">
        <f t="shared" si="49"/>
        <v>0</v>
      </c>
      <c r="T342" s="733">
        <f t="shared" si="50"/>
        <v>0</v>
      </c>
      <c r="U342" s="730"/>
      <c r="V342" s="731"/>
      <c r="W342" s="730"/>
      <c r="X342" s="730"/>
      <c r="Y342" s="732">
        <f t="shared" si="46"/>
        <v>0</v>
      </c>
      <c r="Z342" s="731"/>
      <c r="AA342" s="731"/>
      <c r="AB342" s="733">
        <f t="shared" si="47"/>
        <v>0</v>
      </c>
      <c r="AC342" s="730"/>
      <c r="AD342" s="731"/>
      <c r="AE342" s="730"/>
      <c r="AF342" s="730"/>
      <c r="AG342" s="731"/>
      <c r="AH342" s="731"/>
      <c r="AI342" s="732">
        <f t="shared" si="51"/>
        <v>0</v>
      </c>
      <c r="AJ342" s="733">
        <f t="shared" si="52"/>
        <v>0</v>
      </c>
    </row>
    <row r="343" spans="1:36">
      <c r="A343" s="852" t="s">
        <v>197</v>
      </c>
      <c r="B343" s="847" t="s">
        <v>161</v>
      </c>
      <c r="C343" s="873" t="s">
        <v>272</v>
      </c>
      <c r="D343" s="854"/>
      <c r="E343" s="868"/>
      <c r="F343" s="869">
        <v>99</v>
      </c>
      <c r="G343" s="730"/>
      <c r="H343" s="734"/>
      <c r="I343" s="730"/>
      <c r="J343" s="731"/>
      <c r="K343" s="730"/>
      <c r="L343" s="731"/>
      <c r="M343" s="730"/>
      <c r="N343" s="730"/>
      <c r="O343" s="732">
        <f t="shared" si="45"/>
        <v>0</v>
      </c>
      <c r="P343" s="731"/>
      <c r="Q343" s="731"/>
      <c r="R343" s="733">
        <f t="shared" si="48"/>
        <v>0</v>
      </c>
      <c r="S343" s="732">
        <f t="shared" si="49"/>
        <v>0</v>
      </c>
      <c r="T343" s="733">
        <f t="shared" si="50"/>
        <v>0</v>
      </c>
      <c r="U343" s="730"/>
      <c r="V343" s="731"/>
      <c r="W343" s="730"/>
      <c r="X343" s="730"/>
      <c r="Y343" s="732">
        <f t="shared" si="46"/>
        <v>0</v>
      </c>
      <c r="Z343" s="731"/>
      <c r="AA343" s="731"/>
      <c r="AB343" s="733">
        <f t="shared" si="47"/>
        <v>0</v>
      </c>
      <c r="AC343" s="730"/>
      <c r="AD343" s="731"/>
      <c r="AE343" s="730"/>
      <c r="AF343" s="730"/>
      <c r="AG343" s="731"/>
      <c r="AH343" s="731"/>
      <c r="AI343" s="732">
        <f t="shared" si="51"/>
        <v>0</v>
      </c>
      <c r="AJ343" s="733">
        <f t="shared" si="52"/>
        <v>0</v>
      </c>
    </row>
    <row r="344" spans="1:36">
      <c r="A344" s="852" t="s">
        <v>197</v>
      </c>
      <c r="B344" s="874" t="s">
        <v>170</v>
      </c>
      <c r="C344" s="875" t="s">
        <v>171</v>
      </c>
      <c r="D344" s="871"/>
      <c r="E344" s="868"/>
      <c r="F344" s="869">
        <v>99</v>
      </c>
      <c r="G344" s="730"/>
      <c r="H344" s="734"/>
      <c r="I344" s="730"/>
      <c r="J344" s="731"/>
      <c r="K344" s="730"/>
      <c r="L344" s="731"/>
      <c r="M344" s="730"/>
      <c r="N344" s="730"/>
      <c r="O344" s="732">
        <f t="shared" si="45"/>
        <v>0</v>
      </c>
      <c r="P344" s="731"/>
      <c r="Q344" s="731"/>
      <c r="R344" s="733">
        <f t="shared" si="48"/>
        <v>0</v>
      </c>
      <c r="S344" s="732">
        <f t="shared" si="49"/>
        <v>0</v>
      </c>
      <c r="T344" s="733">
        <f t="shared" si="50"/>
        <v>0</v>
      </c>
      <c r="U344" s="730"/>
      <c r="V344" s="731"/>
      <c r="W344" s="730"/>
      <c r="X344" s="730"/>
      <c r="Y344" s="732">
        <f t="shared" si="46"/>
        <v>0</v>
      </c>
      <c r="Z344" s="731"/>
      <c r="AA344" s="731"/>
      <c r="AB344" s="733">
        <f t="shared" si="47"/>
        <v>0</v>
      </c>
      <c r="AC344" s="730"/>
      <c r="AD344" s="731"/>
      <c r="AE344" s="730"/>
      <c r="AF344" s="730"/>
      <c r="AG344" s="731"/>
      <c r="AH344" s="731"/>
      <c r="AI344" s="732">
        <f t="shared" si="51"/>
        <v>0</v>
      </c>
      <c r="AJ344" s="733">
        <f t="shared" si="52"/>
        <v>0</v>
      </c>
    </row>
    <row r="345" spans="1:36">
      <c r="A345" s="852" t="s">
        <v>197</v>
      </c>
      <c r="B345" s="874" t="s">
        <v>172</v>
      </c>
      <c r="C345" s="875" t="s">
        <v>165</v>
      </c>
      <c r="D345" s="871"/>
      <c r="E345" s="868"/>
      <c r="F345" s="869">
        <v>99</v>
      </c>
      <c r="G345" s="730"/>
      <c r="H345" s="734"/>
      <c r="I345" s="730"/>
      <c r="J345" s="731"/>
      <c r="K345" s="730"/>
      <c r="L345" s="731"/>
      <c r="M345" s="730"/>
      <c r="N345" s="730"/>
      <c r="O345" s="732">
        <f t="shared" si="45"/>
        <v>0</v>
      </c>
      <c r="P345" s="731"/>
      <c r="Q345" s="731"/>
      <c r="R345" s="733">
        <f t="shared" si="48"/>
        <v>0</v>
      </c>
      <c r="S345" s="732">
        <f t="shared" si="49"/>
        <v>0</v>
      </c>
      <c r="T345" s="733">
        <f t="shared" si="50"/>
        <v>0</v>
      </c>
      <c r="U345" s="730"/>
      <c r="V345" s="731"/>
      <c r="W345" s="730"/>
      <c r="X345" s="730"/>
      <c r="Y345" s="732">
        <f t="shared" si="46"/>
        <v>0</v>
      </c>
      <c r="Z345" s="731"/>
      <c r="AA345" s="731"/>
      <c r="AB345" s="733">
        <f t="shared" si="47"/>
        <v>0</v>
      </c>
      <c r="AC345" s="730"/>
      <c r="AD345" s="731"/>
      <c r="AE345" s="730"/>
      <c r="AF345" s="730"/>
      <c r="AG345" s="731"/>
      <c r="AH345" s="731"/>
      <c r="AI345" s="732">
        <f t="shared" si="51"/>
        <v>0</v>
      </c>
      <c r="AJ345" s="733">
        <f t="shared" si="52"/>
        <v>0</v>
      </c>
    </row>
    <row r="346" spans="1:36">
      <c r="A346" s="852" t="s">
        <v>197</v>
      </c>
      <c r="B346" s="874" t="s">
        <v>173</v>
      </c>
      <c r="C346" s="875" t="s">
        <v>167</v>
      </c>
      <c r="D346" s="871"/>
      <c r="E346" s="868"/>
      <c r="F346" s="869">
        <v>99</v>
      </c>
      <c r="G346" s="730"/>
      <c r="H346" s="734"/>
      <c r="I346" s="730"/>
      <c r="J346" s="731"/>
      <c r="K346" s="730"/>
      <c r="L346" s="731"/>
      <c r="M346" s="730"/>
      <c r="N346" s="730"/>
      <c r="O346" s="732">
        <f t="shared" si="45"/>
        <v>0</v>
      </c>
      <c r="P346" s="731"/>
      <c r="Q346" s="731"/>
      <c r="R346" s="733">
        <f t="shared" si="48"/>
        <v>0</v>
      </c>
      <c r="S346" s="732">
        <f t="shared" si="49"/>
        <v>0</v>
      </c>
      <c r="T346" s="733">
        <f t="shared" si="50"/>
        <v>0</v>
      </c>
      <c r="U346" s="730">
        <v>1837532</v>
      </c>
      <c r="V346" s="731">
        <v>1785780</v>
      </c>
      <c r="W346" s="730"/>
      <c r="X346" s="730"/>
      <c r="Y346" s="732">
        <f t="shared" si="46"/>
        <v>0</v>
      </c>
      <c r="Z346" s="731"/>
      <c r="AA346" s="731"/>
      <c r="AB346" s="733">
        <f t="shared" si="47"/>
        <v>0</v>
      </c>
      <c r="AC346" s="730"/>
      <c r="AD346" s="731"/>
      <c r="AE346" s="730"/>
      <c r="AF346" s="730"/>
      <c r="AG346" s="731"/>
      <c r="AH346" s="731"/>
      <c r="AI346" s="732">
        <f t="shared" si="51"/>
        <v>1837532</v>
      </c>
      <c r="AJ346" s="733">
        <f t="shared" si="52"/>
        <v>1785780</v>
      </c>
    </row>
    <row r="347" spans="1:36">
      <c r="A347" s="852" t="s">
        <v>197</v>
      </c>
      <c r="B347" s="874" t="s">
        <v>176</v>
      </c>
      <c r="C347" s="875" t="s">
        <v>177</v>
      </c>
      <c r="D347" s="871"/>
      <c r="E347" s="868"/>
      <c r="F347" s="869">
        <v>99</v>
      </c>
      <c r="G347" s="730"/>
      <c r="H347" s="734"/>
      <c r="I347" s="730"/>
      <c r="J347" s="731"/>
      <c r="K347" s="730"/>
      <c r="L347" s="731"/>
      <c r="M347" s="730"/>
      <c r="N347" s="730"/>
      <c r="O347" s="732">
        <f t="shared" si="45"/>
        <v>0</v>
      </c>
      <c r="P347" s="731"/>
      <c r="Q347" s="731"/>
      <c r="R347" s="733">
        <f t="shared" si="48"/>
        <v>0</v>
      </c>
      <c r="S347" s="732">
        <f t="shared" si="49"/>
        <v>0</v>
      </c>
      <c r="T347" s="733">
        <f t="shared" si="50"/>
        <v>0</v>
      </c>
      <c r="U347" s="730"/>
      <c r="V347" s="731"/>
      <c r="W347" s="730"/>
      <c r="X347" s="730"/>
      <c r="Y347" s="732">
        <f t="shared" si="46"/>
        <v>0</v>
      </c>
      <c r="Z347" s="731"/>
      <c r="AA347" s="731"/>
      <c r="AB347" s="733">
        <f t="shared" si="47"/>
        <v>0</v>
      </c>
      <c r="AC347" s="730"/>
      <c r="AD347" s="731"/>
      <c r="AE347" s="730"/>
      <c r="AF347" s="730"/>
      <c r="AG347" s="731"/>
      <c r="AH347" s="731"/>
      <c r="AI347" s="732">
        <f t="shared" si="51"/>
        <v>0</v>
      </c>
      <c r="AJ347" s="733">
        <f t="shared" si="52"/>
        <v>0</v>
      </c>
    </row>
    <row r="348" spans="1:36">
      <c r="A348" s="852" t="s">
        <v>197</v>
      </c>
      <c r="B348" s="874" t="s">
        <v>180</v>
      </c>
      <c r="C348" s="875" t="s">
        <v>165</v>
      </c>
      <c r="D348" s="871"/>
      <c r="E348" s="868"/>
      <c r="F348" s="869">
        <v>99</v>
      </c>
      <c r="G348" s="730"/>
      <c r="H348" s="734"/>
      <c r="I348" s="730"/>
      <c r="J348" s="731"/>
      <c r="K348" s="730"/>
      <c r="L348" s="731"/>
      <c r="M348" s="730"/>
      <c r="N348" s="730"/>
      <c r="O348" s="732">
        <f t="shared" si="45"/>
        <v>0</v>
      </c>
      <c r="P348" s="731"/>
      <c r="Q348" s="731"/>
      <c r="R348" s="733">
        <f t="shared" si="48"/>
        <v>0</v>
      </c>
      <c r="S348" s="732">
        <f t="shared" si="49"/>
        <v>0</v>
      </c>
      <c r="T348" s="733">
        <f t="shared" si="50"/>
        <v>0</v>
      </c>
      <c r="U348" s="730"/>
      <c r="V348" s="731"/>
      <c r="W348" s="730"/>
      <c r="X348" s="730"/>
      <c r="Y348" s="732">
        <f t="shared" si="46"/>
        <v>0</v>
      </c>
      <c r="Z348" s="731"/>
      <c r="AA348" s="731"/>
      <c r="AB348" s="733">
        <f t="shared" si="47"/>
        <v>0</v>
      </c>
      <c r="AC348" s="730"/>
      <c r="AD348" s="731"/>
      <c r="AE348" s="730"/>
      <c r="AF348" s="730"/>
      <c r="AG348" s="731"/>
      <c r="AH348" s="731"/>
      <c r="AI348" s="732">
        <f t="shared" si="51"/>
        <v>0</v>
      </c>
      <c r="AJ348" s="733">
        <f t="shared" si="52"/>
        <v>0</v>
      </c>
    </row>
    <row r="349" spans="1:36">
      <c r="A349" s="852" t="s">
        <v>197</v>
      </c>
      <c r="B349" s="874" t="s">
        <v>178</v>
      </c>
      <c r="C349" s="875" t="s">
        <v>167</v>
      </c>
      <c r="D349" s="871"/>
      <c r="E349" s="868"/>
      <c r="F349" s="869">
        <v>99</v>
      </c>
      <c r="G349" s="730"/>
      <c r="H349" s="734"/>
      <c r="I349" s="730"/>
      <c r="J349" s="731"/>
      <c r="K349" s="730"/>
      <c r="L349" s="731"/>
      <c r="M349" s="730"/>
      <c r="N349" s="730"/>
      <c r="O349" s="732">
        <f t="shared" si="45"/>
        <v>0</v>
      </c>
      <c r="P349" s="731"/>
      <c r="Q349" s="731"/>
      <c r="R349" s="733">
        <f t="shared" si="48"/>
        <v>0</v>
      </c>
      <c r="S349" s="732">
        <f t="shared" si="49"/>
        <v>0</v>
      </c>
      <c r="T349" s="733">
        <f t="shared" si="50"/>
        <v>0</v>
      </c>
      <c r="U349" s="730">
        <v>0</v>
      </c>
      <c r="V349" s="731">
        <v>0</v>
      </c>
      <c r="W349" s="730"/>
      <c r="X349" s="730"/>
      <c r="Y349" s="732">
        <f t="shared" si="46"/>
        <v>0</v>
      </c>
      <c r="Z349" s="731"/>
      <c r="AA349" s="731"/>
      <c r="AB349" s="733">
        <f t="shared" si="47"/>
        <v>0</v>
      </c>
      <c r="AC349" s="730"/>
      <c r="AD349" s="731"/>
      <c r="AE349" s="730"/>
      <c r="AF349" s="730"/>
      <c r="AG349" s="731"/>
      <c r="AH349" s="731"/>
      <c r="AI349" s="732">
        <f t="shared" si="51"/>
        <v>0</v>
      </c>
      <c r="AJ349" s="733">
        <f t="shared" si="52"/>
        <v>0</v>
      </c>
    </row>
    <row r="350" spans="1:36">
      <c r="A350" s="852" t="s">
        <v>197</v>
      </c>
      <c r="B350" s="847" t="s">
        <v>161</v>
      </c>
      <c r="C350" s="873" t="s">
        <v>273</v>
      </c>
      <c r="D350" s="854"/>
      <c r="E350" s="868"/>
      <c r="F350" s="869">
        <v>99</v>
      </c>
      <c r="G350" s="730"/>
      <c r="H350" s="734"/>
      <c r="I350" s="730"/>
      <c r="J350" s="731"/>
      <c r="K350" s="730"/>
      <c r="L350" s="731"/>
      <c r="M350" s="730"/>
      <c r="N350" s="730"/>
      <c r="O350" s="732">
        <f t="shared" si="45"/>
        <v>0</v>
      </c>
      <c r="P350" s="731"/>
      <c r="Q350" s="731"/>
      <c r="R350" s="733">
        <f t="shared" si="48"/>
        <v>0</v>
      </c>
      <c r="S350" s="732">
        <f t="shared" si="49"/>
        <v>0</v>
      </c>
      <c r="T350" s="733">
        <f t="shared" si="50"/>
        <v>0</v>
      </c>
      <c r="U350" s="730"/>
      <c r="V350" s="731"/>
      <c r="W350" s="730"/>
      <c r="X350" s="730"/>
      <c r="Y350" s="732">
        <f t="shared" si="46"/>
        <v>0</v>
      </c>
      <c r="Z350" s="731"/>
      <c r="AA350" s="731"/>
      <c r="AB350" s="733">
        <f t="shared" si="47"/>
        <v>0</v>
      </c>
      <c r="AC350" s="730"/>
      <c r="AD350" s="731"/>
      <c r="AE350" s="730"/>
      <c r="AF350" s="730"/>
      <c r="AG350" s="731"/>
      <c r="AH350" s="731"/>
      <c r="AI350" s="732">
        <f t="shared" si="51"/>
        <v>0</v>
      </c>
      <c r="AJ350" s="733">
        <f t="shared" si="52"/>
        <v>0</v>
      </c>
    </row>
    <row r="351" spans="1:36">
      <c r="A351" s="852" t="s">
        <v>197</v>
      </c>
      <c r="B351" s="874" t="s">
        <v>170</v>
      </c>
      <c r="C351" s="875" t="s">
        <v>171</v>
      </c>
      <c r="D351" s="871"/>
      <c r="E351" s="868"/>
      <c r="F351" s="869">
        <v>99</v>
      </c>
      <c r="G351" s="730"/>
      <c r="H351" s="734"/>
      <c r="I351" s="730"/>
      <c r="J351" s="731"/>
      <c r="K351" s="730"/>
      <c r="L351" s="731"/>
      <c r="M351" s="730"/>
      <c r="N351" s="730"/>
      <c r="O351" s="732">
        <f t="shared" si="45"/>
        <v>0</v>
      </c>
      <c r="P351" s="731"/>
      <c r="Q351" s="731"/>
      <c r="R351" s="733">
        <f t="shared" si="48"/>
        <v>0</v>
      </c>
      <c r="S351" s="732">
        <f t="shared" si="49"/>
        <v>0</v>
      </c>
      <c r="T351" s="733">
        <f t="shared" si="50"/>
        <v>0</v>
      </c>
      <c r="U351" s="730"/>
      <c r="V351" s="731"/>
      <c r="W351" s="730"/>
      <c r="X351" s="730"/>
      <c r="Y351" s="732">
        <f t="shared" si="46"/>
        <v>0</v>
      </c>
      <c r="Z351" s="731"/>
      <c r="AA351" s="731"/>
      <c r="AB351" s="733">
        <f t="shared" si="47"/>
        <v>0</v>
      </c>
      <c r="AC351" s="730"/>
      <c r="AD351" s="731"/>
      <c r="AE351" s="730"/>
      <c r="AF351" s="730"/>
      <c r="AG351" s="731"/>
      <c r="AH351" s="731"/>
      <c r="AI351" s="732">
        <f t="shared" si="51"/>
        <v>0</v>
      </c>
      <c r="AJ351" s="733">
        <f t="shared" si="52"/>
        <v>0</v>
      </c>
    </row>
    <row r="352" spans="1:36">
      <c r="A352" s="852" t="s">
        <v>197</v>
      </c>
      <c r="B352" s="874" t="s">
        <v>172</v>
      </c>
      <c r="C352" s="875" t="s">
        <v>165</v>
      </c>
      <c r="D352" s="871"/>
      <c r="E352" s="868"/>
      <c r="F352" s="869">
        <v>99</v>
      </c>
      <c r="G352" s="730"/>
      <c r="H352" s="734"/>
      <c r="I352" s="730"/>
      <c r="J352" s="731"/>
      <c r="K352" s="730"/>
      <c r="L352" s="731"/>
      <c r="M352" s="730"/>
      <c r="N352" s="730"/>
      <c r="O352" s="732">
        <f t="shared" si="45"/>
        <v>0</v>
      </c>
      <c r="P352" s="731"/>
      <c r="Q352" s="731"/>
      <c r="R352" s="733">
        <f t="shared" si="48"/>
        <v>0</v>
      </c>
      <c r="S352" s="732">
        <f t="shared" si="49"/>
        <v>0</v>
      </c>
      <c r="T352" s="733">
        <f t="shared" si="50"/>
        <v>0</v>
      </c>
      <c r="U352" s="730"/>
      <c r="V352" s="731"/>
      <c r="W352" s="730"/>
      <c r="X352" s="730"/>
      <c r="Y352" s="732">
        <f t="shared" si="46"/>
        <v>0</v>
      </c>
      <c r="Z352" s="731"/>
      <c r="AA352" s="731"/>
      <c r="AB352" s="733">
        <f t="shared" si="47"/>
        <v>0</v>
      </c>
      <c r="AC352" s="730"/>
      <c r="AD352" s="731"/>
      <c r="AE352" s="730"/>
      <c r="AF352" s="730"/>
      <c r="AG352" s="731"/>
      <c r="AH352" s="731"/>
      <c r="AI352" s="732">
        <f t="shared" si="51"/>
        <v>0</v>
      </c>
      <c r="AJ352" s="733">
        <f t="shared" si="52"/>
        <v>0</v>
      </c>
    </row>
    <row r="353" spans="1:36">
      <c r="A353" s="852" t="s">
        <v>197</v>
      </c>
      <c r="B353" s="874" t="s">
        <v>173</v>
      </c>
      <c r="C353" s="875" t="s">
        <v>167</v>
      </c>
      <c r="D353" s="871"/>
      <c r="E353" s="868"/>
      <c r="F353" s="869">
        <v>99</v>
      </c>
      <c r="G353" s="730"/>
      <c r="H353" s="734"/>
      <c r="I353" s="730"/>
      <c r="J353" s="731"/>
      <c r="K353" s="730"/>
      <c r="L353" s="731"/>
      <c r="M353" s="730"/>
      <c r="N353" s="730"/>
      <c r="O353" s="732">
        <f t="shared" si="45"/>
        <v>0</v>
      </c>
      <c r="P353" s="731"/>
      <c r="Q353" s="731"/>
      <c r="R353" s="733">
        <f t="shared" si="48"/>
        <v>0</v>
      </c>
      <c r="S353" s="732">
        <f t="shared" si="49"/>
        <v>0</v>
      </c>
      <c r="T353" s="733">
        <f t="shared" si="50"/>
        <v>0</v>
      </c>
      <c r="U353" s="730">
        <v>0</v>
      </c>
      <c r="V353" s="731">
        <v>0</v>
      </c>
      <c r="W353" s="730"/>
      <c r="X353" s="730"/>
      <c r="Y353" s="732">
        <f t="shared" si="46"/>
        <v>0</v>
      </c>
      <c r="Z353" s="731"/>
      <c r="AA353" s="731"/>
      <c r="AB353" s="733">
        <f t="shared" si="47"/>
        <v>0</v>
      </c>
      <c r="AC353" s="730"/>
      <c r="AD353" s="731"/>
      <c r="AE353" s="730"/>
      <c r="AF353" s="730"/>
      <c r="AG353" s="731"/>
      <c r="AH353" s="731"/>
      <c r="AI353" s="732">
        <f t="shared" si="51"/>
        <v>0</v>
      </c>
      <c r="AJ353" s="733">
        <f t="shared" si="52"/>
        <v>0</v>
      </c>
    </row>
    <row r="354" spans="1:36">
      <c r="A354" s="852" t="s">
        <v>197</v>
      </c>
      <c r="B354" s="874" t="s">
        <v>176</v>
      </c>
      <c r="C354" s="875" t="s">
        <v>177</v>
      </c>
      <c r="D354" s="871"/>
      <c r="E354" s="868"/>
      <c r="F354" s="869">
        <v>99</v>
      </c>
      <c r="G354" s="730"/>
      <c r="H354" s="734"/>
      <c r="I354" s="730"/>
      <c r="J354" s="731"/>
      <c r="K354" s="730"/>
      <c r="L354" s="731"/>
      <c r="M354" s="730"/>
      <c r="N354" s="730"/>
      <c r="O354" s="732">
        <f t="shared" si="45"/>
        <v>0</v>
      </c>
      <c r="P354" s="731"/>
      <c r="Q354" s="731"/>
      <c r="R354" s="733">
        <f t="shared" si="48"/>
        <v>0</v>
      </c>
      <c r="S354" s="732">
        <f t="shared" si="49"/>
        <v>0</v>
      </c>
      <c r="T354" s="733">
        <f t="shared" si="50"/>
        <v>0</v>
      </c>
      <c r="U354" s="730"/>
      <c r="V354" s="731"/>
      <c r="W354" s="730"/>
      <c r="X354" s="730"/>
      <c r="Y354" s="732">
        <f t="shared" si="46"/>
        <v>0</v>
      </c>
      <c r="Z354" s="731"/>
      <c r="AA354" s="731"/>
      <c r="AB354" s="733">
        <f t="shared" si="47"/>
        <v>0</v>
      </c>
      <c r="AC354" s="730"/>
      <c r="AD354" s="731"/>
      <c r="AE354" s="730"/>
      <c r="AF354" s="730"/>
      <c r="AG354" s="731"/>
      <c r="AH354" s="731"/>
      <c r="AI354" s="732">
        <f t="shared" si="51"/>
        <v>0</v>
      </c>
      <c r="AJ354" s="733">
        <f t="shared" si="52"/>
        <v>0</v>
      </c>
    </row>
    <row r="355" spans="1:36">
      <c r="A355" s="852" t="s">
        <v>197</v>
      </c>
      <c r="B355" s="874" t="s">
        <v>180</v>
      </c>
      <c r="C355" s="875" t="s">
        <v>165</v>
      </c>
      <c r="D355" s="871"/>
      <c r="E355" s="868"/>
      <c r="F355" s="869">
        <v>99</v>
      </c>
      <c r="G355" s="730"/>
      <c r="H355" s="734"/>
      <c r="I355" s="730"/>
      <c r="J355" s="731"/>
      <c r="K355" s="730"/>
      <c r="L355" s="731"/>
      <c r="M355" s="730"/>
      <c r="N355" s="730"/>
      <c r="O355" s="732">
        <f t="shared" si="45"/>
        <v>0</v>
      </c>
      <c r="P355" s="731"/>
      <c r="Q355" s="731"/>
      <c r="R355" s="733">
        <f t="shared" si="48"/>
        <v>0</v>
      </c>
      <c r="S355" s="732">
        <f t="shared" si="49"/>
        <v>0</v>
      </c>
      <c r="T355" s="733">
        <f t="shared" si="50"/>
        <v>0</v>
      </c>
      <c r="U355" s="730"/>
      <c r="V355" s="731"/>
      <c r="W355" s="730"/>
      <c r="X355" s="730"/>
      <c r="Y355" s="732">
        <f t="shared" si="46"/>
        <v>0</v>
      </c>
      <c r="Z355" s="731"/>
      <c r="AA355" s="731"/>
      <c r="AB355" s="733">
        <f t="shared" si="47"/>
        <v>0</v>
      </c>
      <c r="AC355" s="730"/>
      <c r="AD355" s="731"/>
      <c r="AE355" s="730"/>
      <c r="AF355" s="730"/>
      <c r="AG355" s="731"/>
      <c r="AH355" s="731"/>
      <c r="AI355" s="732">
        <f t="shared" si="51"/>
        <v>0</v>
      </c>
      <c r="AJ355" s="733">
        <f t="shared" si="52"/>
        <v>0</v>
      </c>
    </row>
    <row r="356" spans="1:36">
      <c r="A356" s="852" t="s">
        <v>197</v>
      </c>
      <c r="B356" s="874" t="s">
        <v>178</v>
      </c>
      <c r="C356" s="875" t="s">
        <v>167</v>
      </c>
      <c r="D356" s="871"/>
      <c r="E356" s="868"/>
      <c r="F356" s="869">
        <v>99</v>
      </c>
      <c r="G356" s="730"/>
      <c r="H356" s="734"/>
      <c r="I356" s="730"/>
      <c r="J356" s="731"/>
      <c r="K356" s="730"/>
      <c r="L356" s="731"/>
      <c r="M356" s="730"/>
      <c r="N356" s="730"/>
      <c r="O356" s="732">
        <f t="shared" si="45"/>
        <v>0</v>
      </c>
      <c r="P356" s="731"/>
      <c r="Q356" s="731"/>
      <c r="R356" s="733">
        <f t="shared" si="48"/>
        <v>0</v>
      </c>
      <c r="S356" s="732">
        <f t="shared" si="49"/>
        <v>0</v>
      </c>
      <c r="T356" s="733">
        <f t="shared" si="50"/>
        <v>0</v>
      </c>
      <c r="U356" s="730"/>
      <c r="V356" s="731"/>
      <c r="W356" s="730"/>
      <c r="X356" s="730"/>
      <c r="Y356" s="732">
        <f t="shared" si="46"/>
        <v>0</v>
      </c>
      <c r="Z356" s="731"/>
      <c r="AA356" s="731"/>
      <c r="AB356" s="733">
        <f t="shared" si="47"/>
        <v>0</v>
      </c>
      <c r="AC356" s="730"/>
      <c r="AD356" s="731"/>
      <c r="AE356" s="730"/>
      <c r="AF356" s="730"/>
      <c r="AG356" s="731"/>
      <c r="AH356" s="731"/>
      <c r="AI356" s="732">
        <f t="shared" si="51"/>
        <v>0</v>
      </c>
      <c r="AJ356" s="733">
        <f t="shared" si="52"/>
        <v>0</v>
      </c>
    </row>
    <row r="357" spans="1:36">
      <c r="A357" s="852" t="s">
        <v>197</v>
      </c>
      <c r="B357" s="847" t="s">
        <v>161</v>
      </c>
      <c r="C357" s="873" t="s">
        <v>274</v>
      </c>
      <c r="D357" s="854"/>
      <c r="E357" s="868"/>
      <c r="F357" s="869">
        <v>99</v>
      </c>
      <c r="G357" s="730"/>
      <c r="H357" s="734"/>
      <c r="I357" s="730"/>
      <c r="J357" s="731"/>
      <c r="K357" s="730"/>
      <c r="L357" s="731"/>
      <c r="M357" s="730"/>
      <c r="N357" s="730"/>
      <c r="O357" s="732">
        <f t="shared" si="45"/>
        <v>0</v>
      </c>
      <c r="P357" s="731"/>
      <c r="Q357" s="731"/>
      <c r="R357" s="733">
        <f t="shared" si="48"/>
        <v>0</v>
      </c>
      <c r="S357" s="732">
        <f t="shared" si="49"/>
        <v>0</v>
      </c>
      <c r="T357" s="733">
        <f t="shared" si="50"/>
        <v>0</v>
      </c>
      <c r="U357" s="730"/>
      <c r="V357" s="731"/>
      <c r="W357" s="730"/>
      <c r="X357" s="730"/>
      <c r="Y357" s="732">
        <f t="shared" si="46"/>
        <v>0</v>
      </c>
      <c r="Z357" s="731"/>
      <c r="AA357" s="731"/>
      <c r="AB357" s="733">
        <f t="shared" si="47"/>
        <v>0</v>
      </c>
      <c r="AC357" s="730"/>
      <c r="AD357" s="731"/>
      <c r="AE357" s="730"/>
      <c r="AF357" s="730"/>
      <c r="AG357" s="731"/>
      <c r="AH357" s="731"/>
      <c r="AI357" s="732">
        <f t="shared" si="51"/>
        <v>0</v>
      </c>
      <c r="AJ357" s="733">
        <f t="shared" si="52"/>
        <v>0</v>
      </c>
    </row>
    <row r="358" spans="1:36">
      <c r="A358" s="852" t="s">
        <v>197</v>
      </c>
      <c r="B358" s="874" t="s">
        <v>170</v>
      </c>
      <c r="C358" s="875" t="s">
        <v>171</v>
      </c>
      <c r="D358" s="871"/>
      <c r="E358" s="868"/>
      <c r="F358" s="869">
        <v>99</v>
      </c>
      <c r="G358" s="730"/>
      <c r="H358" s="734"/>
      <c r="I358" s="730"/>
      <c r="J358" s="731"/>
      <c r="K358" s="730"/>
      <c r="L358" s="731"/>
      <c r="M358" s="730"/>
      <c r="N358" s="730"/>
      <c r="O358" s="732">
        <f t="shared" si="45"/>
        <v>0</v>
      </c>
      <c r="P358" s="731"/>
      <c r="Q358" s="731"/>
      <c r="R358" s="733">
        <f t="shared" si="48"/>
        <v>0</v>
      </c>
      <c r="S358" s="732">
        <f t="shared" si="49"/>
        <v>0</v>
      </c>
      <c r="T358" s="733">
        <f t="shared" si="50"/>
        <v>0</v>
      </c>
      <c r="U358" s="730"/>
      <c r="V358" s="731"/>
      <c r="W358" s="730"/>
      <c r="X358" s="730"/>
      <c r="Y358" s="732">
        <f t="shared" si="46"/>
        <v>0</v>
      </c>
      <c r="Z358" s="731"/>
      <c r="AA358" s="731"/>
      <c r="AB358" s="733">
        <f t="shared" si="47"/>
        <v>0</v>
      </c>
      <c r="AC358" s="730"/>
      <c r="AD358" s="731"/>
      <c r="AE358" s="730"/>
      <c r="AF358" s="730"/>
      <c r="AG358" s="731"/>
      <c r="AH358" s="731"/>
      <c r="AI358" s="732">
        <f t="shared" si="51"/>
        <v>0</v>
      </c>
      <c r="AJ358" s="733">
        <f t="shared" si="52"/>
        <v>0</v>
      </c>
    </row>
    <row r="359" spans="1:36">
      <c r="A359" s="852" t="s">
        <v>197</v>
      </c>
      <c r="B359" s="874" t="s">
        <v>172</v>
      </c>
      <c r="C359" s="875" t="s">
        <v>165</v>
      </c>
      <c r="D359" s="871"/>
      <c r="E359" s="868"/>
      <c r="F359" s="869">
        <v>99</v>
      </c>
      <c r="G359" s="730"/>
      <c r="H359" s="734"/>
      <c r="I359" s="730"/>
      <c r="J359" s="731"/>
      <c r="K359" s="730"/>
      <c r="L359" s="731"/>
      <c r="M359" s="730"/>
      <c r="N359" s="730"/>
      <c r="O359" s="732">
        <f t="shared" si="45"/>
        <v>0</v>
      </c>
      <c r="P359" s="731"/>
      <c r="Q359" s="731"/>
      <c r="R359" s="733">
        <f t="shared" si="48"/>
        <v>0</v>
      </c>
      <c r="S359" s="732">
        <f t="shared" si="49"/>
        <v>0</v>
      </c>
      <c r="T359" s="733">
        <f t="shared" si="50"/>
        <v>0</v>
      </c>
      <c r="U359" s="730"/>
      <c r="V359" s="731"/>
      <c r="W359" s="730"/>
      <c r="X359" s="730"/>
      <c r="Y359" s="732">
        <f t="shared" si="46"/>
        <v>0</v>
      </c>
      <c r="Z359" s="731"/>
      <c r="AA359" s="731"/>
      <c r="AB359" s="733">
        <f t="shared" si="47"/>
        <v>0</v>
      </c>
      <c r="AC359" s="730"/>
      <c r="AD359" s="731"/>
      <c r="AE359" s="730"/>
      <c r="AF359" s="730"/>
      <c r="AG359" s="731"/>
      <c r="AH359" s="731"/>
      <c r="AI359" s="732">
        <f t="shared" si="51"/>
        <v>0</v>
      </c>
      <c r="AJ359" s="733">
        <f t="shared" si="52"/>
        <v>0</v>
      </c>
    </row>
    <row r="360" spans="1:36">
      <c r="A360" s="852" t="s">
        <v>197</v>
      </c>
      <c r="B360" s="874" t="s">
        <v>173</v>
      </c>
      <c r="C360" s="875" t="s">
        <v>167</v>
      </c>
      <c r="D360" s="871"/>
      <c r="E360" s="868"/>
      <c r="F360" s="869">
        <v>99</v>
      </c>
      <c r="G360" s="730"/>
      <c r="H360" s="734"/>
      <c r="I360" s="730"/>
      <c r="J360" s="731"/>
      <c r="K360" s="730"/>
      <c r="L360" s="731"/>
      <c r="M360" s="730"/>
      <c r="N360" s="730"/>
      <c r="O360" s="732">
        <f t="shared" si="45"/>
        <v>0</v>
      </c>
      <c r="P360" s="731"/>
      <c r="Q360" s="731"/>
      <c r="R360" s="733">
        <f t="shared" si="48"/>
        <v>0</v>
      </c>
      <c r="S360" s="732">
        <f t="shared" si="49"/>
        <v>0</v>
      </c>
      <c r="T360" s="733">
        <f t="shared" si="50"/>
        <v>0</v>
      </c>
      <c r="U360" s="730">
        <v>1567626</v>
      </c>
      <c r="V360" s="731">
        <v>1465071</v>
      </c>
      <c r="W360" s="730"/>
      <c r="X360" s="730"/>
      <c r="Y360" s="732">
        <f t="shared" si="46"/>
        <v>0</v>
      </c>
      <c r="Z360" s="731"/>
      <c r="AA360" s="731"/>
      <c r="AB360" s="733">
        <f t="shared" si="47"/>
        <v>0</v>
      </c>
      <c r="AC360" s="730"/>
      <c r="AD360" s="731"/>
      <c r="AE360" s="730"/>
      <c r="AF360" s="730"/>
      <c r="AG360" s="731"/>
      <c r="AH360" s="731"/>
      <c r="AI360" s="732">
        <f t="shared" si="51"/>
        <v>1567626</v>
      </c>
      <c r="AJ360" s="733">
        <f t="shared" si="52"/>
        <v>1465071</v>
      </c>
    </row>
    <row r="361" spans="1:36">
      <c r="A361" s="852" t="s">
        <v>197</v>
      </c>
      <c r="B361" s="874" t="s">
        <v>176</v>
      </c>
      <c r="C361" s="875" t="s">
        <v>177</v>
      </c>
      <c r="D361" s="871"/>
      <c r="E361" s="868"/>
      <c r="F361" s="869">
        <v>99</v>
      </c>
      <c r="G361" s="730"/>
      <c r="H361" s="734"/>
      <c r="I361" s="730"/>
      <c r="J361" s="731"/>
      <c r="K361" s="730"/>
      <c r="L361" s="731"/>
      <c r="M361" s="730"/>
      <c r="N361" s="730"/>
      <c r="O361" s="732">
        <f t="shared" si="45"/>
        <v>0</v>
      </c>
      <c r="P361" s="731"/>
      <c r="Q361" s="731"/>
      <c r="R361" s="733">
        <f t="shared" si="48"/>
        <v>0</v>
      </c>
      <c r="S361" s="732">
        <f t="shared" si="49"/>
        <v>0</v>
      </c>
      <c r="T361" s="733">
        <f t="shared" si="50"/>
        <v>0</v>
      </c>
      <c r="U361" s="730"/>
      <c r="V361" s="731"/>
      <c r="W361" s="730"/>
      <c r="X361" s="730"/>
      <c r="Y361" s="732">
        <f t="shared" si="46"/>
        <v>0</v>
      </c>
      <c r="Z361" s="731"/>
      <c r="AA361" s="731"/>
      <c r="AB361" s="733">
        <f t="shared" si="47"/>
        <v>0</v>
      </c>
      <c r="AC361" s="730"/>
      <c r="AD361" s="731"/>
      <c r="AE361" s="730"/>
      <c r="AF361" s="730"/>
      <c r="AG361" s="731"/>
      <c r="AH361" s="731"/>
      <c r="AI361" s="732">
        <f t="shared" si="51"/>
        <v>0</v>
      </c>
      <c r="AJ361" s="733">
        <f t="shared" si="52"/>
        <v>0</v>
      </c>
    </row>
    <row r="362" spans="1:36">
      <c r="A362" s="852" t="s">
        <v>197</v>
      </c>
      <c r="B362" s="874" t="s">
        <v>180</v>
      </c>
      <c r="C362" s="875" t="s">
        <v>165</v>
      </c>
      <c r="D362" s="871"/>
      <c r="E362" s="868"/>
      <c r="F362" s="869">
        <v>99</v>
      </c>
      <c r="G362" s="730"/>
      <c r="H362" s="734"/>
      <c r="I362" s="730"/>
      <c r="J362" s="731"/>
      <c r="K362" s="730"/>
      <c r="L362" s="731"/>
      <c r="M362" s="730"/>
      <c r="N362" s="730"/>
      <c r="O362" s="732">
        <f t="shared" si="45"/>
        <v>0</v>
      </c>
      <c r="P362" s="731"/>
      <c r="Q362" s="731"/>
      <c r="R362" s="733">
        <f t="shared" si="48"/>
        <v>0</v>
      </c>
      <c r="S362" s="732">
        <f t="shared" si="49"/>
        <v>0</v>
      </c>
      <c r="T362" s="733">
        <f t="shared" si="50"/>
        <v>0</v>
      </c>
      <c r="U362" s="730"/>
      <c r="V362" s="731"/>
      <c r="W362" s="730"/>
      <c r="X362" s="730"/>
      <c r="Y362" s="732">
        <f t="shared" si="46"/>
        <v>0</v>
      </c>
      <c r="Z362" s="731"/>
      <c r="AA362" s="731"/>
      <c r="AB362" s="733">
        <f t="shared" si="47"/>
        <v>0</v>
      </c>
      <c r="AC362" s="730"/>
      <c r="AD362" s="731"/>
      <c r="AE362" s="730"/>
      <c r="AF362" s="730"/>
      <c r="AG362" s="731"/>
      <c r="AH362" s="731"/>
      <c r="AI362" s="732">
        <f t="shared" si="51"/>
        <v>0</v>
      </c>
      <c r="AJ362" s="733">
        <f t="shared" si="52"/>
        <v>0</v>
      </c>
    </row>
    <row r="363" spans="1:36">
      <c r="A363" s="852" t="s">
        <v>197</v>
      </c>
      <c r="B363" s="874" t="s">
        <v>178</v>
      </c>
      <c r="C363" s="875" t="s">
        <v>167</v>
      </c>
      <c r="D363" s="871"/>
      <c r="E363" s="868"/>
      <c r="F363" s="869">
        <v>99</v>
      </c>
      <c r="G363" s="730"/>
      <c r="H363" s="734"/>
      <c r="I363" s="730"/>
      <c r="J363" s="731"/>
      <c r="K363" s="730"/>
      <c r="L363" s="731"/>
      <c r="M363" s="730"/>
      <c r="N363" s="730"/>
      <c r="O363" s="732">
        <f t="shared" si="45"/>
        <v>0</v>
      </c>
      <c r="P363" s="731"/>
      <c r="Q363" s="731"/>
      <c r="R363" s="733">
        <f t="shared" si="48"/>
        <v>0</v>
      </c>
      <c r="S363" s="732">
        <f t="shared" si="49"/>
        <v>0</v>
      </c>
      <c r="T363" s="733">
        <f t="shared" si="50"/>
        <v>0</v>
      </c>
      <c r="U363" s="730"/>
      <c r="V363" s="731"/>
      <c r="W363" s="730"/>
      <c r="X363" s="730"/>
      <c r="Y363" s="732">
        <f t="shared" si="46"/>
        <v>0</v>
      </c>
      <c r="Z363" s="731"/>
      <c r="AA363" s="731"/>
      <c r="AB363" s="733">
        <f t="shared" si="47"/>
        <v>0</v>
      </c>
      <c r="AC363" s="730"/>
      <c r="AD363" s="731"/>
      <c r="AE363" s="730"/>
      <c r="AF363" s="730"/>
      <c r="AG363" s="731"/>
      <c r="AH363" s="731"/>
      <c r="AI363" s="732">
        <f t="shared" si="51"/>
        <v>0</v>
      </c>
      <c r="AJ363" s="733">
        <f t="shared" si="52"/>
        <v>0</v>
      </c>
    </row>
    <row r="364" spans="1:36">
      <c r="A364" s="852" t="s">
        <v>197</v>
      </c>
      <c r="B364" s="847" t="s">
        <v>161</v>
      </c>
      <c r="C364" s="873" t="s">
        <v>275</v>
      </c>
      <c r="D364" s="854"/>
      <c r="E364" s="868"/>
      <c r="F364" s="869">
        <v>99</v>
      </c>
      <c r="G364" s="730"/>
      <c r="H364" s="734"/>
      <c r="I364" s="730"/>
      <c r="J364" s="731"/>
      <c r="K364" s="730"/>
      <c r="L364" s="731"/>
      <c r="M364" s="730"/>
      <c r="N364" s="730"/>
      <c r="O364" s="732">
        <f t="shared" si="45"/>
        <v>0</v>
      </c>
      <c r="P364" s="731"/>
      <c r="Q364" s="731"/>
      <c r="R364" s="733">
        <f t="shared" si="48"/>
        <v>0</v>
      </c>
      <c r="S364" s="732">
        <f t="shared" si="49"/>
        <v>0</v>
      </c>
      <c r="T364" s="733">
        <f t="shared" si="50"/>
        <v>0</v>
      </c>
      <c r="U364" s="730"/>
      <c r="V364" s="731"/>
      <c r="W364" s="730"/>
      <c r="X364" s="730"/>
      <c r="Y364" s="732">
        <f t="shared" si="46"/>
        <v>0</v>
      </c>
      <c r="Z364" s="731"/>
      <c r="AA364" s="731"/>
      <c r="AB364" s="733">
        <f t="shared" si="47"/>
        <v>0</v>
      </c>
      <c r="AC364" s="730"/>
      <c r="AD364" s="731"/>
      <c r="AE364" s="730"/>
      <c r="AF364" s="730"/>
      <c r="AG364" s="731"/>
      <c r="AH364" s="731"/>
      <c r="AI364" s="732">
        <f t="shared" si="51"/>
        <v>0</v>
      </c>
      <c r="AJ364" s="733">
        <f t="shared" si="52"/>
        <v>0</v>
      </c>
    </row>
    <row r="365" spans="1:36">
      <c r="A365" s="852" t="s">
        <v>197</v>
      </c>
      <c r="B365" s="874" t="s">
        <v>170</v>
      </c>
      <c r="C365" s="875" t="s">
        <v>171</v>
      </c>
      <c r="D365" s="871"/>
      <c r="E365" s="868"/>
      <c r="F365" s="869">
        <v>99</v>
      </c>
      <c r="G365" s="730"/>
      <c r="H365" s="734"/>
      <c r="I365" s="730"/>
      <c r="J365" s="731"/>
      <c r="K365" s="730"/>
      <c r="L365" s="731"/>
      <c r="M365" s="730"/>
      <c r="N365" s="730"/>
      <c r="O365" s="732">
        <f t="shared" si="45"/>
        <v>0</v>
      </c>
      <c r="P365" s="731"/>
      <c r="Q365" s="731"/>
      <c r="R365" s="733">
        <f t="shared" si="48"/>
        <v>0</v>
      </c>
      <c r="S365" s="732">
        <f t="shared" si="49"/>
        <v>0</v>
      </c>
      <c r="T365" s="733">
        <f t="shared" si="50"/>
        <v>0</v>
      </c>
      <c r="U365" s="730"/>
      <c r="V365" s="731"/>
      <c r="W365" s="730"/>
      <c r="X365" s="730"/>
      <c r="Y365" s="732">
        <f t="shared" si="46"/>
        <v>0</v>
      </c>
      <c r="Z365" s="731"/>
      <c r="AA365" s="731"/>
      <c r="AB365" s="733">
        <f t="shared" si="47"/>
        <v>0</v>
      </c>
      <c r="AC365" s="730"/>
      <c r="AD365" s="731"/>
      <c r="AE365" s="730"/>
      <c r="AF365" s="730"/>
      <c r="AG365" s="731"/>
      <c r="AH365" s="731"/>
      <c r="AI365" s="732">
        <f t="shared" si="51"/>
        <v>0</v>
      </c>
      <c r="AJ365" s="733">
        <f t="shared" si="52"/>
        <v>0</v>
      </c>
    </row>
    <row r="366" spans="1:36">
      <c r="A366" s="852" t="s">
        <v>197</v>
      </c>
      <c r="B366" s="874" t="s">
        <v>172</v>
      </c>
      <c r="C366" s="875" t="s">
        <v>165</v>
      </c>
      <c r="D366" s="871"/>
      <c r="E366" s="868"/>
      <c r="F366" s="869">
        <v>99</v>
      </c>
      <c r="G366" s="730"/>
      <c r="H366" s="734"/>
      <c r="I366" s="730"/>
      <c r="J366" s="731"/>
      <c r="K366" s="730"/>
      <c r="L366" s="731"/>
      <c r="M366" s="730"/>
      <c r="N366" s="730"/>
      <c r="O366" s="732">
        <f t="shared" si="45"/>
        <v>0</v>
      </c>
      <c r="P366" s="731"/>
      <c r="Q366" s="731"/>
      <c r="R366" s="733">
        <f t="shared" si="48"/>
        <v>0</v>
      </c>
      <c r="S366" s="732">
        <f t="shared" si="49"/>
        <v>0</v>
      </c>
      <c r="T366" s="733">
        <f t="shared" si="50"/>
        <v>0</v>
      </c>
      <c r="U366" s="730"/>
      <c r="V366" s="731"/>
      <c r="W366" s="730"/>
      <c r="X366" s="730"/>
      <c r="Y366" s="732">
        <f t="shared" si="46"/>
        <v>0</v>
      </c>
      <c r="Z366" s="731"/>
      <c r="AA366" s="731"/>
      <c r="AB366" s="733">
        <f t="shared" si="47"/>
        <v>0</v>
      </c>
      <c r="AC366" s="730"/>
      <c r="AD366" s="731"/>
      <c r="AE366" s="730"/>
      <c r="AF366" s="730"/>
      <c r="AG366" s="731"/>
      <c r="AH366" s="731"/>
      <c r="AI366" s="732">
        <f t="shared" si="51"/>
        <v>0</v>
      </c>
      <c r="AJ366" s="733">
        <f t="shared" si="52"/>
        <v>0</v>
      </c>
    </row>
    <row r="367" spans="1:36">
      <c r="A367" s="852" t="s">
        <v>197</v>
      </c>
      <c r="B367" s="874" t="s">
        <v>173</v>
      </c>
      <c r="C367" s="875" t="s">
        <v>167</v>
      </c>
      <c r="D367" s="871"/>
      <c r="E367" s="868"/>
      <c r="F367" s="869">
        <v>99</v>
      </c>
      <c r="G367" s="730"/>
      <c r="H367" s="734"/>
      <c r="I367" s="730"/>
      <c r="J367" s="731"/>
      <c r="K367" s="730"/>
      <c r="L367" s="731"/>
      <c r="M367" s="730"/>
      <c r="N367" s="730"/>
      <c r="O367" s="732">
        <f t="shared" si="45"/>
        <v>0</v>
      </c>
      <c r="P367" s="731"/>
      <c r="Q367" s="731"/>
      <c r="R367" s="733">
        <f t="shared" si="48"/>
        <v>0</v>
      </c>
      <c r="S367" s="732">
        <f t="shared" si="49"/>
        <v>0</v>
      </c>
      <c r="T367" s="733">
        <f t="shared" si="50"/>
        <v>0</v>
      </c>
      <c r="U367" s="730">
        <v>1030056</v>
      </c>
      <c r="V367" s="1150">
        <v>1694810</v>
      </c>
      <c r="W367" s="730"/>
      <c r="X367" s="730"/>
      <c r="Y367" s="732">
        <f t="shared" si="46"/>
        <v>0</v>
      </c>
      <c r="Z367" s="731"/>
      <c r="AA367" s="731"/>
      <c r="AB367" s="733">
        <f t="shared" si="47"/>
        <v>0</v>
      </c>
      <c r="AC367" s="730"/>
      <c r="AD367" s="731"/>
      <c r="AE367" s="730"/>
      <c r="AF367" s="730"/>
      <c r="AG367" s="731"/>
      <c r="AH367" s="731"/>
      <c r="AI367" s="732">
        <f t="shared" si="51"/>
        <v>1030056</v>
      </c>
      <c r="AJ367" s="733">
        <f t="shared" si="52"/>
        <v>1694810</v>
      </c>
    </row>
    <row r="368" spans="1:36">
      <c r="A368" s="852" t="s">
        <v>197</v>
      </c>
      <c r="B368" s="874" t="s">
        <v>176</v>
      </c>
      <c r="C368" s="875" t="s">
        <v>177</v>
      </c>
      <c r="D368" s="871"/>
      <c r="E368" s="868"/>
      <c r="F368" s="869">
        <v>99</v>
      </c>
      <c r="G368" s="730"/>
      <c r="H368" s="734"/>
      <c r="I368" s="730"/>
      <c r="J368" s="731"/>
      <c r="K368" s="730"/>
      <c r="L368" s="731"/>
      <c r="M368" s="730"/>
      <c r="N368" s="730"/>
      <c r="O368" s="732">
        <f t="shared" si="45"/>
        <v>0</v>
      </c>
      <c r="P368" s="731"/>
      <c r="Q368" s="731"/>
      <c r="R368" s="733">
        <f t="shared" si="48"/>
        <v>0</v>
      </c>
      <c r="S368" s="732">
        <f t="shared" si="49"/>
        <v>0</v>
      </c>
      <c r="T368" s="733">
        <f t="shared" si="50"/>
        <v>0</v>
      </c>
      <c r="U368" s="730"/>
      <c r="V368" s="731"/>
      <c r="W368" s="730"/>
      <c r="X368" s="730"/>
      <c r="Y368" s="732">
        <f t="shared" si="46"/>
        <v>0</v>
      </c>
      <c r="Z368" s="731"/>
      <c r="AA368" s="731"/>
      <c r="AB368" s="733">
        <f t="shared" si="47"/>
        <v>0</v>
      </c>
      <c r="AC368" s="730"/>
      <c r="AD368" s="731"/>
      <c r="AE368" s="730"/>
      <c r="AF368" s="730"/>
      <c r="AG368" s="731"/>
      <c r="AH368" s="731"/>
      <c r="AI368" s="732">
        <f t="shared" si="51"/>
        <v>0</v>
      </c>
      <c r="AJ368" s="733">
        <f t="shared" si="52"/>
        <v>0</v>
      </c>
    </row>
    <row r="369" spans="1:36">
      <c r="A369" s="852" t="s">
        <v>197</v>
      </c>
      <c r="B369" s="874" t="s">
        <v>180</v>
      </c>
      <c r="C369" s="875" t="s">
        <v>165</v>
      </c>
      <c r="D369" s="871"/>
      <c r="E369" s="868"/>
      <c r="F369" s="869">
        <v>99</v>
      </c>
      <c r="G369" s="730"/>
      <c r="H369" s="734"/>
      <c r="I369" s="730"/>
      <c r="J369" s="731"/>
      <c r="K369" s="730"/>
      <c r="L369" s="731"/>
      <c r="M369" s="730"/>
      <c r="N369" s="730"/>
      <c r="O369" s="732">
        <f t="shared" si="45"/>
        <v>0</v>
      </c>
      <c r="P369" s="731"/>
      <c r="Q369" s="731"/>
      <c r="R369" s="733">
        <f t="shared" si="48"/>
        <v>0</v>
      </c>
      <c r="S369" s="732">
        <f t="shared" si="49"/>
        <v>0</v>
      </c>
      <c r="T369" s="733">
        <f t="shared" si="50"/>
        <v>0</v>
      </c>
      <c r="U369" s="730"/>
      <c r="V369" s="731"/>
      <c r="W369" s="730"/>
      <c r="X369" s="730"/>
      <c r="Y369" s="732">
        <f t="shared" si="46"/>
        <v>0</v>
      </c>
      <c r="Z369" s="731"/>
      <c r="AA369" s="731"/>
      <c r="AB369" s="733">
        <f t="shared" si="47"/>
        <v>0</v>
      </c>
      <c r="AC369" s="730"/>
      <c r="AD369" s="731"/>
      <c r="AE369" s="730"/>
      <c r="AF369" s="730"/>
      <c r="AG369" s="731"/>
      <c r="AH369" s="731"/>
      <c r="AI369" s="732">
        <f t="shared" si="51"/>
        <v>0</v>
      </c>
      <c r="AJ369" s="733">
        <f t="shared" si="52"/>
        <v>0</v>
      </c>
    </row>
    <row r="370" spans="1:36">
      <c r="A370" s="852" t="s">
        <v>197</v>
      </c>
      <c r="B370" s="874" t="s">
        <v>178</v>
      </c>
      <c r="C370" s="875" t="s">
        <v>167</v>
      </c>
      <c r="D370" s="871"/>
      <c r="E370" s="868"/>
      <c r="F370" s="869">
        <v>99</v>
      </c>
      <c r="G370" s="730"/>
      <c r="H370" s="734"/>
      <c r="I370" s="730"/>
      <c r="J370" s="731"/>
      <c r="K370" s="730"/>
      <c r="L370" s="731"/>
      <c r="M370" s="730"/>
      <c r="N370" s="730"/>
      <c r="O370" s="732">
        <f t="shared" si="45"/>
        <v>0</v>
      </c>
      <c r="P370" s="731"/>
      <c r="Q370" s="731"/>
      <c r="R370" s="733">
        <f t="shared" si="48"/>
        <v>0</v>
      </c>
      <c r="S370" s="732">
        <f t="shared" si="49"/>
        <v>0</v>
      </c>
      <c r="T370" s="733">
        <f t="shared" si="50"/>
        <v>0</v>
      </c>
      <c r="U370" s="730">
        <v>2500</v>
      </c>
      <c r="V370" s="731">
        <v>2500</v>
      </c>
      <c r="W370" s="730"/>
      <c r="X370" s="730"/>
      <c r="Y370" s="732">
        <f t="shared" si="46"/>
        <v>0</v>
      </c>
      <c r="Z370" s="731"/>
      <c r="AA370" s="731"/>
      <c r="AB370" s="733">
        <f t="shared" si="47"/>
        <v>0</v>
      </c>
      <c r="AC370" s="730"/>
      <c r="AD370" s="731"/>
      <c r="AE370" s="730"/>
      <c r="AF370" s="730"/>
      <c r="AG370" s="731"/>
      <c r="AH370" s="731"/>
      <c r="AI370" s="732">
        <f t="shared" si="51"/>
        <v>2500</v>
      </c>
      <c r="AJ370" s="733">
        <f t="shared" si="52"/>
        <v>2500</v>
      </c>
    </row>
    <row r="371" spans="1:36">
      <c r="A371" s="852" t="s">
        <v>197</v>
      </c>
      <c r="B371" s="847" t="s">
        <v>161</v>
      </c>
      <c r="C371" s="873" t="s">
        <v>276</v>
      </c>
      <c r="D371" s="854"/>
      <c r="E371" s="868"/>
      <c r="F371" s="869">
        <v>99</v>
      </c>
      <c r="G371" s="730"/>
      <c r="H371" s="734"/>
      <c r="I371" s="730"/>
      <c r="J371" s="731"/>
      <c r="K371" s="730"/>
      <c r="L371" s="731"/>
      <c r="M371" s="730"/>
      <c r="N371" s="730"/>
      <c r="O371" s="732">
        <f t="shared" si="45"/>
        <v>0</v>
      </c>
      <c r="P371" s="731"/>
      <c r="Q371" s="731"/>
      <c r="R371" s="733">
        <f t="shared" si="48"/>
        <v>0</v>
      </c>
      <c r="S371" s="732">
        <f t="shared" si="49"/>
        <v>0</v>
      </c>
      <c r="T371" s="733">
        <f t="shared" si="50"/>
        <v>0</v>
      </c>
      <c r="U371" s="730"/>
      <c r="V371" s="731"/>
      <c r="W371" s="730"/>
      <c r="X371" s="730"/>
      <c r="Y371" s="732">
        <f t="shared" si="46"/>
        <v>0</v>
      </c>
      <c r="Z371" s="731"/>
      <c r="AA371" s="731"/>
      <c r="AB371" s="733">
        <f t="shared" si="47"/>
        <v>0</v>
      </c>
      <c r="AC371" s="730"/>
      <c r="AD371" s="731"/>
      <c r="AE371" s="730"/>
      <c r="AF371" s="730"/>
      <c r="AG371" s="731"/>
      <c r="AH371" s="731"/>
      <c r="AI371" s="732">
        <f t="shared" si="51"/>
        <v>0</v>
      </c>
      <c r="AJ371" s="733">
        <f t="shared" si="52"/>
        <v>0</v>
      </c>
    </row>
    <row r="372" spans="1:36">
      <c r="A372" s="852" t="s">
        <v>197</v>
      </c>
      <c r="B372" s="874" t="s">
        <v>170</v>
      </c>
      <c r="C372" s="875" t="s">
        <v>171</v>
      </c>
      <c r="D372" s="871"/>
      <c r="E372" s="868"/>
      <c r="F372" s="869">
        <v>99</v>
      </c>
      <c r="G372" s="730"/>
      <c r="H372" s="734"/>
      <c r="I372" s="730"/>
      <c r="J372" s="731"/>
      <c r="K372" s="730"/>
      <c r="L372" s="731"/>
      <c r="M372" s="730"/>
      <c r="N372" s="730"/>
      <c r="O372" s="732">
        <f t="shared" si="45"/>
        <v>0</v>
      </c>
      <c r="P372" s="731"/>
      <c r="Q372" s="731"/>
      <c r="R372" s="733">
        <f t="shared" si="48"/>
        <v>0</v>
      </c>
      <c r="S372" s="732">
        <f t="shared" si="49"/>
        <v>0</v>
      </c>
      <c r="T372" s="733">
        <f t="shared" si="50"/>
        <v>0</v>
      </c>
      <c r="U372" s="730">
        <v>0</v>
      </c>
      <c r="V372" s="731">
        <v>0</v>
      </c>
      <c r="W372" s="730"/>
      <c r="X372" s="730"/>
      <c r="Y372" s="732">
        <f t="shared" si="46"/>
        <v>0</v>
      </c>
      <c r="Z372" s="731"/>
      <c r="AA372" s="731"/>
      <c r="AB372" s="733">
        <f t="shared" si="47"/>
        <v>0</v>
      </c>
      <c r="AC372" s="730"/>
      <c r="AD372" s="731"/>
      <c r="AE372" s="730"/>
      <c r="AF372" s="730"/>
      <c r="AG372" s="731"/>
      <c r="AH372" s="731"/>
      <c r="AI372" s="732">
        <f t="shared" si="51"/>
        <v>0</v>
      </c>
      <c r="AJ372" s="733">
        <f t="shared" si="52"/>
        <v>0</v>
      </c>
    </row>
    <row r="373" spans="1:36">
      <c r="A373" s="852" t="s">
        <v>197</v>
      </c>
      <c r="B373" s="874" t="s">
        <v>172</v>
      </c>
      <c r="C373" s="875" t="s">
        <v>165</v>
      </c>
      <c r="D373" s="871"/>
      <c r="E373" s="868"/>
      <c r="F373" s="869">
        <v>99</v>
      </c>
      <c r="G373" s="730"/>
      <c r="H373" s="734"/>
      <c r="I373" s="730"/>
      <c r="J373" s="731"/>
      <c r="K373" s="730"/>
      <c r="L373" s="731"/>
      <c r="M373" s="730"/>
      <c r="N373" s="730"/>
      <c r="O373" s="732">
        <f t="shared" si="45"/>
        <v>0</v>
      </c>
      <c r="P373" s="731"/>
      <c r="Q373" s="731"/>
      <c r="R373" s="733">
        <f t="shared" si="48"/>
        <v>0</v>
      </c>
      <c r="S373" s="732">
        <f t="shared" si="49"/>
        <v>0</v>
      </c>
      <c r="T373" s="733">
        <f t="shared" si="50"/>
        <v>0</v>
      </c>
      <c r="U373" s="730"/>
      <c r="V373" s="731"/>
      <c r="W373" s="730"/>
      <c r="X373" s="730"/>
      <c r="Y373" s="732">
        <f t="shared" si="46"/>
        <v>0</v>
      </c>
      <c r="Z373" s="731"/>
      <c r="AA373" s="731"/>
      <c r="AB373" s="733">
        <f t="shared" si="47"/>
        <v>0</v>
      </c>
      <c r="AC373" s="730"/>
      <c r="AD373" s="731"/>
      <c r="AE373" s="730"/>
      <c r="AF373" s="730"/>
      <c r="AG373" s="731"/>
      <c r="AH373" s="731"/>
      <c r="AI373" s="732">
        <f t="shared" si="51"/>
        <v>0</v>
      </c>
      <c r="AJ373" s="733">
        <f t="shared" si="52"/>
        <v>0</v>
      </c>
    </row>
    <row r="374" spans="1:36">
      <c r="A374" s="852" t="s">
        <v>197</v>
      </c>
      <c r="B374" s="874" t="s">
        <v>173</v>
      </c>
      <c r="C374" s="875" t="s">
        <v>167</v>
      </c>
      <c r="D374" s="871"/>
      <c r="E374" s="868"/>
      <c r="F374" s="869">
        <v>99</v>
      </c>
      <c r="G374" s="730"/>
      <c r="H374" s="734"/>
      <c r="I374" s="730"/>
      <c r="J374" s="731"/>
      <c r="K374" s="730"/>
      <c r="L374" s="731"/>
      <c r="M374" s="730"/>
      <c r="N374" s="730"/>
      <c r="O374" s="732">
        <f t="shared" si="45"/>
        <v>0</v>
      </c>
      <c r="P374" s="731"/>
      <c r="Q374" s="731"/>
      <c r="R374" s="733">
        <f t="shared" si="48"/>
        <v>0</v>
      </c>
      <c r="S374" s="732">
        <f t="shared" si="49"/>
        <v>0</v>
      </c>
      <c r="T374" s="733">
        <f t="shared" si="50"/>
        <v>0</v>
      </c>
      <c r="U374" s="730"/>
      <c r="V374" s="731"/>
      <c r="W374" s="730"/>
      <c r="X374" s="730"/>
      <c r="Y374" s="732">
        <f t="shared" si="46"/>
        <v>0</v>
      </c>
      <c r="Z374" s="731"/>
      <c r="AA374" s="731"/>
      <c r="AB374" s="733">
        <f t="shared" si="47"/>
        <v>0</v>
      </c>
      <c r="AC374" s="730"/>
      <c r="AD374" s="731"/>
      <c r="AE374" s="730"/>
      <c r="AF374" s="730"/>
      <c r="AG374" s="731"/>
      <c r="AH374" s="731"/>
      <c r="AI374" s="732">
        <f t="shared" si="51"/>
        <v>0</v>
      </c>
      <c r="AJ374" s="733">
        <f t="shared" si="52"/>
        <v>0</v>
      </c>
    </row>
    <row r="375" spans="1:36">
      <c r="A375" s="852" t="s">
        <v>197</v>
      </c>
      <c r="B375" s="874" t="s">
        <v>176</v>
      </c>
      <c r="C375" s="875" t="s">
        <v>177</v>
      </c>
      <c r="D375" s="871"/>
      <c r="E375" s="868"/>
      <c r="F375" s="869">
        <v>99</v>
      </c>
      <c r="G375" s="730"/>
      <c r="H375" s="734"/>
      <c r="I375" s="730"/>
      <c r="J375" s="731"/>
      <c r="K375" s="730"/>
      <c r="L375" s="731"/>
      <c r="M375" s="730"/>
      <c r="N375" s="730"/>
      <c r="O375" s="732">
        <f t="shared" si="45"/>
        <v>0</v>
      </c>
      <c r="P375" s="731"/>
      <c r="Q375" s="731"/>
      <c r="R375" s="733">
        <f t="shared" si="48"/>
        <v>0</v>
      </c>
      <c r="S375" s="732">
        <f t="shared" si="49"/>
        <v>0</v>
      </c>
      <c r="T375" s="733">
        <f t="shared" si="50"/>
        <v>0</v>
      </c>
      <c r="U375" s="730"/>
      <c r="V375" s="731"/>
      <c r="W375" s="730"/>
      <c r="X375" s="730"/>
      <c r="Y375" s="732">
        <f t="shared" si="46"/>
        <v>0</v>
      </c>
      <c r="Z375" s="731"/>
      <c r="AA375" s="731"/>
      <c r="AB375" s="733">
        <f t="shared" si="47"/>
        <v>0</v>
      </c>
      <c r="AC375" s="730"/>
      <c r="AD375" s="731"/>
      <c r="AE375" s="730"/>
      <c r="AF375" s="730"/>
      <c r="AG375" s="731"/>
      <c r="AH375" s="731"/>
      <c r="AI375" s="732">
        <f t="shared" si="51"/>
        <v>0</v>
      </c>
      <c r="AJ375" s="733">
        <f t="shared" si="52"/>
        <v>0</v>
      </c>
    </row>
    <row r="376" spans="1:36">
      <c r="A376" s="852" t="s">
        <v>197</v>
      </c>
      <c r="B376" s="874" t="s">
        <v>180</v>
      </c>
      <c r="C376" s="875" t="s">
        <v>165</v>
      </c>
      <c r="D376" s="871"/>
      <c r="E376" s="868"/>
      <c r="F376" s="869">
        <v>99</v>
      </c>
      <c r="G376" s="730"/>
      <c r="H376" s="734"/>
      <c r="I376" s="730"/>
      <c r="J376" s="731"/>
      <c r="K376" s="730"/>
      <c r="L376" s="731"/>
      <c r="M376" s="730"/>
      <c r="N376" s="730"/>
      <c r="O376" s="732">
        <f t="shared" si="45"/>
        <v>0</v>
      </c>
      <c r="P376" s="731"/>
      <c r="Q376" s="731"/>
      <c r="R376" s="733">
        <f t="shared" si="48"/>
        <v>0</v>
      </c>
      <c r="S376" s="732">
        <f t="shared" si="49"/>
        <v>0</v>
      </c>
      <c r="T376" s="733">
        <f t="shared" si="50"/>
        <v>0</v>
      </c>
      <c r="U376" s="730"/>
      <c r="V376" s="731"/>
      <c r="W376" s="730"/>
      <c r="X376" s="730"/>
      <c r="Y376" s="732">
        <f t="shared" si="46"/>
        <v>0</v>
      </c>
      <c r="Z376" s="731"/>
      <c r="AA376" s="731"/>
      <c r="AB376" s="733">
        <f t="shared" si="47"/>
        <v>0</v>
      </c>
      <c r="AC376" s="730"/>
      <c r="AD376" s="731"/>
      <c r="AE376" s="730"/>
      <c r="AF376" s="730"/>
      <c r="AG376" s="731"/>
      <c r="AH376" s="731"/>
      <c r="AI376" s="732">
        <f t="shared" si="51"/>
        <v>0</v>
      </c>
      <c r="AJ376" s="733">
        <f t="shared" si="52"/>
        <v>0</v>
      </c>
    </row>
    <row r="377" spans="1:36">
      <c r="A377" s="852" t="s">
        <v>197</v>
      </c>
      <c r="B377" s="874" t="s">
        <v>178</v>
      </c>
      <c r="C377" s="875" t="s">
        <v>167</v>
      </c>
      <c r="D377" s="871"/>
      <c r="E377" s="868"/>
      <c r="F377" s="869">
        <v>99</v>
      </c>
      <c r="G377" s="730"/>
      <c r="H377" s="734"/>
      <c r="I377" s="730"/>
      <c r="J377" s="731"/>
      <c r="K377" s="730"/>
      <c r="L377" s="731"/>
      <c r="M377" s="730"/>
      <c r="N377" s="730"/>
      <c r="O377" s="732">
        <f t="shared" si="45"/>
        <v>0</v>
      </c>
      <c r="P377" s="731"/>
      <c r="Q377" s="731"/>
      <c r="R377" s="733">
        <f t="shared" si="48"/>
        <v>0</v>
      </c>
      <c r="S377" s="732">
        <f t="shared" si="49"/>
        <v>0</v>
      </c>
      <c r="T377" s="733">
        <f t="shared" si="50"/>
        <v>0</v>
      </c>
      <c r="U377" s="730"/>
      <c r="V377" s="731"/>
      <c r="W377" s="730"/>
      <c r="X377" s="730"/>
      <c r="Y377" s="732">
        <f t="shared" si="46"/>
        <v>0</v>
      </c>
      <c r="Z377" s="731"/>
      <c r="AA377" s="731"/>
      <c r="AB377" s="733">
        <f t="shared" si="47"/>
        <v>0</v>
      </c>
      <c r="AC377" s="730"/>
      <c r="AD377" s="731"/>
      <c r="AE377" s="730"/>
      <c r="AF377" s="730"/>
      <c r="AG377" s="731"/>
      <c r="AH377" s="731"/>
      <c r="AI377" s="732">
        <f t="shared" si="51"/>
        <v>0</v>
      </c>
      <c r="AJ377" s="733">
        <f t="shared" si="52"/>
        <v>0</v>
      </c>
    </row>
    <row r="378" spans="1:36">
      <c r="A378" s="852" t="s">
        <v>197</v>
      </c>
      <c r="B378" s="847" t="s">
        <v>161</v>
      </c>
      <c r="C378" s="873" t="s">
        <v>277</v>
      </c>
      <c r="D378" s="854"/>
      <c r="E378" s="868"/>
      <c r="F378" s="869">
        <v>99</v>
      </c>
      <c r="G378" s="730"/>
      <c r="H378" s="734"/>
      <c r="I378" s="730"/>
      <c r="J378" s="731"/>
      <c r="K378" s="730"/>
      <c r="L378" s="731"/>
      <c r="M378" s="730"/>
      <c r="N378" s="730"/>
      <c r="O378" s="732">
        <f t="shared" si="45"/>
        <v>0</v>
      </c>
      <c r="P378" s="731"/>
      <c r="Q378" s="731"/>
      <c r="R378" s="733">
        <f t="shared" si="48"/>
        <v>0</v>
      </c>
      <c r="S378" s="732">
        <f t="shared" si="49"/>
        <v>0</v>
      </c>
      <c r="T378" s="733">
        <f t="shared" si="50"/>
        <v>0</v>
      </c>
      <c r="U378" s="730"/>
      <c r="V378" s="731"/>
      <c r="W378" s="730"/>
      <c r="X378" s="730"/>
      <c r="Y378" s="732">
        <f t="shared" si="46"/>
        <v>0</v>
      </c>
      <c r="Z378" s="731"/>
      <c r="AA378" s="731"/>
      <c r="AB378" s="733">
        <f t="shared" si="47"/>
        <v>0</v>
      </c>
      <c r="AC378" s="730"/>
      <c r="AD378" s="731"/>
      <c r="AE378" s="730"/>
      <c r="AF378" s="730"/>
      <c r="AG378" s="731"/>
      <c r="AH378" s="731"/>
      <c r="AI378" s="732">
        <f t="shared" si="51"/>
        <v>0</v>
      </c>
      <c r="AJ378" s="733">
        <f t="shared" si="52"/>
        <v>0</v>
      </c>
    </row>
    <row r="379" spans="1:36">
      <c r="A379" s="852" t="s">
        <v>197</v>
      </c>
      <c r="B379" s="874" t="s">
        <v>170</v>
      </c>
      <c r="C379" s="875" t="s">
        <v>171</v>
      </c>
      <c r="D379" s="871"/>
      <c r="E379" s="868"/>
      <c r="F379" s="869">
        <v>99</v>
      </c>
      <c r="G379" s="730"/>
      <c r="H379" s="734"/>
      <c r="I379" s="730"/>
      <c r="J379" s="731"/>
      <c r="K379" s="730"/>
      <c r="L379" s="731"/>
      <c r="M379" s="730"/>
      <c r="N379" s="730"/>
      <c r="O379" s="732">
        <f t="shared" si="45"/>
        <v>0</v>
      </c>
      <c r="P379" s="731"/>
      <c r="Q379" s="731"/>
      <c r="R379" s="733">
        <f t="shared" si="48"/>
        <v>0</v>
      </c>
      <c r="S379" s="732">
        <f t="shared" si="49"/>
        <v>0</v>
      </c>
      <c r="T379" s="733">
        <f t="shared" si="50"/>
        <v>0</v>
      </c>
      <c r="U379" s="730"/>
      <c r="V379" s="731"/>
      <c r="W379" s="730"/>
      <c r="X379" s="730"/>
      <c r="Y379" s="732">
        <f t="shared" si="46"/>
        <v>0</v>
      </c>
      <c r="Z379" s="731"/>
      <c r="AA379" s="731"/>
      <c r="AB379" s="733">
        <f t="shared" si="47"/>
        <v>0</v>
      </c>
      <c r="AC379" s="730"/>
      <c r="AD379" s="731"/>
      <c r="AE379" s="730"/>
      <c r="AF379" s="730"/>
      <c r="AG379" s="731"/>
      <c r="AH379" s="731"/>
      <c r="AI379" s="732">
        <f t="shared" si="51"/>
        <v>0</v>
      </c>
      <c r="AJ379" s="733">
        <f t="shared" si="52"/>
        <v>0</v>
      </c>
    </row>
    <row r="380" spans="1:36">
      <c r="A380" s="852" t="s">
        <v>197</v>
      </c>
      <c r="B380" s="874" t="s">
        <v>172</v>
      </c>
      <c r="C380" s="875" t="s">
        <v>165</v>
      </c>
      <c r="D380" s="871"/>
      <c r="E380" s="868"/>
      <c r="F380" s="869">
        <v>99</v>
      </c>
      <c r="G380" s="730"/>
      <c r="H380" s="734"/>
      <c r="I380" s="730"/>
      <c r="J380" s="731"/>
      <c r="K380" s="730"/>
      <c r="L380" s="731"/>
      <c r="M380" s="730"/>
      <c r="N380" s="730"/>
      <c r="O380" s="732">
        <f t="shared" si="45"/>
        <v>0</v>
      </c>
      <c r="P380" s="731"/>
      <c r="Q380" s="731"/>
      <c r="R380" s="733">
        <f t="shared" si="48"/>
        <v>0</v>
      </c>
      <c r="S380" s="732">
        <f t="shared" si="49"/>
        <v>0</v>
      </c>
      <c r="T380" s="733">
        <f t="shared" si="50"/>
        <v>0</v>
      </c>
      <c r="U380" s="730"/>
      <c r="V380" s="731"/>
      <c r="W380" s="730"/>
      <c r="X380" s="730"/>
      <c r="Y380" s="732">
        <f t="shared" si="46"/>
        <v>0</v>
      </c>
      <c r="Z380" s="731"/>
      <c r="AA380" s="731"/>
      <c r="AB380" s="733">
        <f t="shared" si="47"/>
        <v>0</v>
      </c>
      <c r="AC380" s="730"/>
      <c r="AD380" s="731"/>
      <c r="AE380" s="730"/>
      <c r="AF380" s="730"/>
      <c r="AG380" s="731"/>
      <c r="AH380" s="731"/>
      <c r="AI380" s="732">
        <f t="shared" si="51"/>
        <v>0</v>
      </c>
      <c r="AJ380" s="733">
        <f t="shared" si="52"/>
        <v>0</v>
      </c>
    </row>
    <row r="381" spans="1:36">
      <c r="A381" s="852" t="s">
        <v>197</v>
      </c>
      <c r="B381" s="874" t="s">
        <v>173</v>
      </c>
      <c r="C381" s="875" t="s">
        <v>167</v>
      </c>
      <c r="D381" s="871"/>
      <c r="E381" s="868"/>
      <c r="F381" s="869">
        <v>99</v>
      </c>
      <c r="G381" s="730"/>
      <c r="H381" s="734"/>
      <c r="I381" s="730"/>
      <c r="J381" s="731"/>
      <c r="K381" s="730"/>
      <c r="L381" s="731"/>
      <c r="M381" s="730"/>
      <c r="N381" s="730"/>
      <c r="O381" s="732">
        <f t="shared" si="45"/>
        <v>0</v>
      </c>
      <c r="P381" s="731"/>
      <c r="Q381" s="731"/>
      <c r="R381" s="733">
        <f t="shared" si="48"/>
        <v>0</v>
      </c>
      <c r="S381" s="732">
        <f t="shared" si="49"/>
        <v>0</v>
      </c>
      <c r="T381" s="733">
        <f t="shared" si="50"/>
        <v>0</v>
      </c>
      <c r="U381" s="730"/>
      <c r="V381" s="731"/>
      <c r="W381" s="730"/>
      <c r="X381" s="730"/>
      <c r="Y381" s="732">
        <f t="shared" si="46"/>
        <v>0</v>
      </c>
      <c r="Z381" s="731"/>
      <c r="AA381" s="731"/>
      <c r="AB381" s="733">
        <f t="shared" si="47"/>
        <v>0</v>
      </c>
      <c r="AC381" s="730"/>
      <c r="AD381" s="731"/>
      <c r="AE381" s="730"/>
      <c r="AF381" s="730"/>
      <c r="AG381" s="731"/>
      <c r="AH381" s="731"/>
      <c r="AI381" s="732">
        <f t="shared" si="51"/>
        <v>0</v>
      </c>
      <c r="AJ381" s="733">
        <f t="shared" si="52"/>
        <v>0</v>
      </c>
    </row>
    <row r="382" spans="1:36">
      <c r="A382" s="852" t="s">
        <v>197</v>
      </c>
      <c r="B382" s="874" t="s">
        <v>176</v>
      </c>
      <c r="C382" s="875" t="s">
        <v>177</v>
      </c>
      <c r="D382" s="871"/>
      <c r="E382" s="868"/>
      <c r="F382" s="869">
        <v>99</v>
      </c>
      <c r="G382" s="730"/>
      <c r="H382" s="734"/>
      <c r="I382" s="730"/>
      <c r="J382" s="731"/>
      <c r="K382" s="730"/>
      <c r="L382" s="731"/>
      <c r="M382" s="730"/>
      <c r="N382" s="730"/>
      <c r="O382" s="732">
        <f t="shared" si="45"/>
        <v>0</v>
      </c>
      <c r="P382" s="731"/>
      <c r="Q382" s="731"/>
      <c r="R382" s="733">
        <f t="shared" si="48"/>
        <v>0</v>
      </c>
      <c r="S382" s="732">
        <f t="shared" si="49"/>
        <v>0</v>
      </c>
      <c r="T382" s="733">
        <f t="shared" si="50"/>
        <v>0</v>
      </c>
      <c r="U382" s="730"/>
      <c r="V382" s="731"/>
      <c r="W382" s="730"/>
      <c r="X382" s="730"/>
      <c r="Y382" s="732">
        <f t="shared" si="46"/>
        <v>0</v>
      </c>
      <c r="Z382" s="731"/>
      <c r="AA382" s="731"/>
      <c r="AB382" s="733">
        <f t="shared" si="47"/>
        <v>0</v>
      </c>
      <c r="AC382" s="730"/>
      <c r="AD382" s="731"/>
      <c r="AE382" s="730"/>
      <c r="AF382" s="730"/>
      <c r="AG382" s="731"/>
      <c r="AH382" s="731"/>
      <c r="AI382" s="732">
        <f t="shared" si="51"/>
        <v>0</v>
      </c>
      <c r="AJ382" s="733">
        <f t="shared" si="52"/>
        <v>0</v>
      </c>
    </row>
    <row r="383" spans="1:36">
      <c r="A383" s="852" t="s">
        <v>197</v>
      </c>
      <c r="B383" s="874" t="s">
        <v>180</v>
      </c>
      <c r="C383" s="875" t="s">
        <v>165</v>
      </c>
      <c r="D383" s="871"/>
      <c r="E383" s="868"/>
      <c r="F383" s="869">
        <v>99</v>
      </c>
      <c r="G383" s="730"/>
      <c r="H383" s="734"/>
      <c r="I383" s="730"/>
      <c r="J383" s="731"/>
      <c r="K383" s="730"/>
      <c r="L383" s="731"/>
      <c r="M383" s="730"/>
      <c r="N383" s="730"/>
      <c r="O383" s="732">
        <f t="shared" si="45"/>
        <v>0</v>
      </c>
      <c r="P383" s="731"/>
      <c r="Q383" s="731"/>
      <c r="R383" s="733">
        <f t="shared" si="48"/>
        <v>0</v>
      </c>
      <c r="S383" s="732">
        <f t="shared" si="49"/>
        <v>0</v>
      </c>
      <c r="T383" s="733">
        <f t="shared" si="50"/>
        <v>0</v>
      </c>
      <c r="U383" s="730"/>
      <c r="V383" s="731"/>
      <c r="W383" s="730"/>
      <c r="X383" s="730"/>
      <c r="Y383" s="732">
        <f t="shared" si="46"/>
        <v>0</v>
      </c>
      <c r="Z383" s="731"/>
      <c r="AA383" s="731"/>
      <c r="AB383" s="733">
        <f t="shared" si="47"/>
        <v>0</v>
      </c>
      <c r="AC383" s="730"/>
      <c r="AD383" s="731"/>
      <c r="AE383" s="730"/>
      <c r="AF383" s="730"/>
      <c r="AG383" s="731"/>
      <c r="AH383" s="731"/>
      <c r="AI383" s="732">
        <f t="shared" si="51"/>
        <v>0</v>
      </c>
      <c r="AJ383" s="733">
        <f t="shared" si="52"/>
        <v>0</v>
      </c>
    </row>
    <row r="384" spans="1:36">
      <c r="A384" s="852" t="s">
        <v>197</v>
      </c>
      <c r="B384" s="874" t="s">
        <v>178</v>
      </c>
      <c r="C384" s="875" t="s">
        <v>167</v>
      </c>
      <c r="D384" s="871"/>
      <c r="E384" s="868"/>
      <c r="F384" s="869">
        <v>99</v>
      </c>
      <c r="G384" s="730"/>
      <c r="H384" s="734"/>
      <c r="I384" s="730"/>
      <c r="J384" s="731"/>
      <c r="K384" s="730"/>
      <c r="L384" s="731"/>
      <c r="M384" s="730"/>
      <c r="N384" s="730"/>
      <c r="O384" s="732">
        <f t="shared" si="45"/>
        <v>0</v>
      </c>
      <c r="P384" s="731"/>
      <c r="Q384" s="731"/>
      <c r="R384" s="733">
        <f t="shared" si="48"/>
        <v>0</v>
      </c>
      <c r="S384" s="732">
        <f t="shared" si="49"/>
        <v>0</v>
      </c>
      <c r="T384" s="733">
        <f t="shared" si="50"/>
        <v>0</v>
      </c>
      <c r="U384" s="730"/>
      <c r="V384" s="731"/>
      <c r="W384" s="730"/>
      <c r="X384" s="730"/>
      <c r="Y384" s="732">
        <f t="shared" si="46"/>
        <v>0</v>
      </c>
      <c r="Z384" s="731"/>
      <c r="AA384" s="731"/>
      <c r="AB384" s="733">
        <f t="shared" si="47"/>
        <v>0</v>
      </c>
      <c r="AC384" s="730"/>
      <c r="AD384" s="731"/>
      <c r="AE384" s="730"/>
      <c r="AF384" s="730"/>
      <c r="AG384" s="731"/>
      <c r="AH384" s="731"/>
      <c r="AI384" s="732">
        <f t="shared" si="51"/>
        <v>0</v>
      </c>
      <c r="AJ384" s="733">
        <f t="shared" si="52"/>
        <v>0</v>
      </c>
    </row>
    <row r="385" spans="1:36">
      <c r="A385" s="852" t="s">
        <v>197</v>
      </c>
      <c r="B385" s="847" t="s">
        <v>161</v>
      </c>
      <c r="C385" s="873" t="s">
        <v>278</v>
      </c>
      <c r="D385" s="854"/>
      <c r="E385" s="868"/>
      <c r="F385" s="869">
        <v>99</v>
      </c>
      <c r="G385" s="730"/>
      <c r="H385" s="734"/>
      <c r="I385" s="730"/>
      <c r="J385" s="731"/>
      <c r="K385" s="730"/>
      <c r="L385" s="731"/>
      <c r="M385" s="730"/>
      <c r="N385" s="730"/>
      <c r="O385" s="732">
        <f t="shared" si="45"/>
        <v>0</v>
      </c>
      <c r="P385" s="731"/>
      <c r="Q385" s="731"/>
      <c r="R385" s="733">
        <f t="shared" si="48"/>
        <v>0</v>
      </c>
      <c r="S385" s="732">
        <f t="shared" si="49"/>
        <v>0</v>
      </c>
      <c r="T385" s="733">
        <f t="shared" si="50"/>
        <v>0</v>
      </c>
      <c r="U385" s="730"/>
      <c r="V385" s="731"/>
      <c r="W385" s="730"/>
      <c r="X385" s="730"/>
      <c r="Y385" s="732">
        <f t="shared" si="46"/>
        <v>0</v>
      </c>
      <c r="Z385" s="731"/>
      <c r="AA385" s="731"/>
      <c r="AB385" s="733">
        <f t="shared" si="47"/>
        <v>0</v>
      </c>
      <c r="AC385" s="730"/>
      <c r="AD385" s="731"/>
      <c r="AE385" s="730"/>
      <c r="AF385" s="730"/>
      <c r="AG385" s="731"/>
      <c r="AH385" s="731"/>
      <c r="AI385" s="732">
        <f t="shared" si="51"/>
        <v>0</v>
      </c>
      <c r="AJ385" s="733">
        <f t="shared" si="52"/>
        <v>0</v>
      </c>
    </row>
    <row r="386" spans="1:36">
      <c r="A386" s="852" t="s">
        <v>197</v>
      </c>
      <c r="B386" s="874" t="s">
        <v>164</v>
      </c>
      <c r="C386" s="875" t="s">
        <v>165</v>
      </c>
      <c r="D386" s="871"/>
      <c r="E386" s="868"/>
      <c r="F386" s="869">
        <v>99</v>
      </c>
      <c r="G386" s="730"/>
      <c r="H386" s="734"/>
      <c r="I386" s="730"/>
      <c r="J386" s="731"/>
      <c r="K386" s="730"/>
      <c r="L386" s="731"/>
      <c r="M386" s="730"/>
      <c r="N386" s="730"/>
      <c r="O386" s="732">
        <f t="shared" si="45"/>
        <v>0</v>
      </c>
      <c r="P386" s="731"/>
      <c r="Q386" s="731"/>
      <c r="R386" s="733">
        <f t="shared" si="48"/>
        <v>0</v>
      </c>
      <c r="S386" s="732">
        <f t="shared" si="49"/>
        <v>0</v>
      </c>
      <c r="T386" s="733">
        <f t="shared" si="50"/>
        <v>0</v>
      </c>
      <c r="U386" s="730"/>
      <c r="V386" s="731"/>
      <c r="W386" s="730"/>
      <c r="X386" s="730"/>
      <c r="Y386" s="732">
        <f t="shared" si="46"/>
        <v>0</v>
      </c>
      <c r="Z386" s="731"/>
      <c r="AA386" s="731"/>
      <c r="AB386" s="733">
        <f t="shared" si="47"/>
        <v>0</v>
      </c>
      <c r="AC386" s="730"/>
      <c r="AD386" s="731"/>
      <c r="AE386" s="730"/>
      <c r="AF386" s="730"/>
      <c r="AG386" s="731"/>
      <c r="AH386" s="731"/>
      <c r="AI386" s="732">
        <f t="shared" si="51"/>
        <v>0</v>
      </c>
      <c r="AJ386" s="733">
        <f t="shared" si="52"/>
        <v>0</v>
      </c>
    </row>
    <row r="387" spans="1:36">
      <c r="A387" s="852" t="s">
        <v>197</v>
      </c>
      <c r="B387" s="874" t="s">
        <v>166</v>
      </c>
      <c r="C387" s="875" t="s">
        <v>167</v>
      </c>
      <c r="D387" s="871"/>
      <c r="E387" s="868"/>
      <c r="F387" s="869">
        <v>99</v>
      </c>
      <c r="G387" s="730"/>
      <c r="H387" s="734"/>
      <c r="I387" s="730"/>
      <c r="J387" s="731"/>
      <c r="K387" s="730"/>
      <c r="L387" s="731"/>
      <c r="M387" s="730"/>
      <c r="N387" s="730"/>
      <c r="O387" s="732">
        <f t="shared" si="45"/>
        <v>0</v>
      </c>
      <c r="P387" s="731"/>
      <c r="Q387" s="731"/>
      <c r="R387" s="733">
        <f t="shared" si="48"/>
        <v>0</v>
      </c>
      <c r="S387" s="732">
        <f t="shared" si="49"/>
        <v>0</v>
      </c>
      <c r="T387" s="733">
        <f t="shared" si="50"/>
        <v>0</v>
      </c>
      <c r="U387" s="730">
        <v>175000</v>
      </c>
      <c r="V387" s="731">
        <v>175000</v>
      </c>
      <c r="W387" s="730"/>
      <c r="X387" s="730"/>
      <c r="Y387" s="732">
        <f t="shared" si="46"/>
        <v>0</v>
      </c>
      <c r="Z387" s="731"/>
      <c r="AA387" s="731"/>
      <c r="AB387" s="733">
        <f t="shared" si="47"/>
        <v>0</v>
      </c>
      <c r="AC387" s="730"/>
      <c r="AD387" s="731"/>
      <c r="AE387" s="730"/>
      <c r="AF387" s="730"/>
      <c r="AG387" s="731"/>
      <c r="AH387" s="731"/>
      <c r="AI387" s="732">
        <f t="shared" si="51"/>
        <v>175000</v>
      </c>
      <c r="AJ387" s="733">
        <f t="shared" si="52"/>
        <v>175000</v>
      </c>
    </row>
    <row r="388" spans="1:36">
      <c r="A388" s="852" t="s">
        <v>197</v>
      </c>
      <c r="B388" s="874" t="s">
        <v>170</v>
      </c>
      <c r="C388" s="875" t="s">
        <v>171</v>
      </c>
      <c r="D388" s="871"/>
      <c r="E388" s="868"/>
      <c r="F388" s="869">
        <v>99</v>
      </c>
      <c r="G388" s="730"/>
      <c r="H388" s="734"/>
      <c r="I388" s="730"/>
      <c r="J388" s="731"/>
      <c r="K388" s="730"/>
      <c r="L388" s="731"/>
      <c r="M388" s="730"/>
      <c r="N388" s="730"/>
      <c r="O388" s="732">
        <f t="shared" si="45"/>
        <v>0</v>
      </c>
      <c r="P388" s="731"/>
      <c r="Q388" s="731"/>
      <c r="R388" s="733">
        <f t="shared" si="48"/>
        <v>0</v>
      </c>
      <c r="S388" s="732">
        <f t="shared" si="49"/>
        <v>0</v>
      </c>
      <c r="T388" s="733">
        <f t="shared" si="50"/>
        <v>0</v>
      </c>
      <c r="U388" s="730"/>
      <c r="V388" s="731"/>
      <c r="W388" s="730"/>
      <c r="X388" s="730"/>
      <c r="Y388" s="732">
        <f t="shared" si="46"/>
        <v>0</v>
      </c>
      <c r="Z388" s="731"/>
      <c r="AA388" s="731"/>
      <c r="AB388" s="733">
        <f t="shared" si="47"/>
        <v>0</v>
      </c>
      <c r="AC388" s="730"/>
      <c r="AD388" s="731"/>
      <c r="AE388" s="730"/>
      <c r="AF388" s="730"/>
      <c r="AG388" s="731"/>
      <c r="AH388" s="731"/>
      <c r="AI388" s="732">
        <f t="shared" si="51"/>
        <v>0</v>
      </c>
      <c r="AJ388" s="733">
        <f t="shared" si="52"/>
        <v>0</v>
      </c>
    </row>
    <row r="389" spans="1:36">
      <c r="A389" s="852" t="s">
        <v>197</v>
      </c>
      <c r="B389" s="874" t="s">
        <v>172</v>
      </c>
      <c r="C389" s="875" t="s">
        <v>165</v>
      </c>
      <c r="D389" s="871"/>
      <c r="E389" s="868"/>
      <c r="F389" s="869">
        <v>99</v>
      </c>
      <c r="G389" s="730"/>
      <c r="H389" s="734"/>
      <c r="I389" s="730"/>
      <c r="J389" s="731"/>
      <c r="K389" s="730"/>
      <c r="L389" s="731"/>
      <c r="M389" s="730"/>
      <c r="N389" s="730"/>
      <c r="O389" s="732">
        <f t="shared" si="45"/>
        <v>0</v>
      </c>
      <c r="P389" s="731"/>
      <c r="Q389" s="731"/>
      <c r="R389" s="733">
        <f t="shared" si="48"/>
        <v>0</v>
      </c>
      <c r="S389" s="732">
        <f t="shared" si="49"/>
        <v>0</v>
      </c>
      <c r="T389" s="733">
        <f t="shared" si="50"/>
        <v>0</v>
      </c>
      <c r="U389" s="730"/>
      <c r="V389" s="731"/>
      <c r="W389" s="730"/>
      <c r="X389" s="730"/>
      <c r="Y389" s="732">
        <f t="shared" si="46"/>
        <v>0</v>
      </c>
      <c r="Z389" s="731"/>
      <c r="AA389" s="731"/>
      <c r="AB389" s="733">
        <f t="shared" si="47"/>
        <v>0</v>
      </c>
      <c r="AC389" s="730"/>
      <c r="AD389" s="731"/>
      <c r="AE389" s="730"/>
      <c r="AF389" s="730"/>
      <c r="AG389" s="731"/>
      <c r="AH389" s="731"/>
      <c r="AI389" s="732">
        <f t="shared" si="51"/>
        <v>0</v>
      </c>
      <c r="AJ389" s="733">
        <f t="shared" si="52"/>
        <v>0</v>
      </c>
    </row>
    <row r="390" spans="1:36">
      <c r="A390" s="852" t="s">
        <v>197</v>
      </c>
      <c r="B390" s="874" t="s">
        <v>173</v>
      </c>
      <c r="C390" s="875" t="s">
        <v>167</v>
      </c>
      <c r="D390" s="871"/>
      <c r="E390" s="868"/>
      <c r="F390" s="869">
        <v>99</v>
      </c>
      <c r="G390" s="730"/>
      <c r="H390" s="734"/>
      <c r="I390" s="730"/>
      <c r="J390" s="731"/>
      <c r="K390" s="730"/>
      <c r="L390" s="731"/>
      <c r="M390" s="730"/>
      <c r="N390" s="730"/>
      <c r="O390" s="732">
        <f t="shared" si="45"/>
        <v>0</v>
      </c>
      <c r="P390" s="731"/>
      <c r="Q390" s="731"/>
      <c r="R390" s="733">
        <f t="shared" si="48"/>
        <v>0</v>
      </c>
      <c r="S390" s="732">
        <f t="shared" si="49"/>
        <v>0</v>
      </c>
      <c r="T390" s="733">
        <f t="shared" si="50"/>
        <v>0</v>
      </c>
      <c r="U390" s="730"/>
      <c r="V390" s="731"/>
      <c r="W390" s="730"/>
      <c r="X390" s="730"/>
      <c r="Y390" s="732">
        <f t="shared" si="46"/>
        <v>0</v>
      </c>
      <c r="Z390" s="731"/>
      <c r="AA390" s="731"/>
      <c r="AB390" s="733">
        <f t="shared" si="47"/>
        <v>0</v>
      </c>
      <c r="AC390" s="730"/>
      <c r="AD390" s="731"/>
      <c r="AE390" s="730"/>
      <c r="AF390" s="730"/>
      <c r="AG390" s="731"/>
      <c r="AH390" s="731"/>
      <c r="AI390" s="732">
        <f t="shared" si="51"/>
        <v>0</v>
      </c>
      <c r="AJ390" s="733">
        <f t="shared" si="52"/>
        <v>0</v>
      </c>
    </row>
    <row r="391" spans="1:36">
      <c r="A391" s="852" t="s">
        <v>197</v>
      </c>
      <c r="B391" s="874" t="s">
        <v>176</v>
      </c>
      <c r="C391" s="875" t="s">
        <v>177</v>
      </c>
      <c r="D391" s="871"/>
      <c r="E391" s="868"/>
      <c r="F391" s="869">
        <v>99</v>
      </c>
      <c r="G391" s="730"/>
      <c r="H391" s="734"/>
      <c r="I391" s="730"/>
      <c r="J391" s="731"/>
      <c r="K391" s="730"/>
      <c r="L391" s="731"/>
      <c r="M391" s="730"/>
      <c r="N391" s="730"/>
      <c r="O391" s="732">
        <f t="shared" si="45"/>
        <v>0</v>
      </c>
      <c r="P391" s="731"/>
      <c r="Q391" s="731"/>
      <c r="R391" s="733">
        <f t="shared" si="48"/>
        <v>0</v>
      </c>
      <c r="S391" s="732">
        <f t="shared" si="49"/>
        <v>0</v>
      </c>
      <c r="T391" s="733">
        <f t="shared" si="50"/>
        <v>0</v>
      </c>
      <c r="U391" s="730"/>
      <c r="V391" s="731"/>
      <c r="W391" s="730"/>
      <c r="X391" s="730"/>
      <c r="Y391" s="732">
        <f t="shared" si="46"/>
        <v>0</v>
      </c>
      <c r="Z391" s="731"/>
      <c r="AA391" s="731"/>
      <c r="AB391" s="733">
        <f t="shared" si="47"/>
        <v>0</v>
      </c>
      <c r="AC391" s="730"/>
      <c r="AD391" s="731"/>
      <c r="AE391" s="730"/>
      <c r="AF391" s="730"/>
      <c r="AG391" s="731"/>
      <c r="AH391" s="731"/>
      <c r="AI391" s="732">
        <f t="shared" si="51"/>
        <v>0</v>
      </c>
      <c r="AJ391" s="733">
        <f t="shared" si="52"/>
        <v>0</v>
      </c>
    </row>
    <row r="392" spans="1:36">
      <c r="A392" s="852" t="s">
        <v>197</v>
      </c>
      <c r="B392" s="874" t="s">
        <v>180</v>
      </c>
      <c r="C392" s="875" t="s">
        <v>165</v>
      </c>
      <c r="D392" s="871"/>
      <c r="E392" s="868"/>
      <c r="F392" s="869">
        <v>99</v>
      </c>
      <c r="G392" s="730"/>
      <c r="H392" s="734"/>
      <c r="I392" s="730"/>
      <c r="J392" s="731"/>
      <c r="K392" s="730"/>
      <c r="L392" s="731"/>
      <c r="M392" s="730"/>
      <c r="N392" s="730"/>
      <c r="O392" s="732">
        <f t="shared" si="45"/>
        <v>0</v>
      </c>
      <c r="P392" s="731"/>
      <c r="Q392" s="731"/>
      <c r="R392" s="733">
        <f t="shared" si="48"/>
        <v>0</v>
      </c>
      <c r="S392" s="732">
        <f t="shared" si="49"/>
        <v>0</v>
      </c>
      <c r="T392" s="733">
        <f t="shared" si="50"/>
        <v>0</v>
      </c>
      <c r="U392" s="730"/>
      <c r="V392" s="731"/>
      <c r="W392" s="730"/>
      <c r="X392" s="730"/>
      <c r="Y392" s="732">
        <f t="shared" si="46"/>
        <v>0</v>
      </c>
      <c r="Z392" s="731"/>
      <c r="AA392" s="731"/>
      <c r="AB392" s="733">
        <f t="shared" si="47"/>
        <v>0</v>
      </c>
      <c r="AC392" s="730"/>
      <c r="AD392" s="731"/>
      <c r="AE392" s="730"/>
      <c r="AF392" s="730"/>
      <c r="AG392" s="731"/>
      <c r="AH392" s="731"/>
      <c r="AI392" s="732">
        <f t="shared" si="51"/>
        <v>0</v>
      </c>
      <c r="AJ392" s="733">
        <f t="shared" si="52"/>
        <v>0</v>
      </c>
    </row>
    <row r="393" spans="1:36">
      <c r="A393" s="852" t="s">
        <v>197</v>
      </c>
      <c r="B393" s="874" t="s">
        <v>178</v>
      </c>
      <c r="C393" s="875" t="s">
        <v>167</v>
      </c>
      <c r="D393" s="871"/>
      <c r="E393" s="868"/>
      <c r="F393" s="869">
        <v>99</v>
      </c>
      <c r="G393" s="730"/>
      <c r="H393" s="734"/>
      <c r="I393" s="730"/>
      <c r="J393" s="731"/>
      <c r="K393" s="730"/>
      <c r="L393" s="731"/>
      <c r="M393" s="730"/>
      <c r="N393" s="730"/>
      <c r="O393" s="732">
        <f t="shared" si="45"/>
        <v>0</v>
      </c>
      <c r="P393" s="731"/>
      <c r="Q393" s="731"/>
      <c r="R393" s="733">
        <f t="shared" si="48"/>
        <v>0</v>
      </c>
      <c r="S393" s="732">
        <f t="shared" si="49"/>
        <v>0</v>
      </c>
      <c r="T393" s="733">
        <f t="shared" si="50"/>
        <v>0</v>
      </c>
      <c r="U393" s="730"/>
      <c r="V393" s="731"/>
      <c r="W393" s="730"/>
      <c r="X393" s="730"/>
      <c r="Y393" s="732">
        <f t="shared" si="46"/>
        <v>0</v>
      </c>
      <c r="Z393" s="731"/>
      <c r="AA393" s="731"/>
      <c r="AB393" s="733">
        <f t="shared" si="47"/>
        <v>0</v>
      </c>
      <c r="AC393" s="730"/>
      <c r="AD393" s="731"/>
      <c r="AE393" s="730"/>
      <c r="AF393" s="730"/>
      <c r="AG393" s="731"/>
      <c r="AH393" s="731"/>
      <c r="AI393" s="732">
        <f t="shared" si="51"/>
        <v>0</v>
      </c>
      <c r="AJ393" s="733">
        <f t="shared" si="52"/>
        <v>0</v>
      </c>
    </row>
    <row r="394" spans="1:36">
      <c r="A394" s="852" t="s">
        <v>197</v>
      </c>
      <c r="B394" s="847" t="s">
        <v>161</v>
      </c>
      <c r="C394" s="873" t="s">
        <v>279</v>
      </c>
      <c r="D394" s="854"/>
      <c r="E394" s="868"/>
      <c r="F394" s="869">
        <v>99</v>
      </c>
      <c r="G394" s="730"/>
      <c r="H394" s="734"/>
      <c r="I394" s="730"/>
      <c r="J394" s="731"/>
      <c r="K394" s="730"/>
      <c r="L394" s="731"/>
      <c r="M394" s="730"/>
      <c r="N394" s="730"/>
      <c r="O394" s="732">
        <f t="shared" ref="O394:O457" si="53">SUM(M394:N394)</f>
        <v>0</v>
      </c>
      <c r="P394" s="731"/>
      <c r="Q394" s="731"/>
      <c r="R394" s="733">
        <f t="shared" si="48"/>
        <v>0</v>
      </c>
      <c r="S394" s="732">
        <f t="shared" si="49"/>
        <v>0</v>
      </c>
      <c r="T394" s="733">
        <f t="shared" si="50"/>
        <v>0</v>
      </c>
      <c r="U394" s="730"/>
      <c r="V394" s="731"/>
      <c r="W394" s="730"/>
      <c r="X394" s="730"/>
      <c r="Y394" s="732">
        <f t="shared" ref="Y394:Y457" si="54">SUM(W394:X394)</f>
        <v>0</v>
      </c>
      <c r="Z394" s="731"/>
      <c r="AA394" s="731"/>
      <c r="AB394" s="733">
        <f t="shared" ref="AB394:AB457" si="55">SUM(Z394:AA394)</f>
        <v>0</v>
      </c>
      <c r="AC394" s="730"/>
      <c r="AD394" s="731"/>
      <c r="AE394" s="730"/>
      <c r="AF394" s="730"/>
      <c r="AG394" s="731"/>
      <c r="AH394" s="731"/>
      <c r="AI394" s="732">
        <f t="shared" si="51"/>
        <v>0</v>
      </c>
      <c r="AJ394" s="733">
        <f t="shared" si="52"/>
        <v>0</v>
      </c>
    </row>
    <row r="395" spans="1:36">
      <c r="A395" s="852" t="s">
        <v>197</v>
      </c>
      <c r="B395" s="874" t="s">
        <v>170</v>
      </c>
      <c r="C395" s="875" t="s">
        <v>171</v>
      </c>
      <c r="D395" s="871"/>
      <c r="E395" s="868"/>
      <c r="F395" s="869">
        <v>99</v>
      </c>
      <c r="G395" s="730"/>
      <c r="H395" s="734"/>
      <c r="I395" s="730"/>
      <c r="J395" s="731"/>
      <c r="K395" s="730"/>
      <c r="L395" s="731"/>
      <c r="M395" s="730"/>
      <c r="N395" s="730"/>
      <c r="O395" s="732">
        <f t="shared" si="53"/>
        <v>0</v>
      </c>
      <c r="P395" s="731"/>
      <c r="Q395" s="731"/>
      <c r="R395" s="733">
        <f t="shared" ref="R395:R458" si="56">SUM(P395:Q395)</f>
        <v>0</v>
      </c>
      <c r="S395" s="732">
        <f t="shared" ref="S395:S458" si="57">SUM(G395,I395,K395,M395)</f>
        <v>0</v>
      </c>
      <c r="T395" s="733">
        <f t="shared" ref="T395:T458" si="58">SUM(H395,J395,L395,P395)</f>
        <v>0</v>
      </c>
      <c r="U395" s="730"/>
      <c r="V395" s="731"/>
      <c r="W395" s="730"/>
      <c r="X395" s="730"/>
      <c r="Y395" s="732">
        <f t="shared" si="54"/>
        <v>0</v>
      </c>
      <c r="Z395" s="731"/>
      <c r="AA395" s="731"/>
      <c r="AB395" s="733">
        <f t="shared" si="55"/>
        <v>0</v>
      </c>
      <c r="AC395" s="730"/>
      <c r="AD395" s="731"/>
      <c r="AE395" s="730"/>
      <c r="AF395" s="730"/>
      <c r="AG395" s="731"/>
      <c r="AH395" s="731"/>
      <c r="AI395" s="732">
        <f t="shared" ref="AI395:AI458" si="59">SUM(S395,U395,W395,AC395,AE395)</f>
        <v>0</v>
      </c>
      <c r="AJ395" s="733">
        <f t="shared" ref="AJ395:AJ458" si="60">SUM(T395,V395,Z395,AD395,AG395)</f>
        <v>0</v>
      </c>
    </row>
    <row r="396" spans="1:36">
      <c r="A396" s="852" t="s">
        <v>197</v>
      </c>
      <c r="B396" s="874" t="s">
        <v>172</v>
      </c>
      <c r="C396" s="875" t="s">
        <v>165</v>
      </c>
      <c r="D396" s="871"/>
      <c r="E396" s="868"/>
      <c r="F396" s="869">
        <v>99</v>
      </c>
      <c r="G396" s="730"/>
      <c r="H396" s="734"/>
      <c r="I396" s="730"/>
      <c r="J396" s="731"/>
      <c r="K396" s="730"/>
      <c r="L396" s="731"/>
      <c r="M396" s="730"/>
      <c r="N396" s="730"/>
      <c r="O396" s="732">
        <f t="shared" si="53"/>
        <v>0</v>
      </c>
      <c r="P396" s="731"/>
      <c r="Q396" s="731"/>
      <c r="R396" s="733">
        <f t="shared" si="56"/>
        <v>0</v>
      </c>
      <c r="S396" s="732">
        <f t="shared" si="57"/>
        <v>0</v>
      </c>
      <c r="T396" s="733">
        <f t="shared" si="58"/>
        <v>0</v>
      </c>
      <c r="U396" s="730"/>
      <c r="V396" s="731"/>
      <c r="W396" s="730"/>
      <c r="X396" s="730"/>
      <c r="Y396" s="732">
        <f t="shared" si="54"/>
        <v>0</v>
      </c>
      <c r="Z396" s="731"/>
      <c r="AA396" s="731"/>
      <c r="AB396" s="733">
        <f t="shared" si="55"/>
        <v>0</v>
      </c>
      <c r="AC396" s="730"/>
      <c r="AD396" s="731"/>
      <c r="AE396" s="730"/>
      <c r="AF396" s="730"/>
      <c r="AG396" s="731"/>
      <c r="AH396" s="731"/>
      <c r="AI396" s="732">
        <f t="shared" si="59"/>
        <v>0</v>
      </c>
      <c r="AJ396" s="733">
        <f t="shared" si="60"/>
        <v>0</v>
      </c>
    </row>
    <row r="397" spans="1:36">
      <c r="A397" s="852" t="s">
        <v>197</v>
      </c>
      <c r="B397" s="874" t="s">
        <v>173</v>
      </c>
      <c r="C397" s="875" t="s">
        <v>167</v>
      </c>
      <c r="D397" s="871"/>
      <c r="E397" s="868"/>
      <c r="F397" s="869">
        <v>99</v>
      </c>
      <c r="G397" s="730"/>
      <c r="H397" s="734"/>
      <c r="I397" s="730"/>
      <c r="J397" s="731"/>
      <c r="K397" s="730"/>
      <c r="L397" s="731"/>
      <c r="M397" s="730"/>
      <c r="N397" s="730"/>
      <c r="O397" s="732">
        <f t="shared" si="53"/>
        <v>0</v>
      </c>
      <c r="P397" s="731"/>
      <c r="Q397" s="731"/>
      <c r="R397" s="733">
        <f t="shared" si="56"/>
        <v>0</v>
      </c>
      <c r="S397" s="732">
        <f t="shared" si="57"/>
        <v>0</v>
      </c>
      <c r="T397" s="733">
        <f t="shared" si="58"/>
        <v>0</v>
      </c>
      <c r="U397" s="730">
        <v>81750</v>
      </c>
      <c r="V397" s="731">
        <v>58500</v>
      </c>
      <c r="W397" s="730"/>
      <c r="X397" s="730"/>
      <c r="Y397" s="732">
        <f t="shared" si="54"/>
        <v>0</v>
      </c>
      <c r="Z397" s="731"/>
      <c r="AA397" s="731"/>
      <c r="AB397" s="733">
        <f t="shared" si="55"/>
        <v>0</v>
      </c>
      <c r="AC397" s="730"/>
      <c r="AD397" s="731"/>
      <c r="AE397" s="730"/>
      <c r="AF397" s="730"/>
      <c r="AG397" s="731"/>
      <c r="AH397" s="731"/>
      <c r="AI397" s="732">
        <f t="shared" si="59"/>
        <v>81750</v>
      </c>
      <c r="AJ397" s="733">
        <f t="shared" si="60"/>
        <v>58500</v>
      </c>
    </row>
    <row r="398" spans="1:36">
      <c r="A398" s="852" t="s">
        <v>197</v>
      </c>
      <c r="B398" s="874" t="s">
        <v>176</v>
      </c>
      <c r="C398" s="875" t="s">
        <v>177</v>
      </c>
      <c r="D398" s="871"/>
      <c r="E398" s="868"/>
      <c r="F398" s="869">
        <v>99</v>
      </c>
      <c r="G398" s="730"/>
      <c r="H398" s="734"/>
      <c r="I398" s="730"/>
      <c r="J398" s="731"/>
      <c r="K398" s="730"/>
      <c r="L398" s="731"/>
      <c r="M398" s="730"/>
      <c r="N398" s="730"/>
      <c r="O398" s="732">
        <f t="shared" si="53"/>
        <v>0</v>
      </c>
      <c r="P398" s="731"/>
      <c r="Q398" s="731"/>
      <c r="R398" s="733">
        <f t="shared" si="56"/>
        <v>0</v>
      </c>
      <c r="S398" s="732">
        <f t="shared" si="57"/>
        <v>0</v>
      </c>
      <c r="T398" s="733">
        <f t="shared" si="58"/>
        <v>0</v>
      </c>
      <c r="U398" s="730"/>
      <c r="V398" s="731"/>
      <c r="W398" s="730"/>
      <c r="X398" s="730"/>
      <c r="Y398" s="732">
        <f t="shared" si="54"/>
        <v>0</v>
      </c>
      <c r="Z398" s="731"/>
      <c r="AA398" s="731"/>
      <c r="AB398" s="733">
        <f t="shared" si="55"/>
        <v>0</v>
      </c>
      <c r="AC398" s="730"/>
      <c r="AD398" s="731"/>
      <c r="AE398" s="730"/>
      <c r="AF398" s="730"/>
      <c r="AG398" s="731"/>
      <c r="AH398" s="731"/>
      <c r="AI398" s="732">
        <f t="shared" si="59"/>
        <v>0</v>
      </c>
      <c r="AJ398" s="733">
        <f t="shared" si="60"/>
        <v>0</v>
      </c>
    </row>
    <row r="399" spans="1:36">
      <c r="A399" s="852" t="s">
        <v>197</v>
      </c>
      <c r="B399" s="874" t="s">
        <v>180</v>
      </c>
      <c r="C399" s="875" t="s">
        <v>165</v>
      </c>
      <c r="D399" s="871"/>
      <c r="E399" s="868"/>
      <c r="F399" s="869">
        <v>99</v>
      </c>
      <c r="G399" s="730"/>
      <c r="H399" s="734"/>
      <c r="I399" s="730"/>
      <c r="J399" s="731"/>
      <c r="K399" s="730"/>
      <c r="L399" s="731"/>
      <c r="M399" s="730"/>
      <c r="N399" s="730"/>
      <c r="O399" s="732">
        <f t="shared" si="53"/>
        <v>0</v>
      </c>
      <c r="P399" s="731"/>
      <c r="Q399" s="731"/>
      <c r="R399" s="733">
        <f t="shared" si="56"/>
        <v>0</v>
      </c>
      <c r="S399" s="732">
        <f t="shared" si="57"/>
        <v>0</v>
      </c>
      <c r="T399" s="733">
        <f t="shared" si="58"/>
        <v>0</v>
      </c>
      <c r="U399" s="730"/>
      <c r="V399" s="731"/>
      <c r="W399" s="730"/>
      <c r="X399" s="730"/>
      <c r="Y399" s="732">
        <f t="shared" si="54"/>
        <v>0</v>
      </c>
      <c r="Z399" s="731"/>
      <c r="AA399" s="731"/>
      <c r="AB399" s="733">
        <f t="shared" si="55"/>
        <v>0</v>
      </c>
      <c r="AC399" s="730"/>
      <c r="AD399" s="731"/>
      <c r="AE399" s="730"/>
      <c r="AF399" s="730"/>
      <c r="AG399" s="731"/>
      <c r="AH399" s="731"/>
      <c r="AI399" s="732">
        <f t="shared" si="59"/>
        <v>0</v>
      </c>
      <c r="AJ399" s="733">
        <f t="shared" si="60"/>
        <v>0</v>
      </c>
    </row>
    <row r="400" spans="1:36">
      <c r="A400" s="852" t="s">
        <v>197</v>
      </c>
      <c r="B400" s="874" t="s">
        <v>178</v>
      </c>
      <c r="C400" s="875" t="s">
        <v>167</v>
      </c>
      <c r="D400" s="871"/>
      <c r="E400" s="868"/>
      <c r="F400" s="869">
        <v>99</v>
      </c>
      <c r="G400" s="730"/>
      <c r="H400" s="734"/>
      <c r="I400" s="730"/>
      <c r="J400" s="731"/>
      <c r="K400" s="730"/>
      <c r="L400" s="731"/>
      <c r="M400" s="730"/>
      <c r="N400" s="730"/>
      <c r="O400" s="732">
        <f t="shared" si="53"/>
        <v>0</v>
      </c>
      <c r="P400" s="731"/>
      <c r="Q400" s="731"/>
      <c r="R400" s="733">
        <f t="shared" si="56"/>
        <v>0</v>
      </c>
      <c r="S400" s="732">
        <f t="shared" si="57"/>
        <v>0</v>
      </c>
      <c r="T400" s="733">
        <f t="shared" si="58"/>
        <v>0</v>
      </c>
      <c r="U400" s="730"/>
      <c r="V400" s="731"/>
      <c r="W400" s="730"/>
      <c r="X400" s="730"/>
      <c r="Y400" s="732">
        <f t="shared" si="54"/>
        <v>0</v>
      </c>
      <c r="Z400" s="731"/>
      <c r="AA400" s="731"/>
      <c r="AB400" s="733">
        <f t="shared" si="55"/>
        <v>0</v>
      </c>
      <c r="AC400" s="730"/>
      <c r="AD400" s="731"/>
      <c r="AE400" s="730"/>
      <c r="AF400" s="730"/>
      <c r="AG400" s="731"/>
      <c r="AH400" s="731"/>
      <c r="AI400" s="732">
        <f t="shared" si="59"/>
        <v>0</v>
      </c>
      <c r="AJ400" s="733">
        <f t="shared" si="60"/>
        <v>0</v>
      </c>
    </row>
    <row r="401" spans="1:36">
      <c r="A401" s="852" t="s">
        <v>197</v>
      </c>
      <c r="B401" s="847" t="s">
        <v>161</v>
      </c>
      <c r="C401" s="873" t="s">
        <v>280</v>
      </c>
      <c r="D401" s="854"/>
      <c r="E401" s="877"/>
      <c r="F401" s="869">
        <v>99</v>
      </c>
      <c r="G401" s="730"/>
      <c r="H401" s="734"/>
      <c r="I401" s="730"/>
      <c r="J401" s="731"/>
      <c r="K401" s="730"/>
      <c r="L401" s="731"/>
      <c r="M401" s="730"/>
      <c r="N401" s="730"/>
      <c r="O401" s="732">
        <f t="shared" si="53"/>
        <v>0</v>
      </c>
      <c r="P401" s="731"/>
      <c r="Q401" s="731"/>
      <c r="R401" s="733">
        <f t="shared" si="56"/>
        <v>0</v>
      </c>
      <c r="S401" s="732">
        <f t="shared" si="57"/>
        <v>0</v>
      </c>
      <c r="T401" s="733">
        <f t="shared" si="58"/>
        <v>0</v>
      </c>
      <c r="U401" s="730"/>
      <c r="V401" s="731"/>
      <c r="W401" s="730"/>
      <c r="X401" s="730"/>
      <c r="Y401" s="732">
        <f t="shared" si="54"/>
        <v>0</v>
      </c>
      <c r="Z401" s="731"/>
      <c r="AA401" s="731"/>
      <c r="AB401" s="733">
        <f t="shared" si="55"/>
        <v>0</v>
      </c>
      <c r="AC401" s="730"/>
      <c r="AD401" s="731"/>
      <c r="AE401" s="730"/>
      <c r="AF401" s="730"/>
      <c r="AG401" s="731"/>
      <c r="AH401" s="731"/>
      <c r="AI401" s="732">
        <f t="shared" si="59"/>
        <v>0</v>
      </c>
      <c r="AJ401" s="733">
        <f t="shared" si="60"/>
        <v>0</v>
      </c>
    </row>
    <row r="402" spans="1:36">
      <c r="A402" s="852" t="s">
        <v>197</v>
      </c>
      <c r="B402" s="878" t="s">
        <v>170</v>
      </c>
      <c r="C402" s="875" t="s">
        <v>171</v>
      </c>
      <c r="D402" s="871"/>
      <c r="E402" s="877"/>
      <c r="F402" s="869">
        <v>99</v>
      </c>
      <c r="G402" s="730"/>
      <c r="H402" s="734"/>
      <c r="I402" s="730"/>
      <c r="J402" s="731"/>
      <c r="K402" s="730"/>
      <c r="L402" s="731"/>
      <c r="M402" s="730"/>
      <c r="N402" s="730"/>
      <c r="O402" s="732">
        <f t="shared" si="53"/>
        <v>0</v>
      </c>
      <c r="P402" s="731"/>
      <c r="Q402" s="731"/>
      <c r="R402" s="733">
        <f t="shared" si="56"/>
        <v>0</v>
      </c>
      <c r="S402" s="732">
        <f t="shared" si="57"/>
        <v>0</v>
      </c>
      <c r="T402" s="733">
        <f t="shared" si="58"/>
        <v>0</v>
      </c>
      <c r="U402" s="730"/>
      <c r="V402" s="731"/>
      <c r="W402" s="730"/>
      <c r="X402" s="730"/>
      <c r="Y402" s="732">
        <f t="shared" si="54"/>
        <v>0</v>
      </c>
      <c r="Z402" s="731"/>
      <c r="AA402" s="731"/>
      <c r="AB402" s="733">
        <f t="shared" si="55"/>
        <v>0</v>
      </c>
      <c r="AC402" s="730"/>
      <c r="AD402" s="731"/>
      <c r="AE402" s="730"/>
      <c r="AF402" s="730"/>
      <c r="AG402" s="731"/>
      <c r="AH402" s="731"/>
      <c r="AI402" s="732">
        <f t="shared" si="59"/>
        <v>0</v>
      </c>
      <c r="AJ402" s="733">
        <f t="shared" si="60"/>
        <v>0</v>
      </c>
    </row>
    <row r="403" spans="1:36">
      <c r="A403" s="852" t="s">
        <v>197</v>
      </c>
      <c r="B403" s="874" t="s">
        <v>172</v>
      </c>
      <c r="C403" s="875" t="s">
        <v>165</v>
      </c>
      <c r="D403" s="871"/>
      <c r="E403" s="877"/>
      <c r="F403" s="869">
        <v>99</v>
      </c>
      <c r="G403" s="730"/>
      <c r="H403" s="734"/>
      <c r="I403" s="730"/>
      <c r="J403" s="731"/>
      <c r="K403" s="730"/>
      <c r="L403" s="731"/>
      <c r="M403" s="730"/>
      <c r="N403" s="730"/>
      <c r="O403" s="732">
        <f t="shared" si="53"/>
        <v>0</v>
      </c>
      <c r="P403" s="731"/>
      <c r="Q403" s="731"/>
      <c r="R403" s="733">
        <f t="shared" si="56"/>
        <v>0</v>
      </c>
      <c r="S403" s="732">
        <f t="shared" si="57"/>
        <v>0</v>
      </c>
      <c r="T403" s="733">
        <f t="shared" si="58"/>
        <v>0</v>
      </c>
      <c r="U403" s="730">
        <v>0</v>
      </c>
      <c r="V403" s="731">
        <v>0</v>
      </c>
      <c r="W403" s="730"/>
      <c r="X403" s="730"/>
      <c r="Y403" s="732">
        <f t="shared" si="54"/>
        <v>0</v>
      </c>
      <c r="Z403" s="731"/>
      <c r="AA403" s="731"/>
      <c r="AB403" s="733">
        <f t="shared" si="55"/>
        <v>0</v>
      </c>
      <c r="AC403" s="730"/>
      <c r="AD403" s="731"/>
      <c r="AE403" s="730"/>
      <c r="AF403" s="730"/>
      <c r="AG403" s="731"/>
      <c r="AH403" s="731"/>
      <c r="AI403" s="732">
        <f t="shared" si="59"/>
        <v>0</v>
      </c>
      <c r="AJ403" s="733">
        <f t="shared" si="60"/>
        <v>0</v>
      </c>
    </row>
    <row r="404" spans="1:36">
      <c r="A404" s="852" t="s">
        <v>197</v>
      </c>
      <c r="B404" s="874" t="s">
        <v>173</v>
      </c>
      <c r="C404" s="875" t="s">
        <v>167</v>
      </c>
      <c r="D404" s="871"/>
      <c r="E404" s="877"/>
      <c r="F404" s="869">
        <v>99</v>
      </c>
      <c r="G404" s="730"/>
      <c r="H404" s="734"/>
      <c r="I404" s="730"/>
      <c r="J404" s="731"/>
      <c r="K404" s="730"/>
      <c r="L404" s="731"/>
      <c r="M404" s="730"/>
      <c r="N404" s="730"/>
      <c r="O404" s="732">
        <f t="shared" si="53"/>
        <v>0</v>
      </c>
      <c r="P404" s="731"/>
      <c r="Q404" s="731"/>
      <c r="R404" s="733">
        <f t="shared" si="56"/>
        <v>0</v>
      </c>
      <c r="S404" s="732">
        <f t="shared" si="57"/>
        <v>0</v>
      </c>
      <c r="T404" s="733">
        <f t="shared" si="58"/>
        <v>0</v>
      </c>
      <c r="U404" s="730"/>
      <c r="V404" s="731"/>
      <c r="W404" s="730"/>
      <c r="X404" s="730"/>
      <c r="Y404" s="732">
        <f t="shared" si="54"/>
        <v>0</v>
      </c>
      <c r="Z404" s="731"/>
      <c r="AA404" s="731"/>
      <c r="AB404" s="733">
        <f t="shared" si="55"/>
        <v>0</v>
      </c>
      <c r="AC404" s="730"/>
      <c r="AD404" s="731"/>
      <c r="AE404" s="730"/>
      <c r="AF404" s="730"/>
      <c r="AG404" s="731"/>
      <c r="AH404" s="731"/>
      <c r="AI404" s="732">
        <f t="shared" si="59"/>
        <v>0</v>
      </c>
      <c r="AJ404" s="733">
        <f t="shared" si="60"/>
        <v>0</v>
      </c>
    </row>
    <row r="405" spans="1:36">
      <c r="A405" s="852" t="s">
        <v>197</v>
      </c>
      <c r="B405" s="874" t="s">
        <v>176</v>
      </c>
      <c r="C405" s="875" t="s">
        <v>177</v>
      </c>
      <c r="D405" s="871"/>
      <c r="E405" s="879"/>
      <c r="F405" s="869">
        <v>99</v>
      </c>
      <c r="G405" s="730"/>
      <c r="H405" s="734"/>
      <c r="I405" s="730"/>
      <c r="J405" s="731"/>
      <c r="K405" s="730"/>
      <c r="L405" s="731"/>
      <c r="M405" s="730"/>
      <c r="N405" s="730"/>
      <c r="O405" s="732">
        <f t="shared" si="53"/>
        <v>0</v>
      </c>
      <c r="P405" s="731"/>
      <c r="Q405" s="731"/>
      <c r="R405" s="733">
        <f t="shared" si="56"/>
        <v>0</v>
      </c>
      <c r="S405" s="732">
        <f t="shared" si="57"/>
        <v>0</v>
      </c>
      <c r="T405" s="733">
        <f t="shared" si="58"/>
        <v>0</v>
      </c>
      <c r="U405" s="730"/>
      <c r="V405" s="731"/>
      <c r="W405" s="730"/>
      <c r="X405" s="730"/>
      <c r="Y405" s="732">
        <f t="shared" si="54"/>
        <v>0</v>
      </c>
      <c r="Z405" s="731"/>
      <c r="AA405" s="731"/>
      <c r="AB405" s="733">
        <f t="shared" si="55"/>
        <v>0</v>
      </c>
      <c r="AC405" s="730"/>
      <c r="AD405" s="731"/>
      <c r="AE405" s="730"/>
      <c r="AF405" s="730"/>
      <c r="AG405" s="731"/>
      <c r="AH405" s="731"/>
      <c r="AI405" s="732">
        <f t="shared" si="59"/>
        <v>0</v>
      </c>
      <c r="AJ405" s="733">
        <f t="shared" si="60"/>
        <v>0</v>
      </c>
    </row>
    <row r="406" spans="1:36">
      <c r="A406" s="852" t="s">
        <v>197</v>
      </c>
      <c r="B406" s="874" t="s">
        <v>180</v>
      </c>
      <c r="C406" s="875" t="s">
        <v>165</v>
      </c>
      <c r="D406" s="871"/>
      <c r="E406" s="877"/>
      <c r="F406" s="869">
        <v>99</v>
      </c>
      <c r="G406" s="730"/>
      <c r="H406" s="734"/>
      <c r="I406" s="730"/>
      <c r="J406" s="731"/>
      <c r="K406" s="730"/>
      <c r="L406" s="731"/>
      <c r="M406" s="730"/>
      <c r="N406" s="730"/>
      <c r="O406" s="732">
        <f t="shared" si="53"/>
        <v>0</v>
      </c>
      <c r="P406" s="731"/>
      <c r="Q406" s="731"/>
      <c r="R406" s="733">
        <f t="shared" si="56"/>
        <v>0</v>
      </c>
      <c r="S406" s="732">
        <f t="shared" si="57"/>
        <v>0</v>
      </c>
      <c r="T406" s="733">
        <f t="shared" si="58"/>
        <v>0</v>
      </c>
      <c r="U406" s="730">
        <v>0</v>
      </c>
      <c r="V406" s="731">
        <v>0</v>
      </c>
      <c r="W406" s="730"/>
      <c r="X406" s="730"/>
      <c r="Y406" s="732">
        <f t="shared" si="54"/>
        <v>0</v>
      </c>
      <c r="Z406" s="731"/>
      <c r="AA406" s="731"/>
      <c r="AB406" s="733">
        <f t="shared" si="55"/>
        <v>0</v>
      </c>
      <c r="AC406" s="730"/>
      <c r="AD406" s="731"/>
      <c r="AE406" s="730"/>
      <c r="AF406" s="730"/>
      <c r="AG406" s="731"/>
      <c r="AH406" s="731"/>
      <c r="AI406" s="732">
        <f t="shared" si="59"/>
        <v>0</v>
      </c>
      <c r="AJ406" s="733">
        <f t="shared" si="60"/>
        <v>0</v>
      </c>
    </row>
    <row r="407" spans="1:36">
      <c r="A407" s="852" t="s">
        <v>197</v>
      </c>
      <c r="B407" s="874" t="s">
        <v>178</v>
      </c>
      <c r="C407" s="875" t="s">
        <v>167</v>
      </c>
      <c r="D407" s="871"/>
      <c r="E407" s="877"/>
      <c r="F407" s="869">
        <v>99</v>
      </c>
      <c r="G407" s="730"/>
      <c r="H407" s="734"/>
      <c r="I407" s="730"/>
      <c r="J407" s="731"/>
      <c r="K407" s="730"/>
      <c r="L407" s="731"/>
      <c r="M407" s="730"/>
      <c r="N407" s="730"/>
      <c r="O407" s="732">
        <f t="shared" si="53"/>
        <v>0</v>
      </c>
      <c r="P407" s="731"/>
      <c r="Q407" s="731"/>
      <c r="R407" s="733">
        <f t="shared" si="56"/>
        <v>0</v>
      </c>
      <c r="S407" s="732">
        <f t="shared" si="57"/>
        <v>0</v>
      </c>
      <c r="T407" s="733">
        <f t="shared" si="58"/>
        <v>0</v>
      </c>
      <c r="U407" s="730"/>
      <c r="V407" s="731"/>
      <c r="W407" s="730"/>
      <c r="X407" s="730"/>
      <c r="Y407" s="732">
        <f t="shared" si="54"/>
        <v>0</v>
      </c>
      <c r="Z407" s="731"/>
      <c r="AA407" s="731"/>
      <c r="AB407" s="733">
        <f t="shared" si="55"/>
        <v>0</v>
      </c>
      <c r="AC407" s="730"/>
      <c r="AD407" s="731"/>
      <c r="AE407" s="730"/>
      <c r="AF407" s="730"/>
      <c r="AG407" s="731"/>
      <c r="AH407" s="731"/>
      <c r="AI407" s="732">
        <f t="shared" si="59"/>
        <v>0</v>
      </c>
      <c r="AJ407" s="733">
        <f t="shared" si="60"/>
        <v>0</v>
      </c>
    </row>
    <row r="408" spans="1:36">
      <c r="A408" s="852" t="s">
        <v>197</v>
      </c>
      <c r="B408" s="847" t="s">
        <v>161</v>
      </c>
      <c r="C408" s="873" t="s">
        <v>281</v>
      </c>
      <c r="D408" s="854"/>
      <c r="E408" s="877"/>
      <c r="F408" s="869">
        <v>99</v>
      </c>
      <c r="G408" s="730"/>
      <c r="H408" s="734"/>
      <c r="I408" s="730"/>
      <c r="J408" s="731"/>
      <c r="K408" s="730"/>
      <c r="L408" s="731"/>
      <c r="M408" s="730"/>
      <c r="N408" s="730"/>
      <c r="O408" s="732">
        <f t="shared" si="53"/>
        <v>0</v>
      </c>
      <c r="P408" s="731"/>
      <c r="Q408" s="731"/>
      <c r="R408" s="733">
        <f t="shared" si="56"/>
        <v>0</v>
      </c>
      <c r="S408" s="732">
        <f t="shared" si="57"/>
        <v>0</v>
      </c>
      <c r="T408" s="733">
        <f t="shared" si="58"/>
        <v>0</v>
      </c>
      <c r="U408" s="730"/>
      <c r="V408" s="731"/>
      <c r="W408" s="730"/>
      <c r="X408" s="730"/>
      <c r="Y408" s="732">
        <f t="shared" si="54"/>
        <v>0</v>
      </c>
      <c r="Z408" s="731"/>
      <c r="AA408" s="731"/>
      <c r="AB408" s="733">
        <f t="shared" si="55"/>
        <v>0</v>
      </c>
      <c r="AC408" s="730"/>
      <c r="AD408" s="731"/>
      <c r="AE408" s="730"/>
      <c r="AF408" s="730"/>
      <c r="AG408" s="731"/>
      <c r="AH408" s="731"/>
      <c r="AI408" s="732">
        <f t="shared" si="59"/>
        <v>0</v>
      </c>
      <c r="AJ408" s="733">
        <f t="shared" si="60"/>
        <v>0</v>
      </c>
    </row>
    <row r="409" spans="1:36">
      <c r="A409" s="852" t="s">
        <v>197</v>
      </c>
      <c r="B409" s="878" t="s">
        <v>170</v>
      </c>
      <c r="C409" s="875" t="s">
        <v>171</v>
      </c>
      <c r="D409" s="871"/>
      <c r="E409" s="877"/>
      <c r="F409" s="869">
        <v>99</v>
      </c>
      <c r="G409" s="730"/>
      <c r="H409" s="734"/>
      <c r="I409" s="730"/>
      <c r="J409" s="731"/>
      <c r="K409" s="730"/>
      <c r="L409" s="731"/>
      <c r="M409" s="730"/>
      <c r="N409" s="730"/>
      <c r="O409" s="732">
        <f t="shared" si="53"/>
        <v>0</v>
      </c>
      <c r="P409" s="731"/>
      <c r="Q409" s="731"/>
      <c r="R409" s="733">
        <f t="shared" si="56"/>
        <v>0</v>
      </c>
      <c r="S409" s="732">
        <f t="shared" si="57"/>
        <v>0</v>
      </c>
      <c r="T409" s="733">
        <f t="shared" si="58"/>
        <v>0</v>
      </c>
      <c r="U409" s="730">
        <v>1455498</v>
      </c>
      <c r="V409" s="731">
        <v>1100958</v>
      </c>
      <c r="W409" s="730"/>
      <c r="X409" s="730"/>
      <c r="Y409" s="732">
        <f t="shared" si="54"/>
        <v>0</v>
      </c>
      <c r="Z409" s="731"/>
      <c r="AA409" s="731"/>
      <c r="AB409" s="733">
        <f t="shared" si="55"/>
        <v>0</v>
      </c>
      <c r="AC409" s="730"/>
      <c r="AD409" s="731"/>
      <c r="AE409" s="730"/>
      <c r="AF409" s="730"/>
      <c r="AG409" s="731"/>
      <c r="AH409" s="731"/>
      <c r="AI409" s="732">
        <f t="shared" si="59"/>
        <v>1455498</v>
      </c>
      <c r="AJ409" s="733">
        <f t="shared" si="60"/>
        <v>1100958</v>
      </c>
    </row>
    <row r="410" spans="1:36">
      <c r="A410" s="852" t="s">
        <v>197</v>
      </c>
      <c r="B410" s="874" t="s">
        <v>172</v>
      </c>
      <c r="C410" s="875" t="s">
        <v>165</v>
      </c>
      <c r="D410" s="871"/>
      <c r="E410" s="877"/>
      <c r="F410" s="869">
        <v>99</v>
      </c>
      <c r="G410" s="730"/>
      <c r="H410" s="734"/>
      <c r="I410" s="730"/>
      <c r="J410" s="731"/>
      <c r="K410" s="730"/>
      <c r="L410" s="731"/>
      <c r="M410" s="730"/>
      <c r="N410" s="730"/>
      <c r="O410" s="732">
        <f t="shared" si="53"/>
        <v>0</v>
      </c>
      <c r="P410" s="731"/>
      <c r="Q410" s="731"/>
      <c r="R410" s="733">
        <f t="shared" si="56"/>
        <v>0</v>
      </c>
      <c r="S410" s="732">
        <f t="shared" si="57"/>
        <v>0</v>
      </c>
      <c r="T410" s="733">
        <f t="shared" si="58"/>
        <v>0</v>
      </c>
      <c r="U410" s="730"/>
      <c r="V410" s="731"/>
      <c r="W410" s="730"/>
      <c r="X410" s="730"/>
      <c r="Y410" s="732">
        <f t="shared" si="54"/>
        <v>0</v>
      </c>
      <c r="Z410" s="731"/>
      <c r="AA410" s="731"/>
      <c r="AB410" s="733">
        <f t="shared" si="55"/>
        <v>0</v>
      </c>
      <c r="AC410" s="730"/>
      <c r="AD410" s="731"/>
      <c r="AE410" s="730"/>
      <c r="AF410" s="730"/>
      <c r="AG410" s="731"/>
      <c r="AH410" s="731"/>
      <c r="AI410" s="732">
        <f t="shared" si="59"/>
        <v>0</v>
      </c>
      <c r="AJ410" s="733">
        <f t="shared" si="60"/>
        <v>0</v>
      </c>
    </row>
    <row r="411" spans="1:36">
      <c r="A411" s="852" t="s">
        <v>197</v>
      </c>
      <c r="B411" s="874" t="s">
        <v>173</v>
      </c>
      <c r="C411" s="875" t="s">
        <v>167</v>
      </c>
      <c r="D411" s="871"/>
      <c r="E411" s="877"/>
      <c r="F411" s="869">
        <v>99</v>
      </c>
      <c r="G411" s="730"/>
      <c r="H411" s="734"/>
      <c r="I411" s="730"/>
      <c r="J411" s="731"/>
      <c r="K411" s="730"/>
      <c r="L411" s="731"/>
      <c r="M411" s="730"/>
      <c r="N411" s="730"/>
      <c r="O411" s="732">
        <f t="shared" si="53"/>
        <v>0</v>
      </c>
      <c r="P411" s="731"/>
      <c r="Q411" s="731"/>
      <c r="R411" s="733">
        <f t="shared" si="56"/>
        <v>0</v>
      </c>
      <c r="S411" s="732">
        <f t="shared" si="57"/>
        <v>0</v>
      </c>
      <c r="T411" s="733">
        <f t="shared" si="58"/>
        <v>0</v>
      </c>
      <c r="U411" s="730"/>
      <c r="V411" s="731"/>
      <c r="W411" s="730"/>
      <c r="X411" s="730"/>
      <c r="Y411" s="732">
        <f t="shared" si="54"/>
        <v>0</v>
      </c>
      <c r="Z411" s="731"/>
      <c r="AA411" s="731"/>
      <c r="AB411" s="733">
        <f t="shared" si="55"/>
        <v>0</v>
      </c>
      <c r="AC411" s="730"/>
      <c r="AD411" s="731"/>
      <c r="AE411" s="730"/>
      <c r="AF411" s="730"/>
      <c r="AG411" s="731"/>
      <c r="AH411" s="731"/>
      <c r="AI411" s="732">
        <f t="shared" si="59"/>
        <v>0</v>
      </c>
      <c r="AJ411" s="733">
        <f t="shared" si="60"/>
        <v>0</v>
      </c>
    </row>
    <row r="412" spans="1:36">
      <c r="A412" s="852" t="s">
        <v>197</v>
      </c>
      <c r="B412" s="874" t="s">
        <v>176</v>
      </c>
      <c r="C412" s="875" t="s">
        <v>177</v>
      </c>
      <c r="D412" s="871"/>
      <c r="E412" s="877"/>
      <c r="F412" s="869">
        <v>99</v>
      </c>
      <c r="G412" s="730"/>
      <c r="H412" s="734"/>
      <c r="I412" s="730"/>
      <c r="J412" s="731"/>
      <c r="K412" s="730"/>
      <c r="L412" s="731"/>
      <c r="M412" s="730"/>
      <c r="N412" s="730"/>
      <c r="O412" s="732">
        <f t="shared" si="53"/>
        <v>0</v>
      </c>
      <c r="P412" s="731"/>
      <c r="Q412" s="731"/>
      <c r="R412" s="733">
        <f t="shared" si="56"/>
        <v>0</v>
      </c>
      <c r="S412" s="732">
        <f t="shared" si="57"/>
        <v>0</v>
      </c>
      <c r="T412" s="733">
        <f t="shared" si="58"/>
        <v>0</v>
      </c>
      <c r="U412" s="730"/>
      <c r="V412" s="731"/>
      <c r="W412" s="730"/>
      <c r="X412" s="730"/>
      <c r="Y412" s="732">
        <f t="shared" si="54"/>
        <v>0</v>
      </c>
      <c r="Z412" s="731"/>
      <c r="AA412" s="731"/>
      <c r="AB412" s="733">
        <f t="shared" si="55"/>
        <v>0</v>
      </c>
      <c r="AC412" s="730"/>
      <c r="AD412" s="731"/>
      <c r="AE412" s="730"/>
      <c r="AF412" s="730"/>
      <c r="AG412" s="731"/>
      <c r="AH412" s="731"/>
      <c r="AI412" s="732">
        <f t="shared" si="59"/>
        <v>0</v>
      </c>
      <c r="AJ412" s="733">
        <f t="shared" si="60"/>
        <v>0</v>
      </c>
    </row>
    <row r="413" spans="1:36">
      <c r="A413" s="852" t="s">
        <v>197</v>
      </c>
      <c r="B413" s="874" t="s">
        <v>180</v>
      </c>
      <c r="C413" s="875" t="s">
        <v>165</v>
      </c>
      <c r="D413" s="871"/>
      <c r="E413" s="877"/>
      <c r="F413" s="869">
        <v>99</v>
      </c>
      <c r="G413" s="730"/>
      <c r="H413" s="734"/>
      <c r="I413" s="730"/>
      <c r="J413" s="731"/>
      <c r="K413" s="730"/>
      <c r="L413" s="731"/>
      <c r="M413" s="730"/>
      <c r="N413" s="730"/>
      <c r="O413" s="732">
        <f t="shared" si="53"/>
        <v>0</v>
      </c>
      <c r="P413" s="731"/>
      <c r="Q413" s="731"/>
      <c r="R413" s="733">
        <f t="shared" si="56"/>
        <v>0</v>
      </c>
      <c r="S413" s="732">
        <f t="shared" si="57"/>
        <v>0</v>
      </c>
      <c r="T413" s="733">
        <f t="shared" si="58"/>
        <v>0</v>
      </c>
      <c r="U413" s="730"/>
      <c r="V413" s="731"/>
      <c r="W413" s="730"/>
      <c r="X413" s="730"/>
      <c r="Y413" s="732">
        <f t="shared" si="54"/>
        <v>0</v>
      </c>
      <c r="Z413" s="731"/>
      <c r="AA413" s="731"/>
      <c r="AB413" s="733">
        <f t="shared" si="55"/>
        <v>0</v>
      </c>
      <c r="AC413" s="730"/>
      <c r="AD413" s="731"/>
      <c r="AE413" s="730"/>
      <c r="AF413" s="730"/>
      <c r="AG413" s="731"/>
      <c r="AH413" s="731"/>
      <c r="AI413" s="732">
        <f t="shared" si="59"/>
        <v>0</v>
      </c>
      <c r="AJ413" s="733">
        <f t="shared" si="60"/>
        <v>0</v>
      </c>
    </row>
    <row r="414" spans="1:36">
      <c r="A414" s="852" t="s">
        <v>197</v>
      </c>
      <c r="B414" s="874" t="s">
        <v>178</v>
      </c>
      <c r="C414" s="875" t="s">
        <v>167</v>
      </c>
      <c r="D414" s="871"/>
      <c r="E414" s="877"/>
      <c r="F414" s="869">
        <v>99</v>
      </c>
      <c r="G414" s="730"/>
      <c r="H414" s="734"/>
      <c r="I414" s="730"/>
      <c r="J414" s="731"/>
      <c r="K414" s="730"/>
      <c r="L414" s="731"/>
      <c r="M414" s="730"/>
      <c r="N414" s="730"/>
      <c r="O414" s="732">
        <f t="shared" si="53"/>
        <v>0</v>
      </c>
      <c r="P414" s="731"/>
      <c r="Q414" s="731"/>
      <c r="R414" s="733">
        <f t="shared" si="56"/>
        <v>0</v>
      </c>
      <c r="S414" s="732">
        <f t="shared" si="57"/>
        <v>0</v>
      </c>
      <c r="T414" s="733">
        <f t="shared" si="58"/>
        <v>0</v>
      </c>
      <c r="U414" s="730"/>
      <c r="V414" s="731"/>
      <c r="W414" s="730"/>
      <c r="X414" s="730"/>
      <c r="Y414" s="732">
        <f t="shared" si="54"/>
        <v>0</v>
      </c>
      <c r="Z414" s="731"/>
      <c r="AA414" s="731"/>
      <c r="AB414" s="733">
        <f t="shared" si="55"/>
        <v>0</v>
      </c>
      <c r="AC414" s="730"/>
      <c r="AD414" s="731"/>
      <c r="AE414" s="730"/>
      <c r="AF414" s="730"/>
      <c r="AG414" s="731"/>
      <c r="AH414" s="731"/>
      <c r="AI414" s="732">
        <f t="shared" si="59"/>
        <v>0</v>
      </c>
      <c r="AJ414" s="733">
        <f t="shared" si="60"/>
        <v>0</v>
      </c>
    </row>
    <row r="415" spans="1:36">
      <c r="A415" s="852" t="s">
        <v>197</v>
      </c>
      <c r="B415" s="874" t="s">
        <v>187</v>
      </c>
      <c r="C415" s="880" t="s">
        <v>188</v>
      </c>
      <c r="D415" s="881"/>
      <c r="E415" s="868"/>
      <c r="F415" s="869">
        <v>99</v>
      </c>
      <c r="G415" s="730"/>
      <c r="H415" s="734"/>
      <c r="I415" s="730"/>
      <c r="J415" s="731"/>
      <c r="K415" s="730"/>
      <c r="L415" s="731"/>
      <c r="M415" s="730"/>
      <c r="N415" s="730"/>
      <c r="O415" s="732">
        <f t="shared" si="53"/>
        <v>0</v>
      </c>
      <c r="P415" s="731"/>
      <c r="Q415" s="731"/>
      <c r="R415" s="733">
        <f t="shared" si="56"/>
        <v>0</v>
      </c>
      <c r="S415" s="732">
        <f t="shared" si="57"/>
        <v>0</v>
      </c>
      <c r="T415" s="733">
        <f t="shared" si="58"/>
        <v>0</v>
      </c>
      <c r="U415" s="730"/>
      <c r="V415" s="731"/>
      <c r="W415" s="730"/>
      <c r="X415" s="730"/>
      <c r="Y415" s="732">
        <f t="shared" si="54"/>
        <v>0</v>
      </c>
      <c r="Z415" s="731"/>
      <c r="AA415" s="731"/>
      <c r="AB415" s="733">
        <f t="shared" si="55"/>
        <v>0</v>
      </c>
      <c r="AC415" s="730"/>
      <c r="AD415" s="731"/>
      <c r="AE415" s="730"/>
      <c r="AF415" s="730"/>
      <c r="AG415" s="731"/>
      <c r="AH415" s="731"/>
      <c r="AI415" s="732">
        <f t="shared" si="59"/>
        <v>0</v>
      </c>
      <c r="AJ415" s="733">
        <f t="shared" si="60"/>
        <v>0</v>
      </c>
    </row>
    <row r="416" spans="1:36">
      <c r="A416" s="852" t="s">
        <v>197</v>
      </c>
      <c r="B416" s="847" t="s">
        <v>187</v>
      </c>
      <c r="C416" s="873" t="s">
        <v>282</v>
      </c>
      <c r="D416" s="854"/>
      <c r="E416" s="868"/>
      <c r="F416" s="869">
        <v>99</v>
      </c>
      <c r="G416" s="730"/>
      <c r="H416" s="734"/>
      <c r="I416" s="730"/>
      <c r="J416" s="731"/>
      <c r="K416" s="730"/>
      <c r="L416" s="731"/>
      <c r="M416" s="730"/>
      <c r="N416" s="730"/>
      <c r="O416" s="732">
        <f t="shared" si="53"/>
        <v>0</v>
      </c>
      <c r="P416" s="731"/>
      <c r="Q416" s="731"/>
      <c r="R416" s="733">
        <f t="shared" si="56"/>
        <v>0</v>
      </c>
      <c r="S416" s="732">
        <f t="shared" si="57"/>
        <v>0</v>
      </c>
      <c r="T416" s="733">
        <f t="shared" si="58"/>
        <v>0</v>
      </c>
      <c r="U416" s="730"/>
      <c r="V416" s="731"/>
      <c r="W416" s="730"/>
      <c r="X416" s="730"/>
      <c r="Y416" s="732">
        <f t="shared" si="54"/>
        <v>0</v>
      </c>
      <c r="Z416" s="731"/>
      <c r="AA416" s="731"/>
      <c r="AB416" s="733">
        <f t="shared" si="55"/>
        <v>0</v>
      </c>
      <c r="AC416" s="730"/>
      <c r="AD416" s="731"/>
      <c r="AE416" s="730"/>
      <c r="AF416" s="730"/>
      <c r="AG416" s="731"/>
      <c r="AH416" s="731"/>
      <c r="AI416" s="732">
        <f t="shared" si="59"/>
        <v>0</v>
      </c>
      <c r="AJ416" s="733">
        <f t="shared" si="60"/>
        <v>0</v>
      </c>
    </row>
    <row r="417" spans="1:36">
      <c r="A417" s="852" t="s">
        <v>197</v>
      </c>
      <c r="B417" s="874" t="s">
        <v>190</v>
      </c>
      <c r="C417" s="875" t="s">
        <v>165</v>
      </c>
      <c r="D417" s="871"/>
      <c r="E417" s="868"/>
      <c r="F417" s="869">
        <v>99</v>
      </c>
      <c r="G417" s="730"/>
      <c r="H417" s="734"/>
      <c r="I417" s="730"/>
      <c r="J417" s="731"/>
      <c r="K417" s="730"/>
      <c r="L417" s="731"/>
      <c r="M417" s="730"/>
      <c r="N417" s="730"/>
      <c r="O417" s="732">
        <f t="shared" si="53"/>
        <v>0</v>
      </c>
      <c r="P417" s="731"/>
      <c r="Q417" s="731"/>
      <c r="R417" s="733">
        <f t="shared" si="56"/>
        <v>0</v>
      </c>
      <c r="S417" s="732">
        <f t="shared" si="57"/>
        <v>0</v>
      </c>
      <c r="T417" s="733">
        <f t="shared" si="58"/>
        <v>0</v>
      </c>
      <c r="U417" s="730"/>
      <c r="V417" s="731"/>
      <c r="W417" s="730"/>
      <c r="X417" s="730"/>
      <c r="Y417" s="732">
        <f t="shared" si="54"/>
        <v>0</v>
      </c>
      <c r="Z417" s="731"/>
      <c r="AA417" s="731"/>
      <c r="AB417" s="733">
        <f t="shared" si="55"/>
        <v>0</v>
      </c>
      <c r="AC417" s="730"/>
      <c r="AD417" s="731"/>
      <c r="AE417" s="730"/>
      <c r="AF417" s="730"/>
      <c r="AG417" s="731"/>
      <c r="AH417" s="731"/>
      <c r="AI417" s="732">
        <f t="shared" si="59"/>
        <v>0</v>
      </c>
      <c r="AJ417" s="733">
        <f t="shared" si="60"/>
        <v>0</v>
      </c>
    </row>
    <row r="418" spans="1:36">
      <c r="A418" s="852" t="s">
        <v>197</v>
      </c>
      <c r="B418" s="874" t="s">
        <v>191</v>
      </c>
      <c r="C418" s="875" t="s">
        <v>167</v>
      </c>
      <c r="D418" s="871"/>
      <c r="E418" s="868"/>
      <c r="F418" s="869">
        <v>99</v>
      </c>
      <c r="G418" s="730"/>
      <c r="H418" s="734"/>
      <c r="I418" s="730"/>
      <c r="J418" s="731"/>
      <c r="K418" s="730"/>
      <c r="L418" s="731"/>
      <c r="M418" s="730"/>
      <c r="N418" s="730"/>
      <c r="O418" s="732">
        <f t="shared" si="53"/>
        <v>0</v>
      </c>
      <c r="P418" s="731"/>
      <c r="Q418" s="731"/>
      <c r="R418" s="733">
        <f t="shared" si="56"/>
        <v>0</v>
      </c>
      <c r="S418" s="732">
        <f t="shared" si="57"/>
        <v>0</v>
      </c>
      <c r="T418" s="733">
        <f t="shared" si="58"/>
        <v>0</v>
      </c>
      <c r="U418" s="730">
        <v>393048</v>
      </c>
      <c r="V418" s="731">
        <v>377855</v>
      </c>
      <c r="W418" s="730"/>
      <c r="X418" s="730"/>
      <c r="Y418" s="732">
        <f t="shared" si="54"/>
        <v>0</v>
      </c>
      <c r="Z418" s="731"/>
      <c r="AA418" s="731"/>
      <c r="AB418" s="733">
        <f t="shared" si="55"/>
        <v>0</v>
      </c>
      <c r="AC418" s="730"/>
      <c r="AD418" s="731"/>
      <c r="AE418" s="730"/>
      <c r="AF418" s="730"/>
      <c r="AG418" s="731"/>
      <c r="AH418" s="731"/>
      <c r="AI418" s="732">
        <f t="shared" si="59"/>
        <v>393048</v>
      </c>
      <c r="AJ418" s="733">
        <f t="shared" si="60"/>
        <v>377855</v>
      </c>
    </row>
    <row r="419" spans="1:36">
      <c r="A419" s="882" t="s">
        <v>283</v>
      </c>
      <c r="B419" s="883" t="s">
        <v>62</v>
      </c>
      <c r="C419" s="884" t="s">
        <v>284</v>
      </c>
      <c r="D419" s="885"/>
      <c r="E419" s="886">
        <v>130943</v>
      </c>
      <c r="F419" s="887">
        <v>1</v>
      </c>
      <c r="G419" s="730">
        <v>123247100</v>
      </c>
      <c r="H419" s="731">
        <v>125167500</v>
      </c>
      <c r="I419" s="730"/>
      <c r="J419" s="731"/>
      <c r="K419" s="730"/>
      <c r="L419" s="731"/>
      <c r="M419" s="730">
        <v>685702649</v>
      </c>
      <c r="N419" s="730">
        <v>0</v>
      </c>
      <c r="O419" s="732">
        <f t="shared" si="53"/>
        <v>685702649</v>
      </c>
      <c r="P419" s="731">
        <v>634953901</v>
      </c>
      <c r="Q419" s="731">
        <v>0</v>
      </c>
      <c r="R419" s="733">
        <f t="shared" si="56"/>
        <v>634953901</v>
      </c>
      <c r="S419" s="732">
        <f t="shared" si="57"/>
        <v>808949749</v>
      </c>
      <c r="T419" s="733">
        <f t="shared" si="58"/>
        <v>760121401</v>
      </c>
      <c r="U419" s="730"/>
      <c r="V419" s="731"/>
      <c r="W419" s="730"/>
      <c r="X419" s="730"/>
      <c r="Y419" s="732">
        <f t="shared" si="54"/>
        <v>0</v>
      </c>
      <c r="Z419" s="731"/>
      <c r="AA419" s="731"/>
      <c r="AB419" s="733">
        <f t="shared" si="55"/>
        <v>0</v>
      </c>
      <c r="AC419" s="730"/>
      <c r="AD419" s="731"/>
      <c r="AE419" s="730"/>
      <c r="AF419" s="730"/>
      <c r="AG419" s="731"/>
      <c r="AH419" s="731"/>
      <c r="AI419" s="732">
        <f t="shared" si="59"/>
        <v>808949749</v>
      </c>
      <c r="AJ419" s="733">
        <f t="shared" si="60"/>
        <v>760121401</v>
      </c>
    </row>
    <row r="420" spans="1:36">
      <c r="A420" s="882" t="s">
        <v>283</v>
      </c>
      <c r="B420" s="888" t="s">
        <v>69</v>
      </c>
      <c r="C420" s="889" t="s">
        <v>285</v>
      </c>
      <c r="D420" s="890"/>
      <c r="E420" s="891">
        <v>130943</v>
      </c>
      <c r="F420" s="892">
        <v>1</v>
      </c>
      <c r="G420" s="730"/>
      <c r="H420" s="731"/>
      <c r="I420" s="730"/>
      <c r="J420" s="731"/>
      <c r="K420" s="730"/>
      <c r="L420" s="731"/>
      <c r="M420" s="730"/>
      <c r="N420" s="730"/>
      <c r="O420" s="732">
        <f t="shared" si="53"/>
        <v>0</v>
      </c>
      <c r="P420" s="731"/>
      <c r="Q420" s="731"/>
      <c r="R420" s="733">
        <f t="shared" si="56"/>
        <v>0</v>
      </c>
      <c r="S420" s="732">
        <f t="shared" si="57"/>
        <v>0</v>
      </c>
      <c r="T420" s="733">
        <f t="shared" si="58"/>
        <v>0</v>
      </c>
      <c r="U420" s="730"/>
      <c r="V420" s="731"/>
      <c r="W420" s="730"/>
      <c r="X420" s="730"/>
      <c r="Y420" s="732">
        <f t="shared" si="54"/>
        <v>0</v>
      </c>
      <c r="Z420" s="731"/>
      <c r="AA420" s="731"/>
      <c r="AB420" s="733">
        <f t="shared" si="55"/>
        <v>0</v>
      </c>
      <c r="AC420" s="730"/>
      <c r="AD420" s="731"/>
      <c r="AE420" s="730"/>
      <c r="AF420" s="730"/>
      <c r="AG420" s="731"/>
      <c r="AH420" s="731"/>
      <c r="AI420" s="732">
        <f t="shared" si="59"/>
        <v>0</v>
      </c>
      <c r="AJ420" s="733">
        <f t="shared" si="60"/>
        <v>0</v>
      </c>
    </row>
    <row r="421" spans="1:36">
      <c r="A421" s="882" t="s">
        <v>283</v>
      </c>
      <c r="B421" s="888" t="s">
        <v>69</v>
      </c>
      <c r="C421" s="893" t="s">
        <v>286</v>
      </c>
      <c r="D421" s="890"/>
      <c r="E421" s="891">
        <v>130943</v>
      </c>
      <c r="F421" s="892">
        <v>1</v>
      </c>
      <c r="G421" s="730"/>
      <c r="H421" s="731"/>
      <c r="I421" s="730">
        <v>115950</v>
      </c>
      <c r="J421" s="731">
        <v>121345</v>
      </c>
      <c r="K421" s="730"/>
      <c r="L421" s="731"/>
      <c r="M421" s="730"/>
      <c r="N421" s="730"/>
      <c r="O421" s="732">
        <f t="shared" si="53"/>
        <v>0</v>
      </c>
      <c r="P421" s="731"/>
      <c r="Q421" s="731"/>
      <c r="R421" s="733">
        <f t="shared" si="56"/>
        <v>0</v>
      </c>
      <c r="S421" s="732">
        <f t="shared" si="57"/>
        <v>115950</v>
      </c>
      <c r="T421" s="733">
        <f t="shared" si="58"/>
        <v>121345</v>
      </c>
      <c r="U421" s="730"/>
      <c r="V421" s="731"/>
      <c r="W421" s="730"/>
      <c r="X421" s="730"/>
      <c r="Y421" s="732">
        <f t="shared" si="54"/>
        <v>0</v>
      </c>
      <c r="Z421" s="731"/>
      <c r="AA421" s="731"/>
      <c r="AB421" s="733">
        <f t="shared" si="55"/>
        <v>0</v>
      </c>
      <c r="AC421" s="730"/>
      <c r="AD421" s="731"/>
      <c r="AE421" s="730"/>
      <c r="AF421" s="730"/>
      <c r="AG421" s="731"/>
      <c r="AH421" s="731"/>
      <c r="AI421" s="732">
        <f t="shared" si="59"/>
        <v>115950</v>
      </c>
      <c r="AJ421" s="733">
        <f t="shared" si="60"/>
        <v>121345</v>
      </c>
    </row>
    <row r="422" spans="1:36">
      <c r="A422" s="882" t="s">
        <v>283</v>
      </c>
      <c r="B422" s="888" t="s">
        <v>74</v>
      </c>
      <c r="C422" s="889" t="s">
        <v>75</v>
      </c>
      <c r="D422" s="890"/>
      <c r="E422" s="891">
        <v>130943</v>
      </c>
      <c r="F422" s="892">
        <v>1</v>
      </c>
      <c r="G422" s="730"/>
      <c r="H422" s="731"/>
      <c r="I422" s="730">
        <v>2445000</v>
      </c>
      <c r="J422" s="731">
        <v>2445000</v>
      </c>
      <c r="K422" s="730"/>
      <c r="L422" s="731"/>
      <c r="M422" s="730"/>
      <c r="N422" s="730"/>
      <c r="O422" s="732">
        <f t="shared" si="53"/>
        <v>0</v>
      </c>
      <c r="P422" s="731"/>
      <c r="Q422" s="731"/>
      <c r="R422" s="733">
        <f t="shared" si="56"/>
        <v>0</v>
      </c>
      <c r="S422" s="732">
        <f t="shared" si="57"/>
        <v>2445000</v>
      </c>
      <c r="T422" s="733">
        <f t="shared" si="58"/>
        <v>2445000</v>
      </c>
      <c r="U422" s="730"/>
      <c r="V422" s="731"/>
      <c r="W422" s="730"/>
      <c r="X422" s="730"/>
      <c r="Y422" s="732">
        <f t="shared" si="54"/>
        <v>0</v>
      </c>
      <c r="Z422" s="731"/>
      <c r="AA422" s="731"/>
      <c r="AB422" s="733">
        <f t="shared" si="55"/>
        <v>0</v>
      </c>
      <c r="AC422" s="730"/>
      <c r="AD422" s="731"/>
      <c r="AE422" s="730"/>
      <c r="AF422" s="730"/>
      <c r="AG422" s="731"/>
      <c r="AH422" s="731"/>
      <c r="AI422" s="732">
        <f t="shared" si="59"/>
        <v>2445000</v>
      </c>
      <c r="AJ422" s="733">
        <f t="shared" si="60"/>
        <v>2445000</v>
      </c>
    </row>
    <row r="423" spans="1:36">
      <c r="A423" s="882" t="s">
        <v>283</v>
      </c>
      <c r="B423" s="888" t="s">
        <v>76</v>
      </c>
      <c r="C423" s="889" t="s">
        <v>77</v>
      </c>
      <c r="D423" s="890"/>
      <c r="E423" s="891">
        <v>130943</v>
      </c>
      <c r="F423" s="892">
        <v>1</v>
      </c>
      <c r="G423" s="730"/>
      <c r="H423" s="731"/>
      <c r="I423" s="730">
        <v>680000</v>
      </c>
      <c r="J423" s="731">
        <v>680000</v>
      </c>
      <c r="K423" s="730"/>
      <c r="L423" s="731"/>
      <c r="M423" s="730"/>
      <c r="N423" s="730"/>
      <c r="O423" s="732">
        <f t="shared" si="53"/>
        <v>0</v>
      </c>
      <c r="P423" s="731"/>
      <c r="Q423" s="731"/>
      <c r="R423" s="733">
        <f t="shared" si="56"/>
        <v>0</v>
      </c>
      <c r="S423" s="732">
        <f t="shared" si="57"/>
        <v>680000</v>
      </c>
      <c r="T423" s="733">
        <f t="shared" si="58"/>
        <v>680000</v>
      </c>
      <c r="U423" s="730"/>
      <c r="V423" s="731"/>
      <c r="W423" s="730"/>
      <c r="X423" s="730"/>
      <c r="Y423" s="732">
        <f t="shared" si="54"/>
        <v>0</v>
      </c>
      <c r="Z423" s="731"/>
      <c r="AA423" s="731"/>
      <c r="AB423" s="733">
        <f t="shared" si="55"/>
        <v>0</v>
      </c>
      <c r="AC423" s="730"/>
      <c r="AD423" s="731"/>
      <c r="AE423" s="730"/>
      <c r="AF423" s="730"/>
      <c r="AG423" s="731"/>
      <c r="AH423" s="731"/>
      <c r="AI423" s="732">
        <f t="shared" si="59"/>
        <v>680000</v>
      </c>
      <c r="AJ423" s="733">
        <f t="shared" si="60"/>
        <v>680000</v>
      </c>
    </row>
    <row r="424" spans="1:36">
      <c r="A424" s="882" t="s">
        <v>283</v>
      </c>
      <c r="B424" s="888" t="s">
        <v>78</v>
      </c>
      <c r="C424" s="889" t="s">
        <v>79</v>
      </c>
      <c r="D424" s="890"/>
      <c r="E424" s="891">
        <v>130943</v>
      </c>
      <c r="F424" s="892">
        <v>1</v>
      </c>
      <c r="G424" s="730"/>
      <c r="H424" s="731"/>
      <c r="I424" s="730"/>
      <c r="J424" s="731"/>
      <c r="K424" s="730"/>
      <c r="L424" s="731"/>
      <c r="M424" s="730"/>
      <c r="N424" s="730"/>
      <c r="O424" s="732">
        <f t="shared" si="53"/>
        <v>0</v>
      </c>
      <c r="P424" s="731"/>
      <c r="Q424" s="731"/>
      <c r="R424" s="733">
        <f t="shared" si="56"/>
        <v>0</v>
      </c>
      <c r="S424" s="732">
        <f t="shared" si="57"/>
        <v>0</v>
      </c>
      <c r="T424" s="733">
        <f t="shared" si="58"/>
        <v>0</v>
      </c>
      <c r="U424" s="730"/>
      <c r="V424" s="731"/>
      <c r="W424" s="730"/>
      <c r="X424" s="730"/>
      <c r="Y424" s="732">
        <f t="shared" si="54"/>
        <v>0</v>
      </c>
      <c r="Z424" s="731"/>
      <c r="AA424" s="731"/>
      <c r="AB424" s="733">
        <f t="shared" si="55"/>
        <v>0</v>
      </c>
      <c r="AC424" s="730"/>
      <c r="AD424" s="731"/>
      <c r="AE424" s="730"/>
      <c r="AF424" s="730"/>
      <c r="AG424" s="731"/>
      <c r="AH424" s="731"/>
      <c r="AI424" s="732">
        <f t="shared" si="59"/>
        <v>0</v>
      </c>
      <c r="AJ424" s="733">
        <f t="shared" si="60"/>
        <v>0</v>
      </c>
    </row>
    <row r="425" spans="1:36">
      <c r="A425" s="894" t="s">
        <v>283</v>
      </c>
      <c r="B425" s="888" t="s">
        <v>78</v>
      </c>
      <c r="C425" s="893" t="s">
        <v>287</v>
      </c>
      <c r="D425" s="890"/>
      <c r="E425" s="891">
        <v>130943</v>
      </c>
      <c r="F425" s="892">
        <v>1</v>
      </c>
      <c r="G425" s="730"/>
      <c r="H425" s="731"/>
      <c r="I425" s="730">
        <v>507700</v>
      </c>
      <c r="J425" s="731">
        <v>518000</v>
      </c>
      <c r="K425" s="730"/>
      <c r="L425" s="731"/>
      <c r="M425" s="730"/>
      <c r="N425" s="730"/>
      <c r="O425" s="732">
        <f t="shared" si="53"/>
        <v>0</v>
      </c>
      <c r="P425" s="731"/>
      <c r="Q425" s="731"/>
      <c r="R425" s="733">
        <f t="shared" si="56"/>
        <v>0</v>
      </c>
      <c r="S425" s="732">
        <f t="shared" si="57"/>
        <v>507700</v>
      </c>
      <c r="T425" s="733">
        <f t="shared" si="58"/>
        <v>518000</v>
      </c>
      <c r="U425" s="730"/>
      <c r="V425" s="731"/>
      <c r="W425" s="730"/>
      <c r="X425" s="730"/>
      <c r="Y425" s="732">
        <f t="shared" si="54"/>
        <v>0</v>
      </c>
      <c r="Z425" s="731"/>
      <c r="AA425" s="731"/>
      <c r="AB425" s="733">
        <f t="shared" si="55"/>
        <v>0</v>
      </c>
      <c r="AC425" s="730"/>
      <c r="AD425" s="731"/>
      <c r="AE425" s="730"/>
      <c r="AF425" s="730"/>
      <c r="AG425" s="731"/>
      <c r="AH425" s="731"/>
      <c r="AI425" s="732">
        <f t="shared" si="59"/>
        <v>507700</v>
      </c>
      <c r="AJ425" s="733">
        <f t="shared" si="60"/>
        <v>518000</v>
      </c>
    </row>
    <row r="426" spans="1:36">
      <c r="A426" s="894" t="s">
        <v>283</v>
      </c>
      <c r="B426" s="888" t="s">
        <v>78</v>
      </c>
      <c r="C426" s="893" t="s">
        <v>288</v>
      </c>
      <c r="D426" s="890"/>
      <c r="E426" s="891">
        <v>130943</v>
      </c>
      <c r="F426" s="892">
        <v>1</v>
      </c>
      <c r="G426" s="730"/>
      <c r="H426" s="731"/>
      <c r="I426" s="730">
        <v>615352</v>
      </c>
      <c r="J426" s="731">
        <v>631552</v>
      </c>
      <c r="K426" s="730"/>
      <c r="L426" s="731"/>
      <c r="M426" s="730"/>
      <c r="N426" s="730"/>
      <c r="O426" s="732">
        <f t="shared" si="53"/>
        <v>0</v>
      </c>
      <c r="P426" s="731"/>
      <c r="Q426" s="731"/>
      <c r="R426" s="733">
        <f t="shared" si="56"/>
        <v>0</v>
      </c>
      <c r="S426" s="732">
        <f t="shared" si="57"/>
        <v>615352</v>
      </c>
      <c r="T426" s="733">
        <f t="shared" si="58"/>
        <v>631552</v>
      </c>
      <c r="U426" s="730"/>
      <c r="V426" s="731"/>
      <c r="W426" s="730"/>
      <c r="X426" s="730"/>
      <c r="Y426" s="732">
        <f t="shared" si="54"/>
        <v>0</v>
      </c>
      <c r="Z426" s="731"/>
      <c r="AA426" s="731"/>
      <c r="AB426" s="733">
        <f t="shared" si="55"/>
        <v>0</v>
      </c>
      <c r="AC426" s="730"/>
      <c r="AD426" s="731"/>
      <c r="AE426" s="730"/>
      <c r="AF426" s="730"/>
      <c r="AG426" s="731"/>
      <c r="AH426" s="731"/>
      <c r="AI426" s="732">
        <f t="shared" si="59"/>
        <v>615352</v>
      </c>
      <c r="AJ426" s="733">
        <f t="shared" si="60"/>
        <v>631552</v>
      </c>
    </row>
    <row r="427" spans="1:36">
      <c r="A427" s="894" t="s">
        <v>283</v>
      </c>
      <c r="B427" s="888" t="s">
        <v>78</v>
      </c>
      <c r="C427" s="893" t="s">
        <v>289</v>
      </c>
      <c r="D427" s="890"/>
      <c r="E427" s="891">
        <v>130943</v>
      </c>
      <c r="F427" s="892">
        <v>1</v>
      </c>
      <c r="G427" s="730"/>
      <c r="H427" s="731"/>
      <c r="I427" s="730">
        <v>115640</v>
      </c>
      <c r="J427" s="731">
        <v>115640</v>
      </c>
      <c r="K427" s="730"/>
      <c r="L427" s="731"/>
      <c r="M427" s="730"/>
      <c r="N427" s="730"/>
      <c r="O427" s="732">
        <f t="shared" si="53"/>
        <v>0</v>
      </c>
      <c r="P427" s="731"/>
      <c r="Q427" s="731"/>
      <c r="R427" s="733">
        <f t="shared" si="56"/>
        <v>0</v>
      </c>
      <c r="S427" s="732">
        <f t="shared" si="57"/>
        <v>115640</v>
      </c>
      <c r="T427" s="733">
        <f t="shared" si="58"/>
        <v>115640</v>
      </c>
      <c r="U427" s="730"/>
      <c r="V427" s="731"/>
      <c r="W427" s="730"/>
      <c r="X427" s="730"/>
      <c r="Y427" s="732">
        <f t="shared" si="54"/>
        <v>0</v>
      </c>
      <c r="Z427" s="731"/>
      <c r="AA427" s="731"/>
      <c r="AB427" s="733">
        <f t="shared" si="55"/>
        <v>0</v>
      </c>
      <c r="AC427" s="730"/>
      <c r="AD427" s="731"/>
      <c r="AE427" s="730"/>
      <c r="AF427" s="730"/>
      <c r="AG427" s="731"/>
      <c r="AH427" s="731"/>
      <c r="AI427" s="732">
        <f t="shared" si="59"/>
        <v>115640</v>
      </c>
      <c r="AJ427" s="733">
        <f t="shared" si="60"/>
        <v>115640</v>
      </c>
    </row>
    <row r="428" spans="1:36">
      <c r="A428" s="894" t="s">
        <v>283</v>
      </c>
      <c r="B428" s="888" t="s">
        <v>78</v>
      </c>
      <c r="C428" s="893" t="s">
        <v>290</v>
      </c>
      <c r="D428" s="890"/>
      <c r="E428" s="891">
        <v>130943</v>
      </c>
      <c r="F428" s="892">
        <v>1</v>
      </c>
      <c r="G428" s="730"/>
      <c r="H428" s="731"/>
      <c r="I428" s="730">
        <v>254800</v>
      </c>
      <c r="J428" s="731">
        <v>254550</v>
      </c>
      <c r="K428" s="730"/>
      <c r="L428" s="731"/>
      <c r="M428" s="730"/>
      <c r="N428" s="730"/>
      <c r="O428" s="732">
        <f t="shared" si="53"/>
        <v>0</v>
      </c>
      <c r="P428" s="731"/>
      <c r="Q428" s="731"/>
      <c r="R428" s="733">
        <f t="shared" si="56"/>
        <v>0</v>
      </c>
      <c r="S428" s="732">
        <f t="shared" si="57"/>
        <v>254800</v>
      </c>
      <c r="T428" s="733">
        <f t="shared" si="58"/>
        <v>254550</v>
      </c>
      <c r="U428" s="730"/>
      <c r="V428" s="731"/>
      <c r="W428" s="730"/>
      <c r="X428" s="730"/>
      <c r="Y428" s="732">
        <f t="shared" si="54"/>
        <v>0</v>
      </c>
      <c r="Z428" s="731"/>
      <c r="AA428" s="731"/>
      <c r="AB428" s="733">
        <f t="shared" si="55"/>
        <v>0</v>
      </c>
      <c r="AC428" s="730"/>
      <c r="AD428" s="731"/>
      <c r="AE428" s="730"/>
      <c r="AF428" s="730"/>
      <c r="AG428" s="731"/>
      <c r="AH428" s="731"/>
      <c r="AI428" s="732">
        <f t="shared" si="59"/>
        <v>254800</v>
      </c>
      <c r="AJ428" s="733">
        <f t="shared" si="60"/>
        <v>254550</v>
      </c>
    </row>
    <row r="429" spans="1:36">
      <c r="A429" s="894" t="s">
        <v>283</v>
      </c>
      <c r="B429" s="888" t="s">
        <v>78</v>
      </c>
      <c r="C429" s="893" t="s">
        <v>291</v>
      </c>
      <c r="D429" s="890"/>
      <c r="E429" s="891">
        <v>130943</v>
      </c>
      <c r="F429" s="892">
        <v>1</v>
      </c>
      <c r="G429" s="730"/>
      <c r="H429" s="731"/>
      <c r="I429" s="730">
        <v>203350</v>
      </c>
      <c r="J429" s="731">
        <v>203350</v>
      </c>
      <c r="K429" s="730"/>
      <c r="L429" s="731"/>
      <c r="M429" s="730"/>
      <c r="N429" s="730"/>
      <c r="O429" s="732">
        <f t="shared" si="53"/>
        <v>0</v>
      </c>
      <c r="P429" s="731"/>
      <c r="Q429" s="731"/>
      <c r="R429" s="733">
        <f t="shared" si="56"/>
        <v>0</v>
      </c>
      <c r="S429" s="732">
        <f t="shared" si="57"/>
        <v>203350</v>
      </c>
      <c r="T429" s="733">
        <f t="shared" si="58"/>
        <v>203350</v>
      </c>
      <c r="U429" s="730"/>
      <c r="V429" s="731"/>
      <c r="W429" s="730"/>
      <c r="X429" s="730"/>
      <c r="Y429" s="732">
        <f t="shared" si="54"/>
        <v>0</v>
      </c>
      <c r="Z429" s="731"/>
      <c r="AA429" s="731"/>
      <c r="AB429" s="733">
        <f t="shared" si="55"/>
        <v>0</v>
      </c>
      <c r="AC429" s="730"/>
      <c r="AD429" s="731"/>
      <c r="AE429" s="730"/>
      <c r="AF429" s="730"/>
      <c r="AG429" s="731"/>
      <c r="AH429" s="731"/>
      <c r="AI429" s="732">
        <f t="shared" si="59"/>
        <v>203350</v>
      </c>
      <c r="AJ429" s="733">
        <f t="shared" si="60"/>
        <v>203350</v>
      </c>
    </row>
    <row r="430" spans="1:36">
      <c r="A430" s="894" t="s">
        <v>283</v>
      </c>
      <c r="B430" s="888" t="s">
        <v>78</v>
      </c>
      <c r="C430" s="893" t="s">
        <v>292</v>
      </c>
      <c r="D430" s="890"/>
      <c r="E430" s="891">
        <v>130943</v>
      </c>
      <c r="F430" s="892">
        <v>1</v>
      </c>
      <c r="G430" s="730"/>
      <c r="H430" s="731"/>
      <c r="I430" s="730">
        <v>76930</v>
      </c>
      <c r="J430" s="731">
        <v>76930</v>
      </c>
      <c r="K430" s="730"/>
      <c r="L430" s="731"/>
      <c r="M430" s="730"/>
      <c r="N430" s="730"/>
      <c r="O430" s="732">
        <f t="shared" si="53"/>
        <v>0</v>
      </c>
      <c r="P430" s="731"/>
      <c r="Q430" s="731"/>
      <c r="R430" s="733">
        <f t="shared" si="56"/>
        <v>0</v>
      </c>
      <c r="S430" s="732">
        <f t="shared" si="57"/>
        <v>76930</v>
      </c>
      <c r="T430" s="733">
        <f t="shared" si="58"/>
        <v>76930</v>
      </c>
      <c r="U430" s="730"/>
      <c r="V430" s="731"/>
      <c r="W430" s="730"/>
      <c r="X430" s="730"/>
      <c r="Y430" s="732">
        <f t="shared" si="54"/>
        <v>0</v>
      </c>
      <c r="Z430" s="731"/>
      <c r="AA430" s="731"/>
      <c r="AB430" s="733">
        <f t="shared" si="55"/>
        <v>0</v>
      </c>
      <c r="AC430" s="730"/>
      <c r="AD430" s="731"/>
      <c r="AE430" s="730"/>
      <c r="AF430" s="730"/>
      <c r="AG430" s="731"/>
      <c r="AH430" s="731"/>
      <c r="AI430" s="732">
        <f t="shared" si="59"/>
        <v>76930</v>
      </c>
      <c r="AJ430" s="733">
        <f t="shared" si="60"/>
        <v>76930</v>
      </c>
    </row>
    <row r="431" spans="1:36">
      <c r="A431" s="894" t="s">
        <v>283</v>
      </c>
      <c r="B431" s="888" t="s">
        <v>78</v>
      </c>
      <c r="C431" s="893" t="s">
        <v>293</v>
      </c>
      <c r="D431" s="890"/>
      <c r="E431" s="891">
        <v>130943</v>
      </c>
      <c r="F431" s="892">
        <v>1</v>
      </c>
      <c r="G431" s="730"/>
      <c r="H431" s="731"/>
      <c r="I431" s="730">
        <v>253300</v>
      </c>
      <c r="J431" s="731">
        <v>253300</v>
      </c>
      <c r="K431" s="730"/>
      <c r="L431" s="731"/>
      <c r="M431" s="730"/>
      <c r="N431" s="730"/>
      <c r="O431" s="732">
        <f t="shared" si="53"/>
        <v>0</v>
      </c>
      <c r="P431" s="731"/>
      <c r="Q431" s="731"/>
      <c r="R431" s="733">
        <f t="shared" si="56"/>
        <v>0</v>
      </c>
      <c r="S431" s="732">
        <f t="shared" si="57"/>
        <v>253300</v>
      </c>
      <c r="T431" s="733">
        <f t="shared" si="58"/>
        <v>253300</v>
      </c>
      <c r="U431" s="730"/>
      <c r="V431" s="731"/>
      <c r="W431" s="730"/>
      <c r="X431" s="730"/>
      <c r="Y431" s="732">
        <f t="shared" si="54"/>
        <v>0</v>
      </c>
      <c r="Z431" s="731"/>
      <c r="AA431" s="731"/>
      <c r="AB431" s="733">
        <f t="shared" si="55"/>
        <v>0</v>
      </c>
      <c r="AC431" s="730"/>
      <c r="AD431" s="731"/>
      <c r="AE431" s="730"/>
      <c r="AF431" s="730"/>
      <c r="AG431" s="731"/>
      <c r="AH431" s="731"/>
      <c r="AI431" s="732">
        <f t="shared" si="59"/>
        <v>253300</v>
      </c>
      <c r="AJ431" s="733">
        <f t="shared" si="60"/>
        <v>253300</v>
      </c>
    </row>
    <row r="432" spans="1:36">
      <c r="A432" s="894" t="s">
        <v>283</v>
      </c>
      <c r="B432" s="888" t="s">
        <v>78</v>
      </c>
      <c r="C432" s="893" t="s">
        <v>294</v>
      </c>
      <c r="D432" s="890"/>
      <c r="E432" s="891">
        <v>130943</v>
      </c>
      <c r="F432" s="892">
        <v>1</v>
      </c>
      <c r="G432" s="730"/>
      <c r="H432" s="731"/>
      <c r="I432" s="730">
        <v>2057200</v>
      </c>
      <c r="J432" s="731">
        <v>2113500</v>
      </c>
      <c r="K432" s="730"/>
      <c r="L432" s="731"/>
      <c r="M432" s="730"/>
      <c r="N432" s="730"/>
      <c r="O432" s="732">
        <f t="shared" si="53"/>
        <v>0</v>
      </c>
      <c r="P432" s="731"/>
      <c r="Q432" s="731"/>
      <c r="R432" s="733">
        <f t="shared" si="56"/>
        <v>0</v>
      </c>
      <c r="S432" s="732">
        <f t="shared" si="57"/>
        <v>2057200</v>
      </c>
      <c r="T432" s="733">
        <f t="shared" si="58"/>
        <v>2113500</v>
      </c>
      <c r="U432" s="730"/>
      <c r="V432" s="731"/>
      <c r="W432" s="730"/>
      <c r="X432" s="730"/>
      <c r="Y432" s="732">
        <f t="shared" si="54"/>
        <v>0</v>
      </c>
      <c r="Z432" s="731"/>
      <c r="AA432" s="731"/>
      <c r="AB432" s="733">
        <f t="shared" si="55"/>
        <v>0</v>
      </c>
      <c r="AC432" s="730"/>
      <c r="AD432" s="731"/>
      <c r="AE432" s="730"/>
      <c r="AF432" s="730"/>
      <c r="AG432" s="731"/>
      <c r="AH432" s="731"/>
      <c r="AI432" s="732">
        <f t="shared" si="59"/>
        <v>2057200</v>
      </c>
      <c r="AJ432" s="733">
        <f t="shared" si="60"/>
        <v>2113500</v>
      </c>
    </row>
    <row r="433" spans="1:36">
      <c r="A433" s="894" t="s">
        <v>283</v>
      </c>
      <c r="B433" s="888" t="s">
        <v>62</v>
      </c>
      <c r="C433" s="895" t="s">
        <v>295</v>
      </c>
      <c r="D433" s="896"/>
      <c r="E433" s="892">
        <v>130934</v>
      </c>
      <c r="F433" s="892">
        <v>3</v>
      </c>
      <c r="G433" s="730">
        <v>36507700</v>
      </c>
      <c r="H433" s="731">
        <v>38383200</v>
      </c>
      <c r="I433" s="730"/>
      <c r="J433" s="731"/>
      <c r="K433" s="730"/>
      <c r="L433" s="731"/>
      <c r="M433" s="730">
        <v>32312437</v>
      </c>
      <c r="N433" s="730">
        <v>7923700</v>
      </c>
      <c r="O433" s="732">
        <f t="shared" si="53"/>
        <v>40236137</v>
      </c>
      <c r="P433" s="731">
        <v>34660317</v>
      </c>
      <c r="Q433" s="731">
        <v>7977161</v>
      </c>
      <c r="R433" s="733">
        <f t="shared" si="56"/>
        <v>42637478</v>
      </c>
      <c r="S433" s="732">
        <f t="shared" si="57"/>
        <v>68820137</v>
      </c>
      <c r="T433" s="733">
        <f t="shared" si="58"/>
        <v>73043517</v>
      </c>
      <c r="U433" s="730"/>
      <c r="V433" s="731"/>
      <c r="W433" s="730"/>
      <c r="X433" s="730"/>
      <c r="Y433" s="732">
        <f t="shared" si="54"/>
        <v>0</v>
      </c>
      <c r="Z433" s="731"/>
      <c r="AA433" s="731"/>
      <c r="AB433" s="733">
        <f t="shared" si="55"/>
        <v>0</v>
      </c>
      <c r="AC433" s="730"/>
      <c r="AD433" s="731"/>
      <c r="AE433" s="730"/>
      <c r="AF433" s="730"/>
      <c r="AG433" s="731"/>
      <c r="AH433" s="731"/>
      <c r="AI433" s="732">
        <f t="shared" si="59"/>
        <v>68820137</v>
      </c>
      <c r="AJ433" s="733">
        <f t="shared" si="60"/>
        <v>73043517</v>
      </c>
    </row>
    <row r="434" spans="1:36">
      <c r="A434" s="897" t="s">
        <v>283</v>
      </c>
      <c r="B434" s="883" t="s">
        <v>62</v>
      </c>
      <c r="C434" s="898" t="s">
        <v>296</v>
      </c>
      <c r="D434" s="1102" t="s">
        <v>1798</v>
      </c>
      <c r="E434" s="886">
        <v>130907</v>
      </c>
      <c r="F434" s="887">
        <v>9</v>
      </c>
      <c r="G434" s="730">
        <v>72167400</v>
      </c>
      <c r="H434" s="731">
        <v>74091500</v>
      </c>
      <c r="I434" s="730"/>
      <c r="J434" s="731"/>
      <c r="K434" s="730"/>
      <c r="L434" s="731"/>
      <c r="M434" s="730">
        <v>51008900</v>
      </c>
      <c r="N434" s="730">
        <v>0</v>
      </c>
      <c r="O434" s="732">
        <f t="shared" si="53"/>
        <v>51008900</v>
      </c>
      <c r="P434" s="731">
        <v>46760500</v>
      </c>
      <c r="Q434" s="731">
        <v>0</v>
      </c>
      <c r="R434" s="733">
        <f t="shared" si="56"/>
        <v>46760500</v>
      </c>
      <c r="S434" s="732">
        <f t="shared" si="57"/>
        <v>123176300</v>
      </c>
      <c r="T434" s="733">
        <f t="shared" si="58"/>
        <v>120852000</v>
      </c>
      <c r="U434" s="730"/>
      <c r="V434" s="731"/>
      <c r="W434" s="730"/>
      <c r="X434" s="730"/>
      <c r="Y434" s="732">
        <f t="shared" si="54"/>
        <v>0</v>
      </c>
      <c r="Z434" s="731"/>
      <c r="AA434" s="731"/>
      <c r="AB434" s="733">
        <f t="shared" si="55"/>
        <v>0</v>
      </c>
      <c r="AC434" s="730"/>
      <c r="AD434" s="731"/>
      <c r="AE434" s="730"/>
      <c r="AF434" s="730"/>
      <c r="AG434" s="731"/>
      <c r="AH434" s="731"/>
      <c r="AI434" s="732">
        <f t="shared" si="59"/>
        <v>123176300</v>
      </c>
      <c r="AJ434" s="733">
        <f t="shared" si="60"/>
        <v>120852000</v>
      </c>
    </row>
    <row r="435" spans="1:36">
      <c r="A435" s="894" t="s">
        <v>283</v>
      </c>
      <c r="B435" s="883" t="s">
        <v>132</v>
      </c>
      <c r="C435" s="885" t="s">
        <v>297</v>
      </c>
      <c r="D435" s="885"/>
      <c r="E435" s="899"/>
      <c r="F435" s="900">
        <v>99</v>
      </c>
      <c r="G435" s="730"/>
      <c r="H435" s="731"/>
      <c r="I435" s="730"/>
      <c r="J435" s="731"/>
      <c r="K435" s="730"/>
      <c r="L435" s="731"/>
      <c r="M435" s="730"/>
      <c r="N435" s="730"/>
      <c r="O435" s="732">
        <f t="shared" si="53"/>
        <v>0</v>
      </c>
      <c r="P435" s="731"/>
      <c r="Q435" s="731"/>
      <c r="R435" s="733">
        <f t="shared" si="56"/>
        <v>0</v>
      </c>
      <c r="S435" s="732">
        <f t="shared" si="57"/>
        <v>0</v>
      </c>
      <c r="T435" s="733">
        <f t="shared" si="58"/>
        <v>0</v>
      </c>
      <c r="U435" s="730"/>
      <c r="V435" s="731"/>
      <c r="W435" s="730"/>
      <c r="X435" s="730"/>
      <c r="Y435" s="732">
        <f t="shared" si="54"/>
        <v>0</v>
      </c>
      <c r="Z435" s="731"/>
      <c r="AA435" s="731"/>
      <c r="AB435" s="733">
        <f t="shared" si="55"/>
        <v>0</v>
      </c>
      <c r="AC435" s="730"/>
      <c r="AD435" s="731"/>
      <c r="AE435" s="730"/>
      <c r="AF435" s="730"/>
      <c r="AG435" s="731"/>
      <c r="AH435" s="731"/>
      <c r="AI435" s="732">
        <f t="shared" si="59"/>
        <v>0</v>
      </c>
      <c r="AJ435" s="733">
        <f t="shared" si="60"/>
        <v>0</v>
      </c>
    </row>
    <row r="436" spans="1:36">
      <c r="A436" s="901" t="s">
        <v>283</v>
      </c>
      <c r="B436" s="883" t="s">
        <v>132</v>
      </c>
      <c r="C436" s="893" t="s">
        <v>298</v>
      </c>
      <c r="D436" s="890"/>
      <c r="E436" s="899"/>
      <c r="F436" s="900">
        <v>99</v>
      </c>
      <c r="G436" s="730"/>
      <c r="H436" s="731"/>
      <c r="I436" s="730"/>
      <c r="J436" s="731"/>
      <c r="K436" s="730"/>
      <c r="L436" s="731"/>
      <c r="M436" s="730"/>
      <c r="N436" s="730"/>
      <c r="O436" s="732">
        <f t="shared" si="53"/>
        <v>0</v>
      </c>
      <c r="P436" s="731"/>
      <c r="Q436" s="731"/>
      <c r="R436" s="733">
        <f t="shared" si="56"/>
        <v>0</v>
      </c>
      <c r="S436" s="732">
        <f t="shared" si="57"/>
        <v>0</v>
      </c>
      <c r="T436" s="733">
        <f t="shared" si="58"/>
        <v>0</v>
      </c>
      <c r="U436" s="730"/>
      <c r="V436" s="731"/>
      <c r="W436" s="730"/>
      <c r="X436" s="730"/>
      <c r="Y436" s="732">
        <f t="shared" si="54"/>
        <v>0</v>
      </c>
      <c r="Z436" s="731"/>
      <c r="AA436" s="731"/>
      <c r="AB436" s="733">
        <f t="shared" si="55"/>
        <v>0</v>
      </c>
      <c r="AC436" s="730"/>
      <c r="AD436" s="731"/>
      <c r="AE436" s="730"/>
      <c r="AF436" s="730"/>
      <c r="AG436" s="731"/>
      <c r="AH436" s="731"/>
      <c r="AI436" s="732">
        <f t="shared" si="59"/>
        <v>0</v>
      </c>
      <c r="AJ436" s="733">
        <f t="shared" si="60"/>
        <v>0</v>
      </c>
    </row>
    <row r="437" spans="1:36">
      <c r="A437" s="894" t="s">
        <v>283</v>
      </c>
      <c r="B437" s="883" t="s">
        <v>132</v>
      </c>
      <c r="C437" s="893" t="s">
        <v>299</v>
      </c>
      <c r="D437" s="890"/>
      <c r="E437" s="899"/>
      <c r="F437" s="900">
        <v>99</v>
      </c>
      <c r="G437" s="730"/>
      <c r="H437" s="731"/>
      <c r="I437" s="730"/>
      <c r="J437" s="731"/>
      <c r="K437" s="730"/>
      <c r="L437" s="731"/>
      <c r="M437" s="730"/>
      <c r="N437" s="730"/>
      <c r="O437" s="732">
        <f t="shared" si="53"/>
        <v>0</v>
      </c>
      <c r="P437" s="731"/>
      <c r="Q437" s="731"/>
      <c r="R437" s="733">
        <f t="shared" si="56"/>
        <v>0</v>
      </c>
      <c r="S437" s="732">
        <f t="shared" si="57"/>
        <v>0</v>
      </c>
      <c r="T437" s="733">
        <f t="shared" si="58"/>
        <v>0</v>
      </c>
      <c r="U437" s="730"/>
      <c r="V437" s="731"/>
      <c r="W437" s="730"/>
      <c r="X437" s="730"/>
      <c r="Y437" s="732">
        <f t="shared" si="54"/>
        <v>0</v>
      </c>
      <c r="Z437" s="731"/>
      <c r="AA437" s="731"/>
      <c r="AB437" s="733">
        <f t="shared" si="55"/>
        <v>0</v>
      </c>
      <c r="AC437" s="730"/>
      <c r="AD437" s="731"/>
      <c r="AE437" s="730"/>
      <c r="AF437" s="730"/>
      <c r="AG437" s="731"/>
      <c r="AH437" s="731"/>
      <c r="AI437" s="732">
        <f t="shared" si="59"/>
        <v>0</v>
      </c>
      <c r="AJ437" s="733">
        <f t="shared" si="60"/>
        <v>0</v>
      </c>
    </row>
    <row r="438" spans="1:36">
      <c r="A438" s="894" t="s">
        <v>283</v>
      </c>
      <c r="B438" s="883" t="s">
        <v>132</v>
      </c>
      <c r="C438" s="893" t="s">
        <v>300</v>
      </c>
      <c r="D438" s="890"/>
      <c r="E438" s="899"/>
      <c r="F438" s="900">
        <v>99</v>
      </c>
      <c r="G438" s="730"/>
      <c r="H438" s="731"/>
      <c r="I438" s="730">
        <v>1732900</v>
      </c>
      <c r="J438" s="731">
        <v>1732900</v>
      </c>
      <c r="K438" s="730"/>
      <c r="L438" s="731"/>
      <c r="M438" s="730"/>
      <c r="N438" s="730"/>
      <c r="O438" s="732">
        <f t="shared" si="53"/>
        <v>0</v>
      </c>
      <c r="P438" s="731"/>
      <c r="Q438" s="731"/>
      <c r="R438" s="733">
        <f t="shared" si="56"/>
        <v>0</v>
      </c>
      <c r="S438" s="732">
        <f t="shared" si="57"/>
        <v>1732900</v>
      </c>
      <c r="T438" s="733">
        <f t="shared" si="58"/>
        <v>1732900</v>
      </c>
      <c r="U438" s="730"/>
      <c r="V438" s="731"/>
      <c r="W438" s="730"/>
      <c r="X438" s="730"/>
      <c r="Y438" s="732">
        <f t="shared" si="54"/>
        <v>0</v>
      </c>
      <c r="Z438" s="731"/>
      <c r="AA438" s="731"/>
      <c r="AB438" s="733">
        <f t="shared" si="55"/>
        <v>0</v>
      </c>
      <c r="AC438" s="730"/>
      <c r="AD438" s="731"/>
      <c r="AE438" s="730"/>
      <c r="AF438" s="730"/>
      <c r="AG438" s="731"/>
      <c r="AH438" s="731"/>
      <c r="AI438" s="732">
        <f t="shared" si="59"/>
        <v>1732900</v>
      </c>
      <c r="AJ438" s="733">
        <f t="shared" si="60"/>
        <v>1732900</v>
      </c>
    </row>
    <row r="439" spans="1:36">
      <c r="A439" s="894" t="s">
        <v>283</v>
      </c>
      <c r="B439" s="883" t="s">
        <v>138</v>
      </c>
      <c r="C439" s="885" t="s">
        <v>301</v>
      </c>
      <c r="D439" s="885"/>
      <c r="E439" s="899"/>
      <c r="F439" s="900">
        <v>99</v>
      </c>
      <c r="G439" s="730"/>
      <c r="H439" s="731"/>
      <c r="I439" s="730"/>
      <c r="J439" s="731"/>
      <c r="K439" s="730"/>
      <c r="L439" s="731"/>
      <c r="M439" s="730"/>
      <c r="N439" s="730"/>
      <c r="O439" s="732">
        <f t="shared" si="53"/>
        <v>0</v>
      </c>
      <c r="P439" s="731"/>
      <c r="Q439" s="731"/>
      <c r="R439" s="733">
        <f t="shared" si="56"/>
        <v>0</v>
      </c>
      <c r="S439" s="732">
        <f t="shared" si="57"/>
        <v>0</v>
      </c>
      <c r="T439" s="733">
        <f t="shared" si="58"/>
        <v>0</v>
      </c>
      <c r="U439" s="730"/>
      <c r="V439" s="731"/>
      <c r="W439" s="730"/>
      <c r="X439" s="730"/>
      <c r="Y439" s="732">
        <f t="shared" si="54"/>
        <v>0</v>
      </c>
      <c r="Z439" s="731"/>
      <c r="AA439" s="731"/>
      <c r="AB439" s="733">
        <f t="shared" si="55"/>
        <v>0</v>
      </c>
      <c r="AC439" s="730"/>
      <c r="AD439" s="731"/>
      <c r="AE439" s="730"/>
      <c r="AF439" s="730"/>
      <c r="AG439" s="731"/>
      <c r="AH439" s="731"/>
      <c r="AI439" s="732">
        <f t="shared" si="59"/>
        <v>0</v>
      </c>
      <c r="AJ439" s="733">
        <f t="shared" si="60"/>
        <v>0</v>
      </c>
    </row>
    <row r="440" spans="1:36">
      <c r="A440" s="894" t="s">
        <v>283</v>
      </c>
      <c r="B440" s="883" t="s">
        <v>140</v>
      </c>
      <c r="C440" s="902" t="s">
        <v>141</v>
      </c>
      <c r="D440" s="903"/>
      <c r="E440" s="899"/>
      <c r="F440" s="900">
        <v>99</v>
      </c>
      <c r="G440" s="730"/>
      <c r="H440" s="731"/>
      <c r="I440" s="730"/>
      <c r="J440" s="731"/>
      <c r="K440" s="730"/>
      <c r="L440" s="731"/>
      <c r="M440" s="730"/>
      <c r="N440" s="730"/>
      <c r="O440" s="732">
        <f t="shared" si="53"/>
        <v>0</v>
      </c>
      <c r="P440" s="731"/>
      <c r="Q440" s="731"/>
      <c r="R440" s="733">
        <f t="shared" si="56"/>
        <v>0</v>
      </c>
      <c r="S440" s="732">
        <f t="shared" si="57"/>
        <v>0</v>
      </c>
      <c r="T440" s="733">
        <f t="shared" si="58"/>
        <v>0</v>
      </c>
      <c r="U440" s="730"/>
      <c r="V440" s="731"/>
      <c r="W440" s="730"/>
      <c r="X440" s="730"/>
      <c r="Y440" s="732">
        <f t="shared" si="54"/>
        <v>0</v>
      </c>
      <c r="Z440" s="731"/>
      <c r="AA440" s="731"/>
      <c r="AB440" s="733">
        <f t="shared" si="55"/>
        <v>0</v>
      </c>
      <c r="AC440" s="730"/>
      <c r="AD440" s="731"/>
      <c r="AE440" s="730"/>
      <c r="AF440" s="730"/>
      <c r="AG440" s="731"/>
      <c r="AH440" s="731"/>
      <c r="AI440" s="732">
        <f t="shared" si="59"/>
        <v>0</v>
      </c>
      <c r="AJ440" s="733">
        <f t="shared" si="60"/>
        <v>0</v>
      </c>
    </row>
    <row r="441" spans="1:36">
      <c r="A441" s="894" t="s">
        <v>283</v>
      </c>
      <c r="B441" s="883" t="s">
        <v>140</v>
      </c>
      <c r="C441" s="904" t="s">
        <v>302</v>
      </c>
      <c r="D441" s="903"/>
      <c r="E441" s="899"/>
      <c r="F441" s="900">
        <v>99</v>
      </c>
      <c r="G441" s="730"/>
      <c r="H441" s="731"/>
      <c r="I441" s="730"/>
      <c r="J441" s="731"/>
      <c r="K441" s="730"/>
      <c r="L441" s="731"/>
      <c r="M441" s="730"/>
      <c r="N441" s="730"/>
      <c r="O441" s="732">
        <f t="shared" si="53"/>
        <v>0</v>
      </c>
      <c r="P441" s="731"/>
      <c r="Q441" s="731"/>
      <c r="R441" s="733">
        <f t="shared" si="56"/>
        <v>0</v>
      </c>
      <c r="S441" s="732">
        <f t="shared" si="57"/>
        <v>0</v>
      </c>
      <c r="T441" s="733">
        <f t="shared" si="58"/>
        <v>0</v>
      </c>
      <c r="U441" s="730">
        <v>381200</v>
      </c>
      <c r="V441" s="731">
        <v>381200</v>
      </c>
      <c r="W441" s="730"/>
      <c r="X441" s="730"/>
      <c r="Y441" s="732">
        <f t="shared" si="54"/>
        <v>0</v>
      </c>
      <c r="Z441" s="731"/>
      <c r="AA441" s="731"/>
      <c r="AB441" s="733">
        <f t="shared" si="55"/>
        <v>0</v>
      </c>
      <c r="AC441" s="730"/>
      <c r="AD441" s="731"/>
      <c r="AE441" s="730"/>
      <c r="AF441" s="730"/>
      <c r="AG441" s="731"/>
      <c r="AH441" s="731"/>
      <c r="AI441" s="732">
        <f t="shared" si="59"/>
        <v>381200</v>
      </c>
      <c r="AJ441" s="733">
        <f t="shared" si="60"/>
        <v>381200</v>
      </c>
    </row>
    <row r="442" spans="1:36">
      <c r="A442" s="894" t="s">
        <v>283</v>
      </c>
      <c r="B442" s="883" t="s">
        <v>142</v>
      </c>
      <c r="C442" s="902" t="s">
        <v>143</v>
      </c>
      <c r="D442" s="903"/>
      <c r="E442" s="899"/>
      <c r="F442" s="900">
        <v>99</v>
      </c>
      <c r="G442" s="730"/>
      <c r="H442" s="731"/>
      <c r="I442" s="730"/>
      <c r="J442" s="731"/>
      <c r="K442" s="730"/>
      <c r="L442" s="731"/>
      <c r="M442" s="730"/>
      <c r="N442" s="730"/>
      <c r="O442" s="732">
        <f t="shared" si="53"/>
        <v>0</v>
      </c>
      <c r="P442" s="731"/>
      <c r="Q442" s="731"/>
      <c r="R442" s="733">
        <f t="shared" si="56"/>
        <v>0</v>
      </c>
      <c r="S442" s="732">
        <f t="shared" si="57"/>
        <v>0</v>
      </c>
      <c r="T442" s="733">
        <f t="shared" si="58"/>
        <v>0</v>
      </c>
      <c r="U442" s="730"/>
      <c r="V442" s="731"/>
      <c r="W442" s="730"/>
      <c r="X442" s="730"/>
      <c r="Y442" s="732">
        <f t="shared" si="54"/>
        <v>0</v>
      </c>
      <c r="Z442" s="731"/>
      <c r="AA442" s="731"/>
      <c r="AB442" s="733">
        <f t="shared" si="55"/>
        <v>0</v>
      </c>
      <c r="AC442" s="730"/>
      <c r="AD442" s="731"/>
      <c r="AE442" s="730"/>
      <c r="AF442" s="730"/>
      <c r="AG442" s="731"/>
      <c r="AH442" s="731"/>
      <c r="AI442" s="732">
        <f t="shared" si="59"/>
        <v>0</v>
      </c>
      <c r="AJ442" s="733">
        <f t="shared" si="60"/>
        <v>0</v>
      </c>
    </row>
    <row r="443" spans="1:36">
      <c r="A443" s="894" t="s">
        <v>283</v>
      </c>
      <c r="B443" s="883" t="s">
        <v>142</v>
      </c>
      <c r="C443" s="904" t="s">
        <v>303</v>
      </c>
      <c r="D443" s="903"/>
      <c r="E443" s="899"/>
      <c r="F443" s="900">
        <v>99</v>
      </c>
      <c r="G443" s="730"/>
      <c r="H443" s="731"/>
      <c r="I443" s="730"/>
      <c r="J443" s="731"/>
      <c r="K443" s="730"/>
      <c r="L443" s="731"/>
      <c r="M443" s="730"/>
      <c r="N443" s="730"/>
      <c r="O443" s="732">
        <f t="shared" si="53"/>
        <v>0</v>
      </c>
      <c r="P443" s="731"/>
      <c r="Q443" s="731"/>
      <c r="R443" s="733">
        <f t="shared" si="56"/>
        <v>0</v>
      </c>
      <c r="S443" s="732">
        <f t="shared" si="57"/>
        <v>0</v>
      </c>
      <c r="T443" s="733">
        <f t="shared" si="58"/>
        <v>0</v>
      </c>
      <c r="U443" s="730">
        <v>12699300</v>
      </c>
      <c r="V443" s="731">
        <v>12591900</v>
      </c>
      <c r="W443" s="730"/>
      <c r="X443" s="730"/>
      <c r="Y443" s="732">
        <f t="shared" si="54"/>
        <v>0</v>
      </c>
      <c r="Z443" s="731"/>
      <c r="AA443" s="731"/>
      <c r="AB443" s="733">
        <f t="shared" si="55"/>
        <v>0</v>
      </c>
      <c r="AC443" s="730"/>
      <c r="AD443" s="731"/>
      <c r="AE443" s="730"/>
      <c r="AF443" s="730"/>
      <c r="AG443" s="731"/>
      <c r="AH443" s="731"/>
      <c r="AI443" s="732">
        <f t="shared" si="59"/>
        <v>12699300</v>
      </c>
      <c r="AJ443" s="733">
        <f t="shared" si="60"/>
        <v>12591900</v>
      </c>
    </row>
    <row r="444" spans="1:36">
      <c r="A444" s="894" t="s">
        <v>283</v>
      </c>
      <c r="B444" s="883" t="s">
        <v>145</v>
      </c>
      <c r="C444" s="902" t="s">
        <v>146</v>
      </c>
      <c r="D444" s="903"/>
      <c r="E444" s="899"/>
      <c r="F444" s="900">
        <v>99</v>
      </c>
      <c r="G444" s="730"/>
      <c r="H444" s="731"/>
      <c r="I444" s="730"/>
      <c r="J444" s="731"/>
      <c r="K444" s="730"/>
      <c r="L444" s="731"/>
      <c r="M444" s="730"/>
      <c r="N444" s="730"/>
      <c r="O444" s="732">
        <f t="shared" si="53"/>
        <v>0</v>
      </c>
      <c r="P444" s="731"/>
      <c r="Q444" s="731"/>
      <c r="R444" s="733">
        <f t="shared" si="56"/>
        <v>0</v>
      </c>
      <c r="S444" s="732">
        <f t="shared" si="57"/>
        <v>0</v>
      </c>
      <c r="T444" s="733">
        <f t="shared" si="58"/>
        <v>0</v>
      </c>
      <c r="U444" s="730"/>
      <c r="V444" s="731"/>
      <c r="W444" s="730"/>
      <c r="X444" s="730"/>
      <c r="Y444" s="732">
        <f t="shared" si="54"/>
        <v>0</v>
      </c>
      <c r="Z444" s="731"/>
      <c r="AA444" s="731"/>
      <c r="AB444" s="733">
        <f t="shared" si="55"/>
        <v>0</v>
      </c>
      <c r="AC444" s="730"/>
      <c r="AD444" s="731"/>
      <c r="AE444" s="730"/>
      <c r="AF444" s="730"/>
      <c r="AG444" s="731"/>
      <c r="AH444" s="731"/>
      <c r="AI444" s="732">
        <f t="shared" si="59"/>
        <v>0</v>
      </c>
      <c r="AJ444" s="733">
        <f t="shared" si="60"/>
        <v>0</v>
      </c>
    </row>
    <row r="445" spans="1:36">
      <c r="A445" s="894" t="s">
        <v>283</v>
      </c>
      <c r="B445" s="883" t="s">
        <v>145</v>
      </c>
      <c r="C445" s="904" t="s">
        <v>304</v>
      </c>
      <c r="D445" s="903"/>
      <c r="E445" s="899"/>
      <c r="F445" s="900">
        <v>99</v>
      </c>
      <c r="G445" s="730"/>
      <c r="H445" s="731"/>
      <c r="I445" s="730"/>
      <c r="J445" s="731"/>
      <c r="K445" s="730"/>
      <c r="L445" s="731"/>
      <c r="M445" s="730"/>
      <c r="N445" s="730"/>
      <c r="O445" s="732">
        <f t="shared" si="53"/>
        <v>0</v>
      </c>
      <c r="P445" s="731"/>
      <c r="Q445" s="731"/>
      <c r="R445" s="733">
        <f t="shared" si="56"/>
        <v>0</v>
      </c>
      <c r="S445" s="732">
        <f t="shared" si="57"/>
        <v>0</v>
      </c>
      <c r="T445" s="733">
        <f t="shared" si="58"/>
        <v>0</v>
      </c>
      <c r="U445" s="730">
        <v>368500</v>
      </c>
      <c r="V445" s="731">
        <v>208508</v>
      </c>
      <c r="W445" s="730"/>
      <c r="X445" s="730"/>
      <c r="Y445" s="732">
        <f t="shared" si="54"/>
        <v>0</v>
      </c>
      <c r="Z445" s="731"/>
      <c r="AA445" s="731"/>
      <c r="AB445" s="733">
        <f t="shared" si="55"/>
        <v>0</v>
      </c>
      <c r="AC445" s="730"/>
      <c r="AD445" s="731"/>
      <c r="AE445" s="730"/>
      <c r="AF445" s="730"/>
      <c r="AG445" s="731"/>
      <c r="AH445" s="731"/>
      <c r="AI445" s="732">
        <f t="shared" si="59"/>
        <v>368500</v>
      </c>
      <c r="AJ445" s="733">
        <f t="shared" si="60"/>
        <v>208508</v>
      </c>
    </row>
    <row r="446" spans="1:36">
      <c r="A446" s="894" t="s">
        <v>283</v>
      </c>
      <c r="B446" s="883" t="s">
        <v>149</v>
      </c>
      <c r="C446" s="902" t="s">
        <v>305</v>
      </c>
      <c r="D446" s="903"/>
      <c r="E446" s="899"/>
      <c r="F446" s="900">
        <v>99</v>
      </c>
      <c r="G446" s="730"/>
      <c r="H446" s="731"/>
      <c r="I446" s="730"/>
      <c r="J446" s="731"/>
      <c r="K446" s="730"/>
      <c r="L446" s="731"/>
      <c r="M446" s="730"/>
      <c r="N446" s="730"/>
      <c r="O446" s="732">
        <f t="shared" si="53"/>
        <v>0</v>
      </c>
      <c r="P446" s="731"/>
      <c r="Q446" s="731"/>
      <c r="R446" s="733">
        <f t="shared" si="56"/>
        <v>0</v>
      </c>
      <c r="S446" s="732">
        <f t="shared" si="57"/>
        <v>0</v>
      </c>
      <c r="T446" s="733">
        <f t="shared" si="58"/>
        <v>0</v>
      </c>
      <c r="U446" s="730"/>
      <c r="V446" s="731"/>
      <c r="W446" s="730"/>
      <c r="X446" s="730"/>
      <c r="Y446" s="732">
        <f t="shared" si="54"/>
        <v>0</v>
      </c>
      <c r="Z446" s="731"/>
      <c r="AA446" s="731"/>
      <c r="AB446" s="733">
        <f t="shared" si="55"/>
        <v>0</v>
      </c>
      <c r="AC446" s="730"/>
      <c r="AD446" s="731"/>
      <c r="AE446" s="730"/>
      <c r="AF446" s="730"/>
      <c r="AG446" s="731"/>
      <c r="AH446" s="731"/>
      <c r="AI446" s="732">
        <f t="shared" si="59"/>
        <v>0</v>
      </c>
      <c r="AJ446" s="733">
        <f t="shared" si="60"/>
        <v>0</v>
      </c>
    </row>
    <row r="447" spans="1:36">
      <c r="A447" s="894" t="s">
        <v>283</v>
      </c>
      <c r="B447" s="883" t="s">
        <v>151</v>
      </c>
      <c r="C447" s="885" t="s">
        <v>306</v>
      </c>
      <c r="D447" s="885"/>
      <c r="E447" s="899"/>
      <c r="F447" s="900">
        <v>99</v>
      </c>
      <c r="G447" s="730"/>
      <c r="H447" s="731"/>
      <c r="I447" s="730"/>
      <c r="J447" s="731"/>
      <c r="K447" s="730"/>
      <c r="L447" s="731"/>
      <c r="M447" s="730"/>
      <c r="N447" s="730"/>
      <c r="O447" s="732">
        <f t="shared" si="53"/>
        <v>0</v>
      </c>
      <c r="P447" s="731"/>
      <c r="Q447" s="731"/>
      <c r="R447" s="733">
        <f t="shared" si="56"/>
        <v>0</v>
      </c>
      <c r="S447" s="732">
        <f t="shared" si="57"/>
        <v>0</v>
      </c>
      <c r="T447" s="733">
        <f t="shared" si="58"/>
        <v>0</v>
      </c>
      <c r="U447" s="730"/>
      <c r="V447" s="731"/>
      <c r="W447" s="730"/>
      <c r="X447" s="730"/>
      <c r="Y447" s="732">
        <f t="shared" si="54"/>
        <v>0</v>
      </c>
      <c r="Z447" s="731"/>
      <c r="AA447" s="731"/>
      <c r="AB447" s="733">
        <f t="shared" si="55"/>
        <v>0</v>
      </c>
      <c r="AC447" s="730"/>
      <c r="AD447" s="731"/>
      <c r="AE447" s="730"/>
      <c r="AF447" s="730"/>
      <c r="AG447" s="731"/>
      <c r="AH447" s="731"/>
      <c r="AI447" s="732">
        <f t="shared" si="59"/>
        <v>0</v>
      </c>
      <c r="AJ447" s="733">
        <f t="shared" si="60"/>
        <v>0</v>
      </c>
    </row>
    <row r="448" spans="1:36">
      <c r="A448" s="894" t="s">
        <v>283</v>
      </c>
      <c r="B448" s="883" t="s">
        <v>248</v>
      </c>
      <c r="C448" s="885" t="s">
        <v>307</v>
      </c>
      <c r="D448" s="885"/>
      <c r="E448" s="899"/>
      <c r="F448" s="900">
        <v>99</v>
      </c>
      <c r="G448" s="730"/>
      <c r="H448" s="731"/>
      <c r="I448" s="730"/>
      <c r="J448" s="731"/>
      <c r="K448" s="730"/>
      <c r="L448" s="731"/>
      <c r="M448" s="730"/>
      <c r="N448" s="730"/>
      <c r="O448" s="732">
        <f t="shared" si="53"/>
        <v>0</v>
      </c>
      <c r="P448" s="731"/>
      <c r="Q448" s="731"/>
      <c r="R448" s="733">
        <f t="shared" si="56"/>
        <v>0</v>
      </c>
      <c r="S448" s="732">
        <f t="shared" si="57"/>
        <v>0</v>
      </c>
      <c r="T448" s="733">
        <f t="shared" si="58"/>
        <v>0</v>
      </c>
      <c r="U448" s="730"/>
      <c r="V448" s="731"/>
      <c r="W448" s="730"/>
      <c r="X448" s="730"/>
      <c r="Y448" s="732">
        <f t="shared" si="54"/>
        <v>0</v>
      </c>
      <c r="Z448" s="731"/>
      <c r="AA448" s="731"/>
      <c r="AB448" s="733">
        <f t="shared" si="55"/>
        <v>0</v>
      </c>
      <c r="AC448" s="730"/>
      <c r="AD448" s="731"/>
      <c r="AE448" s="730"/>
      <c r="AF448" s="730"/>
      <c r="AG448" s="731"/>
      <c r="AH448" s="731"/>
      <c r="AI448" s="732">
        <f t="shared" si="59"/>
        <v>0</v>
      </c>
      <c r="AJ448" s="733">
        <f t="shared" si="60"/>
        <v>0</v>
      </c>
    </row>
    <row r="449" spans="1:36">
      <c r="A449" s="894" t="s">
        <v>283</v>
      </c>
      <c r="B449" s="883" t="s">
        <v>250</v>
      </c>
      <c r="C449" s="902" t="s">
        <v>251</v>
      </c>
      <c r="D449" s="903"/>
      <c r="E449" s="899"/>
      <c r="F449" s="900">
        <v>99</v>
      </c>
      <c r="G449" s="730"/>
      <c r="H449" s="731"/>
      <c r="I449" s="730"/>
      <c r="J449" s="731"/>
      <c r="K449" s="730"/>
      <c r="L449" s="731"/>
      <c r="M449" s="730"/>
      <c r="N449" s="730"/>
      <c r="O449" s="732">
        <f t="shared" si="53"/>
        <v>0</v>
      </c>
      <c r="P449" s="731"/>
      <c r="Q449" s="731"/>
      <c r="R449" s="733">
        <f t="shared" si="56"/>
        <v>0</v>
      </c>
      <c r="S449" s="732">
        <f t="shared" si="57"/>
        <v>0</v>
      </c>
      <c r="T449" s="733">
        <f t="shared" si="58"/>
        <v>0</v>
      </c>
      <c r="U449" s="730"/>
      <c r="V449" s="731"/>
      <c r="W449" s="730"/>
      <c r="X449" s="730"/>
      <c r="Y449" s="732">
        <f t="shared" si="54"/>
        <v>0</v>
      </c>
      <c r="Z449" s="731"/>
      <c r="AA449" s="731"/>
      <c r="AB449" s="733">
        <f t="shared" si="55"/>
        <v>0</v>
      </c>
      <c r="AC449" s="730"/>
      <c r="AD449" s="731"/>
      <c r="AE449" s="730"/>
      <c r="AF449" s="730"/>
      <c r="AG449" s="731"/>
      <c r="AH449" s="731"/>
      <c r="AI449" s="732">
        <f t="shared" si="59"/>
        <v>0</v>
      </c>
      <c r="AJ449" s="733">
        <f t="shared" si="60"/>
        <v>0</v>
      </c>
    </row>
    <row r="450" spans="1:36">
      <c r="A450" s="894" t="s">
        <v>283</v>
      </c>
      <c r="B450" s="883" t="s">
        <v>250</v>
      </c>
      <c r="C450" s="893" t="s">
        <v>308</v>
      </c>
      <c r="D450" s="890"/>
      <c r="E450" s="899"/>
      <c r="F450" s="900">
        <v>99</v>
      </c>
      <c r="G450" s="730"/>
      <c r="H450" s="731"/>
      <c r="I450" s="730"/>
      <c r="J450" s="731"/>
      <c r="K450" s="730"/>
      <c r="L450" s="731"/>
      <c r="M450" s="730"/>
      <c r="N450" s="730"/>
      <c r="O450" s="732">
        <f t="shared" si="53"/>
        <v>0</v>
      </c>
      <c r="P450" s="731"/>
      <c r="Q450" s="731"/>
      <c r="R450" s="733">
        <f t="shared" si="56"/>
        <v>0</v>
      </c>
      <c r="S450" s="732">
        <f t="shared" si="57"/>
        <v>0</v>
      </c>
      <c r="T450" s="733">
        <f t="shared" si="58"/>
        <v>0</v>
      </c>
      <c r="U450" s="730">
        <v>1980200</v>
      </c>
      <c r="V450" s="731">
        <v>1980200</v>
      </c>
      <c r="W450" s="730"/>
      <c r="X450" s="730"/>
      <c r="Y450" s="732">
        <f t="shared" si="54"/>
        <v>0</v>
      </c>
      <c r="Z450" s="731"/>
      <c r="AA450" s="731"/>
      <c r="AB450" s="733">
        <f t="shared" si="55"/>
        <v>0</v>
      </c>
      <c r="AC450" s="730"/>
      <c r="AD450" s="731"/>
      <c r="AE450" s="730"/>
      <c r="AF450" s="730"/>
      <c r="AG450" s="731"/>
      <c r="AH450" s="731"/>
      <c r="AI450" s="732">
        <f t="shared" si="59"/>
        <v>1980200</v>
      </c>
      <c r="AJ450" s="733">
        <f t="shared" si="60"/>
        <v>1980200</v>
      </c>
    </row>
    <row r="451" spans="1:36">
      <c r="A451" s="894" t="s">
        <v>283</v>
      </c>
      <c r="B451" s="883" t="s">
        <v>258</v>
      </c>
      <c r="C451" s="902" t="s">
        <v>259</v>
      </c>
      <c r="D451" s="903"/>
      <c r="E451" s="899"/>
      <c r="F451" s="900">
        <v>99</v>
      </c>
      <c r="G451" s="730"/>
      <c r="H451" s="731"/>
      <c r="I451" s="730"/>
      <c r="J451" s="731"/>
      <c r="K451" s="730"/>
      <c r="L451" s="731"/>
      <c r="M451" s="730"/>
      <c r="N451" s="730"/>
      <c r="O451" s="732">
        <f t="shared" si="53"/>
        <v>0</v>
      </c>
      <c r="P451" s="731"/>
      <c r="Q451" s="731"/>
      <c r="R451" s="733">
        <f t="shared" si="56"/>
        <v>0</v>
      </c>
      <c r="S451" s="732">
        <f t="shared" si="57"/>
        <v>0</v>
      </c>
      <c r="T451" s="733">
        <f t="shared" si="58"/>
        <v>0</v>
      </c>
      <c r="U451" s="730"/>
      <c r="V451" s="731"/>
      <c r="W451" s="730"/>
      <c r="X451" s="730"/>
      <c r="Y451" s="732">
        <f t="shared" si="54"/>
        <v>0</v>
      </c>
      <c r="Z451" s="731"/>
      <c r="AA451" s="731"/>
      <c r="AB451" s="733">
        <f t="shared" si="55"/>
        <v>0</v>
      </c>
      <c r="AC451" s="730"/>
      <c r="AD451" s="731"/>
      <c r="AE451" s="730"/>
      <c r="AF451" s="730"/>
      <c r="AG451" s="731"/>
      <c r="AH451" s="731"/>
      <c r="AI451" s="732">
        <f t="shared" si="59"/>
        <v>0</v>
      </c>
      <c r="AJ451" s="733">
        <f t="shared" si="60"/>
        <v>0</v>
      </c>
    </row>
    <row r="452" spans="1:36" customFormat="1" ht="15" customHeight="1">
      <c r="A452" s="894" t="s">
        <v>283</v>
      </c>
      <c r="B452" s="883" t="s">
        <v>258</v>
      </c>
      <c r="C452" s="905" t="s">
        <v>309</v>
      </c>
      <c r="D452" s="906"/>
      <c r="E452" s="899"/>
      <c r="F452" s="900">
        <v>99</v>
      </c>
      <c r="G452" s="730"/>
      <c r="H452" s="731"/>
      <c r="I452" s="730"/>
      <c r="J452" s="731"/>
      <c r="K452" s="730"/>
      <c r="L452" s="731"/>
      <c r="M452" s="730"/>
      <c r="N452" s="730"/>
      <c r="O452" s="732">
        <f t="shared" si="53"/>
        <v>0</v>
      </c>
      <c r="P452" s="731"/>
      <c r="Q452" s="731"/>
      <c r="R452" s="733">
        <f t="shared" si="56"/>
        <v>0</v>
      </c>
      <c r="S452" s="732">
        <f t="shared" si="57"/>
        <v>0</v>
      </c>
      <c r="T452" s="733">
        <f t="shared" si="58"/>
        <v>0</v>
      </c>
      <c r="U452" s="730">
        <v>402000</v>
      </c>
      <c r="V452" s="731">
        <v>414000</v>
      </c>
      <c r="W452" s="730"/>
      <c r="X452" s="730"/>
      <c r="Y452" s="732">
        <f t="shared" si="54"/>
        <v>0</v>
      </c>
      <c r="Z452" s="731"/>
      <c r="AA452" s="731"/>
      <c r="AB452" s="733">
        <f t="shared" si="55"/>
        <v>0</v>
      </c>
      <c r="AC452" s="730"/>
      <c r="AD452" s="731"/>
      <c r="AE452" s="730"/>
      <c r="AF452" s="730"/>
      <c r="AG452" s="731"/>
      <c r="AH452" s="731"/>
      <c r="AI452" s="732">
        <f t="shared" si="59"/>
        <v>402000</v>
      </c>
      <c r="AJ452" s="733">
        <f t="shared" si="60"/>
        <v>414000</v>
      </c>
    </row>
    <row r="453" spans="1:36">
      <c r="A453" s="897" t="s">
        <v>283</v>
      </c>
      <c r="B453" s="883" t="s">
        <v>258</v>
      </c>
      <c r="C453" s="893" t="s">
        <v>310</v>
      </c>
      <c r="D453" s="890"/>
      <c r="E453" s="899"/>
      <c r="F453" s="900">
        <v>99</v>
      </c>
      <c r="G453" s="730"/>
      <c r="H453" s="731"/>
      <c r="I453" s="730"/>
      <c r="J453" s="731"/>
      <c r="K453" s="730"/>
      <c r="L453" s="731"/>
      <c r="M453" s="730"/>
      <c r="N453" s="730"/>
      <c r="O453" s="732">
        <f t="shared" si="53"/>
        <v>0</v>
      </c>
      <c r="P453" s="731"/>
      <c r="Q453" s="731"/>
      <c r="R453" s="733">
        <f t="shared" si="56"/>
        <v>0</v>
      </c>
      <c r="S453" s="732">
        <f t="shared" si="57"/>
        <v>0</v>
      </c>
      <c r="T453" s="733">
        <f t="shared" si="58"/>
        <v>0</v>
      </c>
      <c r="U453" s="730">
        <v>217500</v>
      </c>
      <c r="V453" s="731">
        <v>217500</v>
      </c>
      <c r="W453" s="730"/>
      <c r="X453" s="730"/>
      <c r="Y453" s="732">
        <f t="shared" si="54"/>
        <v>0</v>
      </c>
      <c r="Z453" s="731"/>
      <c r="AA453" s="731"/>
      <c r="AB453" s="733">
        <f t="shared" si="55"/>
        <v>0</v>
      </c>
      <c r="AC453" s="730"/>
      <c r="AD453" s="731"/>
      <c r="AE453" s="730"/>
      <c r="AF453" s="730"/>
      <c r="AG453" s="731"/>
      <c r="AH453" s="731"/>
      <c r="AI453" s="732">
        <f t="shared" si="59"/>
        <v>217500</v>
      </c>
      <c r="AJ453" s="733">
        <f t="shared" si="60"/>
        <v>217500</v>
      </c>
    </row>
    <row r="454" spans="1:36">
      <c r="A454" s="894" t="s">
        <v>283</v>
      </c>
      <c r="B454" s="883" t="s">
        <v>157</v>
      </c>
      <c r="C454" s="902" t="s">
        <v>158</v>
      </c>
      <c r="D454" s="903"/>
      <c r="E454" s="899"/>
      <c r="F454" s="900">
        <v>99</v>
      </c>
      <c r="G454" s="730"/>
      <c r="H454" s="731"/>
      <c r="I454" s="730"/>
      <c r="J454" s="731"/>
      <c r="K454" s="730"/>
      <c r="L454" s="731"/>
      <c r="M454" s="730"/>
      <c r="N454" s="730"/>
      <c r="O454" s="732">
        <f t="shared" si="53"/>
        <v>0</v>
      </c>
      <c r="P454" s="731"/>
      <c r="Q454" s="731"/>
      <c r="R454" s="733">
        <f t="shared" si="56"/>
        <v>0</v>
      </c>
      <c r="S454" s="732">
        <f t="shared" si="57"/>
        <v>0</v>
      </c>
      <c r="T454" s="733">
        <f t="shared" si="58"/>
        <v>0</v>
      </c>
      <c r="U454" s="730"/>
      <c r="V454" s="731"/>
      <c r="W454" s="730"/>
      <c r="X454" s="730"/>
      <c r="Y454" s="732">
        <f t="shared" si="54"/>
        <v>0</v>
      </c>
      <c r="Z454" s="731"/>
      <c r="AA454" s="731"/>
      <c r="AB454" s="733">
        <f t="shared" si="55"/>
        <v>0</v>
      </c>
      <c r="AC454" s="730"/>
      <c r="AD454" s="731"/>
      <c r="AE454" s="730"/>
      <c r="AF454" s="730"/>
      <c r="AG454" s="731"/>
      <c r="AH454" s="731"/>
      <c r="AI454" s="732">
        <f t="shared" si="59"/>
        <v>0</v>
      </c>
      <c r="AJ454" s="733">
        <f t="shared" si="60"/>
        <v>0</v>
      </c>
    </row>
    <row r="455" spans="1:36">
      <c r="A455" s="894" t="s">
        <v>283</v>
      </c>
      <c r="B455" s="883" t="s">
        <v>159</v>
      </c>
      <c r="C455" s="885" t="s">
        <v>311</v>
      </c>
      <c r="D455" s="885"/>
      <c r="E455" s="899"/>
      <c r="F455" s="900">
        <v>99</v>
      </c>
      <c r="G455" s="730"/>
      <c r="H455" s="731"/>
      <c r="I455" s="730"/>
      <c r="J455" s="731"/>
      <c r="K455" s="730"/>
      <c r="L455" s="731"/>
      <c r="M455" s="730"/>
      <c r="N455" s="730"/>
      <c r="O455" s="732">
        <f t="shared" si="53"/>
        <v>0</v>
      </c>
      <c r="P455" s="731"/>
      <c r="Q455" s="731"/>
      <c r="R455" s="733">
        <f t="shared" si="56"/>
        <v>0</v>
      </c>
      <c r="S455" s="732">
        <f t="shared" si="57"/>
        <v>0</v>
      </c>
      <c r="T455" s="733">
        <f t="shared" si="58"/>
        <v>0</v>
      </c>
      <c r="U455" s="730"/>
      <c r="V455" s="731"/>
      <c r="W455" s="730"/>
      <c r="X455" s="730"/>
      <c r="Y455" s="732">
        <f t="shared" si="54"/>
        <v>0</v>
      </c>
      <c r="Z455" s="731"/>
      <c r="AA455" s="731"/>
      <c r="AB455" s="733">
        <f t="shared" si="55"/>
        <v>0</v>
      </c>
      <c r="AC455" s="730"/>
      <c r="AD455" s="731"/>
      <c r="AE455" s="730"/>
      <c r="AF455" s="730"/>
      <c r="AG455" s="731"/>
      <c r="AH455" s="731"/>
      <c r="AI455" s="732">
        <f t="shared" si="59"/>
        <v>0</v>
      </c>
      <c r="AJ455" s="733">
        <f t="shared" si="60"/>
        <v>0</v>
      </c>
    </row>
    <row r="456" spans="1:36">
      <c r="A456" s="894" t="s">
        <v>283</v>
      </c>
      <c r="B456" s="883" t="s">
        <v>161</v>
      </c>
      <c r="C456" s="907" t="s">
        <v>162</v>
      </c>
      <c r="D456" s="908"/>
      <c r="E456" s="899"/>
      <c r="F456" s="900">
        <v>99</v>
      </c>
      <c r="G456" s="730"/>
      <c r="H456" s="731"/>
      <c r="I456" s="730"/>
      <c r="J456" s="731"/>
      <c r="K456" s="730"/>
      <c r="L456" s="731"/>
      <c r="M456" s="730"/>
      <c r="N456" s="730"/>
      <c r="O456" s="732">
        <f t="shared" si="53"/>
        <v>0</v>
      </c>
      <c r="P456" s="731"/>
      <c r="Q456" s="731"/>
      <c r="R456" s="733">
        <f t="shared" si="56"/>
        <v>0</v>
      </c>
      <c r="S456" s="732">
        <f t="shared" si="57"/>
        <v>0</v>
      </c>
      <c r="T456" s="733">
        <f t="shared" si="58"/>
        <v>0</v>
      </c>
      <c r="U456" s="730"/>
      <c r="V456" s="731"/>
      <c r="W456" s="730"/>
      <c r="X456" s="730"/>
      <c r="Y456" s="732">
        <f t="shared" si="54"/>
        <v>0</v>
      </c>
      <c r="Z456" s="731"/>
      <c r="AA456" s="731"/>
      <c r="AB456" s="733">
        <f t="shared" si="55"/>
        <v>0</v>
      </c>
      <c r="AC456" s="730"/>
      <c r="AD456" s="731"/>
      <c r="AE456" s="730"/>
      <c r="AF456" s="730"/>
      <c r="AG456" s="731"/>
      <c r="AH456" s="731"/>
      <c r="AI456" s="732">
        <f t="shared" si="59"/>
        <v>0</v>
      </c>
      <c r="AJ456" s="733">
        <f t="shared" si="60"/>
        <v>0</v>
      </c>
    </row>
    <row r="457" spans="1:36">
      <c r="A457" s="894" t="s">
        <v>283</v>
      </c>
      <c r="B457" s="883" t="s">
        <v>161</v>
      </c>
      <c r="C457" s="909" t="s">
        <v>312</v>
      </c>
      <c r="D457" s="890"/>
      <c r="E457" s="899"/>
      <c r="F457" s="900">
        <v>99</v>
      </c>
      <c r="G457" s="730"/>
      <c r="H457" s="731"/>
      <c r="I457" s="730"/>
      <c r="J457" s="731"/>
      <c r="K457" s="730"/>
      <c r="L457" s="731"/>
      <c r="M457" s="730"/>
      <c r="N457" s="730"/>
      <c r="O457" s="732">
        <f t="shared" si="53"/>
        <v>0</v>
      </c>
      <c r="P457" s="731"/>
      <c r="Q457" s="731"/>
      <c r="R457" s="733">
        <f t="shared" si="56"/>
        <v>0</v>
      </c>
      <c r="S457" s="732">
        <f t="shared" si="57"/>
        <v>0</v>
      </c>
      <c r="T457" s="733">
        <f t="shared" si="58"/>
        <v>0</v>
      </c>
      <c r="U457" s="730"/>
      <c r="V457" s="731"/>
      <c r="W457" s="730"/>
      <c r="X457" s="730"/>
      <c r="Y457" s="732">
        <f t="shared" si="54"/>
        <v>0</v>
      </c>
      <c r="Z457" s="731"/>
      <c r="AA457" s="731"/>
      <c r="AB457" s="733">
        <f t="shared" si="55"/>
        <v>0</v>
      </c>
      <c r="AC457" s="730"/>
      <c r="AD457" s="731"/>
      <c r="AE457" s="730"/>
      <c r="AF457" s="730"/>
      <c r="AG457" s="731"/>
      <c r="AH457" s="731"/>
      <c r="AI457" s="732">
        <f t="shared" si="59"/>
        <v>0</v>
      </c>
      <c r="AJ457" s="733">
        <f t="shared" si="60"/>
        <v>0</v>
      </c>
    </row>
    <row r="458" spans="1:36">
      <c r="A458" s="894" t="s">
        <v>283</v>
      </c>
      <c r="B458" s="883" t="s">
        <v>170</v>
      </c>
      <c r="C458" s="904" t="s">
        <v>313</v>
      </c>
      <c r="D458" s="903"/>
      <c r="E458" s="899"/>
      <c r="F458" s="900">
        <v>99</v>
      </c>
      <c r="G458" s="730"/>
      <c r="H458" s="731"/>
      <c r="I458" s="730"/>
      <c r="J458" s="731"/>
      <c r="K458" s="730"/>
      <c r="L458" s="731"/>
      <c r="M458" s="730"/>
      <c r="N458" s="730"/>
      <c r="O458" s="732">
        <f t="shared" ref="O458:O521" si="61">SUM(M458:N458)</f>
        <v>0</v>
      </c>
      <c r="P458" s="731"/>
      <c r="Q458" s="731"/>
      <c r="R458" s="733">
        <f t="shared" si="56"/>
        <v>0</v>
      </c>
      <c r="S458" s="732">
        <f t="shared" si="57"/>
        <v>0</v>
      </c>
      <c r="T458" s="733">
        <f t="shared" si="58"/>
        <v>0</v>
      </c>
      <c r="U458" s="730"/>
      <c r="V458" s="731"/>
      <c r="W458" s="730"/>
      <c r="X458" s="730"/>
      <c r="Y458" s="732">
        <f t="shared" ref="Y458:Y521" si="62">SUM(W458:X458)</f>
        <v>0</v>
      </c>
      <c r="Z458" s="731"/>
      <c r="AA458" s="731"/>
      <c r="AB458" s="733">
        <f t="shared" ref="AB458:AB521" si="63">SUM(Z458:AA458)</f>
        <v>0</v>
      </c>
      <c r="AC458" s="730"/>
      <c r="AD458" s="731"/>
      <c r="AE458" s="730"/>
      <c r="AF458" s="730"/>
      <c r="AG458" s="731"/>
      <c r="AH458" s="731"/>
      <c r="AI458" s="732">
        <f t="shared" si="59"/>
        <v>0</v>
      </c>
      <c r="AJ458" s="733">
        <f t="shared" si="60"/>
        <v>0</v>
      </c>
    </row>
    <row r="459" spans="1:36">
      <c r="A459" s="894" t="s">
        <v>283</v>
      </c>
      <c r="B459" s="883" t="s">
        <v>172</v>
      </c>
      <c r="C459" s="904" t="s">
        <v>165</v>
      </c>
      <c r="D459" s="903"/>
      <c r="E459" s="899"/>
      <c r="F459" s="900">
        <v>99</v>
      </c>
      <c r="G459" s="730"/>
      <c r="H459" s="731"/>
      <c r="I459" s="730"/>
      <c r="J459" s="731"/>
      <c r="K459" s="730"/>
      <c r="L459" s="731"/>
      <c r="M459" s="730"/>
      <c r="N459" s="730"/>
      <c r="O459" s="732">
        <f t="shared" si="61"/>
        <v>0</v>
      </c>
      <c r="P459" s="731"/>
      <c r="Q459" s="731"/>
      <c r="R459" s="733">
        <f t="shared" ref="R459:R522" si="64">SUM(P459:Q459)</f>
        <v>0</v>
      </c>
      <c r="S459" s="732">
        <f t="shared" ref="S459:S522" si="65">SUM(G459,I459,K459,M459)</f>
        <v>0</v>
      </c>
      <c r="T459" s="733">
        <f t="shared" ref="T459:T522" si="66">SUM(H459,J459,L459,P459)</f>
        <v>0</v>
      </c>
      <c r="U459" s="730">
        <v>582746</v>
      </c>
      <c r="V459" s="731">
        <v>599720</v>
      </c>
      <c r="W459" s="730"/>
      <c r="X459" s="730"/>
      <c r="Y459" s="732">
        <f t="shared" si="62"/>
        <v>0</v>
      </c>
      <c r="Z459" s="731"/>
      <c r="AA459" s="731"/>
      <c r="AB459" s="733">
        <f t="shared" si="63"/>
        <v>0</v>
      </c>
      <c r="AC459" s="730"/>
      <c r="AD459" s="731"/>
      <c r="AE459" s="730"/>
      <c r="AF459" s="730"/>
      <c r="AG459" s="731"/>
      <c r="AH459" s="731"/>
      <c r="AI459" s="732">
        <f t="shared" ref="AI459:AI522" si="67">SUM(S459,U459,W459,AC459,AE459)</f>
        <v>582746</v>
      </c>
      <c r="AJ459" s="733">
        <f t="shared" ref="AJ459:AJ522" si="68">SUM(T459,V459,Z459,AD459,AG459)</f>
        <v>599720</v>
      </c>
    </row>
    <row r="460" spans="1:36">
      <c r="A460" s="894" t="s">
        <v>283</v>
      </c>
      <c r="B460" s="883" t="s">
        <v>173</v>
      </c>
      <c r="C460" s="904" t="s">
        <v>167</v>
      </c>
      <c r="D460" s="903"/>
      <c r="E460" s="899"/>
      <c r="F460" s="900">
        <v>99</v>
      </c>
      <c r="G460" s="730"/>
      <c r="H460" s="731"/>
      <c r="I460" s="730"/>
      <c r="J460" s="731"/>
      <c r="K460" s="730"/>
      <c r="L460" s="731"/>
      <c r="M460" s="730"/>
      <c r="N460" s="730"/>
      <c r="O460" s="732">
        <f t="shared" si="61"/>
        <v>0</v>
      </c>
      <c r="P460" s="731"/>
      <c r="Q460" s="731"/>
      <c r="R460" s="733">
        <f t="shared" si="64"/>
        <v>0</v>
      </c>
      <c r="S460" s="732">
        <f t="shared" si="65"/>
        <v>0</v>
      </c>
      <c r="T460" s="733">
        <f t="shared" si="66"/>
        <v>0</v>
      </c>
      <c r="U460" s="730"/>
      <c r="V460" s="731"/>
      <c r="W460" s="730"/>
      <c r="X460" s="730"/>
      <c r="Y460" s="732">
        <f t="shared" si="62"/>
        <v>0</v>
      </c>
      <c r="Z460" s="731"/>
      <c r="AA460" s="731"/>
      <c r="AB460" s="733">
        <f t="shared" si="63"/>
        <v>0</v>
      </c>
      <c r="AC460" s="730"/>
      <c r="AD460" s="731"/>
      <c r="AE460" s="730"/>
      <c r="AF460" s="730"/>
      <c r="AG460" s="731"/>
      <c r="AH460" s="731"/>
      <c r="AI460" s="732">
        <f t="shared" si="67"/>
        <v>0</v>
      </c>
      <c r="AJ460" s="733">
        <f t="shared" si="68"/>
        <v>0</v>
      </c>
    </row>
    <row r="461" spans="1:36">
      <c r="A461" s="894" t="s">
        <v>283</v>
      </c>
      <c r="B461" s="883" t="s">
        <v>176</v>
      </c>
      <c r="C461" s="904" t="s">
        <v>314</v>
      </c>
      <c r="D461" s="903"/>
      <c r="E461" s="899"/>
      <c r="F461" s="900">
        <v>99</v>
      </c>
      <c r="G461" s="730"/>
      <c r="H461" s="731"/>
      <c r="I461" s="730"/>
      <c r="J461" s="731"/>
      <c r="K461" s="730"/>
      <c r="L461" s="731"/>
      <c r="M461" s="730"/>
      <c r="N461" s="730"/>
      <c r="O461" s="732">
        <f t="shared" si="61"/>
        <v>0</v>
      </c>
      <c r="P461" s="731"/>
      <c r="Q461" s="731"/>
      <c r="R461" s="733">
        <f t="shared" si="64"/>
        <v>0</v>
      </c>
      <c r="S461" s="732">
        <f t="shared" si="65"/>
        <v>0</v>
      </c>
      <c r="T461" s="733">
        <f t="shared" si="66"/>
        <v>0</v>
      </c>
      <c r="U461" s="730"/>
      <c r="V461" s="731"/>
      <c r="W461" s="730"/>
      <c r="X461" s="730"/>
      <c r="Y461" s="732">
        <f t="shared" si="62"/>
        <v>0</v>
      </c>
      <c r="Z461" s="731"/>
      <c r="AA461" s="731"/>
      <c r="AB461" s="733">
        <f t="shared" si="63"/>
        <v>0</v>
      </c>
      <c r="AC461" s="730"/>
      <c r="AD461" s="731"/>
      <c r="AE461" s="730"/>
      <c r="AF461" s="730"/>
      <c r="AG461" s="731"/>
      <c r="AH461" s="731"/>
      <c r="AI461" s="732">
        <f t="shared" si="67"/>
        <v>0</v>
      </c>
      <c r="AJ461" s="733">
        <f t="shared" si="68"/>
        <v>0</v>
      </c>
    </row>
    <row r="462" spans="1:36">
      <c r="A462" s="894" t="s">
        <v>283</v>
      </c>
      <c r="B462" s="883" t="s">
        <v>180</v>
      </c>
      <c r="C462" s="904" t="s">
        <v>165</v>
      </c>
      <c r="D462" s="903"/>
      <c r="E462" s="899"/>
      <c r="F462" s="900">
        <v>99</v>
      </c>
      <c r="G462" s="730"/>
      <c r="H462" s="731"/>
      <c r="I462" s="730"/>
      <c r="J462" s="731"/>
      <c r="K462" s="730"/>
      <c r="L462" s="731"/>
      <c r="M462" s="730"/>
      <c r="N462" s="730"/>
      <c r="O462" s="732">
        <f t="shared" si="61"/>
        <v>0</v>
      </c>
      <c r="P462" s="731"/>
      <c r="Q462" s="731"/>
      <c r="R462" s="733">
        <f t="shared" si="64"/>
        <v>0</v>
      </c>
      <c r="S462" s="732">
        <f t="shared" si="65"/>
        <v>0</v>
      </c>
      <c r="T462" s="733">
        <f t="shared" si="66"/>
        <v>0</v>
      </c>
      <c r="U462" s="730">
        <v>252400</v>
      </c>
      <c r="V462" s="731">
        <v>207500</v>
      </c>
      <c r="W462" s="730"/>
      <c r="X462" s="730"/>
      <c r="Y462" s="732">
        <f t="shared" si="62"/>
        <v>0</v>
      </c>
      <c r="Z462" s="731"/>
      <c r="AA462" s="731"/>
      <c r="AB462" s="733">
        <f t="shared" si="63"/>
        <v>0</v>
      </c>
      <c r="AC462" s="730"/>
      <c r="AD462" s="731"/>
      <c r="AE462" s="730"/>
      <c r="AF462" s="730"/>
      <c r="AG462" s="731"/>
      <c r="AH462" s="731"/>
      <c r="AI462" s="732">
        <f t="shared" si="67"/>
        <v>252400</v>
      </c>
      <c r="AJ462" s="733">
        <f t="shared" si="68"/>
        <v>207500</v>
      </c>
    </row>
    <row r="463" spans="1:36">
      <c r="A463" s="894" t="s">
        <v>283</v>
      </c>
      <c r="B463" s="883" t="s">
        <v>178</v>
      </c>
      <c r="C463" s="904" t="s">
        <v>167</v>
      </c>
      <c r="D463" s="903"/>
      <c r="E463" s="899"/>
      <c r="F463" s="900">
        <v>99</v>
      </c>
      <c r="G463" s="730"/>
      <c r="H463" s="731"/>
      <c r="I463" s="730"/>
      <c r="J463" s="731"/>
      <c r="K463" s="730"/>
      <c r="L463" s="731"/>
      <c r="M463" s="730"/>
      <c r="N463" s="730"/>
      <c r="O463" s="732">
        <f t="shared" si="61"/>
        <v>0</v>
      </c>
      <c r="P463" s="731"/>
      <c r="Q463" s="731"/>
      <c r="R463" s="733">
        <f t="shared" si="64"/>
        <v>0</v>
      </c>
      <c r="S463" s="732">
        <f t="shared" si="65"/>
        <v>0</v>
      </c>
      <c r="T463" s="733">
        <f t="shared" si="66"/>
        <v>0</v>
      </c>
      <c r="U463" s="730"/>
      <c r="V463" s="731"/>
      <c r="W463" s="730"/>
      <c r="X463" s="730"/>
      <c r="Y463" s="732">
        <f t="shared" si="62"/>
        <v>0</v>
      </c>
      <c r="Z463" s="731"/>
      <c r="AA463" s="731"/>
      <c r="AB463" s="733">
        <f t="shared" si="63"/>
        <v>0</v>
      </c>
      <c r="AC463" s="730"/>
      <c r="AD463" s="731"/>
      <c r="AE463" s="730"/>
      <c r="AF463" s="730"/>
      <c r="AG463" s="731"/>
      <c r="AH463" s="731"/>
      <c r="AI463" s="732">
        <f t="shared" si="67"/>
        <v>0</v>
      </c>
      <c r="AJ463" s="733">
        <f t="shared" si="68"/>
        <v>0</v>
      </c>
    </row>
    <row r="464" spans="1:36">
      <c r="A464" s="894" t="s">
        <v>283</v>
      </c>
      <c r="B464" s="883" t="s">
        <v>161</v>
      </c>
      <c r="C464" s="909" t="s">
        <v>315</v>
      </c>
      <c r="D464" s="890"/>
      <c r="E464" s="899"/>
      <c r="F464" s="900">
        <v>99</v>
      </c>
      <c r="G464" s="730"/>
      <c r="H464" s="731"/>
      <c r="I464" s="730"/>
      <c r="J464" s="731"/>
      <c r="K464" s="730"/>
      <c r="L464" s="731"/>
      <c r="M464" s="730"/>
      <c r="N464" s="730"/>
      <c r="O464" s="732">
        <f t="shared" si="61"/>
        <v>0</v>
      </c>
      <c r="P464" s="731"/>
      <c r="Q464" s="731"/>
      <c r="R464" s="733">
        <f t="shared" si="64"/>
        <v>0</v>
      </c>
      <c r="S464" s="732">
        <f t="shared" si="65"/>
        <v>0</v>
      </c>
      <c r="T464" s="733">
        <f t="shared" si="66"/>
        <v>0</v>
      </c>
      <c r="U464" s="730"/>
      <c r="V464" s="731"/>
      <c r="W464" s="730"/>
      <c r="X464" s="730"/>
      <c r="Y464" s="732">
        <f t="shared" si="62"/>
        <v>0</v>
      </c>
      <c r="Z464" s="731"/>
      <c r="AA464" s="731"/>
      <c r="AB464" s="733">
        <f t="shared" si="63"/>
        <v>0</v>
      </c>
      <c r="AC464" s="730"/>
      <c r="AD464" s="731"/>
      <c r="AE464" s="730"/>
      <c r="AF464" s="730"/>
      <c r="AG464" s="731"/>
      <c r="AH464" s="731"/>
      <c r="AI464" s="732">
        <f t="shared" si="67"/>
        <v>0</v>
      </c>
      <c r="AJ464" s="733">
        <f t="shared" si="68"/>
        <v>0</v>
      </c>
    </row>
    <row r="465" spans="1:36">
      <c r="A465" s="894" t="s">
        <v>283</v>
      </c>
      <c r="B465" s="883" t="s">
        <v>170</v>
      </c>
      <c r="C465" s="904" t="s">
        <v>313</v>
      </c>
      <c r="D465" s="903"/>
      <c r="E465" s="899"/>
      <c r="F465" s="900">
        <v>99</v>
      </c>
      <c r="G465" s="730"/>
      <c r="H465" s="731"/>
      <c r="I465" s="730"/>
      <c r="J465" s="731"/>
      <c r="K465" s="730"/>
      <c r="L465" s="731"/>
      <c r="M465" s="730"/>
      <c r="N465" s="730"/>
      <c r="O465" s="732">
        <f t="shared" si="61"/>
        <v>0</v>
      </c>
      <c r="P465" s="731"/>
      <c r="Q465" s="731"/>
      <c r="R465" s="733">
        <f t="shared" si="64"/>
        <v>0</v>
      </c>
      <c r="S465" s="732">
        <f t="shared" si="65"/>
        <v>0</v>
      </c>
      <c r="T465" s="733">
        <f t="shared" si="66"/>
        <v>0</v>
      </c>
      <c r="U465" s="730"/>
      <c r="V465" s="731"/>
      <c r="W465" s="730"/>
      <c r="X465" s="730"/>
      <c r="Y465" s="732">
        <f t="shared" si="62"/>
        <v>0</v>
      </c>
      <c r="Z465" s="731"/>
      <c r="AA465" s="731"/>
      <c r="AB465" s="733">
        <f t="shared" si="63"/>
        <v>0</v>
      </c>
      <c r="AC465" s="730"/>
      <c r="AD465" s="731"/>
      <c r="AE465" s="730"/>
      <c r="AF465" s="730"/>
      <c r="AG465" s="731"/>
      <c r="AH465" s="731"/>
      <c r="AI465" s="732">
        <f t="shared" si="67"/>
        <v>0</v>
      </c>
      <c r="AJ465" s="733">
        <f t="shared" si="68"/>
        <v>0</v>
      </c>
    </row>
    <row r="466" spans="1:36">
      <c r="A466" s="894" t="s">
        <v>283</v>
      </c>
      <c r="B466" s="883" t="s">
        <v>172</v>
      </c>
      <c r="C466" s="904" t="s">
        <v>165</v>
      </c>
      <c r="D466" s="903"/>
      <c r="E466" s="899"/>
      <c r="F466" s="900">
        <v>99</v>
      </c>
      <c r="G466" s="730"/>
      <c r="H466" s="731"/>
      <c r="I466" s="730"/>
      <c r="J466" s="731"/>
      <c r="K466" s="730"/>
      <c r="L466" s="731"/>
      <c r="M466" s="730"/>
      <c r="N466" s="730"/>
      <c r="O466" s="732">
        <f t="shared" si="61"/>
        <v>0</v>
      </c>
      <c r="P466" s="731"/>
      <c r="Q466" s="731"/>
      <c r="R466" s="733">
        <f t="shared" si="64"/>
        <v>0</v>
      </c>
      <c r="S466" s="732">
        <f t="shared" si="65"/>
        <v>0</v>
      </c>
      <c r="T466" s="733">
        <f t="shared" si="66"/>
        <v>0</v>
      </c>
      <c r="U466" s="730"/>
      <c r="V466" s="731"/>
      <c r="W466" s="730"/>
      <c r="X466" s="730"/>
      <c r="Y466" s="732">
        <f t="shared" si="62"/>
        <v>0</v>
      </c>
      <c r="Z466" s="731"/>
      <c r="AA466" s="731"/>
      <c r="AB466" s="733">
        <f t="shared" si="63"/>
        <v>0</v>
      </c>
      <c r="AC466" s="730"/>
      <c r="AD466" s="731"/>
      <c r="AE466" s="730"/>
      <c r="AF466" s="730"/>
      <c r="AG466" s="731"/>
      <c r="AH466" s="731"/>
      <c r="AI466" s="732">
        <f t="shared" si="67"/>
        <v>0</v>
      </c>
      <c r="AJ466" s="733">
        <f t="shared" si="68"/>
        <v>0</v>
      </c>
    </row>
    <row r="467" spans="1:36">
      <c r="A467" s="894" t="s">
        <v>283</v>
      </c>
      <c r="B467" s="883" t="s">
        <v>173</v>
      </c>
      <c r="C467" s="904" t="s">
        <v>167</v>
      </c>
      <c r="D467" s="903"/>
      <c r="E467" s="899"/>
      <c r="F467" s="900">
        <v>99</v>
      </c>
      <c r="G467" s="730"/>
      <c r="H467" s="731"/>
      <c r="I467" s="730"/>
      <c r="J467" s="731"/>
      <c r="K467" s="730"/>
      <c r="L467" s="731"/>
      <c r="M467" s="730"/>
      <c r="N467" s="730"/>
      <c r="O467" s="732">
        <f t="shared" si="61"/>
        <v>0</v>
      </c>
      <c r="P467" s="731"/>
      <c r="Q467" s="731"/>
      <c r="R467" s="733">
        <f t="shared" si="64"/>
        <v>0</v>
      </c>
      <c r="S467" s="732">
        <f t="shared" si="65"/>
        <v>0</v>
      </c>
      <c r="T467" s="733">
        <f t="shared" si="66"/>
        <v>0</v>
      </c>
      <c r="U467" s="730">
        <v>128750</v>
      </c>
      <c r="V467" s="731">
        <v>99375</v>
      </c>
      <c r="W467" s="730"/>
      <c r="X467" s="730"/>
      <c r="Y467" s="732">
        <f t="shared" si="62"/>
        <v>0</v>
      </c>
      <c r="Z467" s="731"/>
      <c r="AA467" s="731"/>
      <c r="AB467" s="733">
        <f t="shared" si="63"/>
        <v>0</v>
      </c>
      <c r="AC467" s="730"/>
      <c r="AD467" s="731"/>
      <c r="AE467" s="730"/>
      <c r="AF467" s="730"/>
      <c r="AG467" s="731"/>
      <c r="AH467" s="731"/>
      <c r="AI467" s="732">
        <f t="shared" si="67"/>
        <v>128750</v>
      </c>
      <c r="AJ467" s="733">
        <f t="shared" si="68"/>
        <v>99375</v>
      </c>
    </row>
    <row r="468" spans="1:36">
      <c r="A468" s="894" t="s">
        <v>283</v>
      </c>
      <c r="B468" s="883" t="s">
        <v>176</v>
      </c>
      <c r="C468" s="904" t="s">
        <v>314</v>
      </c>
      <c r="D468" s="903"/>
      <c r="E468" s="899"/>
      <c r="F468" s="900">
        <v>99</v>
      </c>
      <c r="G468" s="730"/>
      <c r="H468" s="731"/>
      <c r="I468" s="730"/>
      <c r="J468" s="731"/>
      <c r="K468" s="730"/>
      <c r="L468" s="731"/>
      <c r="M468" s="730"/>
      <c r="N468" s="730"/>
      <c r="O468" s="732">
        <f t="shared" si="61"/>
        <v>0</v>
      </c>
      <c r="P468" s="731"/>
      <c r="Q468" s="731"/>
      <c r="R468" s="733">
        <f t="shared" si="64"/>
        <v>0</v>
      </c>
      <c r="S468" s="732">
        <f t="shared" si="65"/>
        <v>0</v>
      </c>
      <c r="T468" s="733">
        <f t="shared" si="66"/>
        <v>0</v>
      </c>
      <c r="U468" s="730"/>
      <c r="V468" s="731"/>
      <c r="W468" s="730"/>
      <c r="X468" s="730"/>
      <c r="Y468" s="732">
        <f t="shared" si="62"/>
        <v>0</v>
      </c>
      <c r="Z468" s="731"/>
      <c r="AA468" s="731"/>
      <c r="AB468" s="733">
        <f t="shared" si="63"/>
        <v>0</v>
      </c>
      <c r="AC468" s="730"/>
      <c r="AD468" s="731"/>
      <c r="AE468" s="730"/>
      <c r="AF468" s="730"/>
      <c r="AG468" s="731"/>
      <c r="AH468" s="731"/>
      <c r="AI468" s="732">
        <f t="shared" si="67"/>
        <v>0</v>
      </c>
      <c r="AJ468" s="733">
        <f t="shared" si="68"/>
        <v>0</v>
      </c>
    </row>
    <row r="469" spans="1:36">
      <c r="A469" s="894" t="s">
        <v>283</v>
      </c>
      <c r="B469" s="883" t="s">
        <v>180</v>
      </c>
      <c r="C469" s="904" t="s">
        <v>165</v>
      </c>
      <c r="D469" s="903"/>
      <c r="E469" s="899"/>
      <c r="F469" s="900">
        <v>99</v>
      </c>
      <c r="G469" s="730"/>
      <c r="H469" s="731"/>
      <c r="I469" s="730"/>
      <c r="J469" s="731"/>
      <c r="K469" s="730"/>
      <c r="L469" s="731"/>
      <c r="M469" s="730"/>
      <c r="N469" s="730"/>
      <c r="O469" s="732">
        <f t="shared" si="61"/>
        <v>0</v>
      </c>
      <c r="P469" s="731"/>
      <c r="Q469" s="731"/>
      <c r="R469" s="733">
        <f t="shared" si="64"/>
        <v>0</v>
      </c>
      <c r="S469" s="732">
        <f t="shared" si="65"/>
        <v>0</v>
      </c>
      <c r="T469" s="733">
        <f t="shared" si="66"/>
        <v>0</v>
      </c>
      <c r="U469" s="730"/>
      <c r="V469" s="731"/>
      <c r="W469" s="730"/>
      <c r="X469" s="730"/>
      <c r="Y469" s="732">
        <f t="shared" si="62"/>
        <v>0</v>
      </c>
      <c r="Z469" s="731"/>
      <c r="AA469" s="731"/>
      <c r="AB469" s="733">
        <f t="shared" si="63"/>
        <v>0</v>
      </c>
      <c r="AC469" s="730"/>
      <c r="AD469" s="731"/>
      <c r="AE469" s="730"/>
      <c r="AF469" s="730"/>
      <c r="AG469" s="731"/>
      <c r="AH469" s="731"/>
      <c r="AI469" s="732">
        <f t="shared" si="67"/>
        <v>0</v>
      </c>
      <c r="AJ469" s="733">
        <f t="shared" si="68"/>
        <v>0</v>
      </c>
    </row>
    <row r="470" spans="1:36">
      <c r="A470" s="894" t="s">
        <v>283</v>
      </c>
      <c r="B470" s="883" t="s">
        <v>178</v>
      </c>
      <c r="C470" s="904" t="s">
        <v>167</v>
      </c>
      <c r="D470" s="903"/>
      <c r="E470" s="899"/>
      <c r="F470" s="900">
        <v>99</v>
      </c>
      <c r="G470" s="730"/>
      <c r="H470" s="731"/>
      <c r="I470" s="730"/>
      <c r="J470" s="731"/>
      <c r="K470" s="730"/>
      <c r="L470" s="731"/>
      <c r="M470" s="730"/>
      <c r="N470" s="730"/>
      <c r="O470" s="732">
        <f t="shared" si="61"/>
        <v>0</v>
      </c>
      <c r="P470" s="731"/>
      <c r="Q470" s="731"/>
      <c r="R470" s="733">
        <f t="shared" si="64"/>
        <v>0</v>
      </c>
      <c r="S470" s="732">
        <f t="shared" si="65"/>
        <v>0</v>
      </c>
      <c r="T470" s="733">
        <f t="shared" si="66"/>
        <v>0</v>
      </c>
      <c r="U470" s="730">
        <v>75000</v>
      </c>
      <c r="V470" s="731">
        <v>81250</v>
      </c>
      <c r="W470" s="730"/>
      <c r="X470" s="730"/>
      <c r="Y470" s="732">
        <f t="shared" si="62"/>
        <v>0</v>
      </c>
      <c r="Z470" s="731"/>
      <c r="AA470" s="731"/>
      <c r="AB470" s="733">
        <f t="shared" si="63"/>
        <v>0</v>
      </c>
      <c r="AC470" s="730"/>
      <c r="AD470" s="731"/>
      <c r="AE470" s="730"/>
      <c r="AF470" s="730"/>
      <c r="AG470" s="731"/>
      <c r="AH470" s="731"/>
      <c r="AI470" s="732">
        <f t="shared" si="67"/>
        <v>75000</v>
      </c>
      <c r="AJ470" s="733">
        <f t="shared" si="68"/>
        <v>81250</v>
      </c>
    </row>
    <row r="471" spans="1:36">
      <c r="A471" s="894" t="s">
        <v>283</v>
      </c>
      <c r="B471" s="883" t="s">
        <v>161</v>
      </c>
      <c r="C471" s="909" t="s">
        <v>316</v>
      </c>
      <c r="D471" s="890"/>
      <c r="E471" s="899"/>
      <c r="F471" s="900">
        <v>99</v>
      </c>
      <c r="G471" s="730"/>
      <c r="H471" s="731"/>
      <c r="I471" s="730"/>
      <c r="J471" s="731"/>
      <c r="K471" s="730"/>
      <c r="L471" s="731"/>
      <c r="M471" s="730"/>
      <c r="N471" s="730"/>
      <c r="O471" s="732">
        <f t="shared" si="61"/>
        <v>0</v>
      </c>
      <c r="P471" s="731"/>
      <c r="Q471" s="731"/>
      <c r="R471" s="733">
        <f t="shared" si="64"/>
        <v>0</v>
      </c>
      <c r="S471" s="732">
        <f t="shared" si="65"/>
        <v>0</v>
      </c>
      <c r="T471" s="733">
        <f t="shared" si="66"/>
        <v>0</v>
      </c>
      <c r="U471" s="730"/>
      <c r="V471" s="731"/>
      <c r="W471" s="730"/>
      <c r="X471" s="730"/>
      <c r="Y471" s="732">
        <f t="shared" si="62"/>
        <v>0</v>
      </c>
      <c r="Z471" s="731"/>
      <c r="AA471" s="731"/>
      <c r="AB471" s="733">
        <f t="shared" si="63"/>
        <v>0</v>
      </c>
      <c r="AC471" s="730"/>
      <c r="AD471" s="731"/>
      <c r="AE471" s="730"/>
      <c r="AF471" s="730"/>
      <c r="AG471" s="731"/>
      <c r="AH471" s="731"/>
      <c r="AI471" s="732">
        <f t="shared" si="67"/>
        <v>0</v>
      </c>
      <c r="AJ471" s="733">
        <f t="shared" si="68"/>
        <v>0</v>
      </c>
    </row>
    <row r="472" spans="1:36">
      <c r="A472" s="894" t="s">
        <v>283</v>
      </c>
      <c r="B472" s="883" t="s">
        <v>170</v>
      </c>
      <c r="C472" s="904" t="s">
        <v>313</v>
      </c>
      <c r="D472" s="903"/>
      <c r="E472" s="899"/>
      <c r="F472" s="900">
        <v>99</v>
      </c>
      <c r="G472" s="730"/>
      <c r="H472" s="731"/>
      <c r="I472" s="730"/>
      <c r="J472" s="731"/>
      <c r="K472" s="730"/>
      <c r="L472" s="731"/>
      <c r="M472" s="730"/>
      <c r="N472" s="730"/>
      <c r="O472" s="732">
        <f t="shared" si="61"/>
        <v>0</v>
      </c>
      <c r="P472" s="731"/>
      <c r="Q472" s="731"/>
      <c r="R472" s="733">
        <f t="shared" si="64"/>
        <v>0</v>
      </c>
      <c r="S472" s="732">
        <f t="shared" si="65"/>
        <v>0</v>
      </c>
      <c r="T472" s="733">
        <f t="shared" si="66"/>
        <v>0</v>
      </c>
      <c r="U472" s="730"/>
      <c r="V472" s="731"/>
      <c r="W472" s="730"/>
      <c r="X472" s="730"/>
      <c r="Y472" s="732">
        <f t="shared" si="62"/>
        <v>0</v>
      </c>
      <c r="Z472" s="731"/>
      <c r="AA472" s="731"/>
      <c r="AB472" s="733">
        <f t="shared" si="63"/>
        <v>0</v>
      </c>
      <c r="AC472" s="730"/>
      <c r="AD472" s="731"/>
      <c r="AE472" s="730"/>
      <c r="AF472" s="730"/>
      <c r="AG472" s="731"/>
      <c r="AH472" s="731"/>
      <c r="AI472" s="732">
        <f t="shared" si="67"/>
        <v>0</v>
      </c>
      <c r="AJ472" s="733">
        <f t="shared" si="68"/>
        <v>0</v>
      </c>
    </row>
    <row r="473" spans="1:36">
      <c r="A473" s="894" t="s">
        <v>283</v>
      </c>
      <c r="B473" s="883" t="s">
        <v>172</v>
      </c>
      <c r="C473" s="904" t="s">
        <v>165</v>
      </c>
      <c r="D473" s="903"/>
      <c r="E473" s="899"/>
      <c r="F473" s="900">
        <v>99</v>
      </c>
      <c r="G473" s="730"/>
      <c r="H473" s="731"/>
      <c r="I473" s="730"/>
      <c r="J473" s="731"/>
      <c r="K473" s="730"/>
      <c r="L473" s="731"/>
      <c r="M473" s="730"/>
      <c r="N473" s="730"/>
      <c r="O473" s="732">
        <f t="shared" si="61"/>
        <v>0</v>
      </c>
      <c r="P473" s="731"/>
      <c r="Q473" s="731"/>
      <c r="R473" s="733">
        <f t="shared" si="64"/>
        <v>0</v>
      </c>
      <c r="S473" s="732">
        <f t="shared" si="65"/>
        <v>0</v>
      </c>
      <c r="T473" s="733">
        <f t="shared" si="66"/>
        <v>0</v>
      </c>
      <c r="U473" s="730"/>
      <c r="V473" s="731"/>
      <c r="W473" s="730"/>
      <c r="X473" s="730"/>
      <c r="Y473" s="732">
        <f t="shared" si="62"/>
        <v>0</v>
      </c>
      <c r="Z473" s="731"/>
      <c r="AA473" s="731"/>
      <c r="AB473" s="733">
        <f t="shared" si="63"/>
        <v>0</v>
      </c>
      <c r="AC473" s="730"/>
      <c r="AD473" s="731"/>
      <c r="AE473" s="730"/>
      <c r="AF473" s="730"/>
      <c r="AG473" s="731"/>
      <c r="AH473" s="731"/>
      <c r="AI473" s="732">
        <f t="shared" si="67"/>
        <v>0</v>
      </c>
      <c r="AJ473" s="733">
        <f t="shared" si="68"/>
        <v>0</v>
      </c>
    </row>
    <row r="474" spans="1:36">
      <c r="A474" s="894" t="s">
        <v>283</v>
      </c>
      <c r="B474" s="883" t="s">
        <v>173</v>
      </c>
      <c r="C474" s="904" t="s">
        <v>167</v>
      </c>
      <c r="D474" s="903"/>
      <c r="E474" s="899"/>
      <c r="F474" s="900">
        <v>99</v>
      </c>
      <c r="G474" s="730"/>
      <c r="H474" s="731"/>
      <c r="I474" s="730"/>
      <c r="J474" s="731"/>
      <c r="K474" s="730"/>
      <c r="L474" s="731"/>
      <c r="M474" s="730"/>
      <c r="N474" s="730"/>
      <c r="O474" s="732">
        <f t="shared" si="61"/>
        <v>0</v>
      </c>
      <c r="P474" s="731"/>
      <c r="Q474" s="731"/>
      <c r="R474" s="733">
        <f t="shared" si="64"/>
        <v>0</v>
      </c>
      <c r="S474" s="732">
        <f t="shared" si="65"/>
        <v>0</v>
      </c>
      <c r="T474" s="733">
        <f t="shared" si="66"/>
        <v>0</v>
      </c>
      <c r="U474" s="730">
        <v>32475</v>
      </c>
      <c r="V474" s="731">
        <v>16452</v>
      </c>
      <c r="W474" s="730"/>
      <c r="X474" s="730"/>
      <c r="Y474" s="732">
        <f t="shared" si="62"/>
        <v>0</v>
      </c>
      <c r="Z474" s="731"/>
      <c r="AA474" s="731"/>
      <c r="AB474" s="733">
        <f t="shared" si="63"/>
        <v>0</v>
      </c>
      <c r="AC474" s="730"/>
      <c r="AD474" s="731"/>
      <c r="AE474" s="730"/>
      <c r="AF474" s="730"/>
      <c r="AG474" s="731"/>
      <c r="AH474" s="731"/>
      <c r="AI474" s="732">
        <f t="shared" si="67"/>
        <v>32475</v>
      </c>
      <c r="AJ474" s="733">
        <f t="shared" si="68"/>
        <v>16452</v>
      </c>
    </row>
    <row r="475" spans="1:36">
      <c r="A475" s="894" t="s">
        <v>283</v>
      </c>
      <c r="B475" s="883" t="s">
        <v>176</v>
      </c>
      <c r="C475" s="904" t="s">
        <v>314</v>
      </c>
      <c r="D475" s="903"/>
      <c r="E475" s="899"/>
      <c r="F475" s="900">
        <v>99</v>
      </c>
      <c r="G475" s="730"/>
      <c r="H475" s="731"/>
      <c r="I475" s="730"/>
      <c r="J475" s="731"/>
      <c r="K475" s="730"/>
      <c r="L475" s="731"/>
      <c r="M475" s="730"/>
      <c r="N475" s="730"/>
      <c r="O475" s="732">
        <f t="shared" si="61"/>
        <v>0</v>
      </c>
      <c r="P475" s="731"/>
      <c r="Q475" s="731"/>
      <c r="R475" s="733">
        <f t="shared" si="64"/>
        <v>0</v>
      </c>
      <c r="S475" s="732">
        <f t="shared" si="65"/>
        <v>0</v>
      </c>
      <c r="T475" s="733">
        <f t="shared" si="66"/>
        <v>0</v>
      </c>
      <c r="U475" s="730"/>
      <c r="V475" s="731"/>
      <c r="W475" s="730"/>
      <c r="X475" s="730"/>
      <c r="Y475" s="732">
        <f t="shared" si="62"/>
        <v>0</v>
      </c>
      <c r="Z475" s="731"/>
      <c r="AA475" s="731"/>
      <c r="AB475" s="733">
        <f t="shared" si="63"/>
        <v>0</v>
      </c>
      <c r="AC475" s="730"/>
      <c r="AD475" s="731"/>
      <c r="AE475" s="730"/>
      <c r="AF475" s="730"/>
      <c r="AG475" s="731"/>
      <c r="AH475" s="731"/>
      <c r="AI475" s="732">
        <f t="shared" si="67"/>
        <v>0</v>
      </c>
      <c r="AJ475" s="733">
        <f t="shared" si="68"/>
        <v>0</v>
      </c>
    </row>
    <row r="476" spans="1:36">
      <c r="A476" s="894" t="s">
        <v>283</v>
      </c>
      <c r="B476" s="883" t="s">
        <v>180</v>
      </c>
      <c r="C476" s="904" t="s">
        <v>165</v>
      </c>
      <c r="D476" s="903"/>
      <c r="E476" s="899"/>
      <c r="F476" s="900">
        <v>99</v>
      </c>
      <c r="G476" s="730"/>
      <c r="H476" s="731"/>
      <c r="I476" s="730"/>
      <c r="J476" s="731"/>
      <c r="K476" s="730"/>
      <c r="L476" s="731"/>
      <c r="M476" s="730"/>
      <c r="N476" s="730"/>
      <c r="O476" s="732">
        <f t="shared" si="61"/>
        <v>0</v>
      </c>
      <c r="P476" s="731"/>
      <c r="Q476" s="731"/>
      <c r="R476" s="733">
        <f t="shared" si="64"/>
        <v>0</v>
      </c>
      <c r="S476" s="732">
        <f t="shared" si="65"/>
        <v>0</v>
      </c>
      <c r="T476" s="733">
        <f t="shared" si="66"/>
        <v>0</v>
      </c>
      <c r="U476" s="730"/>
      <c r="V476" s="731"/>
      <c r="W476" s="730"/>
      <c r="X476" s="730"/>
      <c r="Y476" s="732">
        <f t="shared" si="62"/>
        <v>0</v>
      </c>
      <c r="Z476" s="731"/>
      <c r="AA476" s="731"/>
      <c r="AB476" s="733">
        <f t="shared" si="63"/>
        <v>0</v>
      </c>
      <c r="AC476" s="730"/>
      <c r="AD476" s="731"/>
      <c r="AE476" s="730"/>
      <c r="AF476" s="730"/>
      <c r="AG476" s="731"/>
      <c r="AH476" s="731"/>
      <c r="AI476" s="732">
        <f t="shared" si="67"/>
        <v>0</v>
      </c>
      <c r="AJ476" s="733">
        <f t="shared" si="68"/>
        <v>0</v>
      </c>
    </row>
    <row r="477" spans="1:36">
      <c r="A477" s="894" t="s">
        <v>283</v>
      </c>
      <c r="B477" s="883" t="s">
        <v>178</v>
      </c>
      <c r="C477" s="904" t="s">
        <v>167</v>
      </c>
      <c r="D477" s="903"/>
      <c r="E477" s="899"/>
      <c r="F477" s="900">
        <v>99</v>
      </c>
      <c r="G477" s="730"/>
      <c r="H477" s="731"/>
      <c r="I477" s="730"/>
      <c r="J477" s="731"/>
      <c r="K477" s="730"/>
      <c r="L477" s="731"/>
      <c r="M477" s="730"/>
      <c r="N477" s="730"/>
      <c r="O477" s="732">
        <f t="shared" si="61"/>
        <v>0</v>
      </c>
      <c r="P477" s="731"/>
      <c r="Q477" s="731"/>
      <c r="R477" s="733">
        <f t="shared" si="64"/>
        <v>0</v>
      </c>
      <c r="S477" s="732">
        <f t="shared" si="65"/>
        <v>0</v>
      </c>
      <c r="T477" s="733">
        <f t="shared" si="66"/>
        <v>0</v>
      </c>
      <c r="U477" s="730">
        <v>0</v>
      </c>
      <c r="V477" s="731">
        <v>0</v>
      </c>
      <c r="W477" s="730"/>
      <c r="X477" s="730"/>
      <c r="Y477" s="732">
        <f t="shared" si="62"/>
        <v>0</v>
      </c>
      <c r="Z477" s="731"/>
      <c r="AA477" s="731"/>
      <c r="AB477" s="733">
        <f t="shared" si="63"/>
        <v>0</v>
      </c>
      <c r="AC477" s="730"/>
      <c r="AD477" s="731"/>
      <c r="AE477" s="730"/>
      <c r="AF477" s="730"/>
      <c r="AG477" s="731"/>
      <c r="AH477" s="731"/>
      <c r="AI477" s="732">
        <f t="shared" si="67"/>
        <v>0</v>
      </c>
      <c r="AJ477" s="733">
        <f t="shared" si="68"/>
        <v>0</v>
      </c>
    </row>
    <row r="478" spans="1:36">
      <c r="A478" s="894" t="s">
        <v>283</v>
      </c>
      <c r="B478" s="883" t="s">
        <v>161</v>
      </c>
      <c r="C478" s="909" t="s">
        <v>317</v>
      </c>
      <c r="D478" s="890"/>
      <c r="E478" s="899"/>
      <c r="F478" s="900">
        <v>99</v>
      </c>
      <c r="G478" s="730"/>
      <c r="H478" s="731"/>
      <c r="I478" s="730"/>
      <c r="J478" s="731"/>
      <c r="K478" s="730"/>
      <c r="L478" s="731"/>
      <c r="M478" s="730"/>
      <c r="N478" s="730"/>
      <c r="O478" s="732">
        <f t="shared" si="61"/>
        <v>0</v>
      </c>
      <c r="P478" s="731"/>
      <c r="Q478" s="731"/>
      <c r="R478" s="733">
        <f t="shared" si="64"/>
        <v>0</v>
      </c>
      <c r="S478" s="732">
        <f t="shared" si="65"/>
        <v>0</v>
      </c>
      <c r="T478" s="733">
        <f t="shared" si="66"/>
        <v>0</v>
      </c>
      <c r="U478" s="730"/>
      <c r="V478" s="731"/>
      <c r="W478" s="730"/>
      <c r="X478" s="730"/>
      <c r="Y478" s="732">
        <f t="shared" si="62"/>
        <v>0</v>
      </c>
      <c r="Z478" s="731"/>
      <c r="AA478" s="731"/>
      <c r="AB478" s="733">
        <f t="shared" si="63"/>
        <v>0</v>
      </c>
      <c r="AC478" s="730"/>
      <c r="AD478" s="731"/>
      <c r="AE478" s="730"/>
      <c r="AF478" s="730"/>
      <c r="AG478" s="731"/>
      <c r="AH478" s="731"/>
      <c r="AI478" s="732">
        <f t="shared" si="67"/>
        <v>0</v>
      </c>
      <c r="AJ478" s="733">
        <f t="shared" si="68"/>
        <v>0</v>
      </c>
    </row>
    <row r="479" spans="1:36">
      <c r="A479" s="894" t="s">
        <v>283</v>
      </c>
      <c r="B479" s="883" t="s">
        <v>170</v>
      </c>
      <c r="C479" s="904" t="s">
        <v>313</v>
      </c>
      <c r="D479" s="903"/>
      <c r="E479" s="899"/>
      <c r="F479" s="900">
        <v>99</v>
      </c>
      <c r="G479" s="730"/>
      <c r="H479" s="731"/>
      <c r="I479" s="730"/>
      <c r="J479" s="731"/>
      <c r="K479" s="730"/>
      <c r="L479" s="731"/>
      <c r="M479" s="730"/>
      <c r="N479" s="730"/>
      <c r="O479" s="732">
        <f t="shared" si="61"/>
        <v>0</v>
      </c>
      <c r="P479" s="731"/>
      <c r="Q479" s="731"/>
      <c r="R479" s="733">
        <f t="shared" si="64"/>
        <v>0</v>
      </c>
      <c r="S479" s="732">
        <f t="shared" si="65"/>
        <v>0</v>
      </c>
      <c r="T479" s="733">
        <f t="shared" si="66"/>
        <v>0</v>
      </c>
      <c r="U479" s="730"/>
      <c r="V479" s="731"/>
      <c r="W479" s="730"/>
      <c r="X479" s="730"/>
      <c r="Y479" s="732">
        <f t="shared" si="62"/>
        <v>0</v>
      </c>
      <c r="Z479" s="731"/>
      <c r="AA479" s="731"/>
      <c r="AB479" s="733">
        <f t="shared" si="63"/>
        <v>0</v>
      </c>
      <c r="AC479" s="730"/>
      <c r="AD479" s="731"/>
      <c r="AE479" s="730"/>
      <c r="AF479" s="730"/>
      <c r="AG479" s="731"/>
      <c r="AH479" s="731"/>
      <c r="AI479" s="732">
        <f t="shared" si="67"/>
        <v>0</v>
      </c>
      <c r="AJ479" s="733">
        <f t="shared" si="68"/>
        <v>0</v>
      </c>
    </row>
    <row r="480" spans="1:36">
      <c r="A480" s="894" t="s">
        <v>283</v>
      </c>
      <c r="B480" s="883" t="s">
        <v>172</v>
      </c>
      <c r="C480" s="904" t="s">
        <v>165</v>
      </c>
      <c r="D480" s="903"/>
      <c r="E480" s="899"/>
      <c r="F480" s="900">
        <v>99</v>
      </c>
      <c r="G480" s="730"/>
      <c r="H480" s="731"/>
      <c r="I480" s="730"/>
      <c r="J480" s="731"/>
      <c r="K480" s="730"/>
      <c r="L480" s="731"/>
      <c r="M480" s="730"/>
      <c r="N480" s="730"/>
      <c r="O480" s="732">
        <f t="shared" si="61"/>
        <v>0</v>
      </c>
      <c r="P480" s="731"/>
      <c r="Q480" s="731"/>
      <c r="R480" s="733">
        <f t="shared" si="64"/>
        <v>0</v>
      </c>
      <c r="S480" s="732">
        <f t="shared" si="65"/>
        <v>0</v>
      </c>
      <c r="T480" s="733">
        <f t="shared" si="66"/>
        <v>0</v>
      </c>
      <c r="U480" s="730"/>
      <c r="V480" s="731"/>
      <c r="W480" s="730"/>
      <c r="X480" s="730"/>
      <c r="Y480" s="732">
        <f t="shared" si="62"/>
        <v>0</v>
      </c>
      <c r="Z480" s="731"/>
      <c r="AA480" s="731"/>
      <c r="AB480" s="733">
        <f t="shared" si="63"/>
        <v>0</v>
      </c>
      <c r="AC480" s="730"/>
      <c r="AD480" s="731"/>
      <c r="AE480" s="730"/>
      <c r="AF480" s="730"/>
      <c r="AG480" s="731"/>
      <c r="AH480" s="731"/>
      <c r="AI480" s="732">
        <f t="shared" si="67"/>
        <v>0</v>
      </c>
      <c r="AJ480" s="733">
        <f t="shared" si="68"/>
        <v>0</v>
      </c>
    </row>
    <row r="481" spans="1:36">
      <c r="A481" s="894" t="s">
        <v>283</v>
      </c>
      <c r="B481" s="883" t="s">
        <v>173</v>
      </c>
      <c r="C481" s="904" t="s">
        <v>167</v>
      </c>
      <c r="D481" s="903"/>
      <c r="E481" s="899"/>
      <c r="F481" s="900">
        <v>99</v>
      </c>
      <c r="G481" s="730"/>
      <c r="H481" s="731"/>
      <c r="I481" s="730"/>
      <c r="J481" s="731"/>
      <c r="K481" s="730"/>
      <c r="L481" s="731"/>
      <c r="M481" s="730"/>
      <c r="N481" s="730"/>
      <c r="O481" s="732">
        <f t="shared" si="61"/>
        <v>0</v>
      </c>
      <c r="P481" s="731"/>
      <c r="Q481" s="731"/>
      <c r="R481" s="733">
        <f t="shared" si="64"/>
        <v>0</v>
      </c>
      <c r="S481" s="732">
        <f t="shared" si="65"/>
        <v>0</v>
      </c>
      <c r="T481" s="733">
        <f t="shared" si="66"/>
        <v>0</v>
      </c>
      <c r="U481" s="730">
        <v>45000</v>
      </c>
      <c r="V481" s="731">
        <v>30000</v>
      </c>
      <c r="W481" s="730"/>
      <c r="X481" s="730"/>
      <c r="Y481" s="732">
        <f t="shared" si="62"/>
        <v>0</v>
      </c>
      <c r="Z481" s="731"/>
      <c r="AA481" s="731"/>
      <c r="AB481" s="733">
        <f t="shared" si="63"/>
        <v>0</v>
      </c>
      <c r="AC481" s="730"/>
      <c r="AD481" s="731"/>
      <c r="AE481" s="730"/>
      <c r="AF481" s="730"/>
      <c r="AG481" s="731"/>
      <c r="AH481" s="731"/>
      <c r="AI481" s="732">
        <f t="shared" si="67"/>
        <v>45000</v>
      </c>
      <c r="AJ481" s="733">
        <f t="shared" si="68"/>
        <v>30000</v>
      </c>
    </row>
    <row r="482" spans="1:36">
      <c r="A482" s="894" t="s">
        <v>283</v>
      </c>
      <c r="B482" s="883" t="s">
        <v>176</v>
      </c>
      <c r="C482" s="904" t="s">
        <v>314</v>
      </c>
      <c r="D482" s="903"/>
      <c r="E482" s="899"/>
      <c r="F482" s="900">
        <v>99</v>
      </c>
      <c r="G482" s="730"/>
      <c r="H482" s="731"/>
      <c r="I482" s="730"/>
      <c r="J482" s="731"/>
      <c r="K482" s="730"/>
      <c r="L482" s="731"/>
      <c r="M482" s="730"/>
      <c r="N482" s="730"/>
      <c r="O482" s="732">
        <f t="shared" si="61"/>
        <v>0</v>
      </c>
      <c r="P482" s="731"/>
      <c r="Q482" s="731"/>
      <c r="R482" s="733">
        <f t="shared" si="64"/>
        <v>0</v>
      </c>
      <c r="S482" s="732">
        <f t="shared" si="65"/>
        <v>0</v>
      </c>
      <c r="T482" s="733">
        <f t="shared" si="66"/>
        <v>0</v>
      </c>
      <c r="U482" s="730"/>
      <c r="V482" s="731"/>
      <c r="W482" s="730"/>
      <c r="X482" s="730"/>
      <c r="Y482" s="732">
        <f t="shared" si="62"/>
        <v>0</v>
      </c>
      <c r="Z482" s="731"/>
      <c r="AA482" s="731"/>
      <c r="AB482" s="733">
        <f t="shared" si="63"/>
        <v>0</v>
      </c>
      <c r="AC482" s="730"/>
      <c r="AD482" s="731"/>
      <c r="AE482" s="730"/>
      <c r="AF482" s="730"/>
      <c r="AG482" s="731"/>
      <c r="AH482" s="731"/>
      <c r="AI482" s="732">
        <f t="shared" si="67"/>
        <v>0</v>
      </c>
      <c r="AJ482" s="733">
        <f t="shared" si="68"/>
        <v>0</v>
      </c>
    </row>
    <row r="483" spans="1:36">
      <c r="A483" s="894" t="s">
        <v>283</v>
      </c>
      <c r="B483" s="883" t="s">
        <v>180</v>
      </c>
      <c r="C483" s="904" t="s">
        <v>165</v>
      </c>
      <c r="D483" s="903"/>
      <c r="E483" s="899"/>
      <c r="F483" s="900">
        <v>99</v>
      </c>
      <c r="G483" s="730"/>
      <c r="H483" s="731"/>
      <c r="I483" s="730"/>
      <c r="J483" s="731"/>
      <c r="K483" s="730"/>
      <c r="L483" s="731"/>
      <c r="M483" s="730"/>
      <c r="N483" s="730"/>
      <c r="O483" s="732">
        <f t="shared" si="61"/>
        <v>0</v>
      </c>
      <c r="P483" s="731"/>
      <c r="Q483" s="731"/>
      <c r="R483" s="733">
        <f t="shared" si="64"/>
        <v>0</v>
      </c>
      <c r="S483" s="732">
        <f t="shared" si="65"/>
        <v>0</v>
      </c>
      <c r="T483" s="733">
        <f t="shared" si="66"/>
        <v>0</v>
      </c>
      <c r="U483" s="730"/>
      <c r="V483" s="731"/>
      <c r="W483" s="730"/>
      <c r="X483" s="730"/>
      <c r="Y483" s="732">
        <f t="shared" si="62"/>
        <v>0</v>
      </c>
      <c r="Z483" s="731"/>
      <c r="AA483" s="731"/>
      <c r="AB483" s="733">
        <f t="shared" si="63"/>
        <v>0</v>
      </c>
      <c r="AC483" s="730"/>
      <c r="AD483" s="731"/>
      <c r="AE483" s="730"/>
      <c r="AF483" s="730"/>
      <c r="AG483" s="731"/>
      <c r="AH483" s="731"/>
      <c r="AI483" s="732">
        <f t="shared" si="67"/>
        <v>0</v>
      </c>
      <c r="AJ483" s="733">
        <f t="shared" si="68"/>
        <v>0</v>
      </c>
    </row>
    <row r="484" spans="1:36">
      <c r="A484" s="894" t="s">
        <v>283</v>
      </c>
      <c r="B484" s="883" t="s">
        <v>178</v>
      </c>
      <c r="C484" s="904" t="s">
        <v>167</v>
      </c>
      <c r="D484" s="903"/>
      <c r="E484" s="899"/>
      <c r="F484" s="900">
        <v>99</v>
      </c>
      <c r="G484" s="730"/>
      <c r="H484" s="731"/>
      <c r="I484" s="730"/>
      <c r="J484" s="731"/>
      <c r="K484" s="730"/>
      <c r="L484" s="731"/>
      <c r="M484" s="730"/>
      <c r="N484" s="730"/>
      <c r="O484" s="732">
        <f t="shared" si="61"/>
        <v>0</v>
      </c>
      <c r="P484" s="731"/>
      <c r="Q484" s="731"/>
      <c r="R484" s="733">
        <f t="shared" si="64"/>
        <v>0</v>
      </c>
      <c r="S484" s="732">
        <f t="shared" si="65"/>
        <v>0</v>
      </c>
      <c r="T484" s="733">
        <f t="shared" si="66"/>
        <v>0</v>
      </c>
      <c r="U484" s="730">
        <v>25000</v>
      </c>
      <c r="V484" s="731">
        <v>37500</v>
      </c>
      <c r="W484" s="730"/>
      <c r="X484" s="730"/>
      <c r="Y484" s="732">
        <f t="shared" si="62"/>
        <v>0</v>
      </c>
      <c r="Z484" s="731"/>
      <c r="AA484" s="731"/>
      <c r="AB484" s="733">
        <f t="shared" si="63"/>
        <v>0</v>
      </c>
      <c r="AC484" s="730"/>
      <c r="AD484" s="731"/>
      <c r="AE484" s="730"/>
      <c r="AF484" s="730"/>
      <c r="AG484" s="731"/>
      <c r="AH484" s="731"/>
      <c r="AI484" s="732">
        <f t="shared" si="67"/>
        <v>25000</v>
      </c>
      <c r="AJ484" s="733">
        <f t="shared" si="68"/>
        <v>37500</v>
      </c>
    </row>
    <row r="485" spans="1:36">
      <c r="A485" s="894" t="s">
        <v>283</v>
      </c>
      <c r="B485" s="883" t="s">
        <v>161</v>
      </c>
      <c r="C485" s="909" t="s">
        <v>318</v>
      </c>
      <c r="D485" s="890"/>
      <c r="E485" s="899"/>
      <c r="F485" s="900">
        <v>99</v>
      </c>
      <c r="G485" s="730"/>
      <c r="H485" s="731"/>
      <c r="I485" s="730"/>
      <c r="J485" s="731"/>
      <c r="K485" s="730"/>
      <c r="L485" s="731"/>
      <c r="M485" s="730"/>
      <c r="N485" s="730"/>
      <c r="O485" s="732">
        <f t="shared" si="61"/>
        <v>0</v>
      </c>
      <c r="P485" s="731"/>
      <c r="Q485" s="731"/>
      <c r="R485" s="733">
        <f t="shared" si="64"/>
        <v>0</v>
      </c>
      <c r="S485" s="732">
        <f t="shared" si="65"/>
        <v>0</v>
      </c>
      <c r="T485" s="733">
        <f t="shared" si="66"/>
        <v>0</v>
      </c>
      <c r="U485" s="730"/>
      <c r="V485" s="731"/>
      <c r="W485" s="730"/>
      <c r="X485" s="730"/>
      <c r="Y485" s="732">
        <f t="shared" si="62"/>
        <v>0</v>
      </c>
      <c r="Z485" s="731"/>
      <c r="AA485" s="731"/>
      <c r="AB485" s="733">
        <f t="shared" si="63"/>
        <v>0</v>
      </c>
      <c r="AC485" s="730"/>
      <c r="AD485" s="731"/>
      <c r="AE485" s="730"/>
      <c r="AF485" s="730"/>
      <c r="AG485" s="731"/>
      <c r="AH485" s="731"/>
      <c r="AI485" s="732">
        <f t="shared" si="67"/>
        <v>0</v>
      </c>
      <c r="AJ485" s="733">
        <f t="shared" si="68"/>
        <v>0</v>
      </c>
    </row>
    <row r="486" spans="1:36">
      <c r="A486" s="894" t="s">
        <v>283</v>
      </c>
      <c r="B486" s="883" t="s">
        <v>170</v>
      </c>
      <c r="C486" s="904" t="s">
        <v>313</v>
      </c>
      <c r="D486" s="903"/>
      <c r="E486" s="899"/>
      <c r="F486" s="900">
        <v>99</v>
      </c>
      <c r="G486" s="730"/>
      <c r="H486" s="731"/>
      <c r="I486" s="730"/>
      <c r="J486" s="731"/>
      <c r="K486" s="730"/>
      <c r="L486" s="731"/>
      <c r="M486" s="730"/>
      <c r="N486" s="730"/>
      <c r="O486" s="732">
        <f t="shared" si="61"/>
        <v>0</v>
      </c>
      <c r="P486" s="731"/>
      <c r="Q486" s="731"/>
      <c r="R486" s="733">
        <f t="shared" si="64"/>
        <v>0</v>
      </c>
      <c r="S486" s="732">
        <f t="shared" si="65"/>
        <v>0</v>
      </c>
      <c r="T486" s="733">
        <f t="shared" si="66"/>
        <v>0</v>
      </c>
      <c r="U486" s="730"/>
      <c r="V486" s="731"/>
      <c r="W486" s="730"/>
      <c r="X486" s="730"/>
      <c r="Y486" s="732">
        <f t="shared" si="62"/>
        <v>0</v>
      </c>
      <c r="Z486" s="731"/>
      <c r="AA486" s="731"/>
      <c r="AB486" s="733">
        <f t="shared" si="63"/>
        <v>0</v>
      </c>
      <c r="AC486" s="730"/>
      <c r="AD486" s="731"/>
      <c r="AE486" s="730"/>
      <c r="AF486" s="730"/>
      <c r="AG486" s="731"/>
      <c r="AH486" s="731"/>
      <c r="AI486" s="732">
        <f t="shared" si="67"/>
        <v>0</v>
      </c>
      <c r="AJ486" s="733">
        <f t="shared" si="68"/>
        <v>0</v>
      </c>
    </row>
    <row r="487" spans="1:36">
      <c r="A487" s="894" t="s">
        <v>283</v>
      </c>
      <c r="B487" s="883" t="s">
        <v>172</v>
      </c>
      <c r="C487" s="904" t="s">
        <v>165</v>
      </c>
      <c r="D487" s="903"/>
      <c r="E487" s="899"/>
      <c r="F487" s="900">
        <v>99</v>
      </c>
      <c r="G487" s="730"/>
      <c r="H487" s="731"/>
      <c r="I487" s="730"/>
      <c r="J487" s="731"/>
      <c r="K487" s="730"/>
      <c r="L487" s="731"/>
      <c r="M487" s="730"/>
      <c r="N487" s="730"/>
      <c r="O487" s="732">
        <f t="shared" si="61"/>
        <v>0</v>
      </c>
      <c r="P487" s="731"/>
      <c r="Q487" s="731"/>
      <c r="R487" s="733">
        <f t="shared" si="64"/>
        <v>0</v>
      </c>
      <c r="S487" s="732">
        <f t="shared" si="65"/>
        <v>0</v>
      </c>
      <c r="T487" s="733">
        <f t="shared" si="66"/>
        <v>0</v>
      </c>
      <c r="U487" s="730"/>
      <c r="V487" s="731"/>
      <c r="W487" s="730"/>
      <c r="X487" s="730"/>
      <c r="Y487" s="732">
        <f t="shared" si="62"/>
        <v>0</v>
      </c>
      <c r="Z487" s="731"/>
      <c r="AA487" s="731"/>
      <c r="AB487" s="733">
        <f t="shared" si="63"/>
        <v>0</v>
      </c>
      <c r="AC487" s="730"/>
      <c r="AD487" s="731"/>
      <c r="AE487" s="730"/>
      <c r="AF487" s="730"/>
      <c r="AG487" s="731"/>
      <c r="AH487" s="731"/>
      <c r="AI487" s="732">
        <f t="shared" si="67"/>
        <v>0</v>
      </c>
      <c r="AJ487" s="733">
        <f t="shared" si="68"/>
        <v>0</v>
      </c>
    </row>
    <row r="488" spans="1:36">
      <c r="A488" s="894" t="s">
        <v>283</v>
      </c>
      <c r="B488" s="883" t="s">
        <v>173</v>
      </c>
      <c r="C488" s="904" t="s">
        <v>167</v>
      </c>
      <c r="D488" s="903"/>
      <c r="E488" s="899"/>
      <c r="F488" s="900">
        <v>99</v>
      </c>
      <c r="G488" s="730"/>
      <c r="H488" s="731"/>
      <c r="I488" s="730"/>
      <c r="J488" s="731"/>
      <c r="K488" s="730"/>
      <c r="L488" s="731"/>
      <c r="M488" s="730"/>
      <c r="N488" s="730"/>
      <c r="O488" s="732">
        <f t="shared" si="61"/>
        <v>0</v>
      </c>
      <c r="P488" s="731"/>
      <c r="Q488" s="731"/>
      <c r="R488" s="733">
        <f t="shared" si="64"/>
        <v>0</v>
      </c>
      <c r="S488" s="732">
        <f t="shared" si="65"/>
        <v>0</v>
      </c>
      <c r="T488" s="733">
        <f t="shared" si="66"/>
        <v>0</v>
      </c>
      <c r="U488" s="730">
        <v>75192</v>
      </c>
      <c r="V488" s="731">
        <v>73452</v>
      </c>
      <c r="W488" s="730"/>
      <c r="X488" s="730"/>
      <c r="Y488" s="732">
        <f t="shared" si="62"/>
        <v>0</v>
      </c>
      <c r="Z488" s="731"/>
      <c r="AA488" s="731"/>
      <c r="AB488" s="733">
        <f t="shared" si="63"/>
        <v>0</v>
      </c>
      <c r="AC488" s="730"/>
      <c r="AD488" s="731"/>
      <c r="AE488" s="730"/>
      <c r="AF488" s="730"/>
      <c r="AG488" s="731"/>
      <c r="AH488" s="731"/>
      <c r="AI488" s="732">
        <f t="shared" si="67"/>
        <v>75192</v>
      </c>
      <c r="AJ488" s="733">
        <f t="shared" si="68"/>
        <v>73452</v>
      </c>
    </row>
    <row r="489" spans="1:36">
      <c r="A489" s="894" t="s">
        <v>283</v>
      </c>
      <c r="B489" s="883" t="s">
        <v>176</v>
      </c>
      <c r="C489" s="904" t="s">
        <v>314</v>
      </c>
      <c r="D489" s="903"/>
      <c r="E489" s="899"/>
      <c r="F489" s="900">
        <v>99</v>
      </c>
      <c r="G489" s="730"/>
      <c r="H489" s="731"/>
      <c r="I489" s="730"/>
      <c r="J489" s="731"/>
      <c r="K489" s="730"/>
      <c r="L489" s="731"/>
      <c r="M489" s="730"/>
      <c r="N489" s="730"/>
      <c r="O489" s="732">
        <f t="shared" si="61"/>
        <v>0</v>
      </c>
      <c r="P489" s="731"/>
      <c r="Q489" s="731"/>
      <c r="R489" s="733">
        <f t="shared" si="64"/>
        <v>0</v>
      </c>
      <c r="S489" s="732">
        <f t="shared" si="65"/>
        <v>0</v>
      </c>
      <c r="T489" s="733">
        <f t="shared" si="66"/>
        <v>0</v>
      </c>
      <c r="U489" s="730"/>
      <c r="V489" s="731"/>
      <c r="W489" s="730"/>
      <c r="X489" s="730"/>
      <c r="Y489" s="732">
        <f t="shared" si="62"/>
        <v>0</v>
      </c>
      <c r="Z489" s="731"/>
      <c r="AA489" s="731"/>
      <c r="AB489" s="733">
        <f t="shared" si="63"/>
        <v>0</v>
      </c>
      <c r="AC489" s="730"/>
      <c r="AD489" s="731"/>
      <c r="AE489" s="730"/>
      <c r="AF489" s="730"/>
      <c r="AG489" s="731"/>
      <c r="AH489" s="731"/>
      <c r="AI489" s="732">
        <f t="shared" si="67"/>
        <v>0</v>
      </c>
      <c r="AJ489" s="733">
        <f t="shared" si="68"/>
        <v>0</v>
      </c>
    </row>
    <row r="490" spans="1:36">
      <c r="A490" s="894" t="s">
        <v>283</v>
      </c>
      <c r="B490" s="883" t="s">
        <v>180</v>
      </c>
      <c r="C490" s="904" t="s">
        <v>165</v>
      </c>
      <c r="D490" s="903"/>
      <c r="E490" s="899"/>
      <c r="F490" s="900">
        <v>99</v>
      </c>
      <c r="G490" s="730"/>
      <c r="H490" s="731"/>
      <c r="I490" s="730"/>
      <c r="J490" s="731"/>
      <c r="K490" s="730"/>
      <c r="L490" s="731"/>
      <c r="M490" s="730"/>
      <c r="N490" s="730"/>
      <c r="O490" s="732">
        <f t="shared" si="61"/>
        <v>0</v>
      </c>
      <c r="P490" s="731"/>
      <c r="Q490" s="731"/>
      <c r="R490" s="733">
        <f t="shared" si="64"/>
        <v>0</v>
      </c>
      <c r="S490" s="732">
        <f t="shared" si="65"/>
        <v>0</v>
      </c>
      <c r="T490" s="733">
        <f t="shared" si="66"/>
        <v>0</v>
      </c>
      <c r="U490" s="730"/>
      <c r="V490" s="731"/>
      <c r="W490" s="730"/>
      <c r="X490" s="730"/>
      <c r="Y490" s="732">
        <f t="shared" si="62"/>
        <v>0</v>
      </c>
      <c r="Z490" s="731"/>
      <c r="AA490" s="731"/>
      <c r="AB490" s="733">
        <f t="shared" si="63"/>
        <v>0</v>
      </c>
      <c r="AC490" s="730"/>
      <c r="AD490" s="731"/>
      <c r="AE490" s="730"/>
      <c r="AF490" s="730"/>
      <c r="AG490" s="731"/>
      <c r="AH490" s="731"/>
      <c r="AI490" s="732">
        <f t="shared" si="67"/>
        <v>0</v>
      </c>
      <c r="AJ490" s="733">
        <f t="shared" si="68"/>
        <v>0</v>
      </c>
    </row>
    <row r="491" spans="1:36">
      <c r="A491" s="894" t="s">
        <v>283</v>
      </c>
      <c r="B491" s="883" t="s">
        <v>178</v>
      </c>
      <c r="C491" s="904" t="s">
        <v>167</v>
      </c>
      <c r="D491" s="903"/>
      <c r="E491" s="899"/>
      <c r="F491" s="900">
        <v>99</v>
      </c>
      <c r="G491" s="730"/>
      <c r="H491" s="731"/>
      <c r="I491" s="730"/>
      <c r="J491" s="731"/>
      <c r="K491" s="730"/>
      <c r="L491" s="731"/>
      <c r="M491" s="730"/>
      <c r="N491" s="730"/>
      <c r="O491" s="732">
        <f t="shared" si="61"/>
        <v>0</v>
      </c>
      <c r="P491" s="731"/>
      <c r="Q491" s="731"/>
      <c r="R491" s="733">
        <f t="shared" si="64"/>
        <v>0</v>
      </c>
      <c r="S491" s="732">
        <f t="shared" si="65"/>
        <v>0</v>
      </c>
      <c r="T491" s="733">
        <f t="shared" si="66"/>
        <v>0</v>
      </c>
      <c r="U491" s="730">
        <v>81015</v>
      </c>
      <c r="V491" s="731">
        <v>50582</v>
      </c>
      <c r="W491" s="730"/>
      <c r="X491" s="730"/>
      <c r="Y491" s="732">
        <f t="shared" si="62"/>
        <v>0</v>
      </c>
      <c r="Z491" s="731"/>
      <c r="AA491" s="731"/>
      <c r="AB491" s="733">
        <f t="shared" si="63"/>
        <v>0</v>
      </c>
      <c r="AC491" s="730"/>
      <c r="AD491" s="731"/>
      <c r="AE491" s="730"/>
      <c r="AF491" s="730"/>
      <c r="AG491" s="731"/>
      <c r="AH491" s="731"/>
      <c r="AI491" s="732">
        <f t="shared" si="67"/>
        <v>81015</v>
      </c>
      <c r="AJ491" s="733">
        <f t="shared" si="68"/>
        <v>50582</v>
      </c>
    </row>
    <row r="492" spans="1:36">
      <c r="A492" s="894" t="s">
        <v>283</v>
      </c>
      <c r="B492" s="883" t="s">
        <v>161</v>
      </c>
      <c r="C492" s="909" t="s">
        <v>319</v>
      </c>
      <c r="D492" s="890"/>
      <c r="E492" s="899"/>
      <c r="F492" s="900">
        <v>99</v>
      </c>
      <c r="G492" s="730"/>
      <c r="H492" s="731"/>
      <c r="I492" s="730"/>
      <c r="J492" s="731"/>
      <c r="K492" s="730"/>
      <c r="L492" s="731"/>
      <c r="M492" s="730"/>
      <c r="N492" s="730"/>
      <c r="O492" s="732">
        <f t="shared" si="61"/>
        <v>0</v>
      </c>
      <c r="P492" s="731"/>
      <c r="Q492" s="731"/>
      <c r="R492" s="733">
        <f t="shared" si="64"/>
        <v>0</v>
      </c>
      <c r="S492" s="732">
        <f t="shared" si="65"/>
        <v>0</v>
      </c>
      <c r="T492" s="733">
        <f t="shared" si="66"/>
        <v>0</v>
      </c>
      <c r="U492" s="730"/>
      <c r="V492" s="731"/>
      <c r="W492" s="730"/>
      <c r="X492" s="730"/>
      <c r="Y492" s="732">
        <f t="shared" si="62"/>
        <v>0</v>
      </c>
      <c r="Z492" s="731"/>
      <c r="AA492" s="731"/>
      <c r="AB492" s="733">
        <f t="shared" si="63"/>
        <v>0</v>
      </c>
      <c r="AC492" s="730"/>
      <c r="AD492" s="731"/>
      <c r="AE492" s="730"/>
      <c r="AF492" s="730"/>
      <c r="AG492" s="731"/>
      <c r="AH492" s="731"/>
      <c r="AI492" s="732">
        <f t="shared" si="67"/>
        <v>0</v>
      </c>
      <c r="AJ492" s="733">
        <f t="shared" si="68"/>
        <v>0</v>
      </c>
    </row>
    <row r="493" spans="1:36">
      <c r="A493" s="894" t="s">
        <v>283</v>
      </c>
      <c r="B493" s="883" t="s">
        <v>170</v>
      </c>
      <c r="C493" s="904" t="s">
        <v>313</v>
      </c>
      <c r="D493" s="903"/>
      <c r="E493" s="899"/>
      <c r="F493" s="900">
        <v>99</v>
      </c>
      <c r="G493" s="730"/>
      <c r="H493" s="731"/>
      <c r="I493" s="730"/>
      <c r="J493" s="731"/>
      <c r="K493" s="730"/>
      <c r="L493" s="731"/>
      <c r="M493" s="730"/>
      <c r="N493" s="730"/>
      <c r="O493" s="732">
        <f t="shared" si="61"/>
        <v>0</v>
      </c>
      <c r="P493" s="731"/>
      <c r="Q493" s="731"/>
      <c r="R493" s="733">
        <f t="shared" si="64"/>
        <v>0</v>
      </c>
      <c r="S493" s="732">
        <f t="shared" si="65"/>
        <v>0</v>
      </c>
      <c r="T493" s="733">
        <f t="shared" si="66"/>
        <v>0</v>
      </c>
      <c r="U493" s="730"/>
      <c r="V493" s="731"/>
      <c r="W493" s="730"/>
      <c r="X493" s="730"/>
      <c r="Y493" s="732">
        <f t="shared" si="62"/>
        <v>0</v>
      </c>
      <c r="Z493" s="731"/>
      <c r="AA493" s="731"/>
      <c r="AB493" s="733">
        <f t="shared" si="63"/>
        <v>0</v>
      </c>
      <c r="AC493" s="730"/>
      <c r="AD493" s="731"/>
      <c r="AE493" s="730"/>
      <c r="AF493" s="730"/>
      <c r="AG493" s="731"/>
      <c r="AH493" s="731"/>
      <c r="AI493" s="732">
        <f t="shared" si="67"/>
        <v>0</v>
      </c>
      <c r="AJ493" s="733">
        <f t="shared" si="68"/>
        <v>0</v>
      </c>
    </row>
    <row r="494" spans="1:36">
      <c r="A494" s="894" t="s">
        <v>283</v>
      </c>
      <c r="B494" s="883" t="s">
        <v>172</v>
      </c>
      <c r="C494" s="904" t="s">
        <v>165</v>
      </c>
      <c r="D494" s="903"/>
      <c r="E494" s="899"/>
      <c r="F494" s="900">
        <v>99</v>
      </c>
      <c r="G494" s="730"/>
      <c r="H494" s="731"/>
      <c r="I494" s="730"/>
      <c r="J494" s="731"/>
      <c r="K494" s="730"/>
      <c r="L494" s="731"/>
      <c r="M494" s="730"/>
      <c r="N494" s="730"/>
      <c r="O494" s="732">
        <f t="shared" si="61"/>
        <v>0</v>
      </c>
      <c r="P494" s="731"/>
      <c r="Q494" s="731"/>
      <c r="R494" s="733">
        <f t="shared" si="64"/>
        <v>0</v>
      </c>
      <c r="S494" s="732">
        <f t="shared" si="65"/>
        <v>0</v>
      </c>
      <c r="T494" s="733">
        <f t="shared" si="66"/>
        <v>0</v>
      </c>
      <c r="U494" s="730"/>
      <c r="V494" s="731"/>
      <c r="W494" s="730"/>
      <c r="X494" s="730"/>
      <c r="Y494" s="732">
        <f t="shared" si="62"/>
        <v>0</v>
      </c>
      <c r="Z494" s="731"/>
      <c r="AA494" s="731"/>
      <c r="AB494" s="733">
        <f t="shared" si="63"/>
        <v>0</v>
      </c>
      <c r="AC494" s="730"/>
      <c r="AD494" s="731"/>
      <c r="AE494" s="730"/>
      <c r="AF494" s="730"/>
      <c r="AG494" s="731"/>
      <c r="AH494" s="731"/>
      <c r="AI494" s="732">
        <f t="shared" si="67"/>
        <v>0</v>
      </c>
      <c r="AJ494" s="733">
        <f t="shared" si="68"/>
        <v>0</v>
      </c>
    </row>
    <row r="495" spans="1:36">
      <c r="A495" s="894" t="s">
        <v>283</v>
      </c>
      <c r="B495" s="883" t="s">
        <v>173</v>
      </c>
      <c r="C495" s="904" t="s">
        <v>167</v>
      </c>
      <c r="D495" s="903"/>
      <c r="E495" s="899"/>
      <c r="F495" s="900">
        <v>99</v>
      </c>
      <c r="G495" s="730"/>
      <c r="H495" s="731"/>
      <c r="I495" s="730"/>
      <c r="J495" s="731"/>
      <c r="K495" s="730"/>
      <c r="L495" s="731"/>
      <c r="M495" s="730"/>
      <c r="N495" s="730"/>
      <c r="O495" s="732">
        <f t="shared" si="61"/>
        <v>0</v>
      </c>
      <c r="P495" s="731"/>
      <c r="Q495" s="731"/>
      <c r="R495" s="733">
        <f t="shared" si="64"/>
        <v>0</v>
      </c>
      <c r="S495" s="732">
        <f t="shared" si="65"/>
        <v>0</v>
      </c>
      <c r="T495" s="733">
        <f t="shared" si="66"/>
        <v>0</v>
      </c>
      <c r="U495" s="730">
        <v>22500</v>
      </c>
      <c r="V495" s="1150">
        <v>20000</v>
      </c>
      <c r="W495" s="730"/>
      <c r="X495" s="730"/>
      <c r="Y495" s="732">
        <f t="shared" si="62"/>
        <v>0</v>
      </c>
      <c r="Z495" s="731"/>
      <c r="AA495" s="731"/>
      <c r="AB495" s="733">
        <f t="shared" si="63"/>
        <v>0</v>
      </c>
      <c r="AC495" s="730"/>
      <c r="AD495" s="731"/>
      <c r="AE495" s="730"/>
      <c r="AF495" s="730"/>
      <c r="AG495" s="731"/>
      <c r="AH495" s="731"/>
      <c r="AI495" s="732">
        <f t="shared" si="67"/>
        <v>22500</v>
      </c>
      <c r="AJ495" s="733">
        <f t="shared" si="68"/>
        <v>20000</v>
      </c>
    </row>
    <row r="496" spans="1:36">
      <c r="A496" s="894" t="s">
        <v>283</v>
      </c>
      <c r="B496" s="883" t="s">
        <v>176</v>
      </c>
      <c r="C496" s="904" t="s">
        <v>314</v>
      </c>
      <c r="D496" s="903"/>
      <c r="E496" s="899"/>
      <c r="F496" s="900">
        <v>99</v>
      </c>
      <c r="G496" s="730"/>
      <c r="H496" s="731"/>
      <c r="I496" s="730"/>
      <c r="J496" s="731"/>
      <c r="K496" s="730"/>
      <c r="L496" s="731"/>
      <c r="M496" s="730"/>
      <c r="N496" s="730"/>
      <c r="O496" s="732">
        <f t="shared" si="61"/>
        <v>0</v>
      </c>
      <c r="P496" s="731"/>
      <c r="Q496" s="731"/>
      <c r="R496" s="733">
        <f t="shared" si="64"/>
        <v>0</v>
      </c>
      <c r="S496" s="732">
        <f t="shared" si="65"/>
        <v>0</v>
      </c>
      <c r="T496" s="733">
        <f t="shared" si="66"/>
        <v>0</v>
      </c>
      <c r="U496" s="730"/>
      <c r="V496" s="731"/>
      <c r="W496" s="730"/>
      <c r="X496" s="730"/>
      <c r="Y496" s="732">
        <f t="shared" si="62"/>
        <v>0</v>
      </c>
      <c r="Z496" s="731"/>
      <c r="AA496" s="731"/>
      <c r="AB496" s="733">
        <f t="shared" si="63"/>
        <v>0</v>
      </c>
      <c r="AC496" s="730"/>
      <c r="AD496" s="731"/>
      <c r="AE496" s="730"/>
      <c r="AF496" s="730"/>
      <c r="AG496" s="731"/>
      <c r="AH496" s="731"/>
      <c r="AI496" s="732">
        <f t="shared" si="67"/>
        <v>0</v>
      </c>
      <c r="AJ496" s="733">
        <f t="shared" si="68"/>
        <v>0</v>
      </c>
    </row>
    <row r="497" spans="1:36">
      <c r="A497" s="894" t="s">
        <v>283</v>
      </c>
      <c r="B497" s="883" t="s">
        <v>180</v>
      </c>
      <c r="C497" s="904" t="s">
        <v>165</v>
      </c>
      <c r="D497" s="903"/>
      <c r="E497" s="899"/>
      <c r="F497" s="900">
        <v>99</v>
      </c>
      <c r="G497" s="730"/>
      <c r="H497" s="731"/>
      <c r="I497" s="730"/>
      <c r="J497" s="731"/>
      <c r="K497" s="730"/>
      <c r="L497" s="731"/>
      <c r="M497" s="730"/>
      <c r="N497" s="730"/>
      <c r="O497" s="732">
        <f t="shared" si="61"/>
        <v>0</v>
      </c>
      <c r="P497" s="731"/>
      <c r="Q497" s="731"/>
      <c r="R497" s="733">
        <f t="shared" si="64"/>
        <v>0</v>
      </c>
      <c r="S497" s="732">
        <f t="shared" si="65"/>
        <v>0</v>
      </c>
      <c r="T497" s="733">
        <f t="shared" si="66"/>
        <v>0</v>
      </c>
      <c r="U497" s="730"/>
      <c r="V497" s="731"/>
      <c r="W497" s="730"/>
      <c r="X497" s="730"/>
      <c r="Y497" s="732">
        <f t="shared" si="62"/>
        <v>0</v>
      </c>
      <c r="Z497" s="731"/>
      <c r="AA497" s="731"/>
      <c r="AB497" s="733">
        <f t="shared" si="63"/>
        <v>0</v>
      </c>
      <c r="AC497" s="730"/>
      <c r="AD497" s="731"/>
      <c r="AE497" s="730"/>
      <c r="AF497" s="730"/>
      <c r="AG497" s="731"/>
      <c r="AH497" s="731"/>
      <c r="AI497" s="732">
        <f t="shared" si="67"/>
        <v>0</v>
      </c>
      <c r="AJ497" s="733">
        <f t="shared" si="68"/>
        <v>0</v>
      </c>
    </row>
    <row r="498" spans="1:36">
      <c r="A498" s="894" t="s">
        <v>283</v>
      </c>
      <c r="B498" s="883" t="s">
        <v>178</v>
      </c>
      <c r="C498" s="904" t="s">
        <v>167</v>
      </c>
      <c r="D498" s="903"/>
      <c r="E498" s="899"/>
      <c r="F498" s="900">
        <v>99</v>
      </c>
      <c r="G498" s="730"/>
      <c r="H498" s="731"/>
      <c r="I498" s="730"/>
      <c r="J498" s="731"/>
      <c r="K498" s="730"/>
      <c r="L498" s="731"/>
      <c r="M498" s="730"/>
      <c r="N498" s="730"/>
      <c r="O498" s="732">
        <f t="shared" si="61"/>
        <v>0</v>
      </c>
      <c r="P498" s="731"/>
      <c r="Q498" s="731"/>
      <c r="R498" s="733">
        <f t="shared" si="64"/>
        <v>0</v>
      </c>
      <c r="S498" s="732">
        <f t="shared" si="65"/>
        <v>0</v>
      </c>
      <c r="T498" s="733">
        <f t="shared" si="66"/>
        <v>0</v>
      </c>
      <c r="U498" s="730">
        <v>10000</v>
      </c>
      <c r="V498" s="731">
        <v>5000</v>
      </c>
      <c r="W498" s="730"/>
      <c r="X498" s="730"/>
      <c r="Y498" s="732">
        <f t="shared" si="62"/>
        <v>0</v>
      </c>
      <c r="Z498" s="731"/>
      <c r="AA498" s="731"/>
      <c r="AB498" s="733">
        <f t="shared" si="63"/>
        <v>0</v>
      </c>
      <c r="AC498" s="730"/>
      <c r="AD498" s="731"/>
      <c r="AE498" s="730"/>
      <c r="AF498" s="730"/>
      <c r="AG498" s="731"/>
      <c r="AH498" s="731"/>
      <c r="AI498" s="732">
        <f t="shared" si="67"/>
        <v>10000</v>
      </c>
      <c r="AJ498" s="733">
        <f t="shared" si="68"/>
        <v>5000</v>
      </c>
    </row>
    <row r="499" spans="1:36">
      <c r="A499" s="894" t="s">
        <v>283</v>
      </c>
      <c r="B499" s="883" t="s">
        <v>161</v>
      </c>
      <c r="C499" s="909" t="s">
        <v>320</v>
      </c>
      <c r="D499" s="890"/>
      <c r="E499" s="899"/>
      <c r="F499" s="900">
        <v>99</v>
      </c>
      <c r="G499" s="730"/>
      <c r="H499" s="731"/>
      <c r="I499" s="730"/>
      <c r="J499" s="731"/>
      <c r="K499" s="730"/>
      <c r="L499" s="731"/>
      <c r="M499" s="730"/>
      <c r="N499" s="730"/>
      <c r="O499" s="732">
        <f t="shared" si="61"/>
        <v>0</v>
      </c>
      <c r="P499" s="731"/>
      <c r="Q499" s="731"/>
      <c r="R499" s="733">
        <f t="shared" si="64"/>
        <v>0</v>
      </c>
      <c r="S499" s="732">
        <f t="shared" si="65"/>
        <v>0</v>
      </c>
      <c r="T499" s="733">
        <f t="shared" si="66"/>
        <v>0</v>
      </c>
      <c r="U499" s="730"/>
      <c r="V499" s="731"/>
      <c r="W499" s="730"/>
      <c r="X499" s="730"/>
      <c r="Y499" s="732">
        <f t="shared" si="62"/>
        <v>0</v>
      </c>
      <c r="Z499" s="731"/>
      <c r="AA499" s="731"/>
      <c r="AB499" s="733">
        <f t="shared" si="63"/>
        <v>0</v>
      </c>
      <c r="AC499" s="730"/>
      <c r="AD499" s="731"/>
      <c r="AE499" s="730"/>
      <c r="AF499" s="730"/>
      <c r="AG499" s="731"/>
      <c r="AH499" s="731"/>
      <c r="AI499" s="732">
        <f t="shared" si="67"/>
        <v>0</v>
      </c>
      <c r="AJ499" s="733">
        <f t="shared" si="68"/>
        <v>0</v>
      </c>
    </row>
    <row r="500" spans="1:36">
      <c r="A500" s="894" t="s">
        <v>283</v>
      </c>
      <c r="B500" s="883" t="s">
        <v>170</v>
      </c>
      <c r="C500" s="904" t="s">
        <v>313</v>
      </c>
      <c r="D500" s="903"/>
      <c r="E500" s="899"/>
      <c r="F500" s="900">
        <v>99</v>
      </c>
      <c r="G500" s="730"/>
      <c r="H500" s="731"/>
      <c r="I500" s="730"/>
      <c r="J500" s="731"/>
      <c r="K500" s="730"/>
      <c r="L500" s="731"/>
      <c r="M500" s="730"/>
      <c r="N500" s="730"/>
      <c r="O500" s="732">
        <f t="shared" si="61"/>
        <v>0</v>
      </c>
      <c r="P500" s="731"/>
      <c r="Q500" s="731"/>
      <c r="R500" s="733">
        <f t="shared" si="64"/>
        <v>0</v>
      </c>
      <c r="S500" s="732">
        <f t="shared" si="65"/>
        <v>0</v>
      </c>
      <c r="T500" s="733">
        <f t="shared" si="66"/>
        <v>0</v>
      </c>
      <c r="U500" s="730"/>
      <c r="V500" s="731"/>
      <c r="W500" s="730"/>
      <c r="X500" s="730"/>
      <c r="Y500" s="732">
        <f t="shared" si="62"/>
        <v>0</v>
      </c>
      <c r="Z500" s="731"/>
      <c r="AA500" s="731"/>
      <c r="AB500" s="733">
        <f t="shared" si="63"/>
        <v>0</v>
      </c>
      <c r="AC500" s="730"/>
      <c r="AD500" s="731"/>
      <c r="AE500" s="730"/>
      <c r="AF500" s="730"/>
      <c r="AG500" s="731"/>
      <c r="AH500" s="731"/>
      <c r="AI500" s="732">
        <f t="shared" si="67"/>
        <v>0</v>
      </c>
      <c r="AJ500" s="733">
        <f t="shared" si="68"/>
        <v>0</v>
      </c>
    </row>
    <row r="501" spans="1:36">
      <c r="A501" s="894" t="s">
        <v>283</v>
      </c>
      <c r="B501" s="883" t="s">
        <v>172</v>
      </c>
      <c r="C501" s="904" t="s">
        <v>165</v>
      </c>
      <c r="D501" s="903"/>
      <c r="E501" s="899"/>
      <c r="F501" s="900">
        <v>99</v>
      </c>
      <c r="G501" s="730"/>
      <c r="H501" s="731"/>
      <c r="I501" s="730"/>
      <c r="J501" s="731"/>
      <c r="K501" s="730"/>
      <c r="L501" s="731"/>
      <c r="M501" s="730"/>
      <c r="N501" s="730"/>
      <c r="O501" s="732">
        <f t="shared" si="61"/>
        <v>0</v>
      </c>
      <c r="P501" s="731"/>
      <c r="Q501" s="731"/>
      <c r="R501" s="733">
        <f t="shared" si="64"/>
        <v>0</v>
      </c>
      <c r="S501" s="732">
        <f t="shared" si="65"/>
        <v>0</v>
      </c>
      <c r="T501" s="733">
        <f t="shared" si="66"/>
        <v>0</v>
      </c>
      <c r="U501" s="730"/>
      <c r="V501" s="731"/>
      <c r="W501" s="730"/>
      <c r="X501" s="730"/>
      <c r="Y501" s="732">
        <f t="shared" si="62"/>
        <v>0</v>
      </c>
      <c r="Z501" s="731"/>
      <c r="AA501" s="731"/>
      <c r="AB501" s="733">
        <f t="shared" si="63"/>
        <v>0</v>
      </c>
      <c r="AC501" s="730"/>
      <c r="AD501" s="731"/>
      <c r="AE501" s="730"/>
      <c r="AF501" s="730"/>
      <c r="AG501" s="731"/>
      <c r="AH501" s="731"/>
      <c r="AI501" s="732">
        <f t="shared" si="67"/>
        <v>0</v>
      </c>
      <c r="AJ501" s="733">
        <f t="shared" si="68"/>
        <v>0</v>
      </c>
    </row>
    <row r="502" spans="1:36">
      <c r="A502" s="894" t="s">
        <v>283</v>
      </c>
      <c r="B502" s="883" t="s">
        <v>173</v>
      </c>
      <c r="C502" s="904" t="s">
        <v>167</v>
      </c>
      <c r="D502" s="903"/>
      <c r="E502" s="899"/>
      <c r="F502" s="900">
        <v>99</v>
      </c>
      <c r="G502" s="730"/>
      <c r="H502" s="731"/>
      <c r="I502" s="730"/>
      <c r="J502" s="731"/>
      <c r="K502" s="730"/>
      <c r="L502" s="731"/>
      <c r="M502" s="730"/>
      <c r="N502" s="730"/>
      <c r="O502" s="732">
        <f t="shared" si="61"/>
        <v>0</v>
      </c>
      <c r="P502" s="731"/>
      <c r="Q502" s="731"/>
      <c r="R502" s="733">
        <f t="shared" si="64"/>
        <v>0</v>
      </c>
      <c r="S502" s="732">
        <f t="shared" si="65"/>
        <v>0</v>
      </c>
      <c r="T502" s="733">
        <f t="shared" si="66"/>
        <v>0</v>
      </c>
      <c r="U502" s="730">
        <v>87441</v>
      </c>
      <c r="V502" s="731">
        <v>64853</v>
      </c>
      <c r="W502" s="730"/>
      <c r="X502" s="730"/>
      <c r="Y502" s="732">
        <f t="shared" si="62"/>
        <v>0</v>
      </c>
      <c r="Z502" s="731"/>
      <c r="AA502" s="731"/>
      <c r="AB502" s="733">
        <f t="shared" si="63"/>
        <v>0</v>
      </c>
      <c r="AC502" s="730"/>
      <c r="AD502" s="731"/>
      <c r="AE502" s="730"/>
      <c r="AF502" s="730"/>
      <c r="AG502" s="731"/>
      <c r="AH502" s="731"/>
      <c r="AI502" s="732">
        <f t="shared" si="67"/>
        <v>87441</v>
      </c>
      <c r="AJ502" s="733">
        <f t="shared" si="68"/>
        <v>64853</v>
      </c>
    </row>
    <row r="503" spans="1:36">
      <c r="A503" s="894" t="s">
        <v>283</v>
      </c>
      <c r="B503" s="883" t="s">
        <v>176</v>
      </c>
      <c r="C503" s="904" t="s">
        <v>314</v>
      </c>
      <c r="D503" s="903"/>
      <c r="E503" s="899"/>
      <c r="F503" s="900">
        <v>99</v>
      </c>
      <c r="G503" s="730"/>
      <c r="H503" s="731"/>
      <c r="I503" s="730"/>
      <c r="J503" s="731"/>
      <c r="K503" s="730"/>
      <c r="L503" s="731"/>
      <c r="M503" s="730"/>
      <c r="N503" s="730"/>
      <c r="O503" s="732">
        <f t="shared" si="61"/>
        <v>0</v>
      </c>
      <c r="P503" s="731"/>
      <c r="Q503" s="731"/>
      <c r="R503" s="733">
        <f t="shared" si="64"/>
        <v>0</v>
      </c>
      <c r="S503" s="732">
        <f t="shared" si="65"/>
        <v>0</v>
      </c>
      <c r="T503" s="733">
        <f t="shared" si="66"/>
        <v>0</v>
      </c>
      <c r="U503" s="730"/>
      <c r="V503" s="731"/>
      <c r="W503" s="730"/>
      <c r="X503" s="730"/>
      <c r="Y503" s="732">
        <f t="shared" si="62"/>
        <v>0</v>
      </c>
      <c r="Z503" s="731"/>
      <c r="AA503" s="731"/>
      <c r="AB503" s="733">
        <f t="shared" si="63"/>
        <v>0</v>
      </c>
      <c r="AC503" s="730"/>
      <c r="AD503" s="731"/>
      <c r="AE503" s="730"/>
      <c r="AF503" s="730"/>
      <c r="AG503" s="731"/>
      <c r="AH503" s="731"/>
      <c r="AI503" s="732">
        <f t="shared" si="67"/>
        <v>0</v>
      </c>
      <c r="AJ503" s="733">
        <f t="shared" si="68"/>
        <v>0</v>
      </c>
    </row>
    <row r="504" spans="1:36">
      <c r="A504" s="894" t="s">
        <v>283</v>
      </c>
      <c r="B504" s="883" t="s">
        <v>180</v>
      </c>
      <c r="C504" s="904" t="s">
        <v>165</v>
      </c>
      <c r="D504" s="903"/>
      <c r="E504" s="899"/>
      <c r="F504" s="900">
        <v>99</v>
      </c>
      <c r="G504" s="730"/>
      <c r="H504" s="731"/>
      <c r="I504" s="730"/>
      <c r="J504" s="731"/>
      <c r="K504" s="730"/>
      <c r="L504" s="731"/>
      <c r="M504" s="730"/>
      <c r="N504" s="730"/>
      <c r="O504" s="732">
        <f t="shared" si="61"/>
        <v>0</v>
      </c>
      <c r="P504" s="731"/>
      <c r="Q504" s="731"/>
      <c r="R504" s="733">
        <f t="shared" si="64"/>
        <v>0</v>
      </c>
      <c r="S504" s="732">
        <f t="shared" si="65"/>
        <v>0</v>
      </c>
      <c r="T504" s="733">
        <f t="shared" si="66"/>
        <v>0</v>
      </c>
      <c r="U504" s="730"/>
      <c r="V504" s="731"/>
      <c r="W504" s="730"/>
      <c r="X504" s="730"/>
      <c r="Y504" s="732">
        <f t="shared" si="62"/>
        <v>0</v>
      </c>
      <c r="Z504" s="731"/>
      <c r="AA504" s="731"/>
      <c r="AB504" s="733">
        <f t="shared" si="63"/>
        <v>0</v>
      </c>
      <c r="AC504" s="730"/>
      <c r="AD504" s="731"/>
      <c r="AE504" s="730"/>
      <c r="AF504" s="730"/>
      <c r="AG504" s="731"/>
      <c r="AH504" s="731"/>
      <c r="AI504" s="732">
        <f t="shared" si="67"/>
        <v>0</v>
      </c>
      <c r="AJ504" s="733">
        <f t="shared" si="68"/>
        <v>0</v>
      </c>
    </row>
    <row r="505" spans="1:36">
      <c r="A505" s="894" t="s">
        <v>283</v>
      </c>
      <c r="B505" s="883" t="s">
        <v>178</v>
      </c>
      <c r="C505" s="904" t="s">
        <v>167</v>
      </c>
      <c r="D505" s="903"/>
      <c r="E505" s="899"/>
      <c r="F505" s="900">
        <v>99</v>
      </c>
      <c r="G505" s="730"/>
      <c r="H505" s="731"/>
      <c r="I505" s="730"/>
      <c r="J505" s="731"/>
      <c r="K505" s="730"/>
      <c r="L505" s="731"/>
      <c r="M505" s="730"/>
      <c r="N505" s="730"/>
      <c r="O505" s="732">
        <f t="shared" si="61"/>
        <v>0</v>
      </c>
      <c r="P505" s="731"/>
      <c r="Q505" s="731"/>
      <c r="R505" s="733">
        <f t="shared" si="64"/>
        <v>0</v>
      </c>
      <c r="S505" s="732">
        <f t="shared" si="65"/>
        <v>0</v>
      </c>
      <c r="T505" s="733">
        <f t="shared" si="66"/>
        <v>0</v>
      </c>
      <c r="U505" s="730"/>
      <c r="V505" s="731"/>
      <c r="W505" s="730"/>
      <c r="X505" s="730"/>
      <c r="Y505" s="732">
        <f t="shared" si="62"/>
        <v>0</v>
      </c>
      <c r="Z505" s="731"/>
      <c r="AA505" s="731"/>
      <c r="AB505" s="733">
        <f t="shared" si="63"/>
        <v>0</v>
      </c>
      <c r="AC505" s="730"/>
      <c r="AD505" s="731"/>
      <c r="AE505" s="730"/>
      <c r="AF505" s="730"/>
      <c r="AG505" s="731"/>
      <c r="AH505" s="731"/>
      <c r="AI505" s="732">
        <f t="shared" si="67"/>
        <v>0</v>
      </c>
      <c r="AJ505" s="733">
        <f t="shared" si="68"/>
        <v>0</v>
      </c>
    </row>
    <row r="506" spans="1:36">
      <c r="A506" s="894" t="s">
        <v>283</v>
      </c>
      <c r="B506" s="883" t="s">
        <v>161</v>
      </c>
      <c r="C506" s="909" t="s">
        <v>321</v>
      </c>
      <c r="D506" s="890"/>
      <c r="E506" s="899"/>
      <c r="F506" s="900">
        <v>99</v>
      </c>
      <c r="G506" s="730"/>
      <c r="H506" s="731"/>
      <c r="I506" s="730"/>
      <c r="J506" s="731"/>
      <c r="K506" s="730"/>
      <c r="L506" s="731"/>
      <c r="M506" s="730"/>
      <c r="N506" s="730"/>
      <c r="O506" s="732">
        <f t="shared" si="61"/>
        <v>0</v>
      </c>
      <c r="P506" s="731"/>
      <c r="Q506" s="731"/>
      <c r="R506" s="733">
        <f t="shared" si="64"/>
        <v>0</v>
      </c>
      <c r="S506" s="732">
        <f t="shared" si="65"/>
        <v>0</v>
      </c>
      <c r="T506" s="733">
        <f t="shared" si="66"/>
        <v>0</v>
      </c>
      <c r="U506" s="730"/>
      <c r="V506" s="731"/>
      <c r="W506" s="730"/>
      <c r="X506" s="730"/>
      <c r="Y506" s="732">
        <f t="shared" si="62"/>
        <v>0</v>
      </c>
      <c r="Z506" s="731"/>
      <c r="AA506" s="731"/>
      <c r="AB506" s="733">
        <f t="shared" si="63"/>
        <v>0</v>
      </c>
      <c r="AC506" s="730"/>
      <c r="AD506" s="731"/>
      <c r="AE506" s="730"/>
      <c r="AF506" s="730"/>
      <c r="AG506" s="731"/>
      <c r="AH506" s="731"/>
      <c r="AI506" s="732">
        <f t="shared" si="67"/>
        <v>0</v>
      </c>
      <c r="AJ506" s="733">
        <f t="shared" si="68"/>
        <v>0</v>
      </c>
    </row>
    <row r="507" spans="1:36">
      <c r="A507" s="894" t="s">
        <v>283</v>
      </c>
      <c r="B507" s="883" t="s">
        <v>170</v>
      </c>
      <c r="C507" s="904" t="s">
        <v>313</v>
      </c>
      <c r="D507" s="903"/>
      <c r="E507" s="899"/>
      <c r="F507" s="900">
        <v>99</v>
      </c>
      <c r="G507" s="730"/>
      <c r="H507" s="731"/>
      <c r="I507" s="730"/>
      <c r="J507" s="731"/>
      <c r="K507" s="730"/>
      <c r="L507" s="731"/>
      <c r="M507" s="730"/>
      <c r="N507" s="730"/>
      <c r="O507" s="732">
        <f t="shared" si="61"/>
        <v>0</v>
      </c>
      <c r="P507" s="731"/>
      <c r="Q507" s="731"/>
      <c r="R507" s="733">
        <f t="shared" si="64"/>
        <v>0</v>
      </c>
      <c r="S507" s="732">
        <f t="shared" si="65"/>
        <v>0</v>
      </c>
      <c r="T507" s="733">
        <f t="shared" si="66"/>
        <v>0</v>
      </c>
      <c r="U507" s="730"/>
      <c r="V507" s="731"/>
      <c r="W507" s="730"/>
      <c r="X507" s="730"/>
      <c r="Y507" s="732">
        <f t="shared" si="62"/>
        <v>0</v>
      </c>
      <c r="Z507" s="731"/>
      <c r="AA507" s="731"/>
      <c r="AB507" s="733">
        <f t="shared" si="63"/>
        <v>0</v>
      </c>
      <c r="AC507" s="730"/>
      <c r="AD507" s="731"/>
      <c r="AE507" s="730"/>
      <c r="AF507" s="730"/>
      <c r="AG507" s="731"/>
      <c r="AH507" s="731"/>
      <c r="AI507" s="732">
        <f t="shared" si="67"/>
        <v>0</v>
      </c>
      <c r="AJ507" s="733">
        <f t="shared" si="68"/>
        <v>0</v>
      </c>
    </row>
    <row r="508" spans="1:36">
      <c r="A508" s="894" t="s">
        <v>283</v>
      </c>
      <c r="B508" s="883" t="s">
        <v>172</v>
      </c>
      <c r="C508" s="904" t="s">
        <v>165</v>
      </c>
      <c r="D508" s="903"/>
      <c r="E508" s="899"/>
      <c r="F508" s="900">
        <v>99</v>
      </c>
      <c r="G508" s="730"/>
      <c r="H508" s="731"/>
      <c r="I508" s="730"/>
      <c r="J508" s="731"/>
      <c r="K508" s="730"/>
      <c r="L508" s="731"/>
      <c r="M508" s="730"/>
      <c r="N508" s="730"/>
      <c r="O508" s="732">
        <f t="shared" si="61"/>
        <v>0</v>
      </c>
      <c r="P508" s="731"/>
      <c r="Q508" s="731"/>
      <c r="R508" s="733">
        <f t="shared" si="64"/>
        <v>0</v>
      </c>
      <c r="S508" s="732">
        <f t="shared" si="65"/>
        <v>0</v>
      </c>
      <c r="T508" s="733">
        <f t="shared" si="66"/>
        <v>0</v>
      </c>
      <c r="U508" s="730"/>
      <c r="V508" s="731"/>
      <c r="W508" s="730"/>
      <c r="X508" s="730"/>
      <c r="Y508" s="732">
        <f t="shared" si="62"/>
        <v>0</v>
      </c>
      <c r="Z508" s="731"/>
      <c r="AA508" s="731"/>
      <c r="AB508" s="733">
        <f t="shared" si="63"/>
        <v>0</v>
      </c>
      <c r="AC508" s="730"/>
      <c r="AD508" s="731"/>
      <c r="AE508" s="730"/>
      <c r="AF508" s="730"/>
      <c r="AG508" s="731"/>
      <c r="AH508" s="731"/>
      <c r="AI508" s="732">
        <f t="shared" si="67"/>
        <v>0</v>
      </c>
      <c r="AJ508" s="733">
        <f t="shared" si="68"/>
        <v>0</v>
      </c>
    </row>
    <row r="509" spans="1:36">
      <c r="A509" s="894" t="s">
        <v>283</v>
      </c>
      <c r="B509" s="883" t="s">
        <v>173</v>
      </c>
      <c r="C509" s="904" t="s">
        <v>167</v>
      </c>
      <c r="D509" s="903"/>
      <c r="E509" s="899"/>
      <c r="F509" s="900">
        <v>99</v>
      </c>
      <c r="G509" s="730"/>
      <c r="H509" s="731"/>
      <c r="I509" s="730"/>
      <c r="J509" s="731"/>
      <c r="K509" s="730"/>
      <c r="L509" s="731"/>
      <c r="M509" s="730"/>
      <c r="N509" s="730"/>
      <c r="O509" s="732">
        <f t="shared" si="61"/>
        <v>0</v>
      </c>
      <c r="P509" s="731"/>
      <c r="Q509" s="731"/>
      <c r="R509" s="733">
        <f t="shared" si="64"/>
        <v>0</v>
      </c>
      <c r="S509" s="732">
        <f t="shared" si="65"/>
        <v>0</v>
      </c>
      <c r="T509" s="733">
        <f t="shared" si="66"/>
        <v>0</v>
      </c>
      <c r="U509" s="730">
        <v>35000</v>
      </c>
      <c r="V509" s="1150">
        <v>55000</v>
      </c>
      <c r="W509" s="730"/>
      <c r="X509" s="730"/>
      <c r="Y509" s="732">
        <f t="shared" si="62"/>
        <v>0</v>
      </c>
      <c r="Z509" s="731"/>
      <c r="AA509" s="731"/>
      <c r="AB509" s="733">
        <f t="shared" si="63"/>
        <v>0</v>
      </c>
      <c r="AC509" s="730"/>
      <c r="AD509" s="731"/>
      <c r="AE509" s="730"/>
      <c r="AF509" s="730"/>
      <c r="AG509" s="731"/>
      <c r="AH509" s="731"/>
      <c r="AI509" s="732">
        <f t="shared" si="67"/>
        <v>35000</v>
      </c>
      <c r="AJ509" s="733">
        <f t="shared" si="68"/>
        <v>55000</v>
      </c>
    </row>
    <row r="510" spans="1:36">
      <c r="A510" s="894" t="s">
        <v>283</v>
      </c>
      <c r="B510" s="883" t="s">
        <v>176</v>
      </c>
      <c r="C510" s="904" t="s">
        <v>314</v>
      </c>
      <c r="D510" s="903"/>
      <c r="E510" s="899"/>
      <c r="F510" s="900">
        <v>99</v>
      </c>
      <c r="G510" s="730"/>
      <c r="H510" s="731"/>
      <c r="I510" s="730"/>
      <c r="J510" s="731"/>
      <c r="K510" s="730"/>
      <c r="L510" s="731"/>
      <c r="M510" s="730"/>
      <c r="N510" s="730"/>
      <c r="O510" s="732">
        <f t="shared" si="61"/>
        <v>0</v>
      </c>
      <c r="P510" s="731"/>
      <c r="Q510" s="731"/>
      <c r="R510" s="733">
        <f t="shared" si="64"/>
        <v>0</v>
      </c>
      <c r="S510" s="732">
        <f t="shared" si="65"/>
        <v>0</v>
      </c>
      <c r="T510" s="733">
        <f t="shared" si="66"/>
        <v>0</v>
      </c>
      <c r="U510" s="730"/>
      <c r="V510" s="731"/>
      <c r="W510" s="730"/>
      <c r="X510" s="730"/>
      <c r="Y510" s="732">
        <f t="shared" si="62"/>
        <v>0</v>
      </c>
      <c r="Z510" s="731"/>
      <c r="AA510" s="731"/>
      <c r="AB510" s="733">
        <f t="shared" si="63"/>
        <v>0</v>
      </c>
      <c r="AC510" s="730"/>
      <c r="AD510" s="731"/>
      <c r="AE510" s="730"/>
      <c r="AF510" s="730"/>
      <c r="AG510" s="731"/>
      <c r="AH510" s="731"/>
      <c r="AI510" s="732">
        <f t="shared" si="67"/>
        <v>0</v>
      </c>
      <c r="AJ510" s="733">
        <f t="shared" si="68"/>
        <v>0</v>
      </c>
    </row>
    <row r="511" spans="1:36">
      <c r="A511" s="894" t="s">
        <v>283</v>
      </c>
      <c r="B511" s="883" t="s">
        <v>180</v>
      </c>
      <c r="C511" s="904" t="s">
        <v>165</v>
      </c>
      <c r="D511" s="903"/>
      <c r="E511" s="899"/>
      <c r="F511" s="900">
        <v>99</v>
      </c>
      <c r="G511" s="730"/>
      <c r="H511" s="731"/>
      <c r="I511" s="730"/>
      <c r="J511" s="731"/>
      <c r="K511" s="730"/>
      <c r="L511" s="731"/>
      <c r="M511" s="730"/>
      <c r="N511" s="730"/>
      <c r="O511" s="732">
        <f t="shared" si="61"/>
        <v>0</v>
      </c>
      <c r="P511" s="731"/>
      <c r="Q511" s="731"/>
      <c r="R511" s="733">
        <f t="shared" si="64"/>
        <v>0</v>
      </c>
      <c r="S511" s="732">
        <f t="shared" si="65"/>
        <v>0</v>
      </c>
      <c r="T511" s="733">
        <f t="shared" si="66"/>
        <v>0</v>
      </c>
      <c r="U511" s="730"/>
      <c r="V511" s="731"/>
      <c r="W511" s="730"/>
      <c r="X511" s="730"/>
      <c r="Y511" s="732">
        <f t="shared" si="62"/>
        <v>0</v>
      </c>
      <c r="Z511" s="731"/>
      <c r="AA511" s="731"/>
      <c r="AB511" s="733">
        <f t="shared" si="63"/>
        <v>0</v>
      </c>
      <c r="AC511" s="730"/>
      <c r="AD511" s="731"/>
      <c r="AE511" s="730"/>
      <c r="AF511" s="730"/>
      <c r="AG511" s="731"/>
      <c r="AH511" s="731"/>
      <c r="AI511" s="732">
        <f t="shared" si="67"/>
        <v>0</v>
      </c>
      <c r="AJ511" s="733">
        <f t="shared" si="68"/>
        <v>0</v>
      </c>
    </row>
    <row r="512" spans="1:36">
      <c r="A512" s="894" t="s">
        <v>283</v>
      </c>
      <c r="B512" s="883" t="s">
        <v>178</v>
      </c>
      <c r="C512" s="904" t="s">
        <v>167</v>
      </c>
      <c r="D512" s="903"/>
      <c r="E512" s="899"/>
      <c r="F512" s="900">
        <v>99</v>
      </c>
      <c r="G512" s="730"/>
      <c r="H512" s="731"/>
      <c r="I512" s="730"/>
      <c r="J512" s="731"/>
      <c r="K512" s="730"/>
      <c r="L512" s="731"/>
      <c r="M512" s="730"/>
      <c r="N512" s="730"/>
      <c r="O512" s="732">
        <f t="shared" si="61"/>
        <v>0</v>
      </c>
      <c r="P512" s="731"/>
      <c r="Q512" s="731"/>
      <c r="R512" s="733">
        <f t="shared" si="64"/>
        <v>0</v>
      </c>
      <c r="S512" s="732">
        <f t="shared" si="65"/>
        <v>0</v>
      </c>
      <c r="T512" s="733">
        <f t="shared" si="66"/>
        <v>0</v>
      </c>
      <c r="U512" s="730">
        <v>0</v>
      </c>
      <c r="V512" s="731">
        <v>0</v>
      </c>
      <c r="W512" s="730"/>
      <c r="X512" s="730"/>
      <c r="Y512" s="732">
        <f t="shared" si="62"/>
        <v>0</v>
      </c>
      <c r="Z512" s="731"/>
      <c r="AA512" s="731"/>
      <c r="AB512" s="733">
        <f t="shared" si="63"/>
        <v>0</v>
      </c>
      <c r="AC512" s="730"/>
      <c r="AD512" s="731"/>
      <c r="AE512" s="730"/>
      <c r="AF512" s="730"/>
      <c r="AG512" s="731"/>
      <c r="AH512" s="731"/>
      <c r="AI512" s="732">
        <f t="shared" si="67"/>
        <v>0</v>
      </c>
      <c r="AJ512" s="733">
        <f t="shared" si="68"/>
        <v>0</v>
      </c>
    </row>
    <row r="513" spans="1:36">
      <c r="A513" s="894" t="s">
        <v>283</v>
      </c>
      <c r="B513" s="883" t="s">
        <v>161</v>
      </c>
      <c r="C513" s="909" t="s">
        <v>322</v>
      </c>
      <c r="D513" s="890"/>
      <c r="E513" s="899"/>
      <c r="F513" s="900">
        <v>99</v>
      </c>
      <c r="G513" s="730"/>
      <c r="H513" s="731"/>
      <c r="I513" s="730"/>
      <c r="J513" s="731"/>
      <c r="K513" s="730"/>
      <c r="L513" s="731"/>
      <c r="M513" s="730"/>
      <c r="N513" s="730"/>
      <c r="O513" s="732">
        <f t="shared" si="61"/>
        <v>0</v>
      </c>
      <c r="P513" s="731"/>
      <c r="Q513" s="731"/>
      <c r="R513" s="733">
        <f t="shared" si="64"/>
        <v>0</v>
      </c>
      <c r="S513" s="732">
        <f t="shared" si="65"/>
        <v>0</v>
      </c>
      <c r="T513" s="733">
        <f t="shared" si="66"/>
        <v>0</v>
      </c>
      <c r="U513" s="730"/>
      <c r="V513" s="731"/>
      <c r="W513" s="730"/>
      <c r="X513" s="730"/>
      <c r="Y513" s="732">
        <f t="shared" si="62"/>
        <v>0</v>
      </c>
      <c r="Z513" s="731"/>
      <c r="AA513" s="731"/>
      <c r="AB513" s="733">
        <f t="shared" si="63"/>
        <v>0</v>
      </c>
      <c r="AC513" s="730"/>
      <c r="AD513" s="731"/>
      <c r="AE513" s="730"/>
      <c r="AF513" s="730"/>
      <c r="AG513" s="731"/>
      <c r="AH513" s="731"/>
      <c r="AI513" s="732">
        <f t="shared" si="67"/>
        <v>0</v>
      </c>
      <c r="AJ513" s="733">
        <f t="shared" si="68"/>
        <v>0</v>
      </c>
    </row>
    <row r="514" spans="1:36">
      <c r="A514" s="894" t="s">
        <v>283</v>
      </c>
      <c r="B514" s="883" t="s">
        <v>170</v>
      </c>
      <c r="C514" s="904" t="s">
        <v>313</v>
      </c>
      <c r="D514" s="903"/>
      <c r="E514" s="899"/>
      <c r="F514" s="900">
        <v>99</v>
      </c>
      <c r="G514" s="730"/>
      <c r="H514" s="731"/>
      <c r="I514" s="730"/>
      <c r="J514" s="731"/>
      <c r="K514" s="730"/>
      <c r="L514" s="731"/>
      <c r="M514" s="730"/>
      <c r="N514" s="730"/>
      <c r="O514" s="732">
        <f t="shared" si="61"/>
        <v>0</v>
      </c>
      <c r="P514" s="731"/>
      <c r="Q514" s="731"/>
      <c r="R514" s="733">
        <f t="shared" si="64"/>
        <v>0</v>
      </c>
      <c r="S514" s="732">
        <f t="shared" si="65"/>
        <v>0</v>
      </c>
      <c r="T514" s="733">
        <f t="shared" si="66"/>
        <v>0</v>
      </c>
      <c r="U514" s="730"/>
      <c r="V514" s="731"/>
      <c r="W514" s="730"/>
      <c r="X514" s="730"/>
      <c r="Y514" s="732">
        <f t="shared" si="62"/>
        <v>0</v>
      </c>
      <c r="Z514" s="731"/>
      <c r="AA514" s="731"/>
      <c r="AB514" s="733">
        <f t="shared" si="63"/>
        <v>0</v>
      </c>
      <c r="AC514" s="730"/>
      <c r="AD514" s="731"/>
      <c r="AE514" s="730"/>
      <c r="AF514" s="730"/>
      <c r="AG514" s="731"/>
      <c r="AH514" s="731"/>
      <c r="AI514" s="732">
        <f t="shared" si="67"/>
        <v>0</v>
      </c>
      <c r="AJ514" s="733">
        <f t="shared" si="68"/>
        <v>0</v>
      </c>
    </row>
    <row r="515" spans="1:36">
      <c r="A515" s="894" t="s">
        <v>283</v>
      </c>
      <c r="B515" s="883" t="s">
        <v>172</v>
      </c>
      <c r="C515" s="904" t="s">
        <v>165</v>
      </c>
      <c r="D515" s="903"/>
      <c r="E515" s="899"/>
      <c r="F515" s="900">
        <v>99</v>
      </c>
      <c r="G515" s="730"/>
      <c r="H515" s="731"/>
      <c r="I515" s="730"/>
      <c r="J515" s="731"/>
      <c r="K515" s="730"/>
      <c r="L515" s="731"/>
      <c r="M515" s="730"/>
      <c r="N515" s="730"/>
      <c r="O515" s="732">
        <f t="shared" si="61"/>
        <v>0</v>
      </c>
      <c r="P515" s="731"/>
      <c r="Q515" s="731"/>
      <c r="R515" s="733">
        <f t="shared" si="64"/>
        <v>0</v>
      </c>
      <c r="S515" s="732">
        <f t="shared" si="65"/>
        <v>0</v>
      </c>
      <c r="T515" s="733">
        <f t="shared" si="66"/>
        <v>0</v>
      </c>
      <c r="U515" s="730"/>
      <c r="V515" s="731"/>
      <c r="W515" s="730"/>
      <c r="X515" s="730"/>
      <c r="Y515" s="732">
        <f t="shared" si="62"/>
        <v>0</v>
      </c>
      <c r="Z515" s="731"/>
      <c r="AA515" s="731"/>
      <c r="AB515" s="733">
        <f t="shared" si="63"/>
        <v>0</v>
      </c>
      <c r="AC515" s="730"/>
      <c r="AD515" s="731"/>
      <c r="AE515" s="730"/>
      <c r="AF515" s="730"/>
      <c r="AG515" s="731"/>
      <c r="AH515" s="731"/>
      <c r="AI515" s="732">
        <f t="shared" si="67"/>
        <v>0</v>
      </c>
      <c r="AJ515" s="733">
        <f t="shared" si="68"/>
        <v>0</v>
      </c>
    </row>
    <row r="516" spans="1:36">
      <c r="A516" s="894" t="s">
        <v>283</v>
      </c>
      <c r="B516" s="883" t="s">
        <v>173</v>
      </c>
      <c r="C516" s="904" t="s">
        <v>167</v>
      </c>
      <c r="D516" s="903"/>
      <c r="E516" s="899"/>
      <c r="F516" s="900">
        <v>99</v>
      </c>
      <c r="G516" s="730"/>
      <c r="H516" s="731"/>
      <c r="I516" s="730"/>
      <c r="J516" s="731"/>
      <c r="K516" s="730"/>
      <c r="L516" s="731"/>
      <c r="M516" s="730"/>
      <c r="N516" s="730"/>
      <c r="O516" s="732">
        <f t="shared" si="61"/>
        <v>0</v>
      </c>
      <c r="P516" s="731"/>
      <c r="Q516" s="731"/>
      <c r="R516" s="733">
        <f t="shared" si="64"/>
        <v>0</v>
      </c>
      <c r="S516" s="732">
        <f t="shared" si="65"/>
        <v>0</v>
      </c>
      <c r="T516" s="733">
        <f t="shared" si="66"/>
        <v>0</v>
      </c>
      <c r="U516" s="730">
        <v>46826</v>
      </c>
      <c r="V516" s="731">
        <v>36942</v>
      </c>
      <c r="W516" s="730"/>
      <c r="X516" s="730"/>
      <c r="Y516" s="732">
        <f t="shared" si="62"/>
        <v>0</v>
      </c>
      <c r="Z516" s="731"/>
      <c r="AA516" s="731"/>
      <c r="AB516" s="733">
        <f t="shared" si="63"/>
        <v>0</v>
      </c>
      <c r="AC516" s="730"/>
      <c r="AD516" s="731"/>
      <c r="AE516" s="730"/>
      <c r="AF516" s="730"/>
      <c r="AG516" s="731"/>
      <c r="AH516" s="731"/>
      <c r="AI516" s="732">
        <f t="shared" si="67"/>
        <v>46826</v>
      </c>
      <c r="AJ516" s="733">
        <f t="shared" si="68"/>
        <v>36942</v>
      </c>
    </row>
    <row r="517" spans="1:36">
      <c r="A517" s="894" t="s">
        <v>283</v>
      </c>
      <c r="B517" s="883" t="s">
        <v>176</v>
      </c>
      <c r="C517" s="904" t="s">
        <v>314</v>
      </c>
      <c r="D517" s="903"/>
      <c r="E517" s="899"/>
      <c r="F517" s="900">
        <v>99</v>
      </c>
      <c r="G517" s="730"/>
      <c r="H517" s="731"/>
      <c r="I517" s="730"/>
      <c r="J517" s="731"/>
      <c r="K517" s="730"/>
      <c r="L517" s="731"/>
      <c r="M517" s="730"/>
      <c r="N517" s="730"/>
      <c r="O517" s="732">
        <f t="shared" si="61"/>
        <v>0</v>
      </c>
      <c r="P517" s="731"/>
      <c r="Q517" s="731"/>
      <c r="R517" s="733">
        <f t="shared" si="64"/>
        <v>0</v>
      </c>
      <c r="S517" s="732">
        <f t="shared" si="65"/>
        <v>0</v>
      </c>
      <c r="T517" s="733">
        <f t="shared" si="66"/>
        <v>0</v>
      </c>
      <c r="U517" s="730"/>
      <c r="V517" s="731"/>
      <c r="W517" s="730"/>
      <c r="X517" s="730"/>
      <c r="Y517" s="732">
        <f t="shared" si="62"/>
        <v>0</v>
      </c>
      <c r="Z517" s="731"/>
      <c r="AA517" s="731"/>
      <c r="AB517" s="733">
        <f t="shared" si="63"/>
        <v>0</v>
      </c>
      <c r="AC517" s="730"/>
      <c r="AD517" s="731"/>
      <c r="AE517" s="730"/>
      <c r="AF517" s="730"/>
      <c r="AG517" s="731"/>
      <c r="AH517" s="731"/>
      <c r="AI517" s="732">
        <f t="shared" si="67"/>
        <v>0</v>
      </c>
      <c r="AJ517" s="733">
        <f t="shared" si="68"/>
        <v>0</v>
      </c>
    </row>
    <row r="518" spans="1:36">
      <c r="A518" s="894" t="s">
        <v>283</v>
      </c>
      <c r="B518" s="883" t="s">
        <v>180</v>
      </c>
      <c r="C518" s="904" t="s">
        <v>165</v>
      </c>
      <c r="D518" s="903"/>
      <c r="E518" s="899"/>
      <c r="F518" s="900">
        <v>99</v>
      </c>
      <c r="G518" s="730"/>
      <c r="H518" s="731"/>
      <c r="I518" s="730"/>
      <c r="J518" s="731"/>
      <c r="K518" s="730"/>
      <c r="L518" s="731"/>
      <c r="M518" s="730"/>
      <c r="N518" s="730"/>
      <c r="O518" s="732">
        <f t="shared" si="61"/>
        <v>0</v>
      </c>
      <c r="P518" s="731"/>
      <c r="Q518" s="731"/>
      <c r="R518" s="733">
        <f t="shared" si="64"/>
        <v>0</v>
      </c>
      <c r="S518" s="732">
        <f t="shared" si="65"/>
        <v>0</v>
      </c>
      <c r="T518" s="733">
        <f t="shared" si="66"/>
        <v>0</v>
      </c>
      <c r="U518" s="730"/>
      <c r="V518" s="731"/>
      <c r="W518" s="730"/>
      <c r="X518" s="730"/>
      <c r="Y518" s="732">
        <f t="shared" si="62"/>
        <v>0</v>
      </c>
      <c r="Z518" s="731"/>
      <c r="AA518" s="731"/>
      <c r="AB518" s="733">
        <f t="shared" si="63"/>
        <v>0</v>
      </c>
      <c r="AC518" s="730"/>
      <c r="AD518" s="731"/>
      <c r="AE518" s="730"/>
      <c r="AF518" s="730"/>
      <c r="AG518" s="731"/>
      <c r="AH518" s="731"/>
      <c r="AI518" s="732">
        <f t="shared" si="67"/>
        <v>0</v>
      </c>
      <c r="AJ518" s="733">
        <f t="shared" si="68"/>
        <v>0</v>
      </c>
    </row>
    <row r="519" spans="1:36">
      <c r="A519" s="894" t="s">
        <v>283</v>
      </c>
      <c r="B519" s="883" t="s">
        <v>178</v>
      </c>
      <c r="C519" s="904" t="s">
        <v>167</v>
      </c>
      <c r="D519" s="903"/>
      <c r="E519" s="899"/>
      <c r="F519" s="900">
        <v>99</v>
      </c>
      <c r="G519" s="730"/>
      <c r="H519" s="731"/>
      <c r="I519" s="730"/>
      <c r="J519" s="731"/>
      <c r="K519" s="730"/>
      <c r="L519" s="731"/>
      <c r="M519" s="730"/>
      <c r="N519" s="730"/>
      <c r="O519" s="732">
        <f t="shared" si="61"/>
        <v>0</v>
      </c>
      <c r="P519" s="731"/>
      <c r="Q519" s="731"/>
      <c r="R519" s="733">
        <f t="shared" si="64"/>
        <v>0</v>
      </c>
      <c r="S519" s="732">
        <f t="shared" si="65"/>
        <v>0</v>
      </c>
      <c r="T519" s="733">
        <f t="shared" si="66"/>
        <v>0</v>
      </c>
      <c r="U519" s="730"/>
      <c r="V519" s="731"/>
      <c r="W519" s="730"/>
      <c r="X519" s="730"/>
      <c r="Y519" s="732">
        <f t="shared" si="62"/>
        <v>0</v>
      </c>
      <c r="Z519" s="731"/>
      <c r="AA519" s="731"/>
      <c r="AB519" s="733">
        <f t="shared" si="63"/>
        <v>0</v>
      </c>
      <c r="AC519" s="730"/>
      <c r="AD519" s="731"/>
      <c r="AE519" s="730"/>
      <c r="AF519" s="730"/>
      <c r="AG519" s="731"/>
      <c r="AH519" s="731"/>
      <c r="AI519" s="732">
        <f t="shared" si="67"/>
        <v>0</v>
      </c>
      <c r="AJ519" s="733">
        <f t="shared" si="68"/>
        <v>0</v>
      </c>
    </row>
    <row r="520" spans="1:36">
      <c r="A520" s="894" t="s">
        <v>283</v>
      </c>
      <c r="B520" s="883" t="s">
        <v>161</v>
      </c>
      <c r="C520" s="909" t="s">
        <v>323</v>
      </c>
      <c r="D520" s="884"/>
      <c r="E520" s="899"/>
      <c r="F520" s="900">
        <v>99</v>
      </c>
      <c r="G520" s="730"/>
      <c r="H520" s="731"/>
      <c r="I520" s="730"/>
      <c r="J520" s="731"/>
      <c r="K520" s="730"/>
      <c r="L520" s="731"/>
      <c r="M520" s="730"/>
      <c r="N520" s="730"/>
      <c r="O520" s="732">
        <f t="shared" si="61"/>
        <v>0</v>
      </c>
      <c r="P520" s="731"/>
      <c r="Q520" s="731"/>
      <c r="R520" s="733">
        <f t="shared" si="64"/>
        <v>0</v>
      </c>
      <c r="S520" s="732">
        <f t="shared" si="65"/>
        <v>0</v>
      </c>
      <c r="T520" s="733">
        <f t="shared" si="66"/>
        <v>0</v>
      </c>
      <c r="U520" s="730"/>
      <c r="V520" s="731"/>
      <c r="W520" s="730"/>
      <c r="X520" s="730"/>
      <c r="Y520" s="732">
        <f t="shared" si="62"/>
        <v>0</v>
      </c>
      <c r="Z520" s="731"/>
      <c r="AA520" s="731"/>
      <c r="AB520" s="733">
        <f t="shared" si="63"/>
        <v>0</v>
      </c>
      <c r="AC520" s="730"/>
      <c r="AD520" s="731"/>
      <c r="AE520" s="730"/>
      <c r="AF520" s="730"/>
      <c r="AG520" s="731"/>
      <c r="AH520" s="731"/>
      <c r="AI520" s="732">
        <f t="shared" si="67"/>
        <v>0</v>
      </c>
      <c r="AJ520" s="733">
        <f t="shared" si="68"/>
        <v>0</v>
      </c>
    </row>
    <row r="521" spans="1:36" ht="12.5">
      <c r="A521" s="894" t="s">
        <v>283</v>
      </c>
      <c r="B521" s="883" t="s">
        <v>170</v>
      </c>
      <c r="C521" s="904" t="s">
        <v>313</v>
      </c>
      <c r="D521" s="884"/>
      <c r="E521" s="899"/>
      <c r="F521" s="900">
        <v>99</v>
      </c>
      <c r="G521" s="730"/>
      <c r="H521" s="731"/>
      <c r="I521" s="730"/>
      <c r="J521" s="731"/>
      <c r="K521" s="730"/>
      <c r="L521" s="731"/>
      <c r="M521" s="730"/>
      <c r="N521" s="730"/>
      <c r="O521" s="732">
        <f t="shared" si="61"/>
        <v>0</v>
      </c>
      <c r="P521" s="731"/>
      <c r="Q521" s="731"/>
      <c r="R521" s="733">
        <f t="shared" si="64"/>
        <v>0</v>
      </c>
      <c r="S521" s="732">
        <f t="shared" si="65"/>
        <v>0</v>
      </c>
      <c r="T521" s="733">
        <f t="shared" si="66"/>
        <v>0</v>
      </c>
      <c r="U521" s="730"/>
      <c r="V521" s="731"/>
      <c r="W521" s="730"/>
      <c r="X521" s="730"/>
      <c r="Y521" s="732">
        <f t="shared" si="62"/>
        <v>0</v>
      </c>
      <c r="Z521" s="731"/>
      <c r="AA521" s="731"/>
      <c r="AB521" s="733">
        <f t="shared" si="63"/>
        <v>0</v>
      </c>
      <c r="AC521" s="730"/>
      <c r="AD521" s="731"/>
      <c r="AE521" s="730"/>
      <c r="AF521" s="730"/>
      <c r="AG521" s="731"/>
      <c r="AH521" s="731"/>
      <c r="AI521" s="732">
        <f t="shared" si="67"/>
        <v>0</v>
      </c>
      <c r="AJ521" s="733">
        <f t="shared" si="68"/>
        <v>0</v>
      </c>
    </row>
    <row r="522" spans="1:36" ht="12.5">
      <c r="A522" s="894" t="s">
        <v>283</v>
      </c>
      <c r="B522" s="883" t="s">
        <v>172</v>
      </c>
      <c r="C522" s="904" t="s">
        <v>165</v>
      </c>
      <c r="D522" s="884"/>
      <c r="E522" s="899"/>
      <c r="F522" s="900">
        <v>99</v>
      </c>
      <c r="G522" s="730"/>
      <c r="H522" s="731"/>
      <c r="I522" s="730"/>
      <c r="J522" s="731"/>
      <c r="K522" s="730"/>
      <c r="L522" s="731"/>
      <c r="M522" s="730"/>
      <c r="N522" s="730"/>
      <c r="O522" s="732">
        <f t="shared" ref="O522:O585" si="69">SUM(M522:N522)</f>
        <v>0</v>
      </c>
      <c r="P522" s="731"/>
      <c r="Q522" s="731"/>
      <c r="R522" s="733">
        <f t="shared" si="64"/>
        <v>0</v>
      </c>
      <c r="S522" s="732">
        <f t="shared" si="65"/>
        <v>0</v>
      </c>
      <c r="T522" s="733">
        <f t="shared" si="66"/>
        <v>0</v>
      </c>
      <c r="U522" s="730"/>
      <c r="V522" s="731"/>
      <c r="W522" s="730"/>
      <c r="X522" s="730"/>
      <c r="Y522" s="732">
        <f t="shared" ref="Y522:Y585" si="70">SUM(W522:X522)</f>
        <v>0</v>
      </c>
      <c r="Z522" s="731"/>
      <c r="AA522" s="731"/>
      <c r="AB522" s="733">
        <f t="shared" ref="AB522:AB585" si="71">SUM(Z522:AA522)</f>
        <v>0</v>
      </c>
      <c r="AC522" s="730"/>
      <c r="AD522" s="731"/>
      <c r="AE522" s="730"/>
      <c r="AF522" s="730"/>
      <c r="AG522" s="731"/>
      <c r="AH522" s="731"/>
      <c r="AI522" s="732">
        <f t="shared" si="67"/>
        <v>0</v>
      </c>
      <c r="AJ522" s="733">
        <f t="shared" si="68"/>
        <v>0</v>
      </c>
    </row>
    <row r="523" spans="1:36" ht="12.5">
      <c r="A523" s="894" t="s">
        <v>283</v>
      </c>
      <c r="B523" s="883" t="s">
        <v>173</v>
      </c>
      <c r="C523" s="904" t="s">
        <v>167</v>
      </c>
      <c r="D523" s="884"/>
      <c r="E523" s="899"/>
      <c r="F523" s="900">
        <v>99</v>
      </c>
      <c r="G523" s="730"/>
      <c r="H523" s="731"/>
      <c r="I523" s="730"/>
      <c r="J523" s="731"/>
      <c r="K523" s="730"/>
      <c r="L523" s="731"/>
      <c r="M523" s="730"/>
      <c r="N523" s="730"/>
      <c r="O523" s="732">
        <f t="shared" si="69"/>
        <v>0</v>
      </c>
      <c r="P523" s="731"/>
      <c r="Q523" s="731"/>
      <c r="R523" s="733">
        <f t="shared" ref="R523:R586" si="72">SUM(P523:Q523)</f>
        <v>0</v>
      </c>
      <c r="S523" s="732">
        <f t="shared" ref="S523:S586" si="73">SUM(G523,I523,K523,M523)</f>
        <v>0</v>
      </c>
      <c r="T523" s="733">
        <f t="shared" ref="T523:T586" si="74">SUM(H523,J523,L523,P523)</f>
        <v>0</v>
      </c>
      <c r="U523" s="730">
        <v>122227</v>
      </c>
      <c r="V523" s="731">
        <v>113242</v>
      </c>
      <c r="W523" s="730"/>
      <c r="X523" s="730"/>
      <c r="Y523" s="732">
        <f t="shared" si="70"/>
        <v>0</v>
      </c>
      <c r="Z523" s="731"/>
      <c r="AA523" s="731"/>
      <c r="AB523" s="733">
        <f t="shared" si="71"/>
        <v>0</v>
      </c>
      <c r="AC523" s="730"/>
      <c r="AD523" s="731"/>
      <c r="AE523" s="730"/>
      <c r="AF523" s="730"/>
      <c r="AG523" s="731"/>
      <c r="AH523" s="731"/>
      <c r="AI523" s="732">
        <f t="shared" ref="AI523:AI586" si="75">SUM(S523,U523,W523,AC523,AE523)</f>
        <v>122227</v>
      </c>
      <c r="AJ523" s="733">
        <f t="shared" ref="AJ523:AJ586" si="76">SUM(T523,V523,Z523,AD523,AG523)</f>
        <v>113242</v>
      </c>
    </row>
    <row r="524" spans="1:36" ht="12.5">
      <c r="A524" s="894" t="s">
        <v>283</v>
      </c>
      <c r="B524" s="883" t="s">
        <v>176</v>
      </c>
      <c r="C524" s="904" t="s">
        <v>314</v>
      </c>
      <c r="D524" s="884"/>
      <c r="E524" s="899"/>
      <c r="F524" s="900">
        <v>99</v>
      </c>
      <c r="G524" s="730"/>
      <c r="H524" s="731"/>
      <c r="I524" s="730"/>
      <c r="J524" s="731"/>
      <c r="K524" s="730"/>
      <c r="L524" s="731"/>
      <c r="M524" s="730"/>
      <c r="N524" s="730"/>
      <c r="O524" s="732">
        <f t="shared" si="69"/>
        <v>0</v>
      </c>
      <c r="P524" s="731"/>
      <c r="Q524" s="731"/>
      <c r="R524" s="733">
        <f t="shared" si="72"/>
        <v>0</v>
      </c>
      <c r="S524" s="732">
        <f t="shared" si="73"/>
        <v>0</v>
      </c>
      <c r="T524" s="733">
        <f t="shared" si="74"/>
        <v>0</v>
      </c>
      <c r="U524" s="730"/>
      <c r="V524" s="731"/>
      <c r="W524" s="730"/>
      <c r="X524" s="730"/>
      <c r="Y524" s="732">
        <f t="shared" si="70"/>
        <v>0</v>
      </c>
      <c r="Z524" s="731"/>
      <c r="AA524" s="731"/>
      <c r="AB524" s="733">
        <f t="shared" si="71"/>
        <v>0</v>
      </c>
      <c r="AC524" s="730"/>
      <c r="AD524" s="731"/>
      <c r="AE524" s="730"/>
      <c r="AF524" s="730"/>
      <c r="AG524" s="731"/>
      <c r="AH524" s="731"/>
      <c r="AI524" s="732">
        <f t="shared" si="75"/>
        <v>0</v>
      </c>
      <c r="AJ524" s="733">
        <f t="shared" si="76"/>
        <v>0</v>
      </c>
    </row>
    <row r="525" spans="1:36" ht="12.5">
      <c r="A525" s="894" t="s">
        <v>283</v>
      </c>
      <c r="B525" s="883" t="s">
        <v>180</v>
      </c>
      <c r="C525" s="904" t="s">
        <v>165</v>
      </c>
      <c r="D525" s="884"/>
      <c r="E525" s="899"/>
      <c r="F525" s="900">
        <v>99</v>
      </c>
      <c r="G525" s="730"/>
      <c r="H525" s="731"/>
      <c r="I525" s="730"/>
      <c r="J525" s="731"/>
      <c r="K525" s="730"/>
      <c r="L525" s="731"/>
      <c r="M525" s="730"/>
      <c r="N525" s="730"/>
      <c r="O525" s="732">
        <f t="shared" si="69"/>
        <v>0</v>
      </c>
      <c r="P525" s="731"/>
      <c r="Q525" s="731"/>
      <c r="R525" s="733">
        <f t="shared" si="72"/>
        <v>0</v>
      </c>
      <c r="S525" s="732">
        <f t="shared" si="73"/>
        <v>0</v>
      </c>
      <c r="T525" s="733">
        <f t="shared" si="74"/>
        <v>0</v>
      </c>
      <c r="U525" s="730"/>
      <c r="V525" s="731"/>
      <c r="W525" s="730"/>
      <c r="X525" s="730"/>
      <c r="Y525" s="732">
        <f t="shared" si="70"/>
        <v>0</v>
      </c>
      <c r="Z525" s="731"/>
      <c r="AA525" s="731"/>
      <c r="AB525" s="733">
        <f t="shared" si="71"/>
        <v>0</v>
      </c>
      <c r="AC525" s="730"/>
      <c r="AD525" s="731"/>
      <c r="AE525" s="730"/>
      <c r="AF525" s="730"/>
      <c r="AG525" s="731"/>
      <c r="AH525" s="731"/>
      <c r="AI525" s="732">
        <f t="shared" si="75"/>
        <v>0</v>
      </c>
      <c r="AJ525" s="733">
        <f t="shared" si="76"/>
        <v>0</v>
      </c>
    </row>
    <row r="526" spans="1:36" ht="12.5">
      <c r="A526" s="894" t="s">
        <v>283</v>
      </c>
      <c r="B526" s="883" t="s">
        <v>178</v>
      </c>
      <c r="C526" s="904" t="s">
        <v>167</v>
      </c>
      <c r="D526" s="884"/>
      <c r="E526" s="899"/>
      <c r="F526" s="900">
        <v>99</v>
      </c>
      <c r="G526" s="730"/>
      <c r="H526" s="731"/>
      <c r="I526" s="730"/>
      <c r="J526" s="731"/>
      <c r="K526" s="730"/>
      <c r="L526" s="731"/>
      <c r="M526" s="730"/>
      <c r="N526" s="730"/>
      <c r="O526" s="732">
        <f t="shared" si="69"/>
        <v>0</v>
      </c>
      <c r="P526" s="731"/>
      <c r="Q526" s="731"/>
      <c r="R526" s="733">
        <f t="shared" si="72"/>
        <v>0</v>
      </c>
      <c r="S526" s="732">
        <f t="shared" si="73"/>
        <v>0</v>
      </c>
      <c r="T526" s="733">
        <f t="shared" si="74"/>
        <v>0</v>
      </c>
      <c r="U526" s="730"/>
      <c r="V526" s="731"/>
      <c r="W526" s="730"/>
      <c r="X526" s="730"/>
      <c r="Y526" s="732">
        <f t="shared" si="70"/>
        <v>0</v>
      </c>
      <c r="Z526" s="731"/>
      <c r="AA526" s="731"/>
      <c r="AB526" s="733">
        <f t="shared" si="71"/>
        <v>0</v>
      </c>
      <c r="AC526" s="730"/>
      <c r="AD526" s="731"/>
      <c r="AE526" s="730"/>
      <c r="AF526" s="730"/>
      <c r="AG526" s="731"/>
      <c r="AH526" s="731"/>
      <c r="AI526" s="732">
        <f t="shared" si="75"/>
        <v>0</v>
      </c>
      <c r="AJ526" s="733">
        <f t="shared" si="76"/>
        <v>0</v>
      </c>
    </row>
    <row r="527" spans="1:36">
      <c r="A527" s="894" t="s">
        <v>283</v>
      </c>
      <c r="B527" s="883" t="s">
        <v>161</v>
      </c>
      <c r="C527" s="909" t="s">
        <v>324</v>
      </c>
      <c r="D527" s="884"/>
      <c r="E527" s="899"/>
      <c r="F527" s="900">
        <v>99</v>
      </c>
      <c r="G527" s="730"/>
      <c r="H527" s="731"/>
      <c r="I527" s="730"/>
      <c r="J527" s="731"/>
      <c r="K527" s="730"/>
      <c r="L527" s="731"/>
      <c r="M527" s="730"/>
      <c r="N527" s="730"/>
      <c r="O527" s="732">
        <f t="shared" si="69"/>
        <v>0</v>
      </c>
      <c r="P527" s="731"/>
      <c r="Q527" s="731"/>
      <c r="R527" s="733">
        <f t="shared" si="72"/>
        <v>0</v>
      </c>
      <c r="S527" s="732">
        <f t="shared" si="73"/>
        <v>0</v>
      </c>
      <c r="T527" s="733">
        <f t="shared" si="74"/>
        <v>0</v>
      </c>
      <c r="U527" s="730"/>
      <c r="V527" s="731"/>
      <c r="W527" s="730"/>
      <c r="X527" s="730"/>
      <c r="Y527" s="732">
        <f t="shared" si="70"/>
        <v>0</v>
      </c>
      <c r="Z527" s="731"/>
      <c r="AA527" s="731"/>
      <c r="AB527" s="733">
        <f t="shared" si="71"/>
        <v>0</v>
      </c>
      <c r="AC527" s="730"/>
      <c r="AD527" s="731"/>
      <c r="AE527" s="730"/>
      <c r="AF527" s="730"/>
      <c r="AG527" s="731"/>
      <c r="AH527" s="731"/>
      <c r="AI527" s="732">
        <f t="shared" si="75"/>
        <v>0</v>
      </c>
      <c r="AJ527" s="733">
        <f t="shared" si="76"/>
        <v>0</v>
      </c>
    </row>
    <row r="528" spans="1:36" ht="12.5">
      <c r="A528" s="894" t="s">
        <v>283</v>
      </c>
      <c r="B528" s="883" t="s">
        <v>170</v>
      </c>
      <c r="C528" s="904" t="s">
        <v>313</v>
      </c>
      <c r="D528" s="884"/>
      <c r="E528" s="899"/>
      <c r="F528" s="900">
        <v>99</v>
      </c>
      <c r="G528" s="730"/>
      <c r="H528" s="731"/>
      <c r="I528" s="730"/>
      <c r="J528" s="731"/>
      <c r="K528" s="730"/>
      <c r="L528" s="731"/>
      <c r="M528" s="730"/>
      <c r="N528" s="730"/>
      <c r="O528" s="732">
        <f t="shared" si="69"/>
        <v>0</v>
      </c>
      <c r="P528" s="731"/>
      <c r="Q528" s="731"/>
      <c r="R528" s="733">
        <f t="shared" si="72"/>
        <v>0</v>
      </c>
      <c r="S528" s="732">
        <f t="shared" si="73"/>
        <v>0</v>
      </c>
      <c r="T528" s="733">
        <f t="shared" si="74"/>
        <v>0</v>
      </c>
      <c r="U528" s="730"/>
      <c r="V528" s="731"/>
      <c r="W528" s="730"/>
      <c r="X528" s="730"/>
      <c r="Y528" s="732">
        <f t="shared" si="70"/>
        <v>0</v>
      </c>
      <c r="Z528" s="731"/>
      <c r="AA528" s="731"/>
      <c r="AB528" s="733">
        <f t="shared" si="71"/>
        <v>0</v>
      </c>
      <c r="AC528" s="730"/>
      <c r="AD528" s="731"/>
      <c r="AE528" s="730"/>
      <c r="AF528" s="730"/>
      <c r="AG528" s="731"/>
      <c r="AH528" s="731"/>
      <c r="AI528" s="732">
        <f t="shared" si="75"/>
        <v>0</v>
      </c>
      <c r="AJ528" s="733">
        <f t="shared" si="76"/>
        <v>0</v>
      </c>
    </row>
    <row r="529" spans="1:36" ht="12.5">
      <c r="A529" s="894" t="s">
        <v>283</v>
      </c>
      <c r="B529" s="883" t="s">
        <v>172</v>
      </c>
      <c r="C529" s="904" t="s">
        <v>165</v>
      </c>
      <c r="D529" s="884"/>
      <c r="E529" s="899"/>
      <c r="F529" s="900">
        <v>99</v>
      </c>
      <c r="G529" s="730"/>
      <c r="H529" s="731"/>
      <c r="I529" s="730"/>
      <c r="J529" s="731"/>
      <c r="K529" s="730"/>
      <c r="L529" s="731"/>
      <c r="M529" s="730"/>
      <c r="N529" s="730"/>
      <c r="O529" s="732">
        <f t="shared" si="69"/>
        <v>0</v>
      </c>
      <c r="P529" s="731"/>
      <c r="Q529" s="731"/>
      <c r="R529" s="733">
        <f t="shared" si="72"/>
        <v>0</v>
      </c>
      <c r="S529" s="732">
        <f t="shared" si="73"/>
        <v>0</v>
      </c>
      <c r="T529" s="733">
        <f t="shared" si="74"/>
        <v>0</v>
      </c>
      <c r="U529" s="730"/>
      <c r="V529" s="731"/>
      <c r="W529" s="730"/>
      <c r="X529" s="730"/>
      <c r="Y529" s="732">
        <f t="shared" si="70"/>
        <v>0</v>
      </c>
      <c r="Z529" s="731"/>
      <c r="AA529" s="731"/>
      <c r="AB529" s="733">
        <f t="shared" si="71"/>
        <v>0</v>
      </c>
      <c r="AC529" s="730"/>
      <c r="AD529" s="731"/>
      <c r="AE529" s="730"/>
      <c r="AF529" s="730"/>
      <c r="AG529" s="731"/>
      <c r="AH529" s="731"/>
      <c r="AI529" s="732">
        <f t="shared" si="75"/>
        <v>0</v>
      </c>
      <c r="AJ529" s="733">
        <f t="shared" si="76"/>
        <v>0</v>
      </c>
    </row>
    <row r="530" spans="1:36" ht="12.5">
      <c r="A530" s="894" t="s">
        <v>283</v>
      </c>
      <c r="B530" s="883" t="s">
        <v>173</v>
      </c>
      <c r="C530" s="904" t="s">
        <v>167</v>
      </c>
      <c r="D530" s="884"/>
      <c r="E530" s="899"/>
      <c r="F530" s="900">
        <v>99</v>
      </c>
      <c r="G530" s="730"/>
      <c r="H530" s="731"/>
      <c r="I530" s="730"/>
      <c r="J530" s="731"/>
      <c r="K530" s="730"/>
      <c r="L530" s="731"/>
      <c r="M530" s="730"/>
      <c r="N530" s="730"/>
      <c r="O530" s="732">
        <f t="shared" si="69"/>
        <v>0</v>
      </c>
      <c r="P530" s="731"/>
      <c r="Q530" s="731"/>
      <c r="R530" s="733">
        <f t="shared" si="72"/>
        <v>0</v>
      </c>
      <c r="S530" s="732">
        <f t="shared" si="73"/>
        <v>0</v>
      </c>
      <c r="T530" s="733">
        <f t="shared" si="74"/>
        <v>0</v>
      </c>
      <c r="U530" s="730"/>
      <c r="V530" s="731"/>
      <c r="W530" s="730"/>
      <c r="X530" s="730"/>
      <c r="Y530" s="732">
        <f t="shared" si="70"/>
        <v>0</v>
      </c>
      <c r="Z530" s="731"/>
      <c r="AA530" s="731"/>
      <c r="AB530" s="733">
        <f t="shared" si="71"/>
        <v>0</v>
      </c>
      <c r="AC530" s="730"/>
      <c r="AD530" s="731"/>
      <c r="AE530" s="730"/>
      <c r="AF530" s="730"/>
      <c r="AG530" s="731"/>
      <c r="AH530" s="731"/>
      <c r="AI530" s="732">
        <f t="shared" si="75"/>
        <v>0</v>
      </c>
      <c r="AJ530" s="733">
        <f t="shared" si="76"/>
        <v>0</v>
      </c>
    </row>
    <row r="531" spans="1:36" ht="12.5">
      <c r="A531" s="894" t="s">
        <v>283</v>
      </c>
      <c r="B531" s="883" t="s">
        <v>176</v>
      </c>
      <c r="C531" s="904" t="s">
        <v>314</v>
      </c>
      <c r="D531" s="884"/>
      <c r="E531" s="899"/>
      <c r="F531" s="900">
        <v>99</v>
      </c>
      <c r="G531" s="730"/>
      <c r="H531" s="731"/>
      <c r="I531" s="730"/>
      <c r="J531" s="731"/>
      <c r="K531" s="730"/>
      <c r="L531" s="731"/>
      <c r="M531" s="730"/>
      <c r="N531" s="730"/>
      <c r="O531" s="732">
        <f t="shared" si="69"/>
        <v>0</v>
      </c>
      <c r="P531" s="731"/>
      <c r="Q531" s="731"/>
      <c r="R531" s="733">
        <f t="shared" si="72"/>
        <v>0</v>
      </c>
      <c r="S531" s="732">
        <f t="shared" si="73"/>
        <v>0</v>
      </c>
      <c r="T531" s="733">
        <f t="shared" si="74"/>
        <v>0</v>
      </c>
      <c r="U531" s="730"/>
      <c r="V531" s="731"/>
      <c r="W531" s="730"/>
      <c r="X531" s="730"/>
      <c r="Y531" s="732">
        <f t="shared" si="70"/>
        <v>0</v>
      </c>
      <c r="Z531" s="731"/>
      <c r="AA531" s="731"/>
      <c r="AB531" s="733">
        <f t="shared" si="71"/>
        <v>0</v>
      </c>
      <c r="AC531" s="730"/>
      <c r="AD531" s="731"/>
      <c r="AE531" s="730"/>
      <c r="AF531" s="730"/>
      <c r="AG531" s="731"/>
      <c r="AH531" s="731"/>
      <c r="AI531" s="732">
        <f t="shared" si="75"/>
        <v>0</v>
      </c>
      <c r="AJ531" s="733">
        <f t="shared" si="76"/>
        <v>0</v>
      </c>
    </row>
    <row r="532" spans="1:36" ht="12.5">
      <c r="A532" s="894" t="s">
        <v>283</v>
      </c>
      <c r="B532" s="883" t="s">
        <v>180</v>
      </c>
      <c r="C532" s="904" t="s">
        <v>165</v>
      </c>
      <c r="D532" s="884"/>
      <c r="E532" s="899"/>
      <c r="F532" s="900">
        <v>99</v>
      </c>
      <c r="G532" s="730"/>
      <c r="H532" s="731"/>
      <c r="I532" s="730"/>
      <c r="J532" s="731"/>
      <c r="K532" s="730"/>
      <c r="L532" s="731"/>
      <c r="M532" s="730"/>
      <c r="N532" s="730"/>
      <c r="O532" s="732">
        <f t="shared" si="69"/>
        <v>0</v>
      </c>
      <c r="P532" s="731"/>
      <c r="Q532" s="731"/>
      <c r="R532" s="733">
        <f t="shared" si="72"/>
        <v>0</v>
      </c>
      <c r="S532" s="732">
        <f t="shared" si="73"/>
        <v>0</v>
      </c>
      <c r="T532" s="733">
        <f t="shared" si="74"/>
        <v>0</v>
      </c>
      <c r="U532" s="730"/>
      <c r="V532" s="731"/>
      <c r="W532" s="730"/>
      <c r="X532" s="730"/>
      <c r="Y532" s="732">
        <f t="shared" si="70"/>
        <v>0</v>
      </c>
      <c r="Z532" s="731"/>
      <c r="AA532" s="731"/>
      <c r="AB532" s="733">
        <f t="shared" si="71"/>
        <v>0</v>
      </c>
      <c r="AC532" s="730"/>
      <c r="AD532" s="731"/>
      <c r="AE532" s="730"/>
      <c r="AF532" s="730"/>
      <c r="AG532" s="731"/>
      <c r="AH532" s="731"/>
      <c r="AI532" s="732">
        <f t="shared" si="75"/>
        <v>0</v>
      </c>
      <c r="AJ532" s="733">
        <f t="shared" si="76"/>
        <v>0</v>
      </c>
    </row>
    <row r="533" spans="1:36" ht="12.5">
      <c r="A533" s="894" t="s">
        <v>283</v>
      </c>
      <c r="B533" s="883" t="s">
        <v>178</v>
      </c>
      <c r="C533" s="904" t="s">
        <v>167</v>
      </c>
      <c r="D533" s="884"/>
      <c r="E533" s="899"/>
      <c r="F533" s="900">
        <v>99</v>
      </c>
      <c r="G533" s="730"/>
      <c r="H533" s="731"/>
      <c r="I533" s="730"/>
      <c r="J533" s="731"/>
      <c r="K533" s="730"/>
      <c r="L533" s="731"/>
      <c r="M533" s="730"/>
      <c r="N533" s="730"/>
      <c r="O533" s="732">
        <f t="shared" si="69"/>
        <v>0</v>
      </c>
      <c r="P533" s="731"/>
      <c r="Q533" s="731"/>
      <c r="R533" s="733">
        <f t="shared" si="72"/>
        <v>0</v>
      </c>
      <c r="S533" s="732">
        <f t="shared" si="73"/>
        <v>0</v>
      </c>
      <c r="T533" s="733">
        <f t="shared" si="74"/>
        <v>0</v>
      </c>
      <c r="U533" s="730"/>
      <c r="V533" s="731"/>
      <c r="W533" s="730"/>
      <c r="X533" s="730"/>
      <c r="Y533" s="732">
        <f t="shared" si="70"/>
        <v>0</v>
      </c>
      <c r="Z533" s="731"/>
      <c r="AA533" s="731"/>
      <c r="AB533" s="733">
        <f t="shared" si="71"/>
        <v>0</v>
      </c>
      <c r="AC533" s="730"/>
      <c r="AD533" s="731"/>
      <c r="AE533" s="730"/>
      <c r="AF533" s="730"/>
      <c r="AG533" s="731"/>
      <c r="AH533" s="731"/>
      <c r="AI533" s="732">
        <f t="shared" si="75"/>
        <v>0</v>
      </c>
      <c r="AJ533" s="733">
        <f t="shared" si="76"/>
        <v>0</v>
      </c>
    </row>
    <row r="534" spans="1:36">
      <c r="A534" s="894" t="s">
        <v>283</v>
      </c>
      <c r="B534" s="883" t="s">
        <v>161</v>
      </c>
      <c r="C534" s="909" t="s">
        <v>325</v>
      </c>
      <c r="D534" s="884"/>
      <c r="E534" s="899"/>
      <c r="F534" s="900">
        <v>99</v>
      </c>
      <c r="G534" s="730"/>
      <c r="H534" s="731"/>
      <c r="I534" s="730"/>
      <c r="J534" s="731"/>
      <c r="K534" s="730"/>
      <c r="L534" s="731"/>
      <c r="M534" s="730"/>
      <c r="N534" s="730"/>
      <c r="O534" s="732">
        <f t="shared" si="69"/>
        <v>0</v>
      </c>
      <c r="P534" s="731"/>
      <c r="Q534" s="731"/>
      <c r="R534" s="733">
        <f t="shared" si="72"/>
        <v>0</v>
      </c>
      <c r="S534" s="732">
        <f t="shared" si="73"/>
        <v>0</v>
      </c>
      <c r="T534" s="733">
        <f t="shared" si="74"/>
        <v>0</v>
      </c>
      <c r="U534" s="730"/>
      <c r="V534" s="731"/>
      <c r="W534" s="730"/>
      <c r="X534" s="730"/>
      <c r="Y534" s="732">
        <f t="shared" si="70"/>
        <v>0</v>
      </c>
      <c r="Z534" s="731"/>
      <c r="AA534" s="731"/>
      <c r="AB534" s="733">
        <f t="shared" si="71"/>
        <v>0</v>
      </c>
      <c r="AC534" s="730"/>
      <c r="AD534" s="731"/>
      <c r="AE534" s="730"/>
      <c r="AF534" s="730"/>
      <c r="AG534" s="731"/>
      <c r="AH534" s="731"/>
      <c r="AI534" s="732">
        <f t="shared" si="75"/>
        <v>0</v>
      </c>
      <c r="AJ534" s="733">
        <f t="shared" si="76"/>
        <v>0</v>
      </c>
    </row>
    <row r="535" spans="1:36" ht="12.5">
      <c r="A535" s="894" t="s">
        <v>283</v>
      </c>
      <c r="B535" s="883" t="s">
        <v>170</v>
      </c>
      <c r="C535" s="904" t="s">
        <v>313</v>
      </c>
      <c r="D535" s="884"/>
      <c r="E535" s="899"/>
      <c r="F535" s="900">
        <v>99</v>
      </c>
      <c r="G535" s="730"/>
      <c r="H535" s="731"/>
      <c r="I535" s="730"/>
      <c r="J535" s="731"/>
      <c r="K535" s="730"/>
      <c r="L535" s="731"/>
      <c r="M535" s="730"/>
      <c r="N535" s="730"/>
      <c r="O535" s="732">
        <f t="shared" si="69"/>
        <v>0</v>
      </c>
      <c r="P535" s="731"/>
      <c r="Q535" s="731"/>
      <c r="R535" s="733">
        <f t="shared" si="72"/>
        <v>0</v>
      </c>
      <c r="S535" s="732">
        <f t="shared" si="73"/>
        <v>0</v>
      </c>
      <c r="T535" s="733">
        <f t="shared" si="74"/>
        <v>0</v>
      </c>
      <c r="U535" s="730"/>
      <c r="V535" s="731"/>
      <c r="W535" s="730"/>
      <c r="X535" s="730"/>
      <c r="Y535" s="732">
        <f t="shared" si="70"/>
        <v>0</v>
      </c>
      <c r="Z535" s="731"/>
      <c r="AA535" s="731"/>
      <c r="AB535" s="733">
        <f t="shared" si="71"/>
        <v>0</v>
      </c>
      <c r="AC535" s="730"/>
      <c r="AD535" s="731"/>
      <c r="AE535" s="730"/>
      <c r="AF535" s="730"/>
      <c r="AG535" s="731"/>
      <c r="AH535" s="731"/>
      <c r="AI535" s="732">
        <f t="shared" si="75"/>
        <v>0</v>
      </c>
      <c r="AJ535" s="733">
        <f t="shared" si="76"/>
        <v>0</v>
      </c>
    </row>
    <row r="536" spans="1:36" ht="12.5">
      <c r="A536" s="894" t="s">
        <v>283</v>
      </c>
      <c r="B536" s="883" t="s">
        <v>172</v>
      </c>
      <c r="C536" s="904" t="s">
        <v>165</v>
      </c>
      <c r="D536" s="884"/>
      <c r="E536" s="899"/>
      <c r="F536" s="900">
        <v>99</v>
      </c>
      <c r="G536" s="730"/>
      <c r="H536" s="731"/>
      <c r="I536" s="730"/>
      <c r="J536" s="731"/>
      <c r="K536" s="730"/>
      <c r="L536" s="731"/>
      <c r="M536" s="730"/>
      <c r="N536" s="730"/>
      <c r="O536" s="732">
        <f t="shared" si="69"/>
        <v>0</v>
      </c>
      <c r="P536" s="731"/>
      <c r="Q536" s="731"/>
      <c r="R536" s="733">
        <f t="shared" si="72"/>
        <v>0</v>
      </c>
      <c r="S536" s="732">
        <f t="shared" si="73"/>
        <v>0</v>
      </c>
      <c r="T536" s="733">
        <f t="shared" si="74"/>
        <v>0</v>
      </c>
      <c r="U536" s="730"/>
      <c r="V536" s="731"/>
      <c r="W536" s="730"/>
      <c r="X536" s="730"/>
      <c r="Y536" s="732">
        <f t="shared" si="70"/>
        <v>0</v>
      </c>
      <c r="Z536" s="731"/>
      <c r="AA536" s="731"/>
      <c r="AB536" s="733">
        <f t="shared" si="71"/>
        <v>0</v>
      </c>
      <c r="AC536" s="730"/>
      <c r="AD536" s="731"/>
      <c r="AE536" s="730"/>
      <c r="AF536" s="730"/>
      <c r="AG536" s="731"/>
      <c r="AH536" s="731"/>
      <c r="AI536" s="732">
        <f t="shared" si="75"/>
        <v>0</v>
      </c>
      <c r="AJ536" s="733">
        <f t="shared" si="76"/>
        <v>0</v>
      </c>
    </row>
    <row r="537" spans="1:36" ht="12.5">
      <c r="A537" s="894" t="s">
        <v>283</v>
      </c>
      <c r="B537" s="883" t="s">
        <v>173</v>
      </c>
      <c r="C537" s="904" t="s">
        <v>167</v>
      </c>
      <c r="D537" s="884"/>
      <c r="E537" s="899"/>
      <c r="F537" s="900">
        <v>99</v>
      </c>
      <c r="G537" s="730"/>
      <c r="H537" s="731"/>
      <c r="I537" s="730"/>
      <c r="J537" s="731"/>
      <c r="K537" s="730"/>
      <c r="L537" s="731"/>
      <c r="M537" s="730"/>
      <c r="N537" s="730"/>
      <c r="O537" s="732">
        <f t="shared" si="69"/>
        <v>0</v>
      </c>
      <c r="P537" s="731"/>
      <c r="Q537" s="731"/>
      <c r="R537" s="733">
        <f t="shared" si="72"/>
        <v>0</v>
      </c>
      <c r="S537" s="732">
        <f t="shared" si="73"/>
        <v>0</v>
      </c>
      <c r="T537" s="733">
        <f t="shared" si="74"/>
        <v>0</v>
      </c>
      <c r="U537" s="730">
        <v>91000</v>
      </c>
      <c r="V537" s="1150">
        <v>11500</v>
      </c>
      <c r="W537" s="730"/>
      <c r="X537" s="730"/>
      <c r="Y537" s="732">
        <f t="shared" si="70"/>
        <v>0</v>
      </c>
      <c r="Z537" s="731"/>
      <c r="AA537" s="731"/>
      <c r="AB537" s="733">
        <f t="shared" si="71"/>
        <v>0</v>
      </c>
      <c r="AC537" s="730"/>
      <c r="AD537" s="731"/>
      <c r="AE537" s="730"/>
      <c r="AF537" s="730"/>
      <c r="AG537" s="731"/>
      <c r="AH537" s="731"/>
      <c r="AI537" s="732">
        <f t="shared" si="75"/>
        <v>91000</v>
      </c>
      <c r="AJ537" s="733">
        <f t="shared" si="76"/>
        <v>11500</v>
      </c>
    </row>
    <row r="538" spans="1:36" ht="12.5">
      <c r="A538" s="894" t="s">
        <v>283</v>
      </c>
      <c r="B538" s="883" t="s">
        <v>176</v>
      </c>
      <c r="C538" s="904" t="s">
        <v>314</v>
      </c>
      <c r="D538" s="884"/>
      <c r="E538" s="899"/>
      <c r="F538" s="900">
        <v>99</v>
      </c>
      <c r="G538" s="730"/>
      <c r="H538" s="731"/>
      <c r="I538" s="730"/>
      <c r="J538" s="731"/>
      <c r="K538" s="730"/>
      <c r="L538" s="731"/>
      <c r="M538" s="730"/>
      <c r="N538" s="730"/>
      <c r="O538" s="732">
        <f t="shared" si="69"/>
        <v>0</v>
      </c>
      <c r="P538" s="731"/>
      <c r="Q538" s="731"/>
      <c r="R538" s="733">
        <f t="shared" si="72"/>
        <v>0</v>
      </c>
      <c r="S538" s="732">
        <f t="shared" si="73"/>
        <v>0</v>
      </c>
      <c r="T538" s="733">
        <f t="shared" si="74"/>
        <v>0</v>
      </c>
      <c r="U538" s="730"/>
      <c r="V538" s="731"/>
      <c r="W538" s="730"/>
      <c r="X538" s="730"/>
      <c r="Y538" s="732">
        <f t="shared" si="70"/>
        <v>0</v>
      </c>
      <c r="Z538" s="731"/>
      <c r="AA538" s="731"/>
      <c r="AB538" s="733">
        <f t="shared" si="71"/>
        <v>0</v>
      </c>
      <c r="AC538" s="730"/>
      <c r="AD538" s="731"/>
      <c r="AE538" s="730"/>
      <c r="AF538" s="730"/>
      <c r="AG538" s="731"/>
      <c r="AH538" s="731"/>
      <c r="AI538" s="732">
        <f t="shared" si="75"/>
        <v>0</v>
      </c>
      <c r="AJ538" s="733">
        <f t="shared" si="76"/>
        <v>0</v>
      </c>
    </row>
    <row r="539" spans="1:36" ht="12.5">
      <c r="A539" s="894" t="s">
        <v>283</v>
      </c>
      <c r="B539" s="883" t="s">
        <v>180</v>
      </c>
      <c r="C539" s="904" t="s">
        <v>165</v>
      </c>
      <c r="D539" s="884"/>
      <c r="E539" s="899"/>
      <c r="F539" s="900">
        <v>99</v>
      </c>
      <c r="G539" s="730"/>
      <c r="H539" s="731"/>
      <c r="I539" s="730"/>
      <c r="J539" s="731"/>
      <c r="K539" s="730"/>
      <c r="L539" s="731"/>
      <c r="M539" s="730"/>
      <c r="N539" s="730"/>
      <c r="O539" s="732">
        <f t="shared" si="69"/>
        <v>0</v>
      </c>
      <c r="P539" s="731"/>
      <c r="Q539" s="731"/>
      <c r="R539" s="733">
        <f t="shared" si="72"/>
        <v>0</v>
      </c>
      <c r="S539" s="732">
        <f t="shared" si="73"/>
        <v>0</v>
      </c>
      <c r="T539" s="733">
        <f t="shared" si="74"/>
        <v>0</v>
      </c>
      <c r="U539" s="730"/>
      <c r="V539" s="731"/>
      <c r="W539" s="730"/>
      <c r="X539" s="730"/>
      <c r="Y539" s="732">
        <f t="shared" si="70"/>
        <v>0</v>
      </c>
      <c r="Z539" s="731"/>
      <c r="AA539" s="731"/>
      <c r="AB539" s="733">
        <f t="shared" si="71"/>
        <v>0</v>
      </c>
      <c r="AC539" s="730"/>
      <c r="AD539" s="731"/>
      <c r="AE539" s="730"/>
      <c r="AF539" s="730"/>
      <c r="AG539" s="731"/>
      <c r="AH539" s="731"/>
      <c r="AI539" s="732">
        <f t="shared" si="75"/>
        <v>0</v>
      </c>
      <c r="AJ539" s="733">
        <f t="shared" si="76"/>
        <v>0</v>
      </c>
    </row>
    <row r="540" spans="1:36" ht="12.5">
      <c r="A540" s="894" t="s">
        <v>283</v>
      </c>
      <c r="B540" s="883" t="s">
        <v>178</v>
      </c>
      <c r="C540" s="904" t="s">
        <v>167</v>
      </c>
      <c r="D540" s="884"/>
      <c r="E540" s="899"/>
      <c r="F540" s="900">
        <v>99</v>
      </c>
      <c r="G540" s="730"/>
      <c r="H540" s="731"/>
      <c r="I540" s="730"/>
      <c r="J540" s="731"/>
      <c r="K540" s="730"/>
      <c r="L540" s="731"/>
      <c r="M540" s="730"/>
      <c r="N540" s="730"/>
      <c r="O540" s="732">
        <f t="shared" si="69"/>
        <v>0</v>
      </c>
      <c r="P540" s="731"/>
      <c r="Q540" s="731"/>
      <c r="R540" s="733">
        <f t="shared" si="72"/>
        <v>0</v>
      </c>
      <c r="S540" s="732">
        <f t="shared" si="73"/>
        <v>0</v>
      </c>
      <c r="T540" s="733">
        <f t="shared" si="74"/>
        <v>0</v>
      </c>
      <c r="U540" s="730">
        <v>29500</v>
      </c>
      <c r="V540" s="1150">
        <v>9500</v>
      </c>
      <c r="W540" s="730"/>
      <c r="X540" s="730"/>
      <c r="Y540" s="732">
        <f t="shared" si="70"/>
        <v>0</v>
      </c>
      <c r="Z540" s="731"/>
      <c r="AA540" s="731"/>
      <c r="AB540" s="733">
        <f t="shared" si="71"/>
        <v>0</v>
      </c>
      <c r="AC540" s="730"/>
      <c r="AD540" s="731"/>
      <c r="AE540" s="730"/>
      <c r="AF540" s="730"/>
      <c r="AG540" s="731"/>
      <c r="AH540" s="731"/>
      <c r="AI540" s="732">
        <f t="shared" si="75"/>
        <v>29500</v>
      </c>
      <c r="AJ540" s="733">
        <f t="shared" si="76"/>
        <v>9500</v>
      </c>
    </row>
    <row r="541" spans="1:36">
      <c r="A541" s="894" t="s">
        <v>283</v>
      </c>
      <c r="B541" s="883" t="s">
        <v>161</v>
      </c>
      <c r="C541" s="909" t="s">
        <v>326</v>
      </c>
      <c r="D541" s="884"/>
      <c r="E541" s="899"/>
      <c r="F541" s="900">
        <v>99</v>
      </c>
      <c r="G541" s="730"/>
      <c r="H541" s="731"/>
      <c r="I541" s="730"/>
      <c r="J541" s="731"/>
      <c r="K541" s="730"/>
      <c r="L541" s="731"/>
      <c r="M541" s="730"/>
      <c r="N541" s="730"/>
      <c r="O541" s="732">
        <f t="shared" si="69"/>
        <v>0</v>
      </c>
      <c r="P541" s="731"/>
      <c r="Q541" s="731"/>
      <c r="R541" s="733">
        <f t="shared" si="72"/>
        <v>0</v>
      </c>
      <c r="S541" s="732">
        <f t="shared" si="73"/>
        <v>0</v>
      </c>
      <c r="T541" s="733">
        <f t="shared" si="74"/>
        <v>0</v>
      </c>
      <c r="U541" s="730"/>
      <c r="V541" s="731"/>
      <c r="W541" s="730"/>
      <c r="X541" s="730"/>
      <c r="Y541" s="732">
        <f t="shared" si="70"/>
        <v>0</v>
      </c>
      <c r="Z541" s="731"/>
      <c r="AA541" s="731"/>
      <c r="AB541" s="733">
        <f t="shared" si="71"/>
        <v>0</v>
      </c>
      <c r="AC541" s="730"/>
      <c r="AD541" s="731"/>
      <c r="AE541" s="730"/>
      <c r="AF541" s="730"/>
      <c r="AG541" s="731"/>
      <c r="AH541" s="731"/>
      <c r="AI541" s="732">
        <f t="shared" si="75"/>
        <v>0</v>
      </c>
      <c r="AJ541" s="733">
        <f t="shared" si="76"/>
        <v>0</v>
      </c>
    </row>
    <row r="542" spans="1:36" ht="12.5">
      <c r="A542" s="894" t="s">
        <v>283</v>
      </c>
      <c r="B542" s="883" t="s">
        <v>170</v>
      </c>
      <c r="C542" s="904" t="s">
        <v>313</v>
      </c>
      <c r="D542" s="884"/>
      <c r="E542" s="899"/>
      <c r="F542" s="900">
        <v>99</v>
      </c>
      <c r="G542" s="730"/>
      <c r="H542" s="731"/>
      <c r="I542" s="730"/>
      <c r="J542" s="731"/>
      <c r="K542" s="730"/>
      <c r="L542" s="731"/>
      <c r="M542" s="730"/>
      <c r="N542" s="730"/>
      <c r="O542" s="732">
        <f t="shared" si="69"/>
        <v>0</v>
      </c>
      <c r="P542" s="731"/>
      <c r="Q542" s="731"/>
      <c r="R542" s="733">
        <f t="shared" si="72"/>
        <v>0</v>
      </c>
      <c r="S542" s="732">
        <f t="shared" si="73"/>
        <v>0</v>
      </c>
      <c r="T542" s="733">
        <f t="shared" si="74"/>
        <v>0</v>
      </c>
      <c r="U542" s="730"/>
      <c r="V542" s="731"/>
      <c r="W542" s="730"/>
      <c r="X542" s="730"/>
      <c r="Y542" s="732">
        <f t="shared" si="70"/>
        <v>0</v>
      </c>
      <c r="Z542" s="731"/>
      <c r="AA542" s="731"/>
      <c r="AB542" s="733">
        <f t="shared" si="71"/>
        <v>0</v>
      </c>
      <c r="AC542" s="730"/>
      <c r="AD542" s="731"/>
      <c r="AE542" s="730"/>
      <c r="AF542" s="730"/>
      <c r="AG542" s="731"/>
      <c r="AH542" s="731"/>
      <c r="AI542" s="732">
        <f t="shared" si="75"/>
        <v>0</v>
      </c>
      <c r="AJ542" s="733">
        <f t="shared" si="76"/>
        <v>0</v>
      </c>
    </row>
    <row r="543" spans="1:36" ht="12.5">
      <c r="A543" s="894" t="s">
        <v>283</v>
      </c>
      <c r="B543" s="883" t="s">
        <v>172</v>
      </c>
      <c r="C543" s="904" t="s">
        <v>165</v>
      </c>
      <c r="D543" s="884"/>
      <c r="E543" s="899"/>
      <c r="F543" s="900">
        <v>99</v>
      </c>
      <c r="G543" s="730"/>
      <c r="H543" s="731"/>
      <c r="I543" s="730"/>
      <c r="J543" s="731"/>
      <c r="K543" s="730"/>
      <c r="L543" s="731"/>
      <c r="M543" s="730"/>
      <c r="N543" s="730"/>
      <c r="O543" s="732">
        <f t="shared" si="69"/>
        <v>0</v>
      </c>
      <c r="P543" s="731"/>
      <c r="Q543" s="731"/>
      <c r="R543" s="733">
        <f t="shared" si="72"/>
        <v>0</v>
      </c>
      <c r="S543" s="732">
        <f t="shared" si="73"/>
        <v>0</v>
      </c>
      <c r="T543" s="733">
        <f t="shared" si="74"/>
        <v>0</v>
      </c>
      <c r="U543" s="730"/>
      <c r="V543" s="731"/>
      <c r="W543" s="730"/>
      <c r="X543" s="730"/>
      <c r="Y543" s="732">
        <f t="shared" si="70"/>
        <v>0</v>
      </c>
      <c r="Z543" s="731"/>
      <c r="AA543" s="731"/>
      <c r="AB543" s="733">
        <f t="shared" si="71"/>
        <v>0</v>
      </c>
      <c r="AC543" s="730"/>
      <c r="AD543" s="731"/>
      <c r="AE543" s="730"/>
      <c r="AF543" s="730"/>
      <c r="AG543" s="731"/>
      <c r="AH543" s="731"/>
      <c r="AI543" s="732">
        <f t="shared" si="75"/>
        <v>0</v>
      </c>
      <c r="AJ543" s="733">
        <f t="shared" si="76"/>
        <v>0</v>
      </c>
    </row>
    <row r="544" spans="1:36" ht="12.5">
      <c r="A544" s="894" t="s">
        <v>283</v>
      </c>
      <c r="B544" s="883" t="s">
        <v>173</v>
      </c>
      <c r="C544" s="904" t="s">
        <v>167</v>
      </c>
      <c r="D544" s="884"/>
      <c r="E544" s="899"/>
      <c r="F544" s="900">
        <v>99</v>
      </c>
      <c r="G544" s="730"/>
      <c r="H544" s="731"/>
      <c r="I544" s="730"/>
      <c r="J544" s="731"/>
      <c r="K544" s="730"/>
      <c r="L544" s="731"/>
      <c r="M544" s="730"/>
      <c r="N544" s="730"/>
      <c r="O544" s="732">
        <f t="shared" si="69"/>
        <v>0</v>
      </c>
      <c r="P544" s="731"/>
      <c r="Q544" s="731"/>
      <c r="R544" s="733">
        <f t="shared" si="72"/>
        <v>0</v>
      </c>
      <c r="S544" s="732">
        <f t="shared" si="73"/>
        <v>0</v>
      </c>
      <c r="T544" s="733">
        <f t="shared" si="74"/>
        <v>0</v>
      </c>
      <c r="U544" s="730"/>
      <c r="V544" s="731"/>
      <c r="W544" s="730"/>
      <c r="X544" s="730"/>
      <c r="Y544" s="732">
        <f t="shared" si="70"/>
        <v>0</v>
      </c>
      <c r="Z544" s="731"/>
      <c r="AA544" s="731"/>
      <c r="AB544" s="733">
        <f t="shared" si="71"/>
        <v>0</v>
      </c>
      <c r="AC544" s="730"/>
      <c r="AD544" s="731"/>
      <c r="AE544" s="730"/>
      <c r="AF544" s="730"/>
      <c r="AG544" s="731"/>
      <c r="AH544" s="731"/>
      <c r="AI544" s="732">
        <f t="shared" si="75"/>
        <v>0</v>
      </c>
      <c r="AJ544" s="733">
        <f t="shared" si="76"/>
        <v>0</v>
      </c>
    </row>
    <row r="545" spans="1:36" ht="12.5">
      <c r="A545" s="894" t="s">
        <v>283</v>
      </c>
      <c r="B545" s="883" t="s">
        <v>176</v>
      </c>
      <c r="C545" s="904" t="s">
        <v>314</v>
      </c>
      <c r="D545" s="884"/>
      <c r="E545" s="899"/>
      <c r="F545" s="900">
        <v>99</v>
      </c>
      <c r="G545" s="730"/>
      <c r="H545" s="731"/>
      <c r="I545" s="730"/>
      <c r="J545" s="731"/>
      <c r="K545" s="730"/>
      <c r="L545" s="731"/>
      <c r="M545" s="730"/>
      <c r="N545" s="730"/>
      <c r="O545" s="732">
        <f t="shared" si="69"/>
        <v>0</v>
      </c>
      <c r="P545" s="731"/>
      <c r="Q545" s="731"/>
      <c r="R545" s="733">
        <f t="shared" si="72"/>
        <v>0</v>
      </c>
      <c r="S545" s="732">
        <f t="shared" si="73"/>
        <v>0</v>
      </c>
      <c r="T545" s="733">
        <f t="shared" si="74"/>
        <v>0</v>
      </c>
      <c r="U545" s="730"/>
      <c r="V545" s="731"/>
      <c r="W545" s="730"/>
      <c r="X545" s="730"/>
      <c r="Y545" s="732">
        <f t="shared" si="70"/>
        <v>0</v>
      </c>
      <c r="Z545" s="731"/>
      <c r="AA545" s="731"/>
      <c r="AB545" s="733">
        <f t="shared" si="71"/>
        <v>0</v>
      </c>
      <c r="AC545" s="730"/>
      <c r="AD545" s="731"/>
      <c r="AE545" s="730"/>
      <c r="AF545" s="730"/>
      <c r="AG545" s="731"/>
      <c r="AH545" s="731"/>
      <c r="AI545" s="732">
        <f t="shared" si="75"/>
        <v>0</v>
      </c>
      <c r="AJ545" s="733">
        <f t="shared" si="76"/>
        <v>0</v>
      </c>
    </row>
    <row r="546" spans="1:36" ht="12.5">
      <c r="A546" s="894" t="s">
        <v>283</v>
      </c>
      <c r="B546" s="883" t="s">
        <v>180</v>
      </c>
      <c r="C546" s="904" t="s">
        <v>165</v>
      </c>
      <c r="D546" s="884"/>
      <c r="E546" s="899"/>
      <c r="F546" s="900">
        <v>99</v>
      </c>
      <c r="G546" s="730"/>
      <c r="H546" s="731"/>
      <c r="I546" s="730"/>
      <c r="J546" s="731"/>
      <c r="K546" s="730"/>
      <c r="L546" s="731"/>
      <c r="M546" s="730"/>
      <c r="N546" s="730"/>
      <c r="O546" s="732">
        <f t="shared" si="69"/>
        <v>0</v>
      </c>
      <c r="P546" s="731"/>
      <c r="Q546" s="731"/>
      <c r="R546" s="733">
        <f t="shared" si="72"/>
        <v>0</v>
      </c>
      <c r="S546" s="732">
        <f t="shared" si="73"/>
        <v>0</v>
      </c>
      <c r="T546" s="733">
        <f t="shared" si="74"/>
        <v>0</v>
      </c>
      <c r="U546" s="730"/>
      <c r="V546" s="731"/>
      <c r="W546" s="730"/>
      <c r="X546" s="730"/>
      <c r="Y546" s="732">
        <f t="shared" si="70"/>
        <v>0</v>
      </c>
      <c r="Z546" s="731"/>
      <c r="AA546" s="731"/>
      <c r="AB546" s="733">
        <f t="shared" si="71"/>
        <v>0</v>
      </c>
      <c r="AC546" s="730"/>
      <c r="AD546" s="731"/>
      <c r="AE546" s="730"/>
      <c r="AF546" s="730"/>
      <c r="AG546" s="731"/>
      <c r="AH546" s="731"/>
      <c r="AI546" s="732">
        <f t="shared" si="75"/>
        <v>0</v>
      </c>
      <c r="AJ546" s="733">
        <f t="shared" si="76"/>
        <v>0</v>
      </c>
    </row>
    <row r="547" spans="1:36" ht="12.5">
      <c r="A547" s="894" t="s">
        <v>283</v>
      </c>
      <c r="B547" s="883" t="s">
        <v>178</v>
      </c>
      <c r="C547" s="904" t="s">
        <v>167</v>
      </c>
      <c r="D547" s="884"/>
      <c r="E547" s="899"/>
      <c r="F547" s="900">
        <v>99</v>
      </c>
      <c r="G547" s="730"/>
      <c r="H547" s="731"/>
      <c r="I547" s="730"/>
      <c r="J547" s="731"/>
      <c r="K547" s="730"/>
      <c r="L547" s="731"/>
      <c r="M547" s="730"/>
      <c r="N547" s="730"/>
      <c r="O547" s="732">
        <f t="shared" si="69"/>
        <v>0</v>
      </c>
      <c r="P547" s="731"/>
      <c r="Q547" s="731"/>
      <c r="R547" s="733">
        <f t="shared" si="72"/>
        <v>0</v>
      </c>
      <c r="S547" s="732">
        <f t="shared" si="73"/>
        <v>0</v>
      </c>
      <c r="T547" s="733">
        <f t="shared" si="74"/>
        <v>0</v>
      </c>
      <c r="U547" s="730">
        <v>16000</v>
      </c>
      <c r="V547" s="731">
        <v>16000</v>
      </c>
      <c r="W547" s="730"/>
      <c r="X547" s="730"/>
      <c r="Y547" s="732">
        <f t="shared" si="70"/>
        <v>0</v>
      </c>
      <c r="Z547" s="731"/>
      <c r="AA547" s="731"/>
      <c r="AB547" s="733">
        <f t="shared" si="71"/>
        <v>0</v>
      </c>
      <c r="AC547" s="730"/>
      <c r="AD547" s="731"/>
      <c r="AE547" s="730"/>
      <c r="AF547" s="730"/>
      <c r="AG547" s="731"/>
      <c r="AH547" s="731"/>
      <c r="AI547" s="732">
        <f t="shared" si="75"/>
        <v>16000</v>
      </c>
      <c r="AJ547" s="733">
        <f t="shared" si="76"/>
        <v>16000</v>
      </c>
    </row>
    <row r="548" spans="1:36">
      <c r="A548" s="894" t="s">
        <v>283</v>
      </c>
      <c r="B548" s="883" t="s">
        <v>161</v>
      </c>
      <c r="C548" s="909" t="s">
        <v>327</v>
      </c>
      <c r="D548" s="884"/>
      <c r="E548" s="899"/>
      <c r="F548" s="900">
        <v>99</v>
      </c>
      <c r="G548" s="730"/>
      <c r="H548" s="731"/>
      <c r="I548" s="730"/>
      <c r="J548" s="731"/>
      <c r="K548" s="730"/>
      <c r="L548" s="731"/>
      <c r="M548" s="730"/>
      <c r="N548" s="730"/>
      <c r="O548" s="732">
        <f t="shared" si="69"/>
        <v>0</v>
      </c>
      <c r="P548" s="731"/>
      <c r="Q548" s="731"/>
      <c r="R548" s="733">
        <f t="shared" si="72"/>
        <v>0</v>
      </c>
      <c r="S548" s="732">
        <f t="shared" si="73"/>
        <v>0</v>
      </c>
      <c r="T548" s="733">
        <f t="shared" si="74"/>
        <v>0</v>
      </c>
      <c r="U548" s="730"/>
      <c r="V548" s="731"/>
      <c r="W548" s="730"/>
      <c r="X548" s="730"/>
      <c r="Y548" s="732">
        <f t="shared" si="70"/>
        <v>0</v>
      </c>
      <c r="Z548" s="731"/>
      <c r="AA548" s="731"/>
      <c r="AB548" s="733">
        <f t="shared" si="71"/>
        <v>0</v>
      </c>
      <c r="AC548" s="730"/>
      <c r="AD548" s="731"/>
      <c r="AE548" s="730"/>
      <c r="AF548" s="730"/>
      <c r="AG548" s="731"/>
      <c r="AH548" s="731"/>
      <c r="AI548" s="732">
        <f t="shared" si="75"/>
        <v>0</v>
      </c>
      <c r="AJ548" s="733">
        <f t="shared" si="76"/>
        <v>0</v>
      </c>
    </row>
    <row r="549" spans="1:36" ht="12.5">
      <c r="A549" s="894" t="s">
        <v>283</v>
      </c>
      <c r="B549" s="883" t="s">
        <v>170</v>
      </c>
      <c r="C549" s="904" t="s">
        <v>313</v>
      </c>
      <c r="D549" s="884"/>
      <c r="E549" s="899"/>
      <c r="F549" s="900">
        <v>99</v>
      </c>
      <c r="G549" s="730"/>
      <c r="H549" s="731"/>
      <c r="I549" s="730"/>
      <c r="J549" s="731"/>
      <c r="K549" s="730"/>
      <c r="L549" s="731"/>
      <c r="M549" s="730"/>
      <c r="N549" s="730"/>
      <c r="O549" s="732">
        <f t="shared" si="69"/>
        <v>0</v>
      </c>
      <c r="P549" s="731"/>
      <c r="Q549" s="731"/>
      <c r="R549" s="733">
        <f t="shared" si="72"/>
        <v>0</v>
      </c>
      <c r="S549" s="732">
        <f t="shared" si="73"/>
        <v>0</v>
      </c>
      <c r="T549" s="733">
        <f t="shared" si="74"/>
        <v>0</v>
      </c>
      <c r="U549" s="730"/>
      <c r="V549" s="731"/>
      <c r="W549" s="730"/>
      <c r="X549" s="730"/>
      <c r="Y549" s="732">
        <f t="shared" si="70"/>
        <v>0</v>
      </c>
      <c r="Z549" s="731"/>
      <c r="AA549" s="731"/>
      <c r="AB549" s="733">
        <f t="shared" si="71"/>
        <v>0</v>
      </c>
      <c r="AC549" s="730"/>
      <c r="AD549" s="731"/>
      <c r="AE549" s="730"/>
      <c r="AF549" s="730"/>
      <c r="AG549" s="731"/>
      <c r="AH549" s="731"/>
      <c r="AI549" s="732">
        <f t="shared" si="75"/>
        <v>0</v>
      </c>
      <c r="AJ549" s="733">
        <f t="shared" si="76"/>
        <v>0</v>
      </c>
    </row>
    <row r="550" spans="1:36" ht="12.5">
      <c r="A550" s="894" t="s">
        <v>283</v>
      </c>
      <c r="B550" s="883" t="s">
        <v>172</v>
      </c>
      <c r="C550" s="904" t="s">
        <v>165</v>
      </c>
      <c r="D550" s="884"/>
      <c r="E550" s="899"/>
      <c r="F550" s="900">
        <v>99</v>
      </c>
      <c r="G550" s="730"/>
      <c r="H550" s="731"/>
      <c r="I550" s="730"/>
      <c r="J550" s="731"/>
      <c r="K550" s="730"/>
      <c r="L550" s="731"/>
      <c r="M550" s="730"/>
      <c r="N550" s="730"/>
      <c r="O550" s="732">
        <f t="shared" si="69"/>
        <v>0</v>
      </c>
      <c r="P550" s="731"/>
      <c r="Q550" s="731"/>
      <c r="R550" s="733">
        <f t="shared" si="72"/>
        <v>0</v>
      </c>
      <c r="S550" s="732">
        <f t="shared" si="73"/>
        <v>0</v>
      </c>
      <c r="T550" s="733">
        <f t="shared" si="74"/>
        <v>0</v>
      </c>
      <c r="U550" s="730"/>
      <c r="V550" s="731"/>
      <c r="W550" s="730"/>
      <c r="X550" s="730"/>
      <c r="Y550" s="732">
        <f t="shared" si="70"/>
        <v>0</v>
      </c>
      <c r="Z550" s="731"/>
      <c r="AA550" s="731"/>
      <c r="AB550" s="733">
        <f t="shared" si="71"/>
        <v>0</v>
      </c>
      <c r="AC550" s="730"/>
      <c r="AD550" s="731"/>
      <c r="AE550" s="730"/>
      <c r="AF550" s="730"/>
      <c r="AG550" s="731"/>
      <c r="AH550" s="731"/>
      <c r="AI550" s="732">
        <f t="shared" si="75"/>
        <v>0</v>
      </c>
      <c r="AJ550" s="733">
        <f t="shared" si="76"/>
        <v>0</v>
      </c>
    </row>
    <row r="551" spans="1:36" ht="12.5">
      <c r="A551" s="894" t="s">
        <v>283</v>
      </c>
      <c r="B551" s="883" t="s">
        <v>173</v>
      </c>
      <c r="C551" s="904" t="s">
        <v>167</v>
      </c>
      <c r="D551" s="884"/>
      <c r="E551" s="899"/>
      <c r="F551" s="900">
        <v>99</v>
      </c>
      <c r="G551" s="730"/>
      <c r="H551" s="731"/>
      <c r="I551" s="730"/>
      <c r="J551" s="731"/>
      <c r="K551" s="730"/>
      <c r="L551" s="731"/>
      <c r="M551" s="730"/>
      <c r="N551" s="730"/>
      <c r="O551" s="732">
        <f t="shared" si="69"/>
        <v>0</v>
      </c>
      <c r="P551" s="731"/>
      <c r="Q551" s="731"/>
      <c r="R551" s="733">
        <f t="shared" si="72"/>
        <v>0</v>
      </c>
      <c r="S551" s="732">
        <f t="shared" si="73"/>
        <v>0</v>
      </c>
      <c r="T551" s="733">
        <f t="shared" si="74"/>
        <v>0</v>
      </c>
      <c r="U551" s="730">
        <v>450411</v>
      </c>
      <c r="V551" s="1150">
        <v>213329</v>
      </c>
      <c r="W551" s="730"/>
      <c r="X551" s="730"/>
      <c r="Y551" s="732">
        <f t="shared" si="70"/>
        <v>0</v>
      </c>
      <c r="Z551" s="731"/>
      <c r="AA551" s="731"/>
      <c r="AB551" s="733">
        <f t="shared" si="71"/>
        <v>0</v>
      </c>
      <c r="AC551" s="730"/>
      <c r="AD551" s="731"/>
      <c r="AE551" s="730"/>
      <c r="AF551" s="730"/>
      <c r="AG551" s="731"/>
      <c r="AH551" s="731"/>
      <c r="AI551" s="732">
        <f t="shared" si="75"/>
        <v>450411</v>
      </c>
      <c r="AJ551" s="733">
        <f t="shared" si="76"/>
        <v>213329</v>
      </c>
    </row>
    <row r="552" spans="1:36" ht="12.5">
      <c r="A552" s="894" t="s">
        <v>283</v>
      </c>
      <c r="B552" s="883" t="s">
        <v>176</v>
      </c>
      <c r="C552" s="904" t="s">
        <v>314</v>
      </c>
      <c r="D552" s="884"/>
      <c r="E552" s="899"/>
      <c r="F552" s="900">
        <v>99</v>
      </c>
      <c r="G552" s="730"/>
      <c r="H552" s="731"/>
      <c r="I552" s="730"/>
      <c r="J552" s="731"/>
      <c r="K552" s="730"/>
      <c r="L552" s="731"/>
      <c r="M552" s="730"/>
      <c r="N552" s="730"/>
      <c r="O552" s="732">
        <f t="shared" si="69"/>
        <v>0</v>
      </c>
      <c r="P552" s="731"/>
      <c r="Q552" s="731"/>
      <c r="R552" s="733">
        <f t="shared" si="72"/>
        <v>0</v>
      </c>
      <c r="S552" s="732">
        <f t="shared" si="73"/>
        <v>0</v>
      </c>
      <c r="T552" s="733">
        <f t="shared" si="74"/>
        <v>0</v>
      </c>
      <c r="U552" s="730"/>
      <c r="V552" s="731"/>
      <c r="W552" s="730"/>
      <c r="X552" s="730"/>
      <c r="Y552" s="732">
        <f t="shared" si="70"/>
        <v>0</v>
      </c>
      <c r="Z552" s="731"/>
      <c r="AA552" s="731"/>
      <c r="AB552" s="733">
        <f t="shared" si="71"/>
        <v>0</v>
      </c>
      <c r="AC552" s="730"/>
      <c r="AD552" s="731"/>
      <c r="AE552" s="730"/>
      <c r="AF552" s="730"/>
      <c r="AG552" s="731"/>
      <c r="AH552" s="731"/>
      <c r="AI552" s="732">
        <f t="shared" si="75"/>
        <v>0</v>
      </c>
      <c r="AJ552" s="733">
        <f t="shared" si="76"/>
        <v>0</v>
      </c>
    </row>
    <row r="553" spans="1:36" ht="12.5">
      <c r="A553" s="894" t="s">
        <v>283</v>
      </c>
      <c r="B553" s="883" t="s">
        <v>180</v>
      </c>
      <c r="C553" s="904" t="s">
        <v>165</v>
      </c>
      <c r="D553" s="884"/>
      <c r="E553" s="899"/>
      <c r="F553" s="900">
        <v>99</v>
      </c>
      <c r="G553" s="730"/>
      <c r="H553" s="731"/>
      <c r="I553" s="730"/>
      <c r="J553" s="731"/>
      <c r="K553" s="730"/>
      <c r="L553" s="731"/>
      <c r="M553" s="730"/>
      <c r="N553" s="730"/>
      <c r="O553" s="732">
        <f t="shared" si="69"/>
        <v>0</v>
      </c>
      <c r="P553" s="731"/>
      <c r="Q553" s="731"/>
      <c r="R553" s="733">
        <f t="shared" si="72"/>
        <v>0</v>
      </c>
      <c r="S553" s="732">
        <f t="shared" si="73"/>
        <v>0</v>
      </c>
      <c r="T553" s="733">
        <f t="shared" si="74"/>
        <v>0</v>
      </c>
      <c r="U553" s="730"/>
      <c r="V553" s="731"/>
      <c r="W553" s="730"/>
      <c r="X553" s="730"/>
      <c r="Y553" s="732">
        <f t="shared" si="70"/>
        <v>0</v>
      </c>
      <c r="Z553" s="731"/>
      <c r="AA553" s="731"/>
      <c r="AB553" s="733">
        <f t="shared" si="71"/>
        <v>0</v>
      </c>
      <c r="AC553" s="730"/>
      <c r="AD553" s="731"/>
      <c r="AE553" s="730"/>
      <c r="AF553" s="730"/>
      <c r="AG553" s="731"/>
      <c r="AH553" s="731"/>
      <c r="AI553" s="732">
        <f t="shared" si="75"/>
        <v>0</v>
      </c>
      <c r="AJ553" s="733">
        <f t="shared" si="76"/>
        <v>0</v>
      </c>
    </row>
    <row r="554" spans="1:36" ht="12.5">
      <c r="A554" s="894" t="s">
        <v>283</v>
      </c>
      <c r="B554" s="883" t="s">
        <v>178</v>
      </c>
      <c r="C554" s="904" t="s">
        <v>167</v>
      </c>
      <c r="D554" s="884"/>
      <c r="E554" s="899"/>
      <c r="F554" s="900">
        <v>99</v>
      </c>
      <c r="G554" s="730"/>
      <c r="H554" s="731"/>
      <c r="I554" s="730"/>
      <c r="J554" s="731"/>
      <c r="K554" s="730"/>
      <c r="L554" s="731"/>
      <c r="M554" s="730"/>
      <c r="N554" s="730"/>
      <c r="O554" s="732">
        <f t="shared" si="69"/>
        <v>0</v>
      </c>
      <c r="P554" s="731"/>
      <c r="Q554" s="731"/>
      <c r="R554" s="733">
        <f t="shared" si="72"/>
        <v>0</v>
      </c>
      <c r="S554" s="732">
        <f t="shared" si="73"/>
        <v>0</v>
      </c>
      <c r="T554" s="733">
        <f t="shared" si="74"/>
        <v>0</v>
      </c>
      <c r="U554" s="730"/>
      <c r="V554" s="1151">
        <v>396691</v>
      </c>
      <c r="W554" s="730"/>
      <c r="X554" s="730"/>
      <c r="Y554" s="732">
        <f t="shared" si="70"/>
        <v>0</v>
      </c>
      <c r="Z554" s="731"/>
      <c r="AA554" s="731"/>
      <c r="AB554" s="733">
        <f t="shared" si="71"/>
        <v>0</v>
      </c>
      <c r="AC554" s="730"/>
      <c r="AD554" s="731"/>
      <c r="AE554" s="730"/>
      <c r="AF554" s="730"/>
      <c r="AG554" s="731"/>
      <c r="AH554" s="731"/>
      <c r="AI554" s="732">
        <f t="shared" si="75"/>
        <v>0</v>
      </c>
      <c r="AJ554" s="733">
        <f t="shared" si="76"/>
        <v>396691</v>
      </c>
    </row>
    <row r="555" spans="1:36">
      <c r="A555" s="894" t="s">
        <v>283</v>
      </c>
      <c r="B555" s="883" t="s">
        <v>161</v>
      </c>
      <c r="C555" s="909" t="s">
        <v>328</v>
      </c>
      <c r="D555" s="910" t="s">
        <v>1649</v>
      </c>
      <c r="E555" s="899"/>
      <c r="F555" s="900">
        <v>99</v>
      </c>
      <c r="G555" s="730"/>
      <c r="H555" s="731"/>
      <c r="I555" s="730"/>
      <c r="J555" s="731"/>
      <c r="K555" s="730"/>
      <c r="L555" s="731"/>
      <c r="M555" s="730"/>
      <c r="N555" s="730"/>
      <c r="O555" s="732">
        <f t="shared" si="69"/>
        <v>0</v>
      </c>
      <c r="P555" s="731"/>
      <c r="Q555" s="731"/>
      <c r="R555" s="733">
        <f t="shared" si="72"/>
        <v>0</v>
      </c>
      <c r="S555" s="732">
        <f t="shared" si="73"/>
        <v>0</v>
      </c>
      <c r="T555" s="733">
        <f t="shared" si="74"/>
        <v>0</v>
      </c>
      <c r="U555" s="730"/>
      <c r="V555" s="731"/>
      <c r="W555" s="730"/>
      <c r="X555" s="730"/>
      <c r="Y555" s="732">
        <f t="shared" si="70"/>
        <v>0</v>
      </c>
      <c r="Z555" s="731"/>
      <c r="AA555" s="731"/>
      <c r="AB555" s="733">
        <f t="shared" si="71"/>
        <v>0</v>
      </c>
      <c r="AC555" s="730"/>
      <c r="AD555" s="731"/>
      <c r="AE555" s="730"/>
      <c r="AF555" s="730"/>
      <c r="AG555" s="731"/>
      <c r="AH555" s="731"/>
      <c r="AI555" s="732">
        <f t="shared" si="75"/>
        <v>0</v>
      </c>
      <c r="AJ555" s="733">
        <f t="shared" si="76"/>
        <v>0</v>
      </c>
    </row>
    <row r="556" spans="1:36">
      <c r="A556" s="894" t="s">
        <v>283</v>
      </c>
      <c r="B556" s="883" t="s">
        <v>164</v>
      </c>
      <c r="C556" s="893" t="s">
        <v>165</v>
      </c>
      <c r="D556" s="890"/>
      <c r="E556" s="899"/>
      <c r="F556" s="900">
        <v>99</v>
      </c>
      <c r="G556" s="730"/>
      <c r="H556" s="731"/>
      <c r="I556" s="730"/>
      <c r="J556" s="731"/>
      <c r="K556" s="730"/>
      <c r="L556" s="731"/>
      <c r="M556" s="730"/>
      <c r="N556" s="730"/>
      <c r="O556" s="732">
        <f t="shared" si="69"/>
        <v>0</v>
      </c>
      <c r="P556" s="731"/>
      <c r="Q556" s="731"/>
      <c r="R556" s="733">
        <f t="shared" si="72"/>
        <v>0</v>
      </c>
      <c r="S556" s="732">
        <f t="shared" si="73"/>
        <v>0</v>
      </c>
      <c r="T556" s="733">
        <f t="shared" si="74"/>
        <v>0</v>
      </c>
      <c r="U556" s="730"/>
      <c r="V556" s="731"/>
      <c r="W556" s="730"/>
      <c r="X556" s="730"/>
      <c r="Y556" s="732">
        <f t="shared" si="70"/>
        <v>0</v>
      </c>
      <c r="Z556" s="731"/>
      <c r="AA556" s="731"/>
      <c r="AB556" s="733">
        <f t="shared" si="71"/>
        <v>0</v>
      </c>
      <c r="AC556" s="730"/>
      <c r="AD556" s="731"/>
      <c r="AE556" s="730"/>
      <c r="AF556" s="730"/>
      <c r="AG556" s="731"/>
      <c r="AH556" s="731"/>
      <c r="AI556" s="732">
        <f t="shared" si="75"/>
        <v>0</v>
      </c>
      <c r="AJ556" s="733">
        <f t="shared" si="76"/>
        <v>0</v>
      </c>
    </row>
    <row r="557" spans="1:36">
      <c r="A557" s="894" t="s">
        <v>283</v>
      </c>
      <c r="B557" s="883" t="s">
        <v>166</v>
      </c>
      <c r="C557" s="893" t="s">
        <v>167</v>
      </c>
      <c r="D557" s="890"/>
      <c r="E557" s="899"/>
      <c r="F557" s="900">
        <v>99</v>
      </c>
      <c r="G557" s="730"/>
      <c r="H557" s="731"/>
      <c r="I557" s="730"/>
      <c r="J557" s="731"/>
      <c r="K557" s="730"/>
      <c r="L557" s="731"/>
      <c r="M557" s="730"/>
      <c r="N557" s="730"/>
      <c r="O557" s="732">
        <f t="shared" si="69"/>
        <v>0</v>
      </c>
      <c r="P557" s="731"/>
      <c r="Q557" s="731"/>
      <c r="R557" s="733">
        <f t="shared" si="72"/>
        <v>0</v>
      </c>
      <c r="S557" s="732">
        <f t="shared" si="73"/>
        <v>0</v>
      </c>
      <c r="T557" s="733">
        <f t="shared" si="74"/>
        <v>0</v>
      </c>
      <c r="U557" s="730"/>
      <c r="V557" s="731"/>
      <c r="W557" s="730"/>
      <c r="X557" s="730"/>
      <c r="Y557" s="732">
        <f t="shared" si="70"/>
        <v>0</v>
      </c>
      <c r="Z557" s="731"/>
      <c r="AA557" s="731"/>
      <c r="AB557" s="733">
        <f t="shared" si="71"/>
        <v>0</v>
      </c>
      <c r="AC557" s="730"/>
      <c r="AD557" s="731"/>
      <c r="AE557" s="730"/>
      <c r="AF557" s="730"/>
      <c r="AG557" s="731"/>
      <c r="AH557" s="731"/>
      <c r="AI557" s="732">
        <f t="shared" si="75"/>
        <v>0</v>
      </c>
      <c r="AJ557" s="733">
        <f t="shared" si="76"/>
        <v>0</v>
      </c>
    </row>
    <row r="558" spans="1:36">
      <c r="A558" s="894" t="s">
        <v>283</v>
      </c>
      <c r="B558" s="883" t="s">
        <v>170</v>
      </c>
      <c r="C558" s="911" t="s">
        <v>313</v>
      </c>
      <c r="D558" s="890"/>
      <c r="E558" s="899"/>
      <c r="F558" s="900">
        <v>99</v>
      </c>
      <c r="G558" s="730"/>
      <c r="H558" s="731"/>
      <c r="I558" s="730"/>
      <c r="J558" s="731"/>
      <c r="K558" s="730"/>
      <c r="L558" s="731"/>
      <c r="M558" s="730"/>
      <c r="N558" s="730"/>
      <c r="O558" s="732">
        <f t="shared" si="69"/>
        <v>0</v>
      </c>
      <c r="P558" s="731"/>
      <c r="Q558" s="731"/>
      <c r="R558" s="733">
        <f t="shared" si="72"/>
        <v>0</v>
      </c>
      <c r="S558" s="732">
        <f t="shared" si="73"/>
        <v>0</v>
      </c>
      <c r="T558" s="733">
        <f t="shared" si="74"/>
        <v>0</v>
      </c>
      <c r="U558" s="730"/>
      <c r="V558" s="731"/>
      <c r="W558" s="730"/>
      <c r="X558" s="730"/>
      <c r="Y558" s="732">
        <f t="shared" si="70"/>
        <v>0</v>
      </c>
      <c r="Z558" s="731"/>
      <c r="AA558" s="731"/>
      <c r="AB558" s="733">
        <f t="shared" si="71"/>
        <v>0</v>
      </c>
      <c r="AC558" s="730"/>
      <c r="AD558" s="731"/>
      <c r="AE558" s="730"/>
      <c r="AF558" s="730"/>
      <c r="AG558" s="731"/>
      <c r="AH558" s="731"/>
      <c r="AI558" s="732">
        <f t="shared" si="75"/>
        <v>0</v>
      </c>
      <c r="AJ558" s="733">
        <f t="shared" si="76"/>
        <v>0</v>
      </c>
    </row>
    <row r="559" spans="1:36">
      <c r="A559" s="894" t="s">
        <v>283</v>
      </c>
      <c r="B559" s="883" t="s">
        <v>172</v>
      </c>
      <c r="C559" s="904" t="s">
        <v>165</v>
      </c>
      <c r="D559" s="903"/>
      <c r="E559" s="899"/>
      <c r="F559" s="900">
        <v>99</v>
      </c>
      <c r="G559" s="730"/>
      <c r="H559" s="731"/>
      <c r="I559" s="730"/>
      <c r="J559" s="731"/>
      <c r="K559" s="730"/>
      <c r="L559" s="731"/>
      <c r="M559" s="730"/>
      <c r="N559" s="730"/>
      <c r="O559" s="732">
        <f t="shared" si="69"/>
        <v>0</v>
      </c>
      <c r="P559" s="731"/>
      <c r="Q559" s="731"/>
      <c r="R559" s="733">
        <f t="shared" si="72"/>
        <v>0</v>
      </c>
      <c r="S559" s="732">
        <f t="shared" si="73"/>
        <v>0</v>
      </c>
      <c r="T559" s="733">
        <f t="shared" si="74"/>
        <v>0</v>
      </c>
      <c r="U559" s="730"/>
      <c r="V559" s="731"/>
      <c r="W559" s="730"/>
      <c r="X559" s="730"/>
      <c r="Y559" s="732">
        <f t="shared" si="70"/>
        <v>0</v>
      </c>
      <c r="Z559" s="731"/>
      <c r="AA559" s="731"/>
      <c r="AB559" s="733">
        <f t="shared" si="71"/>
        <v>0</v>
      </c>
      <c r="AC559" s="730"/>
      <c r="AD559" s="731"/>
      <c r="AE559" s="730"/>
      <c r="AF559" s="730"/>
      <c r="AG559" s="731"/>
      <c r="AH559" s="731"/>
      <c r="AI559" s="732">
        <f t="shared" si="75"/>
        <v>0</v>
      </c>
      <c r="AJ559" s="733">
        <f t="shared" si="76"/>
        <v>0</v>
      </c>
    </row>
    <row r="560" spans="1:36">
      <c r="A560" s="894" t="s">
        <v>283</v>
      </c>
      <c r="B560" s="883" t="s">
        <v>173</v>
      </c>
      <c r="C560" s="904" t="s">
        <v>167</v>
      </c>
      <c r="D560" s="903"/>
      <c r="E560" s="899"/>
      <c r="F560" s="900">
        <v>99</v>
      </c>
      <c r="G560" s="730"/>
      <c r="H560" s="731"/>
      <c r="I560" s="730"/>
      <c r="J560" s="731"/>
      <c r="K560" s="730"/>
      <c r="L560" s="731"/>
      <c r="M560" s="730"/>
      <c r="N560" s="730"/>
      <c r="O560" s="732">
        <f t="shared" si="69"/>
        <v>0</v>
      </c>
      <c r="P560" s="731"/>
      <c r="Q560" s="731"/>
      <c r="R560" s="733">
        <f t="shared" si="72"/>
        <v>0</v>
      </c>
      <c r="S560" s="732">
        <f t="shared" si="73"/>
        <v>0</v>
      </c>
      <c r="T560" s="733">
        <f t="shared" si="74"/>
        <v>0</v>
      </c>
      <c r="U560" s="730"/>
      <c r="V560" s="731"/>
      <c r="W560" s="730"/>
      <c r="X560" s="730"/>
      <c r="Y560" s="732">
        <f t="shared" si="70"/>
        <v>0</v>
      </c>
      <c r="Z560" s="731"/>
      <c r="AA560" s="731"/>
      <c r="AB560" s="733">
        <f t="shared" si="71"/>
        <v>0</v>
      </c>
      <c r="AC560" s="730"/>
      <c r="AD560" s="731"/>
      <c r="AE560" s="730"/>
      <c r="AF560" s="730"/>
      <c r="AG560" s="731"/>
      <c r="AH560" s="731"/>
      <c r="AI560" s="732">
        <f t="shared" si="75"/>
        <v>0</v>
      </c>
      <c r="AJ560" s="733">
        <f t="shared" si="76"/>
        <v>0</v>
      </c>
    </row>
    <row r="561" spans="1:36">
      <c r="A561" s="894" t="s">
        <v>283</v>
      </c>
      <c r="B561" s="883" t="s">
        <v>176</v>
      </c>
      <c r="C561" s="904" t="s">
        <v>314</v>
      </c>
      <c r="D561" s="903"/>
      <c r="E561" s="899"/>
      <c r="F561" s="900">
        <v>99</v>
      </c>
      <c r="G561" s="730"/>
      <c r="H561" s="731"/>
      <c r="I561" s="730"/>
      <c r="J561" s="731"/>
      <c r="K561" s="730"/>
      <c r="L561" s="731"/>
      <c r="M561" s="730"/>
      <c r="N561" s="730"/>
      <c r="O561" s="732">
        <f t="shared" si="69"/>
        <v>0</v>
      </c>
      <c r="P561" s="731"/>
      <c r="Q561" s="731"/>
      <c r="R561" s="733">
        <f t="shared" si="72"/>
        <v>0</v>
      </c>
      <c r="S561" s="732">
        <f t="shared" si="73"/>
        <v>0</v>
      </c>
      <c r="T561" s="733">
        <f t="shared" si="74"/>
        <v>0</v>
      </c>
      <c r="U561" s="730"/>
      <c r="V561" s="731"/>
      <c r="W561" s="730"/>
      <c r="X561" s="730"/>
      <c r="Y561" s="732">
        <f t="shared" si="70"/>
        <v>0</v>
      </c>
      <c r="Z561" s="731"/>
      <c r="AA561" s="731"/>
      <c r="AB561" s="733">
        <f t="shared" si="71"/>
        <v>0</v>
      </c>
      <c r="AC561" s="730"/>
      <c r="AD561" s="731"/>
      <c r="AE561" s="730"/>
      <c r="AF561" s="730"/>
      <c r="AG561" s="731"/>
      <c r="AH561" s="731"/>
      <c r="AI561" s="732">
        <f t="shared" si="75"/>
        <v>0</v>
      </c>
      <c r="AJ561" s="733">
        <f t="shared" si="76"/>
        <v>0</v>
      </c>
    </row>
    <row r="562" spans="1:36">
      <c r="A562" s="894" t="s">
        <v>283</v>
      </c>
      <c r="B562" s="883" t="s">
        <v>180</v>
      </c>
      <c r="C562" s="904" t="s">
        <v>165</v>
      </c>
      <c r="D562" s="903"/>
      <c r="E562" s="899"/>
      <c r="F562" s="900">
        <v>99</v>
      </c>
      <c r="G562" s="730"/>
      <c r="H562" s="731"/>
      <c r="I562" s="730"/>
      <c r="J562" s="731"/>
      <c r="K562" s="730"/>
      <c r="L562" s="731"/>
      <c r="M562" s="730"/>
      <c r="N562" s="730"/>
      <c r="O562" s="732">
        <f t="shared" si="69"/>
        <v>0</v>
      </c>
      <c r="P562" s="731"/>
      <c r="Q562" s="731"/>
      <c r="R562" s="733">
        <f t="shared" si="72"/>
        <v>0</v>
      </c>
      <c r="S562" s="732">
        <f t="shared" si="73"/>
        <v>0</v>
      </c>
      <c r="T562" s="733">
        <f t="shared" si="74"/>
        <v>0</v>
      </c>
      <c r="U562" s="730"/>
      <c r="V562" s="731"/>
      <c r="W562" s="730"/>
      <c r="X562" s="730"/>
      <c r="Y562" s="732">
        <f t="shared" si="70"/>
        <v>0</v>
      </c>
      <c r="Z562" s="731"/>
      <c r="AA562" s="731"/>
      <c r="AB562" s="733">
        <f t="shared" si="71"/>
        <v>0</v>
      </c>
      <c r="AC562" s="730"/>
      <c r="AD562" s="731"/>
      <c r="AE562" s="730"/>
      <c r="AF562" s="730"/>
      <c r="AG562" s="731"/>
      <c r="AH562" s="731"/>
      <c r="AI562" s="732">
        <f t="shared" si="75"/>
        <v>0</v>
      </c>
      <c r="AJ562" s="733">
        <f t="shared" si="76"/>
        <v>0</v>
      </c>
    </row>
    <row r="563" spans="1:36">
      <c r="A563" s="894" t="s">
        <v>283</v>
      </c>
      <c r="B563" s="883" t="s">
        <v>178</v>
      </c>
      <c r="C563" s="904" t="s">
        <v>167</v>
      </c>
      <c r="D563" s="903"/>
      <c r="E563" s="899"/>
      <c r="F563" s="900">
        <v>99</v>
      </c>
      <c r="G563" s="730"/>
      <c r="H563" s="731"/>
      <c r="I563" s="730"/>
      <c r="J563" s="731"/>
      <c r="K563" s="730"/>
      <c r="L563" s="731"/>
      <c r="M563" s="730"/>
      <c r="N563" s="730"/>
      <c r="O563" s="732">
        <f t="shared" si="69"/>
        <v>0</v>
      </c>
      <c r="P563" s="731"/>
      <c r="Q563" s="731"/>
      <c r="R563" s="733">
        <f t="shared" si="72"/>
        <v>0</v>
      </c>
      <c r="S563" s="732">
        <f t="shared" si="73"/>
        <v>0</v>
      </c>
      <c r="T563" s="733">
        <f t="shared" si="74"/>
        <v>0</v>
      </c>
      <c r="U563" s="730"/>
      <c r="V563" s="731"/>
      <c r="W563" s="730"/>
      <c r="X563" s="730"/>
      <c r="Y563" s="732">
        <f t="shared" si="70"/>
        <v>0</v>
      </c>
      <c r="Z563" s="731"/>
      <c r="AA563" s="731"/>
      <c r="AB563" s="733">
        <f t="shared" si="71"/>
        <v>0</v>
      </c>
      <c r="AC563" s="730"/>
      <c r="AD563" s="731"/>
      <c r="AE563" s="730"/>
      <c r="AF563" s="730"/>
      <c r="AG563" s="731"/>
      <c r="AH563" s="731"/>
      <c r="AI563" s="732">
        <f t="shared" si="75"/>
        <v>0</v>
      </c>
      <c r="AJ563" s="733">
        <f t="shared" si="76"/>
        <v>0</v>
      </c>
    </row>
    <row r="564" spans="1:36">
      <c r="A564" s="894" t="s">
        <v>283</v>
      </c>
      <c r="B564" s="883" t="s">
        <v>161</v>
      </c>
      <c r="C564" s="909" t="s">
        <v>329</v>
      </c>
      <c r="D564" s="910"/>
      <c r="E564" s="899"/>
      <c r="F564" s="900">
        <v>99</v>
      </c>
      <c r="G564" s="730"/>
      <c r="H564" s="731"/>
      <c r="I564" s="730"/>
      <c r="J564" s="731"/>
      <c r="K564" s="730"/>
      <c r="L564" s="731"/>
      <c r="M564" s="730"/>
      <c r="N564" s="730"/>
      <c r="O564" s="732">
        <f t="shared" si="69"/>
        <v>0</v>
      </c>
      <c r="P564" s="731"/>
      <c r="Q564" s="731"/>
      <c r="R564" s="733">
        <f t="shared" si="72"/>
        <v>0</v>
      </c>
      <c r="S564" s="732">
        <f t="shared" si="73"/>
        <v>0</v>
      </c>
      <c r="T564" s="733">
        <f t="shared" si="74"/>
        <v>0</v>
      </c>
      <c r="U564" s="730"/>
      <c r="V564" s="731"/>
      <c r="W564" s="730"/>
      <c r="X564" s="730"/>
      <c r="Y564" s="732">
        <f t="shared" si="70"/>
        <v>0</v>
      </c>
      <c r="Z564" s="731"/>
      <c r="AA564" s="731"/>
      <c r="AB564" s="733">
        <f t="shared" si="71"/>
        <v>0</v>
      </c>
      <c r="AC564" s="730"/>
      <c r="AD564" s="731"/>
      <c r="AE564" s="730"/>
      <c r="AF564" s="730"/>
      <c r="AG564" s="731"/>
      <c r="AH564" s="731"/>
      <c r="AI564" s="732">
        <f t="shared" si="75"/>
        <v>0</v>
      </c>
      <c r="AJ564" s="733">
        <f t="shared" si="76"/>
        <v>0</v>
      </c>
    </row>
    <row r="565" spans="1:36">
      <c r="A565" s="894" t="s">
        <v>283</v>
      </c>
      <c r="B565" s="883" t="s">
        <v>164</v>
      </c>
      <c r="C565" s="893" t="s">
        <v>165</v>
      </c>
      <c r="D565" s="890"/>
      <c r="E565" s="899"/>
      <c r="F565" s="900">
        <v>99</v>
      </c>
      <c r="G565" s="730"/>
      <c r="H565" s="731"/>
      <c r="I565" s="730"/>
      <c r="J565" s="731"/>
      <c r="K565" s="730"/>
      <c r="L565" s="731"/>
      <c r="M565" s="730"/>
      <c r="N565" s="730"/>
      <c r="O565" s="732">
        <f t="shared" si="69"/>
        <v>0</v>
      </c>
      <c r="P565" s="731"/>
      <c r="Q565" s="731"/>
      <c r="R565" s="733">
        <f t="shared" si="72"/>
        <v>0</v>
      </c>
      <c r="S565" s="732">
        <f t="shared" si="73"/>
        <v>0</v>
      </c>
      <c r="T565" s="733">
        <f t="shared" si="74"/>
        <v>0</v>
      </c>
      <c r="U565" s="730"/>
      <c r="V565" s="731"/>
      <c r="W565" s="730"/>
      <c r="X565" s="730"/>
      <c r="Y565" s="732">
        <f t="shared" si="70"/>
        <v>0</v>
      </c>
      <c r="Z565" s="731"/>
      <c r="AA565" s="731"/>
      <c r="AB565" s="733">
        <f t="shared" si="71"/>
        <v>0</v>
      </c>
      <c r="AC565" s="730"/>
      <c r="AD565" s="731"/>
      <c r="AE565" s="730"/>
      <c r="AF565" s="730"/>
      <c r="AG565" s="731"/>
      <c r="AH565" s="731"/>
      <c r="AI565" s="732">
        <f t="shared" si="75"/>
        <v>0</v>
      </c>
      <c r="AJ565" s="733">
        <f t="shared" si="76"/>
        <v>0</v>
      </c>
    </row>
    <row r="566" spans="1:36">
      <c r="A566" s="894" t="s">
        <v>283</v>
      </c>
      <c r="B566" s="883" t="s">
        <v>166</v>
      </c>
      <c r="C566" s="893" t="s">
        <v>167</v>
      </c>
      <c r="D566" s="890"/>
      <c r="E566" s="899"/>
      <c r="F566" s="900">
        <v>99</v>
      </c>
      <c r="G566" s="730"/>
      <c r="H566" s="731"/>
      <c r="I566" s="730"/>
      <c r="J566" s="731"/>
      <c r="K566" s="730"/>
      <c r="L566" s="731"/>
      <c r="M566" s="730"/>
      <c r="N566" s="730"/>
      <c r="O566" s="732">
        <f t="shared" si="69"/>
        <v>0</v>
      </c>
      <c r="P566" s="731"/>
      <c r="Q566" s="731"/>
      <c r="R566" s="733">
        <f t="shared" si="72"/>
        <v>0</v>
      </c>
      <c r="S566" s="732">
        <f t="shared" si="73"/>
        <v>0</v>
      </c>
      <c r="T566" s="733">
        <f t="shared" si="74"/>
        <v>0</v>
      </c>
      <c r="U566" s="730"/>
      <c r="V566" s="731"/>
      <c r="W566" s="730"/>
      <c r="X566" s="730"/>
      <c r="Y566" s="732">
        <f t="shared" si="70"/>
        <v>0</v>
      </c>
      <c r="Z566" s="731"/>
      <c r="AA566" s="731"/>
      <c r="AB566" s="733">
        <f t="shared" si="71"/>
        <v>0</v>
      </c>
      <c r="AC566" s="730"/>
      <c r="AD566" s="731"/>
      <c r="AE566" s="730"/>
      <c r="AF566" s="730"/>
      <c r="AG566" s="731"/>
      <c r="AH566" s="731"/>
      <c r="AI566" s="732">
        <f t="shared" si="75"/>
        <v>0</v>
      </c>
      <c r="AJ566" s="733">
        <f t="shared" si="76"/>
        <v>0</v>
      </c>
    </row>
    <row r="567" spans="1:36">
      <c r="A567" s="894" t="s">
        <v>283</v>
      </c>
      <c r="B567" s="883" t="s">
        <v>170</v>
      </c>
      <c r="C567" s="911" t="s">
        <v>313</v>
      </c>
      <c r="D567" s="890"/>
      <c r="E567" s="899"/>
      <c r="F567" s="900">
        <v>99</v>
      </c>
      <c r="G567" s="730"/>
      <c r="H567" s="731"/>
      <c r="I567" s="730"/>
      <c r="J567" s="731"/>
      <c r="K567" s="730"/>
      <c r="L567" s="731"/>
      <c r="M567" s="730"/>
      <c r="N567" s="730"/>
      <c r="O567" s="732">
        <f t="shared" si="69"/>
        <v>0</v>
      </c>
      <c r="P567" s="731"/>
      <c r="Q567" s="731"/>
      <c r="R567" s="733">
        <f t="shared" si="72"/>
        <v>0</v>
      </c>
      <c r="S567" s="732">
        <f t="shared" si="73"/>
        <v>0</v>
      </c>
      <c r="T567" s="733">
        <f t="shared" si="74"/>
        <v>0</v>
      </c>
      <c r="U567" s="730"/>
      <c r="V567" s="731"/>
      <c r="W567" s="730"/>
      <c r="X567" s="730"/>
      <c r="Y567" s="732">
        <f t="shared" si="70"/>
        <v>0</v>
      </c>
      <c r="Z567" s="731"/>
      <c r="AA567" s="731"/>
      <c r="AB567" s="733">
        <f t="shared" si="71"/>
        <v>0</v>
      </c>
      <c r="AC567" s="730"/>
      <c r="AD567" s="731"/>
      <c r="AE567" s="730"/>
      <c r="AF567" s="730"/>
      <c r="AG567" s="731"/>
      <c r="AH567" s="731"/>
      <c r="AI567" s="732">
        <f t="shared" si="75"/>
        <v>0</v>
      </c>
      <c r="AJ567" s="733">
        <f t="shared" si="76"/>
        <v>0</v>
      </c>
    </row>
    <row r="568" spans="1:36">
      <c r="A568" s="894" t="s">
        <v>283</v>
      </c>
      <c r="B568" s="883" t="s">
        <v>172</v>
      </c>
      <c r="C568" s="904" t="s">
        <v>165</v>
      </c>
      <c r="D568" s="903"/>
      <c r="E568" s="899"/>
      <c r="F568" s="900">
        <v>99</v>
      </c>
      <c r="G568" s="730"/>
      <c r="H568" s="731"/>
      <c r="I568" s="730"/>
      <c r="J568" s="731"/>
      <c r="K568" s="730"/>
      <c r="L568" s="731"/>
      <c r="M568" s="730"/>
      <c r="N568" s="730"/>
      <c r="O568" s="732">
        <f t="shared" si="69"/>
        <v>0</v>
      </c>
      <c r="P568" s="731"/>
      <c r="Q568" s="731"/>
      <c r="R568" s="733">
        <f t="shared" si="72"/>
        <v>0</v>
      </c>
      <c r="S568" s="732">
        <f t="shared" si="73"/>
        <v>0</v>
      </c>
      <c r="T568" s="733">
        <f t="shared" si="74"/>
        <v>0</v>
      </c>
      <c r="U568" s="730"/>
      <c r="V568" s="731"/>
      <c r="W568" s="730"/>
      <c r="X568" s="730"/>
      <c r="Y568" s="732">
        <f t="shared" si="70"/>
        <v>0</v>
      </c>
      <c r="Z568" s="731"/>
      <c r="AA568" s="731"/>
      <c r="AB568" s="733">
        <f t="shared" si="71"/>
        <v>0</v>
      </c>
      <c r="AC568" s="730"/>
      <c r="AD568" s="731"/>
      <c r="AE568" s="730"/>
      <c r="AF568" s="730"/>
      <c r="AG568" s="731"/>
      <c r="AH568" s="731"/>
      <c r="AI568" s="732">
        <f t="shared" si="75"/>
        <v>0</v>
      </c>
      <c r="AJ568" s="733">
        <f t="shared" si="76"/>
        <v>0</v>
      </c>
    </row>
    <row r="569" spans="1:36">
      <c r="A569" s="894" t="s">
        <v>283</v>
      </c>
      <c r="B569" s="883" t="s">
        <v>173</v>
      </c>
      <c r="C569" s="904" t="s">
        <v>167</v>
      </c>
      <c r="D569" s="903"/>
      <c r="E569" s="899"/>
      <c r="F569" s="900">
        <v>99</v>
      </c>
      <c r="G569" s="730"/>
      <c r="H569" s="731"/>
      <c r="I569" s="730"/>
      <c r="J569" s="731"/>
      <c r="K569" s="730"/>
      <c r="L569" s="731"/>
      <c r="M569" s="730"/>
      <c r="N569" s="730"/>
      <c r="O569" s="732">
        <f t="shared" si="69"/>
        <v>0</v>
      </c>
      <c r="P569" s="731"/>
      <c r="Q569" s="731"/>
      <c r="R569" s="733">
        <f t="shared" si="72"/>
        <v>0</v>
      </c>
      <c r="S569" s="732">
        <f t="shared" si="73"/>
        <v>0</v>
      </c>
      <c r="T569" s="733">
        <f t="shared" si="74"/>
        <v>0</v>
      </c>
      <c r="U569" s="730"/>
      <c r="V569" s="731"/>
      <c r="W569" s="730"/>
      <c r="X569" s="730"/>
      <c r="Y569" s="732">
        <f t="shared" si="70"/>
        <v>0</v>
      </c>
      <c r="Z569" s="731"/>
      <c r="AA569" s="731"/>
      <c r="AB569" s="733">
        <f t="shared" si="71"/>
        <v>0</v>
      </c>
      <c r="AC569" s="730"/>
      <c r="AD569" s="731"/>
      <c r="AE569" s="730"/>
      <c r="AF569" s="730"/>
      <c r="AG569" s="731"/>
      <c r="AH569" s="731"/>
      <c r="AI569" s="732">
        <f t="shared" si="75"/>
        <v>0</v>
      </c>
      <c r="AJ569" s="733">
        <f t="shared" si="76"/>
        <v>0</v>
      </c>
    </row>
    <row r="570" spans="1:36">
      <c r="A570" s="894" t="s">
        <v>283</v>
      </c>
      <c r="B570" s="883" t="s">
        <v>176</v>
      </c>
      <c r="C570" s="904" t="s">
        <v>314</v>
      </c>
      <c r="D570" s="903"/>
      <c r="E570" s="899"/>
      <c r="F570" s="900">
        <v>99</v>
      </c>
      <c r="G570" s="730"/>
      <c r="H570" s="731"/>
      <c r="I570" s="730"/>
      <c r="J570" s="731"/>
      <c r="K570" s="730"/>
      <c r="L570" s="731"/>
      <c r="M570" s="730"/>
      <c r="N570" s="730"/>
      <c r="O570" s="732">
        <f t="shared" si="69"/>
        <v>0</v>
      </c>
      <c r="P570" s="731"/>
      <c r="Q570" s="731"/>
      <c r="R570" s="733">
        <f t="shared" si="72"/>
        <v>0</v>
      </c>
      <c r="S570" s="732">
        <f t="shared" si="73"/>
        <v>0</v>
      </c>
      <c r="T570" s="733">
        <f t="shared" si="74"/>
        <v>0</v>
      </c>
      <c r="U570" s="730"/>
      <c r="V570" s="731"/>
      <c r="W570" s="730"/>
      <c r="X570" s="730"/>
      <c r="Y570" s="732">
        <f t="shared" si="70"/>
        <v>0</v>
      </c>
      <c r="Z570" s="731"/>
      <c r="AA570" s="731"/>
      <c r="AB570" s="733">
        <f t="shared" si="71"/>
        <v>0</v>
      </c>
      <c r="AC570" s="730"/>
      <c r="AD570" s="731"/>
      <c r="AE570" s="730"/>
      <c r="AF570" s="730"/>
      <c r="AG570" s="731"/>
      <c r="AH570" s="731"/>
      <c r="AI570" s="732">
        <f t="shared" si="75"/>
        <v>0</v>
      </c>
      <c r="AJ570" s="733">
        <f t="shared" si="76"/>
        <v>0</v>
      </c>
    </row>
    <row r="571" spans="1:36">
      <c r="A571" s="894" t="s">
        <v>283</v>
      </c>
      <c r="B571" s="883" t="s">
        <v>180</v>
      </c>
      <c r="C571" s="904" t="s">
        <v>165</v>
      </c>
      <c r="D571" s="903"/>
      <c r="E571" s="899"/>
      <c r="F571" s="900">
        <v>99</v>
      </c>
      <c r="G571" s="730"/>
      <c r="H571" s="731"/>
      <c r="I571" s="730"/>
      <c r="J571" s="731"/>
      <c r="K571" s="730"/>
      <c r="L571" s="731"/>
      <c r="M571" s="730"/>
      <c r="N571" s="730"/>
      <c r="O571" s="732">
        <f t="shared" si="69"/>
        <v>0</v>
      </c>
      <c r="P571" s="731"/>
      <c r="Q571" s="731"/>
      <c r="R571" s="733">
        <f t="shared" si="72"/>
        <v>0</v>
      </c>
      <c r="S571" s="732">
        <f t="shared" si="73"/>
        <v>0</v>
      </c>
      <c r="T571" s="733">
        <f t="shared" si="74"/>
        <v>0</v>
      </c>
      <c r="U571" s="730"/>
      <c r="V571" s="731"/>
      <c r="W571" s="730"/>
      <c r="X571" s="730"/>
      <c r="Y571" s="732">
        <f t="shared" si="70"/>
        <v>0</v>
      </c>
      <c r="Z571" s="731"/>
      <c r="AA571" s="731"/>
      <c r="AB571" s="733">
        <f t="shared" si="71"/>
        <v>0</v>
      </c>
      <c r="AC571" s="730"/>
      <c r="AD571" s="731"/>
      <c r="AE571" s="730"/>
      <c r="AF571" s="730"/>
      <c r="AG571" s="731"/>
      <c r="AH571" s="731"/>
      <c r="AI571" s="732">
        <f t="shared" si="75"/>
        <v>0</v>
      </c>
      <c r="AJ571" s="733">
        <f t="shared" si="76"/>
        <v>0</v>
      </c>
    </row>
    <row r="572" spans="1:36">
      <c r="A572" s="894" t="s">
        <v>283</v>
      </c>
      <c r="B572" s="883" t="s">
        <v>178</v>
      </c>
      <c r="C572" s="904" t="s">
        <v>167</v>
      </c>
      <c r="D572" s="903"/>
      <c r="E572" s="899"/>
      <c r="F572" s="900">
        <v>99</v>
      </c>
      <c r="G572" s="730"/>
      <c r="H572" s="731"/>
      <c r="I572" s="730"/>
      <c r="J572" s="731"/>
      <c r="K572" s="730"/>
      <c r="L572" s="731"/>
      <c r="M572" s="730"/>
      <c r="N572" s="730"/>
      <c r="O572" s="732">
        <f t="shared" si="69"/>
        <v>0</v>
      </c>
      <c r="P572" s="731"/>
      <c r="Q572" s="731"/>
      <c r="R572" s="733">
        <f t="shared" si="72"/>
        <v>0</v>
      </c>
      <c r="S572" s="732">
        <f t="shared" si="73"/>
        <v>0</v>
      </c>
      <c r="T572" s="733">
        <f t="shared" si="74"/>
        <v>0</v>
      </c>
      <c r="U572" s="730"/>
      <c r="V572" s="731"/>
      <c r="W572" s="730"/>
      <c r="X572" s="730"/>
      <c r="Y572" s="732">
        <f t="shared" si="70"/>
        <v>0</v>
      </c>
      <c r="Z572" s="731"/>
      <c r="AA572" s="731"/>
      <c r="AB572" s="733">
        <f t="shared" si="71"/>
        <v>0</v>
      </c>
      <c r="AC572" s="730"/>
      <c r="AD572" s="731"/>
      <c r="AE572" s="730"/>
      <c r="AF572" s="730"/>
      <c r="AG572" s="731"/>
      <c r="AH572" s="731"/>
      <c r="AI572" s="732">
        <f t="shared" si="75"/>
        <v>0</v>
      </c>
      <c r="AJ572" s="733">
        <f t="shared" si="76"/>
        <v>0</v>
      </c>
    </row>
    <row r="573" spans="1:36">
      <c r="A573" s="894" t="s">
        <v>283</v>
      </c>
      <c r="B573" s="883" t="s">
        <v>161</v>
      </c>
      <c r="C573" s="909" t="s">
        <v>330</v>
      </c>
      <c r="D573" s="890"/>
      <c r="E573" s="899"/>
      <c r="F573" s="900">
        <v>99</v>
      </c>
      <c r="G573" s="730"/>
      <c r="H573" s="731"/>
      <c r="I573" s="730"/>
      <c r="J573" s="731"/>
      <c r="K573" s="730"/>
      <c r="L573" s="731"/>
      <c r="M573" s="730"/>
      <c r="N573" s="730"/>
      <c r="O573" s="732">
        <f t="shared" si="69"/>
        <v>0</v>
      </c>
      <c r="P573" s="731"/>
      <c r="Q573" s="731"/>
      <c r="R573" s="733">
        <f t="shared" si="72"/>
        <v>0</v>
      </c>
      <c r="S573" s="732">
        <f t="shared" si="73"/>
        <v>0</v>
      </c>
      <c r="T573" s="733">
        <f t="shared" si="74"/>
        <v>0</v>
      </c>
      <c r="U573" s="730"/>
      <c r="V573" s="731"/>
      <c r="W573" s="730"/>
      <c r="X573" s="730"/>
      <c r="Y573" s="732">
        <f t="shared" si="70"/>
        <v>0</v>
      </c>
      <c r="Z573" s="731"/>
      <c r="AA573" s="731"/>
      <c r="AB573" s="733">
        <f t="shared" si="71"/>
        <v>0</v>
      </c>
      <c r="AC573" s="730"/>
      <c r="AD573" s="731"/>
      <c r="AE573" s="730"/>
      <c r="AF573" s="730"/>
      <c r="AG573" s="731"/>
      <c r="AH573" s="731"/>
      <c r="AI573" s="732">
        <f t="shared" si="75"/>
        <v>0</v>
      </c>
      <c r="AJ573" s="733">
        <f t="shared" si="76"/>
        <v>0</v>
      </c>
    </row>
    <row r="574" spans="1:36">
      <c r="A574" s="894" t="s">
        <v>283</v>
      </c>
      <c r="B574" s="883" t="s">
        <v>164</v>
      </c>
      <c r="C574" s="893" t="s">
        <v>165</v>
      </c>
      <c r="D574" s="890"/>
      <c r="E574" s="899"/>
      <c r="F574" s="900">
        <v>99</v>
      </c>
      <c r="G574" s="730"/>
      <c r="H574" s="731"/>
      <c r="I574" s="730"/>
      <c r="J574" s="731"/>
      <c r="K574" s="730"/>
      <c r="L574" s="731"/>
      <c r="M574" s="730"/>
      <c r="N574" s="730"/>
      <c r="O574" s="732">
        <f t="shared" si="69"/>
        <v>0</v>
      </c>
      <c r="P574" s="731"/>
      <c r="Q574" s="731"/>
      <c r="R574" s="733">
        <f t="shared" si="72"/>
        <v>0</v>
      </c>
      <c r="S574" s="732">
        <f t="shared" si="73"/>
        <v>0</v>
      </c>
      <c r="T574" s="733">
        <f t="shared" si="74"/>
        <v>0</v>
      </c>
      <c r="U574" s="730"/>
      <c r="V574" s="731"/>
      <c r="W574" s="730"/>
      <c r="X574" s="730"/>
      <c r="Y574" s="732">
        <f t="shared" si="70"/>
        <v>0</v>
      </c>
      <c r="Z574" s="731"/>
      <c r="AA574" s="731"/>
      <c r="AB574" s="733">
        <f t="shared" si="71"/>
        <v>0</v>
      </c>
      <c r="AC574" s="730"/>
      <c r="AD574" s="731"/>
      <c r="AE574" s="730"/>
      <c r="AF574" s="730"/>
      <c r="AG574" s="731"/>
      <c r="AH574" s="731"/>
      <c r="AI574" s="732">
        <f t="shared" si="75"/>
        <v>0</v>
      </c>
      <c r="AJ574" s="733">
        <f t="shared" si="76"/>
        <v>0</v>
      </c>
    </row>
    <row r="575" spans="1:36">
      <c r="A575" s="894" t="s">
        <v>283</v>
      </c>
      <c r="B575" s="883" t="s">
        <v>166</v>
      </c>
      <c r="C575" s="893" t="s">
        <v>167</v>
      </c>
      <c r="D575" s="890"/>
      <c r="E575" s="899"/>
      <c r="F575" s="900">
        <v>99</v>
      </c>
      <c r="G575" s="730"/>
      <c r="H575" s="731"/>
      <c r="I575" s="730"/>
      <c r="J575" s="731"/>
      <c r="K575" s="730"/>
      <c r="L575" s="731"/>
      <c r="M575" s="730"/>
      <c r="N575" s="730"/>
      <c r="O575" s="732">
        <f t="shared" si="69"/>
        <v>0</v>
      </c>
      <c r="P575" s="731"/>
      <c r="Q575" s="731"/>
      <c r="R575" s="733">
        <f t="shared" si="72"/>
        <v>0</v>
      </c>
      <c r="S575" s="732">
        <f t="shared" si="73"/>
        <v>0</v>
      </c>
      <c r="T575" s="733">
        <f t="shared" si="74"/>
        <v>0</v>
      </c>
      <c r="U575" s="730">
        <v>2352968</v>
      </c>
      <c r="V575" s="731">
        <v>2607442</v>
      </c>
      <c r="W575" s="730"/>
      <c r="X575" s="730"/>
      <c r="Y575" s="732">
        <f t="shared" si="70"/>
        <v>0</v>
      </c>
      <c r="Z575" s="731"/>
      <c r="AA575" s="731"/>
      <c r="AB575" s="733">
        <f t="shared" si="71"/>
        <v>0</v>
      </c>
      <c r="AC575" s="730"/>
      <c r="AD575" s="731"/>
      <c r="AE575" s="730"/>
      <c r="AF575" s="730"/>
      <c r="AG575" s="731"/>
      <c r="AH575" s="731"/>
      <c r="AI575" s="732">
        <f t="shared" si="75"/>
        <v>2352968</v>
      </c>
      <c r="AJ575" s="733">
        <f t="shared" si="76"/>
        <v>2607442</v>
      </c>
    </row>
    <row r="576" spans="1:36">
      <c r="A576" s="894" t="s">
        <v>283</v>
      </c>
      <c r="B576" s="883" t="s">
        <v>170</v>
      </c>
      <c r="C576" s="911" t="s">
        <v>313</v>
      </c>
      <c r="D576" s="890"/>
      <c r="E576" s="899"/>
      <c r="F576" s="900">
        <v>99</v>
      </c>
      <c r="G576" s="730"/>
      <c r="H576" s="731"/>
      <c r="I576" s="730"/>
      <c r="J576" s="731"/>
      <c r="K576" s="730"/>
      <c r="L576" s="731"/>
      <c r="M576" s="730"/>
      <c r="N576" s="730"/>
      <c r="O576" s="732">
        <f t="shared" si="69"/>
        <v>0</v>
      </c>
      <c r="P576" s="731"/>
      <c r="Q576" s="731"/>
      <c r="R576" s="733">
        <f t="shared" si="72"/>
        <v>0</v>
      </c>
      <c r="S576" s="732">
        <f t="shared" si="73"/>
        <v>0</v>
      </c>
      <c r="T576" s="733">
        <f t="shared" si="74"/>
        <v>0</v>
      </c>
      <c r="U576" s="730"/>
      <c r="V576" s="731"/>
      <c r="W576" s="730"/>
      <c r="X576" s="730"/>
      <c r="Y576" s="732">
        <f t="shared" si="70"/>
        <v>0</v>
      </c>
      <c r="Z576" s="731"/>
      <c r="AA576" s="731"/>
      <c r="AB576" s="733">
        <f t="shared" si="71"/>
        <v>0</v>
      </c>
      <c r="AC576" s="730"/>
      <c r="AD576" s="731"/>
      <c r="AE576" s="730"/>
      <c r="AF576" s="730"/>
      <c r="AG576" s="731"/>
      <c r="AH576" s="731"/>
      <c r="AI576" s="732">
        <f t="shared" si="75"/>
        <v>0</v>
      </c>
      <c r="AJ576" s="733">
        <f t="shared" si="76"/>
        <v>0</v>
      </c>
    </row>
    <row r="577" spans="1:36">
      <c r="A577" s="894" t="s">
        <v>283</v>
      </c>
      <c r="B577" s="883" t="s">
        <v>172</v>
      </c>
      <c r="C577" s="904" t="s">
        <v>165</v>
      </c>
      <c r="D577" s="903"/>
      <c r="E577" s="899"/>
      <c r="F577" s="900">
        <v>99</v>
      </c>
      <c r="G577" s="730"/>
      <c r="H577" s="731"/>
      <c r="I577" s="730"/>
      <c r="J577" s="731"/>
      <c r="K577" s="730"/>
      <c r="L577" s="731"/>
      <c r="M577" s="730"/>
      <c r="N577" s="730"/>
      <c r="O577" s="732">
        <f t="shared" si="69"/>
        <v>0</v>
      </c>
      <c r="P577" s="731"/>
      <c r="Q577" s="731"/>
      <c r="R577" s="733">
        <f t="shared" si="72"/>
        <v>0</v>
      </c>
      <c r="S577" s="732">
        <f t="shared" si="73"/>
        <v>0</v>
      </c>
      <c r="T577" s="733">
        <f t="shared" si="74"/>
        <v>0</v>
      </c>
      <c r="U577" s="730"/>
      <c r="V577" s="731"/>
      <c r="W577" s="730"/>
      <c r="X577" s="730"/>
      <c r="Y577" s="732">
        <f t="shared" si="70"/>
        <v>0</v>
      </c>
      <c r="Z577" s="731"/>
      <c r="AA577" s="731"/>
      <c r="AB577" s="733">
        <f t="shared" si="71"/>
        <v>0</v>
      </c>
      <c r="AC577" s="730"/>
      <c r="AD577" s="731"/>
      <c r="AE577" s="730"/>
      <c r="AF577" s="730"/>
      <c r="AG577" s="731"/>
      <c r="AH577" s="731"/>
      <c r="AI577" s="732">
        <f t="shared" si="75"/>
        <v>0</v>
      </c>
      <c r="AJ577" s="733">
        <f t="shared" si="76"/>
        <v>0</v>
      </c>
    </row>
    <row r="578" spans="1:36">
      <c r="A578" s="894" t="s">
        <v>283</v>
      </c>
      <c r="B578" s="883" t="s">
        <v>173</v>
      </c>
      <c r="C578" s="904" t="s">
        <v>167</v>
      </c>
      <c r="D578" s="903"/>
      <c r="E578" s="899"/>
      <c r="F578" s="900">
        <v>99</v>
      </c>
      <c r="G578" s="730"/>
      <c r="H578" s="731"/>
      <c r="I578" s="730"/>
      <c r="J578" s="731"/>
      <c r="K578" s="730"/>
      <c r="L578" s="731"/>
      <c r="M578" s="730"/>
      <c r="N578" s="730"/>
      <c r="O578" s="732">
        <f t="shared" si="69"/>
        <v>0</v>
      </c>
      <c r="P578" s="731"/>
      <c r="Q578" s="731"/>
      <c r="R578" s="733">
        <f t="shared" si="72"/>
        <v>0</v>
      </c>
      <c r="S578" s="732">
        <f t="shared" si="73"/>
        <v>0</v>
      </c>
      <c r="T578" s="733">
        <f t="shared" si="74"/>
        <v>0</v>
      </c>
      <c r="U578" s="730"/>
      <c r="V578" s="731"/>
      <c r="W578" s="730"/>
      <c r="X578" s="730"/>
      <c r="Y578" s="732">
        <f t="shared" si="70"/>
        <v>0</v>
      </c>
      <c r="Z578" s="731"/>
      <c r="AA578" s="731"/>
      <c r="AB578" s="733">
        <f t="shared" si="71"/>
        <v>0</v>
      </c>
      <c r="AC578" s="730"/>
      <c r="AD578" s="731"/>
      <c r="AE578" s="730"/>
      <c r="AF578" s="730"/>
      <c r="AG578" s="731"/>
      <c r="AH578" s="731"/>
      <c r="AI578" s="732">
        <f t="shared" si="75"/>
        <v>0</v>
      </c>
      <c r="AJ578" s="733">
        <f t="shared" si="76"/>
        <v>0</v>
      </c>
    </row>
    <row r="579" spans="1:36">
      <c r="A579" s="894" t="s">
        <v>283</v>
      </c>
      <c r="B579" s="883" t="s">
        <v>176</v>
      </c>
      <c r="C579" s="904" t="s">
        <v>314</v>
      </c>
      <c r="D579" s="903"/>
      <c r="E579" s="899"/>
      <c r="F579" s="900">
        <v>99</v>
      </c>
      <c r="G579" s="730"/>
      <c r="H579" s="731"/>
      <c r="I579" s="730"/>
      <c r="J579" s="731"/>
      <c r="K579" s="730"/>
      <c r="L579" s="731"/>
      <c r="M579" s="730"/>
      <c r="N579" s="730"/>
      <c r="O579" s="732">
        <f t="shared" si="69"/>
        <v>0</v>
      </c>
      <c r="P579" s="731"/>
      <c r="Q579" s="731"/>
      <c r="R579" s="733">
        <f t="shared" si="72"/>
        <v>0</v>
      </c>
      <c r="S579" s="732">
        <f t="shared" si="73"/>
        <v>0</v>
      </c>
      <c r="T579" s="733">
        <f t="shared" si="74"/>
        <v>0</v>
      </c>
      <c r="U579" s="730"/>
      <c r="V579" s="731"/>
      <c r="W579" s="730"/>
      <c r="X579" s="730"/>
      <c r="Y579" s="732">
        <f t="shared" si="70"/>
        <v>0</v>
      </c>
      <c r="Z579" s="731"/>
      <c r="AA579" s="731"/>
      <c r="AB579" s="733">
        <f t="shared" si="71"/>
        <v>0</v>
      </c>
      <c r="AC579" s="730"/>
      <c r="AD579" s="731"/>
      <c r="AE579" s="730"/>
      <c r="AF579" s="730"/>
      <c r="AG579" s="731"/>
      <c r="AH579" s="731"/>
      <c r="AI579" s="732">
        <f t="shared" si="75"/>
        <v>0</v>
      </c>
      <c r="AJ579" s="733">
        <f t="shared" si="76"/>
        <v>0</v>
      </c>
    </row>
    <row r="580" spans="1:36">
      <c r="A580" s="894" t="s">
        <v>283</v>
      </c>
      <c r="B580" s="883" t="s">
        <v>180</v>
      </c>
      <c r="C580" s="904" t="s">
        <v>165</v>
      </c>
      <c r="D580" s="903"/>
      <c r="E580" s="899"/>
      <c r="F580" s="900">
        <v>99</v>
      </c>
      <c r="G580" s="730"/>
      <c r="H580" s="731"/>
      <c r="I580" s="730"/>
      <c r="J580" s="731"/>
      <c r="K580" s="730"/>
      <c r="L580" s="731"/>
      <c r="M580" s="730"/>
      <c r="N580" s="730"/>
      <c r="O580" s="732">
        <f t="shared" si="69"/>
        <v>0</v>
      </c>
      <c r="P580" s="731"/>
      <c r="Q580" s="731"/>
      <c r="R580" s="733">
        <f t="shared" si="72"/>
        <v>0</v>
      </c>
      <c r="S580" s="732">
        <f t="shared" si="73"/>
        <v>0</v>
      </c>
      <c r="T580" s="733">
        <f t="shared" si="74"/>
        <v>0</v>
      </c>
      <c r="U580" s="730"/>
      <c r="V580" s="731"/>
      <c r="W580" s="730"/>
      <c r="X580" s="730"/>
      <c r="Y580" s="732">
        <f t="shared" si="70"/>
        <v>0</v>
      </c>
      <c r="Z580" s="731"/>
      <c r="AA580" s="731"/>
      <c r="AB580" s="733">
        <f t="shared" si="71"/>
        <v>0</v>
      </c>
      <c r="AC580" s="730"/>
      <c r="AD580" s="731"/>
      <c r="AE580" s="730"/>
      <c r="AF580" s="730"/>
      <c r="AG580" s="731"/>
      <c r="AH580" s="731"/>
      <c r="AI580" s="732">
        <f t="shared" si="75"/>
        <v>0</v>
      </c>
      <c r="AJ580" s="733">
        <f t="shared" si="76"/>
        <v>0</v>
      </c>
    </row>
    <row r="581" spans="1:36">
      <c r="A581" s="894" t="s">
        <v>283</v>
      </c>
      <c r="B581" s="883" t="s">
        <v>178</v>
      </c>
      <c r="C581" s="904" t="s">
        <v>167</v>
      </c>
      <c r="D581" s="903"/>
      <c r="E581" s="899"/>
      <c r="F581" s="900">
        <v>99</v>
      </c>
      <c r="G581" s="730"/>
      <c r="H581" s="731"/>
      <c r="I581" s="730"/>
      <c r="J581" s="731"/>
      <c r="K581" s="730"/>
      <c r="L581" s="731"/>
      <c r="M581" s="730"/>
      <c r="N581" s="730"/>
      <c r="O581" s="732">
        <f t="shared" si="69"/>
        <v>0</v>
      </c>
      <c r="P581" s="731"/>
      <c r="Q581" s="731"/>
      <c r="R581" s="733">
        <f t="shared" si="72"/>
        <v>0</v>
      </c>
      <c r="S581" s="732">
        <f t="shared" si="73"/>
        <v>0</v>
      </c>
      <c r="T581" s="733">
        <f t="shared" si="74"/>
        <v>0</v>
      </c>
      <c r="U581" s="730"/>
      <c r="V581" s="731"/>
      <c r="W581" s="730"/>
      <c r="X581" s="730"/>
      <c r="Y581" s="732">
        <f t="shared" si="70"/>
        <v>0</v>
      </c>
      <c r="Z581" s="731"/>
      <c r="AA581" s="731"/>
      <c r="AB581" s="733">
        <f t="shared" si="71"/>
        <v>0</v>
      </c>
      <c r="AC581" s="730"/>
      <c r="AD581" s="731"/>
      <c r="AE581" s="730"/>
      <c r="AF581" s="730"/>
      <c r="AG581" s="731"/>
      <c r="AH581" s="731"/>
      <c r="AI581" s="732">
        <f t="shared" si="75"/>
        <v>0</v>
      </c>
      <c r="AJ581" s="733">
        <f t="shared" si="76"/>
        <v>0</v>
      </c>
    </row>
    <row r="582" spans="1:36">
      <c r="A582" s="894" t="s">
        <v>283</v>
      </c>
      <c r="B582" s="883" t="s">
        <v>187</v>
      </c>
      <c r="C582" s="907" t="s">
        <v>331</v>
      </c>
      <c r="D582" s="908"/>
      <c r="E582" s="899"/>
      <c r="F582" s="900">
        <v>99</v>
      </c>
      <c r="G582" s="730"/>
      <c r="H582" s="731"/>
      <c r="I582" s="730"/>
      <c r="J582" s="731"/>
      <c r="K582" s="730"/>
      <c r="L582" s="731"/>
      <c r="M582" s="730"/>
      <c r="N582" s="730"/>
      <c r="O582" s="732">
        <f t="shared" si="69"/>
        <v>0</v>
      </c>
      <c r="P582" s="731"/>
      <c r="Q582" s="731"/>
      <c r="R582" s="733">
        <f t="shared" si="72"/>
        <v>0</v>
      </c>
      <c r="S582" s="732">
        <f t="shared" si="73"/>
        <v>0</v>
      </c>
      <c r="T582" s="733">
        <f t="shared" si="74"/>
        <v>0</v>
      </c>
      <c r="U582" s="730"/>
      <c r="V582" s="731"/>
      <c r="W582" s="730"/>
      <c r="X582" s="730"/>
      <c r="Y582" s="732">
        <f t="shared" si="70"/>
        <v>0</v>
      </c>
      <c r="Z582" s="731"/>
      <c r="AA582" s="731"/>
      <c r="AB582" s="733">
        <f t="shared" si="71"/>
        <v>0</v>
      </c>
      <c r="AC582" s="730"/>
      <c r="AD582" s="731"/>
      <c r="AE582" s="730"/>
      <c r="AF582" s="730"/>
      <c r="AG582" s="731"/>
      <c r="AH582" s="731"/>
      <c r="AI582" s="732">
        <f t="shared" si="75"/>
        <v>0</v>
      </c>
      <c r="AJ582" s="733">
        <f t="shared" si="76"/>
        <v>0</v>
      </c>
    </row>
    <row r="583" spans="1:36">
      <c r="A583" s="894" t="s">
        <v>283</v>
      </c>
      <c r="B583" s="883" t="s">
        <v>190</v>
      </c>
      <c r="C583" s="904" t="s">
        <v>165</v>
      </c>
      <c r="D583" s="903"/>
      <c r="E583" s="899"/>
      <c r="F583" s="900">
        <v>99</v>
      </c>
      <c r="G583" s="730"/>
      <c r="H583" s="731"/>
      <c r="I583" s="730"/>
      <c r="J583" s="731"/>
      <c r="K583" s="730"/>
      <c r="L583" s="731"/>
      <c r="M583" s="730"/>
      <c r="N583" s="730"/>
      <c r="O583" s="732">
        <f t="shared" si="69"/>
        <v>0</v>
      </c>
      <c r="P583" s="731"/>
      <c r="Q583" s="731"/>
      <c r="R583" s="733">
        <f t="shared" si="72"/>
        <v>0</v>
      </c>
      <c r="S583" s="732">
        <f t="shared" si="73"/>
        <v>0</v>
      </c>
      <c r="T583" s="733">
        <f t="shared" si="74"/>
        <v>0</v>
      </c>
      <c r="U583" s="730"/>
      <c r="V583" s="731"/>
      <c r="W583" s="730"/>
      <c r="X583" s="730"/>
      <c r="Y583" s="732">
        <f t="shared" si="70"/>
        <v>0</v>
      </c>
      <c r="Z583" s="731"/>
      <c r="AA583" s="731"/>
      <c r="AB583" s="733">
        <f t="shared" si="71"/>
        <v>0</v>
      </c>
      <c r="AC583" s="730"/>
      <c r="AD583" s="731"/>
      <c r="AE583" s="730"/>
      <c r="AF583" s="730"/>
      <c r="AG583" s="731"/>
      <c r="AH583" s="731"/>
      <c r="AI583" s="732">
        <f t="shared" si="75"/>
        <v>0</v>
      </c>
      <c r="AJ583" s="733">
        <f t="shared" si="76"/>
        <v>0</v>
      </c>
    </row>
    <row r="584" spans="1:36">
      <c r="A584" s="894" t="s">
        <v>283</v>
      </c>
      <c r="B584" s="883" t="s">
        <v>191</v>
      </c>
      <c r="C584" s="904" t="s">
        <v>167</v>
      </c>
      <c r="D584" s="903"/>
      <c r="E584" s="899"/>
      <c r="F584" s="900">
        <v>99</v>
      </c>
      <c r="G584" s="730"/>
      <c r="H584" s="731"/>
      <c r="I584" s="730"/>
      <c r="J584" s="731"/>
      <c r="K584" s="730"/>
      <c r="L584" s="731"/>
      <c r="M584" s="730"/>
      <c r="N584" s="730"/>
      <c r="O584" s="732">
        <f t="shared" si="69"/>
        <v>0</v>
      </c>
      <c r="P584" s="731"/>
      <c r="Q584" s="731"/>
      <c r="R584" s="733">
        <f t="shared" si="72"/>
        <v>0</v>
      </c>
      <c r="S584" s="732">
        <f t="shared" si="73"/>
        <v>0</v>
      </c>
      <c r="T584" s="733">
        <f t="shared" si="74"/>
        <v>0</v>
      </c>
      <c r="U584" s="730"/>
      <c r="V584" s="731"/>
      <c r="W584" s="730"/>
      <c r="X584" s="730"/>
      <c r="Y584" s="732">
        <f t="shared" si="70"/>
        <v>0</v>
      </c>
      <c r="Z584" s="731"/>
      <c r="AA584" s="731"/>
      <c r="AB584" s="733">
        <f t="shared" si="71"/>
        <v>0</v>
      </c>
      <c r="AC584" s="730"/>
      <c r="AD584" s="731"/>
      <c r="AE584" s="730"/>
      <c r="AF584" s="730"/>
      <c r="AG584" s="731"/>
      <c r="AH584" s="731"/>
      <c r="AI584" s="732">
        <f t="shared" si="75"/>
        <v>0</v>
      </c>
      <c r="AJ584" s="733">
        <f t="shared" si="76"/>
        <v>0</v>
      </c>
    </row>
    <row r="585" spans="1:36">
      <c r="A585" s="894" t="s">
        <v>283</v>
      </c>
      <c r="B585" s="883" t="s">
        <v>192</v>
      </c>
      <c r="C585" s="907" t="s">
        <v>332</v>
      </c>
      <c r="D585" s="908"/>
      <c r="E585" s="899"/>
      <c r="F585" s="900">
        <v>99</v>
      </c>
      <c r="G585" s="730"/>
      <c r="H585" s="731"/>
      <c r="I585" s="730"/>
      <c r="J585" s="731"/>
      <c r="K585" s="730"/>
      <c r="L585" s="731"/>
      <c r="M585" s="730"/>
      <c r="N585" s="730"/>
      <c r="O585" s="732">
        <f t="shared" si="69"/>
        <v>0</v>
      </c>
      <c r="P585" s="731"/>
      <c r="Q585" s="731"/>
      <c r="R585" s="733">
        <f t="shared" si="72"/>
        <v>0</v>
      </c>
      <c r="S585" s="732">
        <f t="shared" si="73"/>
        <v>0</v>
      </c>
      <c r="T585" s="733">
        <f t="shared" si="74"/>
        <v>0</v>
      </c>
      <c r="U585" s="730"/>
      <c r="V585" s="731"/>
      <c r="W585" s="730"/>
      <c r="X585" s="730"/>
      <c r="Y585" s="732">
        <f t="shared" si="70"/>
        <v>0</v>
      </c>
      <c r="Z585" s="731"/>
      <c r="AA585" s="731"/>
      <c r="AB585" s="733">
        <f t="shared" si="71"/>
        <v>0</v>
      </c>
      <c r="AC585" s="730"/>
      <c r="AD585" s="731"/>
      <c r="AE585" s="730"/>
      <c r="AF585" s="730"/>
      <c r="AG585" s="731"/>
      <c r="AH585" s="731"/>
      <c r="AI585" s="732">
        <f t="shared" si="75"/>
        <v>0</v>
      </c>
      <c r="AJ585" s="733">
        <f t="shared" si="76"/>
        <v>0</v>
      </c>
    </row>
    <row r="586" spans="1:36">
      <c r="A586" s="894" t="s">
        <v>283</v>
      </c>
      <c r="B586" s="883" t="s">
        <v>195</v>
      </c>
      <c r="C586" s="904" t="s">
        <v>165</v>
      </c>
      <c r="D586" s="903"/>
      <c r="E586" s="899"/>
      <c r="F586" s="900">
        <v>99</v>
      </c>
      <c r="G586" s="730"/>
      <c r="H586" s="731"/>
      <c r="I586" s="730"/>
      <c r="J586" s="731"/>
      <c r="K586" s="730"/>
      <c r="L586" s="731"/>
      <c r="M586" s="730"/>
      <c r="N586" s="730"/>
      <c r="O586" s="732">
        <f t="shared" ref="O586:O649" si="77">SUM(M586:N586)</f>
        <v>0</v>
      </c>
      <c r="P586" s="731"/>
      <c r="Q586" s="731"/>
      <c r="R586" s="733">
        <f t="shared" si="72"/>
        <v>0</v>
      </c>
      <c r="S586" s="732">
        <f t="shared" si="73"/>
        <v>0</v>
      </c>
      <c r="T586" s="733">
        <f t="shared" si="74"/>
        <v>0</v>
      </c>
      <c r="U586" s="730"/>
      <c r="V586" s="731"/>
      <c r="W586" s="730"/>
      <c r="X586" s="730"/>
      <c r="Y586" s="732">
        <f t="shared" ref="Y586:Y649" si="78">SUM(W586:X586)</f>
        <v>0</v>
      </c>
      <c r="Z586" s="731"/>
      <c r="AA586" s="731"/>
      <c r="AB586" s="733">
        <f t="shared" ref="AB586:AB649" si="79">SUM(Z586:AA586)</f>
        <v>0</v>
      </c>
      <c r="AC586" s="730"/>
      <c r="AD586" s="731"/>
      <c r="AE586" s="730"/>
      <c r="AF586" s="730"/>
      <c r="AG586" s="731"/>
      <c r="AH586" s="731"/>
      <c r="AI586" s="732">
        <f t="shared" si="75"/>
        <v>0</v>
      </c>
      <c r="AJ586" s="733">
        <f t="shared" si="76"/>
        <v>0</v>
      </c>
    </row>
    <row r="587" spans="1:36">
      <c r="A587" s="894" t="s">
        <v>283</v>
      </c>
      <c r="B587" s="883" t="s">
        <v>196</v>
      </c>
      <c r="C587" s="904" t="s">
        <v>167</v>
      </c>
      <c r="D587" s="903"/>
      <c r="E587" s="899"/>
      <c r="F587" s="900">
        <v>99</v>
      </c>
      <c r="G587" s="730"/>
      <c r="H587" s="731"/>
      <c r="I587" s="730"/>
      <c r="J587" s="731"/>
      <c r="K587" s="730"/>
      <c r="L587" s="731"/>
      <c r="M587" s="730"/>
      <c r="N587" s="730"/>
      <c r="O587" s="732">
        <f t="shared" si="77"/>
        <v>0</v>
      </c>
      <c r="P587" s="731"/>
      <c r="Q587" s="731"/>
      <c r="R587" s="733">
        <f t="shared" ref="R587:R650" si="80">SUM(P587:Q587)</f>
        <v>0</v>
      </c>
      <c r="S587" s="732">
        <f t="shared" ref="S587:S650" si="81">SUM(G587,I587,K587,M587)</f>
        <v>0</v>
      </c>
      <c r="T587" s="733">
        <f t="shared" ref="T587:T650" si="82">SUM(H587,J587,L587,P587)</f>
        <v>0</v>
      </c>
      <c r="U587" s="730"/>
      <c r="V587" s="731"/>
      <c r="W587" s="730"/>
      <c r="X587" s="730"/>
      <c r="Y587" s="732">
        <f t="shared" si="78"/>
        <v>0</v>
      </c>
      <c r="Z587" s="731"/>
      <c r="AA587" s="731"/>
      <c r="AB587" s="733">
        <f t="shared" si="79"/>
        <v>0</v>
      </c>
      <c r="AC587" s="730"/>
      <c r="AD587" s="731"/>
      <c r="AE587" s="730"/>
      <c r="AF587" s="730"/>
      <c r="AG587" s="731"/>
      <c r="AH587" s="731"/>
      <c r="AI587" s="732">
        <f t="shared" ref="AI587:AI650" si="83">SUM(S587,U587,W587,AC587,AE587)</f>
        <v>0</v>
      </c>
      <c r="AJ587" s="733">
        <f t="shared" ref="AJ587:AJ650" si="84">SUM(T587,V587,Z587,AD587,AG587)</f>
        <v>0</v>
      </c>
    </row>
    <row r="588" spans="1:36">
      <c r="A588" s="716" t="s">
        <v>333</v>
      </c>
      <c r="B588" s="717"/>
      <c r="C588" s="718"/>
      <c r="D588" s="719"/>
      <c r="E588" s="719"/>
      <c r="F588" s="720"/>
      <c r="H588" s="720"/>
      <c r="J588" s="720"/>
      <c r="L588" s="720"/>
      <c r="M588" s="720"/>
      <c r="N588" s="720"/>
      <c r="O588" s="732">
        <f t="shared" si="77"/>
        <v>0</v>
      </c>
      <c r="P588" s="720"/>
      <c r="Q588" s="720"/>
      <c r="R588" s="733">
        <f t="shared" si="80"/>
        <v>0</v>
      </c>
      <c r="S588" s="732">
        <f t="shared" si="81"/>
        <v>0</v>
      </c>
      <c r="T588" s="733">
        <f t="shared" si="82"/>
        <v>0</v>
      </c>
      <c r="V588" s="720"/>
      <c r="W588" s="720"/>
      <c r="X588" s="720"/>
      <c r="Y588" s="732">
        <f t="shared" si="78"/>
        <v>0</v>
      </c>
      <c r="Z588" s="720"/>
      <c r="AA588" s="720"/>
      <c r="AB588" s="733">
        <f t="shared" si="79"/>
        <v>0</v>
      </c>
      <c r="AD588" s="720"/>
      <c r="AG588" s="720"/>
      <c r="AH588" s="720"/>
      <c r="AI588" s="732">
        <f t="shared" si="83"/>
        <v>0</v>
      </c>
      <c r="AJ588" s="733">
        <f t="shared" si="84"/>
        <v>0</v>
      </c>
    </row>
    <row r="589" spans="1:36">
      <c r="A589" s="912" t="s">
        <v>333</v>
      </c>
      <c r="B589" s="913" t="s">
        <v>62</v>
      </c>
      <c r="C589" s="914" t="s">
        <v>357</v>
      </c>
      <c r="D589" s="915"/>
      <c r="E589" s="916">
        <v>132693</v>
      </c>
      <c r="F589" s="916">
        <v>7</v>
      </c>
      <c r="G589" s="730">
        <v>44197452</v>
      </c>
      <c r="H589" s="731">
        <v>44692574</v>
      </c>
      <c r="I589" s="730"/>
      <c r="J589" s="731"/>
      <c r="K589" s="730"/>
      <c r="L589" s="731"/>
      <c r="M589" s="730">
        <v>23224448</v>
      </c>
      <c r="N589" s="730"/>
      <c r="O589" s="732">
        <f t="shared" si="77"/>
        <v>23224448</v>
      </c>
      <c r="P589" s="731">
        <v>21284458</v>
      </c>
      <c r="Q589" s="731"/>
      <c r="R589" s="733">
        <f t="shared" si="80"/>
        <v>21284458</v>
      </c>
      <c r="S589" s="732">
        <f t="shared" si="81"/>
        <v>67421900</v>
      </c>
      <c r="T589" s="733">
        <f t="shared" si="82"/>
        <v>65977032</v>
      </c>
      <c r="U589" s="730"/>
      <c r="V589" s="731"/>
      <c r="W589" s="730"/>
      <c r="X589" s="730"/>
      <c r="Y589" s="732">
        <f t="shared" si="78"/>
        <v>0</v>
      </c>
      <c r="Z589" s="731"/>
      <c r="AA589" s="731"/>
      <c r="AB589" s="733">
        <f t="shared" si="79"/>
        <v>0</v>
      </c>
      <c r="AC589" s="730"/>
      <c r="AD589" s="731"/>
      <c r="AE589" s="730"/>
      <c r="AF589" s="730"/>
      <c r="AG589" s="731"/>
      <c r="AH589" s="731"/>
      <c r="AI589" s="732">
        <f t="shared" si="83"/>
        <v>67421900</v>
      </c>
      <c r="AJ589" s="733">
        <f t="shared" si="84"/>
        <v>65977032</v>
      </c>
    </row>
    <row r="590" spans="1:36">
      <c r="A590" s="912" t="s">
        <v>333</v>
      </c>
      <c r="B590" s="913" t="s">
        <v>62</v>
      </c>
      <c r="C590" s="914" t="s">
        <v>338</v>
      </c>
      <c r="D590" s="917"/>
      <c r="E590" s="916">
        <v>132709</v>
      </c>
      <c r="F590" s="916">
        <v>7</v>
      </c>
      <c r="G590" s="730">
        <v>91590175</v>
      </c>
      <c r="H590" s="731">
        <v>91291301</v>
      </c>
      <c r="I590" s="730"/>
      <c r="J590" s="731"/>
      <c r="K590" s="730"/>
      <c r="L590" s="731"/>
      <c r="M590" s="730">
        <v>70272836</v>
      </c>
      <c r="N590" s="730"/>
      <c r="O590" s="732">
        <f t="shared" si="77"/>
        <v>70272836</v>
      </c>
      <c r="P590" s="731">
        <v>62052259</v>
      </c>
      <c r="Q590" s="731"/>
      <c r="R590" s="733">
        <f t="shared" si="80"/>
        <v>62052259</v>
      </c>
      <c r="S590" s="732">
        <f t="shared" si="81"/>
        <v>161863011</v>
      </c>
      <c r="T590" s="733">
        <f t="shared" si="82"/>
        <v>153343560</v>
      </c>
      <c r="U590" s="730"/>
      <c r="V590" s="731"/>
      <c r="W590" s="730"/>
      <c r="X590" s="730"/>
      <c r="Y590" s="732">
        <f t="shared" si="78"/>
        <v>0</v>
      </c>
      <c r="Z590" s="731"/>
      <c r="AA590" s="731"/>
      <c r="AB590" s="733">
        <f t="shared" si="79"/>
        <v>0</v>
      </c>
      <c r="AC590" s="730"/>
      <c r="AD590" s="731"/>
      <c r="AE590" s="730"/>
      <c r="AF590" s="730"/>
      <c r="AG590" s="731"/>
      <c r="AH590" s="731"/>
      <c r="AI590" s="732">
        <f t="shared" si="83"/>
        <v>161863011</v>
      </c>
      <c r="AJ590" s="733">
        <f t="shared" si="84"/>
        <v>153343560</v>
      </c>
    </row>
    <row r="591" spans="1:36">
      <c r="A591" s="912" t="s">
        <v>333</v>
      </c>
      <c r="B591" s="913" t="s">
        <v>62</v>
      </c>
      <c r="C591" s="914" t="s">
        <v>340</v>
      </c>
      <c r="D591" s="915"/>
      <c r="E591" s="916">
        <v>132851</v>
      </c>
      <c r="F591" s="916">
        <v>7</v>
      </c>
      <c r="G591" s="730">
        <v>23926607</v>
      </c>
      <c r="H591" s="731">
        <v>26109231</v>
      </c>
      <c r="I591" s="730"/>
      <c r="J591" s="731"/>
      <c r="K591" s="730"/>
      <c r="L591" s="731"/>
      <c r="M591" s="730">
        <v>12313166</v>
      </c>
      <c r="N591" s="730"/>
      <c r="O591" s="732">
        <f t="shared" si="77"/>
        <v>12313166</v>
      </c>
      <c r="P591" s="731">
        <v>11430903</v>
      </c>
      <c r="Q591" s="731"/>
      <c r="R591" s="733">
        <f t="shared" si="80"/>
        <v>11430903</v>
      </c>
      <c r="S591" s="732">
        <f t="shared" si="81"/>
        <v>36239773</v>
      </c>
      <c r="T591" s="733">
        <f t="shared" si="82"/>
        <v>37540134</v>
      </c>
      <c r="U591" s="730"/>
      <c r="V591" s="731"/>
      <c r="W591" s="730"/>
      <c r="X591" s="730"/>
      <c r="Y591" s="732">
        <f t="shared" si="78"/>
        <v>0</v>
      </c>
      <c r="Z591" s="731"/>
      <c r="AA591" s="731"/>
      <c r="AB591" s="733">
        <f t="shared" si="79"/>
        <v>0</v>
      </c>
      <c r="AC591" s="730"/>
      <c r="AD591" s="731"/>
      <c r="AE591" s="730"/>
      <c r="AF591" s="730"/>
      <c r="AG591" s="731"/>
      <c r="AH591" s="731"/>
      <c r="AI591" s="732">
        <f t="shared" si="83"/>
        <v>36239773</v>
      </c>
      <c r="AJ591" s="733">
        <f t="shared" si="84"/>
        <v>37540134</v>
      </c>
    </row>
    <row r="592" spans="1:36">
      <c r="A592" s="912" t="s">
        <v>333</v>
      </c>
      <c r="B592" s="913" t="s">
        <v>62</v>
      </c>
      <c r="C592" s="914" t="s">
        <v>339</v>
      </c>
      <c r="D592" s="918"/>
      <c r="E592" s="916">
        <v>133021</v>
      </c>
      <c r="F592" s="916">
        <v>7</v>
      </c>
      <c r="G592" s="730">
        <v>12242625</v>
      </c>
      <c r="H592" s="731">
        <v>12553081</v>
      </c>
      <c r="I592" s="730"/>
      <c r="J592" s="731"/>
      <c r="K592" s="730"/>
      <c r="L592" s="731"/>
      <c r="M592" s="730">
        <v>2663520</v>
      </c>
      <c r="N592" s="730"/>
      <c r="O592" s="732">
        <f t="shared" si="77"/>
        <v>2663520</v>
      </c>
      <c r="P592" s="731">
        <v>2619374</v>
      </c>
      <c r="Q592" s="731"/>
      <c r="R592" s="733">
        <f t="shared" si="80"/>
        <v>2619374</v>
      </c>
      <c r="S592" s="732">
        <f t="shared" si="81"/>
        <v>14906145</v>
      </c>
      <c r="T592" s="733">
        <f t="shared" si="82"/>
        <v>15172455</v>
      </c>
      <c r="U592" s="730"/>
      <c r="V592" s="731"/>
      <c r="W592" s="730"/>
      <c r="X592" s="730"/>
      <c r="Y592" s="732">
        <f t="shared" si="78"/>
        <v>0</v>
      </c>
      <c r="Z592" s="731"/>
      <c r="AA592" s="731"/>
      <c r="AB592" s="733">
        <f t="shared" si="79"/>
        <v>0</v>
      </c>
      <c r="AC592" s="730"/>
      <c r="AD592" s="731"/>
      <c r="AE592" s="730"/>
      <c r="AF592" s="730"/>
      <c r="AG592" s="731"/>
      <c r="AH592" s="731"/>
      <c r="AI592" s="732">
        <f t="shared" si="83"/>
        <v>14906145</v>
      </c>
      <c r="AJ592" s="733">
        <f t="shared" si="84"/>
        <v>15172455</v>
      </c>
    </row>
    <row r="593" spans="1:36">
      <c r="A593" s="912" t="s">
        <v>333</v>
      </c>
      <c r="B593" s="913" t="s">
        <v>62</v>
      </c>
      <c r="C593" s="914" t="s">
        <v>341</v>
      </c>
      <c r="D593" s="918"/>
      <c r="E593" s="916">
        <v>133386</v>
      </c>
      <c r="F593" s="916">
        <v>7</v>
      </c>
      <c r="G593" s="730">
        <v>51567701</v>
      </c>
      <c r="H593" s="731">
        <v>51081601</v>
      </c>
      <c r="I593" s="730"/>
      <c r="J593" s="731"/>
      <c r="K593" s="730"/>
      <c r="L593" s="731"/>
      <c r="M593" s="730">
        <v>24538498</v>
      </c>
      <c r="N593" s="730"/>
      <c r="O593" s="732">
        <f t="shared" si="77"/>
        <v>24538498</v>
      </c>
      <c r="P593" s="731">
        <v>22641205</v>
      </c>
      <c r="Q593" s="731"/>
      <c r="R593" s="733">
        <f t="shared" si="80"/>
        <v>22641205</v>
      </c>
      <c r="S593" s="732">
        <f t="shared" si="81"/>
        <v>76106199</v>
      </c>
      <c r="T593" s="733">
        <f t="shared" si="82"/>
        <v>73722806</v>
      </c>
      <c r="U593" s="730"/>
      <c r="V593" s="731"/>
      <c r="W593" s="730"/>
      <c r="X593" s="730"/>
      <c r="Y593" s="732">
        <f t="shared" si="78"/>
        <v>0</v>
      </c>
      <c r="Z593" s="731"/>
      <c r="AA593" s="731"/>
      <c r="AB593" s="733">
        <f t="shared" si="79"/>
        <v>0</v>
      </c>
      <c r="AC593" s="730"/>
      <c r="AD593" s="731"/>
      <c r="AE593" s="730"/>
      <c r="AF593" s="730"/>
      <c r="AG593" s="731"/>
      <c r="AH593" s="731"/>
      <c r="AI593" s="732">
        <f t="shared" si="83"/>
        <v>76106199</v>
      </c>
      <c r="AJ593" s="733">
        <f t="shared" si="84"/>
        <v>73722806</v>
      </c>
    </row>
    <row r="594" spans="1:36">
      <c r="A594" s="912" t="s">
        <v>333</v>
      </c>
      <c r="B594" s="913" t="s">
        <v>62</v>
      </c>
      <c r="C594" s="919" t="s">
        <v>342</v>
      </c>
      <c r="D594" s="918"/>
      <c r="E594" s="916">
        <v>133508</v>
      </c>
      <c r="F594" s="916">
        <v>7</v>
      </c>
      <c r="G594" s="730">
        <v>33706769</v>
      </c>
      <c r="H594" s="731">
        <v>36921478</v>
      </c>
      <c r="I594" s="730"/>
      <c r="J594" s="731"/>
      <c r="K594" s="730"/>
      <c r="L594" s="731"/>
      <c r="M594" s="730">
        <v>24592028</v>
      </c>
      <c r="N594" s="730"/>
      <c r="O594" s="732">
        <f t="shared" si="77"/>
        <v>24592028</v>
      </c>
      <c r="P594" s="731">
        <v>22981783</v>
      </c>
      <c r="Q594" s="731"/>
      <c r="R594" s="733">
        <f t="shared" si="80"/>
        <v>22981783</v>
      </c>
      <c r="S594" s="732">
        <f t="shared" si="81"/>
        <v>58298797</v>
      </c>
      <c r="T594" s="733">
        <f t="shared" si="82"/>
        <v>59903261</v>
      </c>
      <c r="U594" s="730"/>
      <c r="V594" s="731"/>
      <c r="W594" s="730"/>
      <c r="X594" s="730"/>
      <c r="Y594" s="732">
        <f t="shared" si="78"/>
        <v>0</v>
      </c>
      <c r="Z594" s="731"/>
      <c r="AA594" s="731"/>
      <c r="AB594" s="733">
        <f t="shared" si="79"/>
        <v>0</v>
      </c>
      <c r="AC594" s="730"/>
      <c r="AD594" s="731"/>
      <c r="AE594" s="730"/>
      <c r="AF594" s="730"/>
      <c r="AG594" s="731"/>
      <c r="AH594" s="731"/>
      <c r="AI594" s="732">
        <f t="shared" si="83"/>
        <v>58298797</v>
      </c>
      <c r="AJ594" s="733">
        <f t="shared" si="84"/>
        <v>59903261</v>
      </c>
    </row>
    <row r="595" spans="1:36">
      <c r="A595" s="912" t="s">
        <v>333</v>
      </c>
      <c r="B595" s="913" t="s">
        <v>62</v>
      </c>
      <c r="C595" s="914" t="s">
        <v>343</v>
      </c>
      <c r="D595" s="920"/>
      <c r="E595" s="916">
        <v>133702</v>
      </c>
      <c r="F595" s="916">
        <v>7</v>
      </c>
      <c r="G595" s="730">
        <v>78455987</v>
      </c>
      <c r="H595" s="731">
        <v>78876686</v>
      </c>
      <c r="I595" s="730"/>
      <c r="J595" s="731"/>
      <c r="K595" s="730"/>
      <c r="L595" s="731"/>
      <c r="M595" s="730">
        <v>45156013</v>
      </c>
      <c r="N595" s="730"/>
      <c r="O595" s="732">
        <f t="shared" si="77"/>
        <v>45156013</v>
      </c>
      <c r="P595" s="731">
        <v>40800402</v>
      </c>
      <c r="Q595" s="731"/>
      <c r="R595" s="733">
        <f t="shared" si="80"/>
        <v>40800402</v>
      </c>
      <c r="S595" s="732">
        <f t="shared" si="81"/>
        <v>123612000</v>
      </c>
      <c r="T595" s="733">
        <f t="shared" si="82"/>
        <v>119677088</v>
      </c>
      <c r="U595" s="730"/>
      <c r="V595" s="731"/>
      <c r="W595" s="730"/>
      <c r="X595" s="730"/>
      <c r="Y595" s="732">
        <f t="shared" si="78"/>
        <v>0</v>
      </c>
      <c r="Z595" s="731"/>
      <c r="AA595" s="731"/>
      <c r="AB595" s="733">
        <f t="shared" si="79"/>
        <v>0</v>
      </c>
      <c r="AC595" s="730"/>
      <c r="AD595" s="731"/>
      <c r="AE595" s="730"/>
      <c r="AF595" s="730"/>
      <c r="AG595" s="731"/>
      <c r="AH595" s="731"/>
      <c r="AI595" s="732">
        <f t="shared" si="83"/>
        <v>123612000</v>
      </c>
      <c r="AJ595" s="733">
        <f t="shared" si="84"/>
        <v>119677088</v>
      </c>
    </row>
    <row r="596" spans="1:36">
      <c r="A596" s="912" t="s">
        <v>333</v>
      </c>
      <c r="B596" s="913" t="s">
        <v>62</v>
      </c>
      <c r="C596" s="914" t="s">
        <v>1436</v>
      </c>
      <c r="D596" s="921" t="s">
        <v>1437</v>
      </c>
      <c r="E596" s="916">
        <v>133960</v>
      </c>
      <c r="F596" s="916">
        <v>10</v>
      </c>
      <c r="G596" s="730">
        <v>7545792</v>
      </c>
      <c r="H596" s="731">
        <v>8474857</v>
      </c>
      <c r="I596" s="730"/>
      <c r="J596" s="731"/>
      <c r="K596" s="730"/>
      <c r="L596" s="731"/>
      <c r="M596" s="730">
        <v>2203530</v>
      </c>
      <c r="N596" s="730"/>
      <c r="O596" s="732">
        <f t="shared" si="77"/>
        <v>2203530</v>
      </c>
      <c r="P596" s="731">
        <v>2162647</v>
      </c>
      <c r="Q596" s="731"/>
      <c r="R596" s="733">
        <f t="shared" si="80"/>
        <v>2162647</v>
      </c>
      <c r="S596" s="732">
        <f t="shared" si="81"/>
        <v>9749322</v>
      </c>
      <c r="T596" s="733">
        <f t="shared" si="82"/>
        <v>10637504</v>
      </c>
      <c r="U596" s="730"/>
      <c r="V596" s="731"/>
      <c r="W596" s="730"/>
      <c r="X596" s="730"/>
      <c r="Y596" s="732">
        <f t="shared" si="78"/>
        <v>0</v>
      </c>
      <c r="Z596" s="731"/>
      <c r="AA596" s="731"/>
      <c r="AB596" s="733">
        <f t="shared" si="79"/>
        <v>0</v>
      </c>
      <c r="AC596" s="730"/>
      <c r="AD596" s="731"/>
      <c r="AE596" s="730"/>
      <c r="AF596" s="730"/>
      <c r="AG596" s="731"/>
      <c r="AH596" s="731"/>
      <c r="AI596" s="732">
        <f t="shared" si="83"/>
        <v>9749322</v>
      </c>
      <c r="AJ596" s="733">
        <f t="shared" si="84"/>
        <v>10637504</v>
      </c>
    </row>
    <row r="597" spans="1:36">
      <c r="A597" s="912" t="s">
        <v>333</v>
      </c>
      <c r="B597" s="913" t="s">
        <v>62</v>
      </c>
      <c r="C597" s="914" t="s">
        <v>344</v>
      </c>
      <c r="D597" s="917"/>
      <c r="E597" s="916">
        <v>134343</v>
      </c>
      <c r="F597" s="916">
        <v>7</v>
      </c>
      <c r="G597" s="730">
        <v>22537037</v>
      </c>
      <c r="H597" s="731">
        <v>23775548</v>
      </c>
      <c r="I597" s="730"/>
      <c r="J597" s="731"/>
      <c r="K597" s="730"/>
      <c r="L597" s="731"/>
      <c r="M597" s="730">
        <v>6954157</v>
      </c>
      <c r="N597" s="730"/>
      <c r="O597" s="732">
        <f t="shared" si="77"/>
        <v>6954157</v>
      </c>
      <c r="P597" s="731">
        <v>6480706</v>
      </c>
      <c r="Q597" s="731"/>
      <c r="R597" s="733">
        <f t="shared" si="80"/>
        <v>6480706</v>
      </c>
      <c r="S597" s="732">
        <f t="shared" si="81"/>
        <v>29491194</v>
      </c>
      <c r="T597" s="733">
        <f t="shared" si="82"/>
        <v>30256254</v>
      </c>
      <c r="U597" s="730"/>
      <c r="V597" s="731"/>
      <c r="W597" s="730"/>
      <c r="X597" s="730"/>
      <c r="Y597" s="732">
        <f t="shared" si="78"/>
        <v>0</v>
      </c>
      <c r="Z597" s="731"/>
      <c r="AA597" s="731"/>
      <c r="AB597" s="733">
        <f t="shared" si="79"/>
        <v>0</v>
      </c>
      <c r="AC597" s="730"/>
      <c r="AD597" s="731"/>
      <c r="AE597" s="730"/>
      <c r="AF597" s="730"/>
      <c r="AG597" s="731"/>
      <c r="AH597" s="731"/>
      <c r="AI597" s="732">
        <f t="shared" si="83"/>
        <v>29491194</v>
      </c>
      <c r="AJ597" s="733">
        <f t="shared" si="84"/>
        <v>30256254</v>
      </c>
    </row>
    <row r="598" spans="1:36">
      <c r="A598" s="912" t="s">
        <v>333</v>
      </c>
      <c r="B598" s="913" t="s">
        <v>62</v>
      </c>
      <c r="C598" s="914" t="s">
        <v>358</v>
      </c>
      <c r="D598" s="918"/>
      <c r="E598" s="916">
        <v>134495</v>
      </c>
      <c r="F598" s="916">
        <v>8</v>
      </c>
      <c r="G598" s="730">
        <v>68620100</v>
      </c>
      <c r="H598" s="731">
        <v>69709807</v>
      </c>
      <c r="I598" s="730"/>
      <c r="J598" s="731"/>
      <c r="K598" s="730"/>
      <c r="L598" s="731"/>
      <c r="M598" s="730">
        <v>47540710</v>
      </c>
      <c r="N598" s="730"/>
      <c r="O598" s="732">
        <f t="shared" si="77"/>
        <v>47540710</v>
      </c>
      <c r="P598" s="731">
        <v>42507706</v>
      </c>
      <c r="Q598" s="731"/>
      <c r="R598" s="733">
        <f t="shared" si="80"/>
        <v>42507706</v>
      </c>
      <c r="S598" s="732">
        <f t="shared" si="81"/>
        <v>116160810</v>
      </c>
      <c r="T598" s="733">
        <f t="shared" si="82"/>
        <v>112217513</v>
      </c>
      <c r="U598" s="730"/>
      <c r="V598" s="731"/>
      <c r="W598" s="730"/>
      <c r="X598" s="730"/>
      <c r="Y598" s="732">
        <f t="shared" si="78"/>
        <v>0</v>
      </c>
      <c r="Z598" s="731"/>
      <c r="AA598" s="731"/>
      <c r="AB598" s="733">
        <f t="shared" si="79"/>
        <v>0</v>
      </c>
      <c r="AC598" s="730"/>
      <c r="AD598" s="731"/>
      <c r="AE598" s="730"/>
      <c r="AF598" s="730"/>
      <c r="AG598" s="731"/>
      <c r="AH598" s="731"/>
      <c r="AI598" s="732">
        <f t="shared" si="83"/>
        <v>116160810</v>
      </c>
      <c r="AJ598" s="733">
        <f t="shared" si="84"/>
        <v>112217513</v>
      </c>
    </row>
    <row r="599" spans="1:36">
      <c r="A599" s="912" t="s">
        <v>333</v>
      </c>
      <c r="B599" s="913" t="s">
        <v>62</v>
      </c>
      <c r="C599" s="914" t="s">
        <v>345</v>
      </c>
      <c r="D599" s="920"/>
      <c r="E599" s="916">
        <v>134608</v>
      </c>
      <c r="F599" s="916">
        <v>7</v>
      </c>
      <c r="G599" s="730">
        <v>51079213</v>
      </c>
      <c r="H599" s="731">
        <v>51422971</v>
      </c>
      <c r="I599" s="730"/>
      <c r="J599" s="731"/>
      <c r="K599" s="730"/>
      <c r="L599" s="731"/>
      <c r="M599" s="730">
        <v>24242494</v>
      </c>
      <c r="N599" s="730"/>
      <c r="O599" s="732">
        <f t="shared" si="77"/>
        <v>24242494</v>
      </c>
      <c r="P599" s="731">
        <v>22530160</v>
      </c>
      <c r="Q599" s="731"/>
      <c r="R599" s="733">
        <f t="shared" si="80"/>
        <v>22530160</v>
      </c>
      <c r="S599" s="732">
        <f t="shared" si="81"/>
        <v>75321707</v>
      </c>
      <c r="T599" s="733">
        <f t="shared" si="82"/>
        <v>73953131</v>
      </c>
      <c r="U599" s="730"/>
      <c r="V599" s="731"/>
      <c r="W599" s="730"/>
      <c r="X599" s="730"/>
      <c r="Y599" s="732">
        <f t="shared" si="78"/>
        <v>0</v>
      </c>
      <c r="Z599" s="731"/>
      <c r="AA599" s="731"/>
      <c r="AB599" s="733">
        <f t="shared" si="79"/>
        <v>0</v>
      </c>
      <c r="AC599" s="730"/>
      <c r="AD599" s="731"/>
      <c r="AE599" s="730"/>
      <c r="AF599" s="730"/>
      <c r="AG599" s="731"/>
      <c r="AH599" s="731"/>
      <c r="AI599" s="732">
        <f t="shared" si="83"/>
        <v>75321707</v>
      </c>
      <c r="AJ599" s="733">
        <f t="shared" si="84"/>
        <v>73953131</v>
      </c>
    </row>
    <row r="600" spans="1:36">
      <c r="A600" s="912" t="s">
        <v>333</v>
      </c>
      <c r="B600" s="913" t="s">
        <v>62</v>
      </c>
      <c r="C600" s="914" t="s">
        <v>361</v>
      </c>
      <c r="D600" s="915"/>
      <c r="E600" s="916">
        <v>135160</v>
      </c>
      <c r="F600" s="916">
        <v>7</v>
      </c>
      <c r="G600" s="730">
        <v>14255549</v>
      </c>
      <c r="H600" s="731">
        <v>14740433</v>
      </c>
      <c r="I600" s="730"/>
      <c r="J600" s="731"/>
      <c r="K600" s="730"/>
      <c r="L600" s="731"/>
      <c r="M600" s="730">
        <v>4859308</v>
      </c>
      <c r="N600" s="730"/>
      <c r="O600" s="732">
        <f t="shared" si="77"/>
        <v>4859308</v>
      </c>
      <c r="P600" s="731">
        <v>4481911</v>
      </c>
      <c r="Q600" s="731"/>
      <c r="R600" s="733">
        <f t="shared" si="80"/>
        <v>4481911</v>
      </c>
      <c r="S600" s="732">
        <f t="shared" si="81"/>
        <v>19114857</v>
      </c>
      <c r="T600" s="733">
        <f t="shared" si="82"/>
        <v>19222344</v>
      </c>
      <c r="U600" s="730"/>
      <c r="V600" s="731"/>
      <c r="W600" s="730"/>
      <c r="X600" s="730"/>
      <c r="Y600" s="732">
        <f t="shared" si="78"/>
        <v>0</v>
      </c>
      <c r="Z600" s="731"/>
      <c r="AA600" s="731"/>
      <c r="AB600" s="733">
        <f t="shared" si="79"/>
        <v>0</v>
      </c>
      <c r="AC600" s="730"/>
      <c r="AD600" s="731"/>
      <c r="AE600" s="730"/>
      <c r="AF600" s="730"/>
      <c r="AG600" s="731"/>
      <c r="AH600" s="731"/>
      <c r="AI600" s="732">
        <f t="shared" si="83"/>
        <v>19114857</v>
      </c>
      <c r="AJ600" s="733">
        <f t="shared" si="84"/>
        <v>19222344</v>
      </c>
    </row>
    <row r="601" spans="1:36">
      <c r="A601" s="912" t="s">
        <v>333</v>
      </c>
      <c r="B601" s="913" t="s">
        <v>62</v>
      </c>
      <c r="C601" s="914" t="s">
        <v>362</v>
      </c>
      <c r="D601" s="915"/>
      <c r="E601" s="916">
        <v>135188</v>
      </c>
      <c r="F601" s="916">
        <v>7</v>
      </c>
      <c r="G601" s="730">
        <v>14816344</v>
      </c>
      <c r="H601" s="731">
        <v>15389255</v>
      </c>
      <c r="I601" s="730"/>
      <c r="J601" s="731"/>
      <c r="K601" s="730"/>
      <c r="L601" s="731"/>
      <c r="M601" s="730">
        <v>6791502</v>
      </c>
      <c r="N601" s="730"/>
      <c r="O601" s="732">
        <f t="shared" si="77"/>
        <v>6791502</v>
      </c>
      <c r="P601" s="731">
        <v>6298410</v>
      </c>
      <c r="Q601" s="731"/>
      <c r="R601" s="733">
        <f t="shared" si="80"/>
        <v>6298410</v>
      </c>
      <c r="S601" s="732">
        <f t="shared" si="81"/>
        <v>21607846</v>
      </c>
      <c r="T601" s="733">
        <f t="shared" si="82"/>
        <v>21687665</v>
      </c>
      <c r="U601" s="730"/>
      <c r="V601" s="731"/>
      <c r="W601" s="730"/>
      <c r="X601" s="730"/>
      <c r="Y601" s="732">
        <f t="shared" si="78"/>
        <v>0</v>
      </c>
      <c r="Z601" s="731"/>
      <c r="AA601" s="731"/>
      <c r="AB601" s="733">
        <f t="shared" si="79"/>
        <v>0</v>
      </c>
      <c r="AC601" s="730"/>
      <c r="AD601" s="731"/>
      <c r="AE601" s="730"/>
      <c r="AF601" s="730"/>
      <c r="AG601" s="731"/>
      <c r="AH601" s="731"/>
      <c r="AI601" s="732">
        <f t="shared" si="83"/>
        <v>21607846</v>
      </c>
      <c r="AJ601" s="733">
        <f t="shared" si="84"/>
        <v>21687665</v>
      </c>
    </row>
    <row r="602" spans="1:36">
      <c r="A602" s="912" t="s">
        <v>333</v>
      </c>
      <c r="B602" s="913" t="s">
        <v>62</v>
      </c>
      <c r="C602" s="914" t="s">
        <v>355</v>
      </c>
      <c r="D602" s="917"/>
      <c r="E602" s="916">
        <v>135391</v>
      </c>
      <c r="F602" s="916">
        <v>7</v>
      </c>
      <c r="G602" s="730">
        <v>27649126</v>
      </c>
      <c r="H602" s="731">
        <v>26014659</v>
      </c>
      <c r="I602" s="730"/>
      <c r="J602" s="731"/>
      <c r="K602" s="730"/>
      <c r="L602" s="731"/>
      <c r="M602" s="730">
        <v>16516955</v>
      </c>
      <c r="N602" s="730"/>
      <c r="O602" s="732">
        <f t="shared" si="77"/>
        <v>16516955</v>
      </c>
      <c r="P602" s="731">
        <v>16992880</v>
      </c>
      <c r="Q602" s="731"/>
      <c r="R602" s="733">
        <f t="shared" si="80"/>
        <v>16992880</v>
      </c>
      <c r="S602" s="732">
        <f t="shared" si="81"/>
        <v>44166081</v>
      </c>
      <c r="T602" s="733">
        <f t="shared" si="82"/>
        <v>43007539</v>
      </c>
      <c r="U602" s="730"/>
      <c r="V602" s="731"/>
      <c r="W602" s="730"/>
      <c r="X602" s="730"/>
      <c r="Y602" s="732">
        <f t="shared" si="78"/>
        <v>0</v>
      </c>
      <c r="Z602" s="731"/>
      <c r="AA602" s="731"/>
      <c r="AB602" s="733">
        <f t="shared" si="79"/>
        <v>0</v>
      </c>
      <c r="AC602" s="730"/>
      <c r="AD602" s="731"/>
      <c r="AE602" s="730"/>
      <c r="AF602" s="730"/>
      <c r="AG602" s="731"/>
      <c r="AH602" s="731"/>
      <c r="AI602" s="732">
        <f t="shared" si="83"/>
        <v>44166081</v>
      </c>
      <c r="AJ602" s="733">
        <f t="shared" si="84"/>
        <v>43007539</v>
      </c>
    </row>
    <row r="603" spans="1:36">
      <c r="A603" s="912" t="s">
        <v>333</v>
      </c>
      <c r="B603" s="913" t="s">
        <v>62</v>
      </c>
      <c r="C603" s="914" t="s">
        <v>346</v>
      </c>
      <c r="D603" s="918"/>
      <c r="E603" s="916">
        <v>135717</v>
      </c>
      <c r="F603" s="916">
        <v>7</v>
      </c>
      <c r="G603" s="730">
        <v>177709518</v>
      </c>
      <c r="H603" s="731">
        <v>178905947</v>
      </c>
      <c r="I603" s="730"/>
      <c r="J603" s="731"/>
      <c r="K603" s="730"/>
      <c r="L603" s="731"/>
      <c r="M603" s="730">
        <v>120652141</v>
      </c>
      <c r="N603" s="730"/>
      <c r="O603" s="732">
        <f t="shared" si="77"/>
        <v>120652141</v>
      </c>
      <c r="P603" s="731">
        <v>111081186</v>
      </c>
      <c r="Q603" s="731"/>
      <c r="R603" s="733">
        <f t="shared" si="80"/>
        <v>111081186</v>
      </c>
      <c r="S603" s="732">
        <f t="shared" si="81"/>
        <v>298361659</v>
      </c>
      <c r="T603" s="733">
        <f t="shared" si="82"/>
        <v>289987133</v>
      </c>
      <c r="U603" s="730"/>
      <c r="V603" s="731"/>
      <c r="W603" s="730"/>
      <c r="X603" s="730"/>
      <c r="Y603" s="732">
        <f t="shared" si="78"/>
        <v>0</v>
      </c>
      <c r="Z603" s="731"/>
      <c r="AA603" s="731"/>
      <c r="AB603" s="733">
        <f t="shared" si="79"/>
        <v>0</v>
      </c>
      <c r="AC603" s="730"/>
      <c r="AD603" s="731"/>
      <c r="AE603" s="730"/>
      <c r="AF603" s="730"/>
      <c r="AG603" s="731"/>
      <c r="AH603" s="731"/>
      <c r="AI603" s="732">
        <f t="shared" si="83"/>
        <v>298361659</v>
      </c>
      <c r="AJ603" s="733">
        <f t="shared" si="84"/>
        <v>289987133</v>
      </c>
    </row>
    <row r="604" spans="1:36">
      <c r="A604" s="912" t="s">
        <v>333</v>
      </c>
      <c r="B604" s="913" t="s">
        <v>62</v>
      </c>
      <c r="C604" s="914" t="s">
        <v>1438</v>
      </c>
      <c r="D604" s="921" t="s">
        <v>1435</v>
      </c>
      <c r="E604" s="916">
        <v>136145</v>
      </c>
      <c r="F604" s="916">
        <v>10</v>
      </c>
      <c r="G604" s="730">
        <v>8193715</v>
      </c>
      <c r="H604" s="731">
        <v>8181614</v>
      </c>
      <c r="I604" s="730"/>
      <c r="J604" s="731"/>
      <c r="K604" s="730"/>
      <c r="L604" s="731"/>
      <c r="M604" s="730">
        <v>1691914</v>
      </c>
      <c r="N604" s="730"/>
      <c r="O604" s="732">
        <f t="shared" si="77"/>
        <v>1691914</v>
      </c>
      <c r="P604" s="731">
        <v>1608195</v>
      </c>
      <c r="Q604" s="731"/>
      <c r="R604" s="733">
        <f t="shared" si="80"/>
        <v>1608195</v>
      </c>
      <c r="S604" s="732">
        <f t="shared" si="81"/>
        <v>9885629</v>
      </c>
      <c r="T604" s="733">
        <f t="shared" si="82"/>
        <v>9789809</v>
      </c>
      <c r="U604" s="730"/>
      <c r="V604" s="731"/>
      <c r="W604" s="730"/>
      <c r="X604" s="730"/>
      <c r="Y604" s="732">
        <f t="shared" si="78"/>
        <v>0</v>
      </c>
      <c r="Z604" s="731"/>
      <c r="AA604" s="731"/>
      <c r="AB604" s="733">
        <f t="shared" si="79"/>
        <v>0</v>
      </c>
      <c r="AC604" s="730"/>
      <c r="AD604" s="731"/>
      <c r="AE604" s="730"/>
      <c r="AF604" s="730"/>
      <c r="AG604" s="731"/>
      <c r="AH604" s="731"/>
      <c r="AI604" s="732">
        <f t="shared" si="83"/>
        <v>9885629</v>
      </c>
      <c r="AJ604" s="733">
        <f t="shared" si="84"/>
        <v>9789809</v>
      </c>
    </row>
    <row r="605" spans="1:36">
      <c r="A605" s="912" t="s">
        <v>333</v>
      </c>
      <c r="B605" s="913" t="s">
        <v>62</v>
      </c>
      <c r="C605" s="914" t="s">
        <v>347</v>
      </c>
      <c r="D605" s="918"/>
      <c r="E605" s="916">
        <v>136233</v>
      </c>
      <c r="F605" s="916">
        <v>7</v>
      </c>
      <c r="G605" s="730">
        <v>19802196</v>
      </c>
      <c r="H605" s="731">
        <v>19925089</v>
      </c>
      <c r="I605" s="730"/>
      <c r="J605" s="731"/>
      <c r="K605" s="730"/>
      <c r="L605" s="731"/>
      <c r="M605" s="730">
        <v>8584895</v>
      </c>
      <c r="N605" s="730"/>
      <c r="O605" s="732">
        <f t="shared" si="77"/>
        <v>8584895</v>
      </c>
      <c r="P605" s="731">
        <v>7969842</v>
      </c>
      <c r="Q605" s="731"/>
      <c r="R605" s="733">
        <f t="shared" si="80"/>
        <v>7969842</v>
      </c>
      <c r="S605" s="732">
        <f t="shared" si="81"/>
        <v>28387091</v>
      </c>
      <c r="T605" s="733">
        <f t="shared" si="82"/>
        <v>27894931</v>
      </c>
      <c r="U605" s="730"/>
      <c r="V605" s="731"/>
      <c r="W605" s="730"/>
      <c r="X605" s="730"/>
      <c r="Y605" s="732">
        <f t="shared" si="78"/>
        <v>0</v>
      </c>
      <c r="Z605" s="731"/>
      <c r="AA605" s="731"/>
      <c r="AB605" s="733">
        <f t="shared" si="79"/>
        <v>0</v>
      </c>
      <c r="AC605" s="730"/>
      <c r="AD605" s="731"/>
      <c r="AE605" s="730"/>
      <c r="AF605" s="730"/>
      <c r="AG605" s="731"/>
      <c r="AH605" s="731"/>
      <c r="AI605" s="732">
        <f t="shared" si="83"/>
        <v>28387091</v>
      </c>
      <c r="AJ605" s="733">
        <f t="shared" si="84"/>
        <v>27894931</v>
      </c>
    </row>
    <row r="606" spans="1:36">
      <c r="A606" s="912" t="s">
        <v>333</v>
      </c>
      <c r="B606" s="913" t="s">
        <v>62</v>
      </c>
      <c r="C606" s="914" t="s">
        <v>348</v>
      </c>
      <c r="D606" s="917"/>
      <c r="E606" s="916">
        <v>136358</v>
      </c>
      <c r="F606" s="916">
        <v>7</v>
      </c>
      <c r="G606" s="730">
        <v>65377254</v>
      </c>
      <c r="H606" s="731">
        <v>67766511</v>
      </c>
      <c r="I606" s="730"/>
      <c r="J606" s="731"/>
      <c r="K606" s="730"/>
      <c r="L606" s="731"/>
      <c r="M606" s="730">
        <v>50211339</v>
      </c>
      <c r="N606" s="730"/>
      <c r="O606" s="732">
        <f t="shared" si="77"/>
        <v>50211339</v>
      </c>
      <c r="P606" s="731">
        <v>45386494</v>
      </c>
      <c r="Q606" s="731"/>
      <c r="R606" s="733">
        <f t="shared" si="80"/>
        <v>45386494</v>
      </c>
      <c r="S606" s="732">
        <f t="shared" si="81"/>
        <v>115588593</v>
      </c>
      <c r="T606" s="733">
        <f t="shared" si="82"/>
        <v>113153005</v>
      </c>
      <c r="U606" s="730"/>
      <c r="V606" s="731"/>
      <c r="W606" s="730"/>
      <c r="X606" s="730"/>
      <c r="Y606" s="732">
        <f t="shared" si="78"/>
        <v>0</v>
      </c>
      <c r="Z606" s="731"/>
      <c r="AA606" s="731"/>
      <c r="AB606" s="733">
        <f t="shared" si="79"/>
        <v>0</v>
      </c>
      <c r="AC606" s="730"/>
      <c r="AD606" s="731"/>
      <c r="AE606" s="730"/>
      <c r="AF606" s="730"/>
      <c r="AG606" s="731"/>
      <c r="AH606" s="731"/>
      <c r="AI606" s="732">
        <f t="shared" si="83"/>
        <v>115588593</v>
      </c>
      <c r="AJ606" s="733">
        <f t="shared" si="84"/>
        <v>113153005</v>
      </c>
    </row>
    <row r="607" spans="1:36">
      <c r="A607" s="912" t="s">
        <v>333</v>
      </c>
      <c r="B607" s="913" t="s">
        <v>62</v>
      </c>
      <c r="C607" s="914" t="s">
        <v>359</v>
      </c>
      <c r="D607" s="915"/>
      <c r="E607" s="916">
        <v>136400</v>
      </c>
      <c r="F607" s="916">
        <v>7</v>
      </c>
      <c r="G607" s="730">
        <v>31907963</v>
      </c>
      <c r="H607" s="731">
        <v>32173371</v>
      </c>
      <c r="I607" s="730"/>
      <c r="J607" s="731"/>
      <c r="K607" s="730"/>
      <c r="L607" s="731"/>
      <c r="M607" s="730">
        <v>16211928</v>
      </c>
      <c r="N607" s="730"/>
      <c r="O607" s="732">
        <f t="shared" si="77"/>
        <v>16211928</v>
      </c>
      <c r="P607" s="731">
        <v>14393305</v>
      </c>
      <c r="Q607" s="731"/>
      <c r="R607" s="733">
        <f t="shared" si="80"/>
        <v>14393305</v>
      </c>
      <c r="S607" s="732">
        <f t="shared" si="81"/>
        <v>48119891</v>
      </c>
      <c r="T607" s="733">
        <f t="shared" si="82"/>
        <v>46566676</v>
      </c>
      <c r="U607" s="730"/>
      <c r="V607" s="731"/>
      <c r="W607" s="730"/>
      <c r="X607" s="730"/>
      <c r="Y607" s="732">
        <f t="shared" si="78"/>
        <v>0</v>
      </c>
      <c r="Z607" s="731"/>
      <c r="AA607" s="731"/>
      <c r="AB607" s="733">
        <f t="shared" si="79"/>
        <v>0</v>
      </c>
      <c r="AC607" s="730"/>
      <c r="AD607" s="731"/>
      <c r="AE607" s="730"/>
      <c r="AF607" s="730"/>
      <c r="AG607" s="731"/>
      <c r="AH607" s="731"/>
      <c r="AI607" s="732">
        <f t="shared" si="83"/>
        <v>48119891</v>
      </c>
      <c r="AJ607" s="733">
        <f t="shared" si="84"/>
        <v>46566676</v>
      </c>
    </row>
    <row r="608" spans="1:36">
      <c r="A608" s="912" t="s">
        <v>333</v>
      </c>
      <c r="B608" s="913" t="s">
        <v>62</v>
      </c>
      <c r="C608" s="914" t="s">
        <v>349</v>
      </c>
      <c r="D608" s="917"/>
      <c r="E608" s="916">
        <v>136473</v>
      </c>
      <c r="F608" s="916">
        <v>7</v>
      </c>
      <c r="G608" s="730">
        <v>36612231</v>
      </c>
      <c r="H608" s="731">
        <v>37209127</v>
      </c>
      <c r="I608" s="730"/>
      <c r="J608" s="731"/>
      <c r="K608" s="730"/>
      <c r="L608" s="731"/>
      <c r="M608" s="730">
        <v>16251344</v>
      </c>
      <c r="N608" s="730"/>
      <c r="O608" s="732">
        <f t="shared" si="77"/>
        <v>16251344</v>
      </c>
      <c r="P608" s="731">
        <v>14562895</v>
      </c>
      <c r="Q608" s="731"/>
      <c r="R608" s="733">
        <f t="shared" si="80"/>
        <v>14562895</v>
      </c>
      <c r="S608" s="732">
        <f t="shared" si="81"/>
        <v>52863575</v>
      </c>
      <c r="T608" s="733">
        <f t="shared" si="82"/>
        <v>51772022</v>
      </c>
      <c r="U608" s="730"/>
      <c r="V608" s="731"/>
      <c r="W608" s="730"/>
      <c r="X608" s="730"/>
      <c r="Y608" s="732">
        <f t="shared" si="78"/>
        <v>0</v>
      </c>
      <c r="Z608" s="731"/>
      <c r="AA608" s="731"/>
      <c r="AB608" s="733">
        <f t="shared" si="79"/>
        <v>0</v>
      </c>
      <c r="AC608" s="730"/>
      <c r="AD608" s="731"/>
      <c r="AE608" s="730"/>
      <c r="AF608" s="730"/>
      <c r="AG608" s="731"/>
      <c r="AH608" s="731"/>
      <c r="AI608" s="732">
        <f t="shared" si="83"/>
        <v>52863575</v>
      </c>
      <c r="AJ608" s="733">
        <f t="shared" si="84"/>
        <v>51772022</v>
      </c>
    </row>
    <row r="609" spans="1:36">
      <c r="A609" s="912" t="s">
        <v>333</v>
      </c>
      <c r="B609" s="913" t="s">
        <v>62</v>
      </c>
      <c r="C609" s="914" t="s">
        <v>350</v>
      </c>
      <c r="D609" s="917"/>
      <c r="E609" s="916">
        <v>136516</v>
      </c>
      <c r="F609" s="916">
        <v>7</v>
      </c>
      <c r="G609" s="730">
        <v>32198826</v>
      </c>
      <c r="H609" s="731">
        <v>33319787</v>
      </c>
      <c r="I609" s="730"/>
      <c r="J609" s="731"/>
      <c r="K609" s="730"/>
      <c r="L609" s="731"/>
      <c r="M609" s="730">
        <v>16058153</v>
      </c>
      <c r="N609" s="730"/>
      <c r="O609" s="732">
        <f t="shared" si="77"/>
        <v>16058153</v>
      </c>
      <c r="P609" s="731">
        <v>14060637</v>
      </c>
      <c r="Q609" s="731"/>
      <c r="R609" s="733">
        <f t="shared" si="80"/>
        <v>14060637</v>
      </c>
      <c r="S609" s="732">
        <f t="shared" si="81"/>
        <v>48256979</v>
      </c>
      <c r="T609" s="733">
        <f t="shared" si="82"/>
        <v>47380424</v>
      </c>
      <c r="U609" s="730"/>
      <c r="V609" s="731"/>
      <c r="W609" s="730"/>
      <c r="X609" s="730"/>
      <c r="Y609" s="732">
        <f t="shared" si="78"/>
        <v>0</v>
      </c>
      <c r="Z609" s="731"/>
      <c r="AA609" s="731"/>
      <c r="AB609" s="733">
        <f t="shared" si="79"/>
        <v>0</v>
      </c>
      <c r="AC609" s="730"/>
      <c r="AD609" s="731"/>
      <c r="AE609" s="730"/>
      <c r="AF609" s="730"/>
      <c r="AG609" s="731"/>
      <c r="AH609" s="731"/>
      <c r="AI609" s="732">
        <f t="shared" si="83"/>
        <v>48256979</v>
      </c>
      <c r="AJ609" s="733">
        <f t="shared" si="84"/>
        <v>47380424</v>
      </c>
    </row>
    <row r="610" spans="1:36">
      <c r="A610" s="912" t="s">
        <v>333</v>
      </c>
      <c r="B610" s="913" t="s">
        <v>62</v>
      </c>
      <c r="C610" s="914" t="s">
        <v>353</v>
      </c>
      <c r="D610" s="917"/>
      <c r="E610" s="916">
        <v>137281</v>
      </c>
      <c r="F610" s="916">
        <v>7</v>
      </c>
      <c r="G610" s="730">
        <v>23064654</v>
      </c>
      <c r="H610" s="731">
        <v>24698500</v>
      </c>
      <c r="I610" s="730"/>
      <c r="J610" s="731"/>
      <c r="K610" s="730"/>
      <c r="L610" s="731"/>
      <c r="M610" s="730">
        <v>9101701</v>
      </c>
      <c r="N610" s="730"/>
      <c r="O610" s="732">
        <f t="shared" si="77"/>
        <v>9101701</v>
      </c>
      <c r="P610" s="731">
        <v>8494066</v>
      </c>
      <c r="Q610" s="731"/>
      <c r="R610" s="733">
        <f t="shared" si="80"/>
        <v>8494066</v>
      </c>
      <c r="S610" s="732">
        <f t="shared" si="81"/>
        <v>32166355</v>
      </c>
      <c r="T610" s="733">
        <f t="shared" si="82"/>
        <v>33192566</v>
      </c>
      <c r="U610" s="730"/>
      <c r="V610" s="731"/>
      <c r="W610" s="730"/>
      <c r="X610" s="730"/>
      <c r="Y610" s="732">
        <f t="shared" si="78"/>
        <v>0</v>
      </c>
      <c r="Z610" s="731"/>
      <c r="AA610" s="731"/>
      <c r="AB610" s="733">
        <f t="shared" si="79"/>
        <v>0</v>
      </c>
      <c r="AC610" s="730"/>
      <c r="AD610" s="731"/>
      <c r="AE610" s="730"/>
      <c r="AF610" s="730"/>
      <c r="AG610" s="731"/>
      <c r="AH610" s="731"/>
      <c r="AI610" s="732">
        <f t="shared" si="83"/>
        <v>32166355</v>
      </c>
      <c r="AJ610" s="733">
        <f t="shared" si="84"/>
        <v>33192566</v>
      </c>
    </row>
    <row r="611" spans="1:36">
      <c r="A611" s="912" t="s">
        <v>333</v>
      </c>
      <c r="B611" s="913" t="s">
        <v>62</v>
      </c>
      <c r="C611" s="914" t="s">
        <v>354</v>
      </c>
      <c r="D611" s="918"/>
      <c r="E611" s="916">
        <v>137078</v>
      </c>
      <c r="F611" s="916">
        <v>7</v>
      </c>
      <c r="G611" s="730">
        <v>71914178</v>
      </c>
      <c r="H611" s="731">
        <v>72572258</v>
      </c>
      <c r="I611" s="730"/>
      <c r="J611" s="731"/>
      <c r="K611" s="730"/>
      <c r="L611" s="731"/>
      <c r="M611" s="730">
        <v>47375218</v>
      </c>
      <c r="N611" s="730"/>
      <c r="O611" s="732">
        <f t="shared" si="77"/>
        <v>47375218</v>
      </c>
      <c r="P611" s="731">
        <v>42727325</v>
      </c>
      <c r="Q611" s="731"/>
      <c r="R611" s="733">
        <f t="shared" si="80"/>
        <v>42727325</v>
      </c>
      <c r="S611" s="732">
        <f t="shared" si="81"/>
        <v>119289396</v>
      </c>
      <c r="T611" s="733">
        <f t="shared" si="82"/>
        <v>115299583</v>
      </c>
      <c r="U611" s="730"/>
      <c r="V611" s="731"/>
      <c r="W611" s="730"/>
      <c r="X611" s="730"/>
      <c r="Y611" s="732">
        <f t="shared" si="78"/>
        <v>0</v>
      </c>
      <c r="Z611" s="731"/>
      <c r="AA611" s="731"/>
      <c r="AB611" s="733">
        <f t="shared" si="79"/>
        <v>0</v>
      </c>
      <c r="AC611" s="730"/>
      <c r="AD611" s="731"/>
      <c r="AE611" s="730"/>
      <c r="AF611" s="730"/>
      <c r="AG611" s="731"/>
      <c r="AH611" s="731"/>
      <c r="AI611" s="732">
        <f t="shared" si="83"/>
        <v>119289396</v>
      </c>
      <c r="AJ611" s="733">
        <f t="shared" si="84"/>
        <v>115299583</v>
      </c>
    </row>
    <row r="612" spans="1:36">
      <c r="A612" s="912" t="s">
        <v>333</v>
      </c>
      <c r="B612" s="913" t="s">
        <v>62</v>
      </c>
      <c r="C612" s="914" t="s">
        <v>351</v>
      </c>
      <c r="D612" s="917"/>
      <c r="E612" s="916">
        <v>137096</v>
      </c>
      <c r="F612" s="916">
        <v>7</v>
      </c>
      <c r="G612" s="730">
        <v>44263290</v>
      </c>
      <c r="H612" s="731">
        <v>44452602</v>
      </c>
      <c r="I612" s="730"/>
      <c r="J612" s="731"/>
      <c r="K612" s="730"/>
      <c r="L612" s="731"/>
      <c r="M612" s="730">
        <v>28280392</v>
      </c>
      <c r="N612" s="730"/>
      <c r="O612" s="732">
        <f t="shared" si="77"/>
        <v>28280392</v>
      </c>
      <c r="P612" s="731">
        <v>24950861</v>
      </c>
      <c r="Q612" s="731"/>
      <c r="R612" s="733">
        <f t="shared" si="80"/>
        <v>24950861</v>
      </c>
      <c r="S612" s="732">
        <f t="shared" si="81"/>
        <v>72543682</v>
      </c>
      <c r="T612" s="733">
        <f t="shared" si="82"/>
        <v>69403463</v>
      </c>
      <c r="U612" s="730"/>
      <c r="V612" s="731"/>
      <c r="W612" s="730"/>
      <c r="X612" s="730"/>
      <c r="Y612" s="732">
        <f t="shared" si="78"/>
        <v>0</v>
      </c>
      <c r="Z612" s="731"/>
      <c r="AA612" s="731"/>
      <c r="AB612" s="733">
        <f t="shared" si="79"/>
        <v>0</v>
      </c>
      <c r="AC612" s="730"/>
      <c r="AD612" s="731"/>
      <c r="AE612" s="730"/>
      <c r="AF612" s="730"/>
      <c r="AG612" s="731"/>
      <c r="AH612" s="731"/>
      <c r="AI612" s="732">
        <f t="shared" si="83"/>
        <v>72543682</v>
      </c>
      <c r="AJ612" s="733">
        <f t="shared" si="84"/>
        <v>69403463</v>
      </c>
    </row>
    <row r="613" spans="1:36">
      <c r="A613" s="912" t="s">
        <v>333</v>
      </c>
      <c r="B613" s="913" t="s">
        <v>62</v>
      </c>
      <c r="C613" s="914" t="s">
        <v>352</v>
      </c>
      <c r="D613" s="917"/>
      <c r="E613" s="916">
        <v>137209</v>
      </c>
      <c r="F613" s="916">
        <v>7</v>
      </c>
      <c r="G613" s="730">
        <v>45564565</v>
      </c>
      <c r="H613" s="731">
        <v>46320934</v>
      </c>
      <c r="I613" s="730"/>
      <c r="J613" s="731"/>
      <c r="K613" s="730"/>
      <c r="L613" s="731"/>
      <c r="M613" s="730">
        <v>29669509</v>
      </c>
      <c r="N613" s="730"/>
      <c r="O613" s="732">
        <f t="shared" si="77"/>
        <v>29669509</v>
      </c>
      <c r="P613" s="731">
        <v>27984856</v>
      </c>
      <c r="Q613" s="731"/>
      <c r="R613" s="733">
        <f t="shared" si="80"/>
        <v>27984856</v>
      </c>
      <c r="S613" s="732">
        <f t="shared" si="81"/>
        <v>75234074</v>
      </c>
      <c r="T613" s="733">
        <f t="shared" si="82"/>
        <v>74305790</v>
      </c>
      <c r="U613" s="730"/>
      <c r="V613" s="731"/>
      <c r="W613" s="730"/>
      <c r="X613" s="730"/>
      <c r="Y613" s="732">
        <f t="shared" si="78"/>
        <v>0</v>
      </c>
      <c r="Z613" s="731"/>
      <c r="AA613" s="731"/>
      <c r="AB613" s="733">
        <f t="shared" si="79"/>
        <v>0</v>
      </c>
      <c r="AC613" s="730"/>
      <c r="AD613" s="731"/>
      <c r="AE613" s="730"/>
      <c r="AF613" s="730"/>
      <c r="AG613" s="731"/>
      <c r="AH613" s="731"/>
      <c r="AI613" s="732">
        <f t="shared" si="83"/>
        <v>75234074</v>
      </c>
      <c r="AJ613" s="733">
        <f t="shared" si="84"/>
        <v>74305790</v>
      </c>
    </row>
    <row r="614" spans="1:36">
      <c r="A614" s="912" t="s">
        <v>333</v>
      </c>
      <c r="B614" s="913" t="s">
        <v>62</v>
      </c>
      <c r="C614" s="914" t="s">
        <v>363</v>
      </c>
      <c r="D614" s="915"/>
      <c r="E614" s="916">
        <v>137315</v>
      </c>
      <c r="F614" s="916">
        <v>7</v>
      </c>
      <c r="G614" s="730">
        <v>16762802</v>
      </c>
      <c r="H614" s="731">
        <v>16836789</v>
      </c>
      <c r="I614" s="730"/>
      <c r="J614" s="731"/>
      <c r="K614" s="730"/>
      <c r="L614" s="731"/>
      <c r="M614" s="730">
        <v>3718996</v>
      </c>
      <c r="N614" s="730"/>
      <c r="O614" s="732">
        <f t="shared" si="77"/>
        <v>3718996</v>
      </c>
      <c r="P614" s="731">
        <v>3897242</v>
      </c>
      <c r="Q614" s="731"/>
      <c r="R614" s="733">
        <f t="shared" si="80"/>
        <v>3897242</v>
      </c>
      <c r="S614" s="732">
        <f t="shared" si="81"/>
        <v>20481798</v>
      </c>
      <c r="T614" s="733">
        <f t="shared" si="82"/>
        <v>20734031</v>
      </c>
      <c r="U614" s="730"/>
      <c r="V614" s="731"/>
      <c r="W614" s="730"/>
      <c r="X614" s="730"/>
      <c r="Y614" s="732">
        <f t="shared" si="78"/>
        <v>0</v>
      </c>
      <c r="Z614" s="731"/>
      <c r="AA614" s="731"/>
      <c r="AB614" s="733">
        <f t="shared" si="79"/>
        <v>0</v>
      </c>
      <c r="AC614" s="730"/>
      <c r="AD614" s="731"/>
      <c r="AE614" s="730"/>
      <c r="AF614" s="730"/>
      <c r="AG614" s="731"/>
      <c r="AH614" s="731"/>
      <c r="AI614" s="732">
        <f t="shared" si="83"/>
        <v>20481798</v>
      </c>
      <c r="AJ614" s="733">
        <f t="shared" si="84"/>
        <v>20734031</v>
      </c>
    </row>
    <row r="615" spans="1:36">
      <c r="A615" s="912" t="s">
        <v>333</v>
      </c>
      <c r="B615" s="913" t="s">
        <v>62</v>
      </c>
      <c r="C615" s="914" t="s">
        <v>360</v>
      </c>
      <c r="D615" s="921" t="s">
        <v>1435</v>
      </c>
      <c r="E615" s="916">
        <v>137759</v>
      </c>
      <c r="F615" s="916">
        <v>8</v>
      </c>
      <c r="G615" s="730">
        <v>34129013</v>
      </c>
      <c r="H615" s="731">
        <v>34295994</v>
      </c>
      <c r="I615" s="730"/>
      <c r="J615" s="731"/>
      <c r="K615" s="730"/>
      <c r="L615" s="731"/>
      <c r="M615" s="730">
        <v>23556516</v>
      </c>
      <c r="N615" s="730"/>
      <c r="O615" s="732">
        <f t="shared" si="77"/>
        <v>23556516</v>
      </c>
      <c r="P615" s="731">
        <v>22164943</v>
      </c>
      <c r="Q615" s="731"/>
      <c r="R615" s="733">
        <f t="shared" si="80"/>
        <v>22164943</v>
      </c>
      <c r="S615" s="732">
        <f t="shared" si="81"/>
        <v>57685529</v>
      </c>
      <c r="T615" s="733">
        <f t="shared" si="82"/>
        <v>56460937</v>
      </c>
      <c r="U615" s="730"/>
      <c r="V615" s="731"/>
      <c r="W615" s="730"/>
      <c r="X615" s="730"/>
      <c r="Y615" s="732">
        <f t="shared" si="78"/>
        <v>0</v>
      </c>
      <c r="Z615" s="731"/>
      <c r="AA615" s="731"/>
      <c r="AB615" s="733">
        <f t="shared" si="79"/>
        <v>0</v>
      </c>
      <c r="AC615" s="730"/>
      <c r="AD615" s="731"/>
      <c r="AE615" s="730"/>
      <c r="AF615" s="730"/>
      <c r="AG615" s="731"/>
      <c r="AH615" s="731"/>
      <c r="AI615" s="732">
        <f t="shared" si="83"/>
        <v>57685529</v>
      </c>
      <c r="AJ615" s="733">
        <f t="shared" si="84"/>
        <v>56460937</v>
      </c>
    </row>
    <row r="616" spans="1:36">
      <c r="A616" s="912" t="s">
        <v>333</v>
      </c>
      <c r="B616" s="913" t="s">
        <v>62</v>
      </c>
      <c r="C616" s="914" t="s">
        <v>356</v>
      </c>
      <c r="D616" s="915"/>
      <c r="E616" s="916">
        <v>138187</v>
      </c>
      <c r="F616" s="916">
        <v>7</v>
      </c>
      <c r="G616" s="730">
        <v>89894401</v>
      </c>
      <c r="H616" s="731">
        <v>94697528</v>
      </c>
      <c r="I616" s="730"/>
      <c r="J616" s="731"/>
      <c r="K616" s="730"/>
      <c r="L616" s="731"/>
      <c r="M616" s="730">
        <v>90904468</v>
      </c>
      <c r="N616" s="730"/>
      <c r="O616" s="732">
        <f t="shared" si="77"/>
        <v>90904468</v>
      </c>
      <c r="P616" s="731">
        <v>94519809</v>
      </c>
      <c r="Q616" s="731"/>
      <c r="R616" s="733">
        <f t="shared" si="80"/>
        <v>94519809</v>
      </c>
      <c r="S616" s="732">
        <f t="shared" si="81"/>
        <v>180798869</v>
      </c>
      <c r="T616" s="733">
        <f t="shared" si="82"/>
        <v>189217337</v>
      </c>
      <c r="U616" s="730"/>
      <c r="V616" s="731"/>
      <c r="W616" s="730"/>
      <c r="X616" s="730"/>
      <c r="Y616" s="732">
        <f t="shared" si="78"/>
        <v>0</v>
      </c>
      <c r="Z616" s="731"/>
      <c r="AA616" s="731"/>
      <c r="AB616" s="733">
        <f t="shared" si="79"/>
        <v>0</v>
      </c>
      <c r="AC616" s="730"/>
      <c r="AD616" s="731"/>
      <c r="AE616" s="730"/>
      <c r="AF616" s="730"/>
      <c r="AG616" s="731"/>
      <c r="AH616" s="731"/>
      <c r="AI616" s="732">
        <f t="shared" si="83"/>
        <v>180798869</v>
      </c>
      <c r="AJ616" s="733">
        <f t="shared" si="84"/>
        <v>189217337</v>
      </c>
    </row>
    <row r="617" spans="1:36">
      <c r="A617" s="912" t="s">
        <v>333</v>
      </c>
      <c r="B617" s="913" t="s">
        <v>142</v>
      </c>
      <c r="C617" s="922" t="s">
        <v>364</v>
      </c>
      <c r="D617" s="923"/>
      <c r="E617" s="924"/>
      <c r="F617" s="916">
        <v>99</v>
      </c>
      <c r="G617" s="730">
        <v>2358105.2400000002</v>
      </c>
      <c r="H617" s="731">
        <v>2451005</v>
      </c>
      <c r="I617" s="730"/>
      <c r="J617" s="731"/>
      <c r="K617" s="730"/>
      <c r="L617" s="731"/>
      <c r="M617" s="730"/>
      <c r="N617" s="730"/>
      <c r="O617" s="732">
        <f t="shared" si="77"/>
        <v>0</v>
      </c>
      <c r="P617" s="731"/>
      <c r="Q617" s="731"/>
      <c r="R617" s="733">
        <f t="shared" si="80"/>
        <v>0</v>
      </c>
      <c r="S617" s="732">
        <f t="shared" si="81"/>
        <v>2358105.2400000002</v>
      </c>
      <c r="T617" s="733">
        <f t="shared" si="82"/>
        <v>2451005</v>
      </c>
      <c r="U617" s="730"/>
      <c r="V617" s="731"/>
      <c r="W617" s="730"/>
      <c r="X617" s="730"/>
      <c r="Y617" s="732">
        <f t="shared" si="78"/>
        <v>0</v>
      </c>
      <c r="Z617" s="731"/>
      <c r="AA617" s="731"/>
      <c r="AB617" s="733">
        <f t="shared" si="79"/>
        <v>0</v>
      </c>
      <c r="AC617" s="730"/>
      <c r="AD617" s="731"/>
      <c r="AE617" s="730"/>
      <c r="AF617" s="730"/>
      <c r="AG617" s="731"/>
      <c r="AH617" s="731"/>
      <c r="AI617" s="732">
        <f t="shared" si="83"/>
        <v>2358105.2400000002</v>
      </c>
      <c r="AJ617" s="733">
        <f t="shared" si="84"/>
        <v>2451005</v>
      </c>
    </row>
    <row r="618" spans="1:36">
      <c r="A618" s="912" t="s">
        <v>333</v>
      </c>
      <c r="B618" s="913" t="s">
        <v>138</v>
      </c>
      <c r="C618" s="925" t="s">
        <v>139</v>
      </c>
      <c r="D618" s="925"/>
      <c r="E618" s="926"/>
      <c r="F618" s="916">
        <v>99</v>
      </c>
      <c r="G618" s="730"/>
      <c r="H618" s="731"/>
      <c r="I618" s="730"/>
      <c r="J618" s="731"/>
      <c r="K618" s="730"/>
      <c r="L618" s="731"/>
      <c r="M618" s="730"/>
      <c r="N618" s="730"/>
      <c r="O618" s="732">
        <f t="shared" si="77"/>
        <v>0</v>
      </c>
      <c r="P618" s="731"/>
      <c r="Q618" s="731"/>
      <c r="R618" s="733">
        <f t="shared" si="80"/>
        <v>0</v>
      </c>
      <c r="S618" s="732">
        <f t="shared" si="81"/>
        <v>0</v>
      </c>
      <c r="T618" s="733">
        <f t="shared" si="82"/>
        <v>0</v>
      </c>
      <c r="U618" s="730"/>
      <c r="V618" s="731"/>
      <c r="W618" s="730"/>
      <c r="X618" s="730"/>
      <c r="Y618" s="732">
        <f t="shared" si="78"/>
        <v>0</v>
      </c>
      <c r="Z618" s="731"/>
      <c r="AA618" s="731"/>
      <c r="AB618" s="733">
        <f t="shared" si="79"/>
        <v>0</v>
      </c>
      <c r="AC618" s="730"/>
      <c r="AD618" s="731"/>
      <c r="AE618" s="730"/>
      <c r="AF618" s="730"/>
      <c r="AG618" s="731"/>
      <c r="AH618" s="731"/>
      <c r="AI618" s="732">
        <f t="shared" si="83"/>
        <v>0</v>
      </c>
      <c r="AJ618" s="733">
        <f t="shared" si="84"/>
        <v>0</v>
      </c>
    </row>
    <row r="619" spans="1:36">
      <c r="A619" s="927" t="s">
        <v>365</v>
      </c>
      <c r="B619" s="928" t="s">
        <v>62</v>
      </c>
      <c r="C619" s="929" t="s">
        <v>366</v>
      </c>
      <c r="D619" s="930"/>
      <c r="E619" s="931">
        <v>139940</v>
      </c>
      <c r="F619" s="932">
        <v>1</v>
      </c>
      <c r="G619" s="730">
        <v>285467569</v>
      </c>
      <c r="H619" s="731">
        <v>266043536</v>
      </c>
      <c r="I619" s="730"/>
      <c r="J619" s="731"/>
      <c r="K619" s="730"/>
      <c r="L619" s="731"/>
      <c r="M619" s="730">
        <v>361534586.97000003</v>
      </c>
      <c r="N619" s="730"/>
      <c r="O619" s="732">
        <f t="shared" si="77"/>
        <v>361534586.97000003</v>
      </c>
      <c r="P619" s="731">
        <v>360064448.81</v>
      </c>
      <c r="Q619" s="731"/>
      <c r="R619" s="733">
        <f t="shared" si="80"/>
        <v>360064448.81</v>
      </c>
      <c r="S619" s="732">
        <f t="shared" si="81"/>
        <v>647002155.97000003</v>
      </c>
      <c r="T619" s="733">
        <f t="shared" si="82"/>
        <v>626107984.80999994</v>
      </c>
      <c r="U619" s="730"/>
      <c r="V619" s="731"/>
      <c r="W619" s="730"/>
      <c r="X619" s="730"/>
      <c r="Y619" s="732">
        <f t="shared" si="78"/>
        <v>0</v>
      </c>
      <c r="Z619" s="731"/>
      <c r="AA619" s="731"/>
      <c r="AB619" s="733">
        <f t="shared" si="79"/>
        <v>0</v>
      </c>
      <c r="AC619" s="730"/>
      <c r="AD619" s="731"/>
      <c r="AE619" s="730"/>
      <c r="AF619" s="730"/>
      <c r="AG619" s="731"/>
      <c r="AH619" s="731"/>
      <c r="AI619" s="732">
        <f t="shared" si="83"/>
        <v>647002155.97000003</v>
      </c>
      <c r="AJ619" s="733">
        <f t="shared" si="84"/>
        <v>626107984.80999994</v>
      </c>
    </row>
    <row r="620" spans="1:36">
      <c r="A620" s="927" t="s">
        <v>365</v>
      </c>
      <c r="B620" s="928" t="s">
        <v>62</v>
      </c>
      <c r="C620" s="929" t="s">
        <v>367</v>
      </c>
      <c r="D620" s="930"/>
      <c r="E620" s="931">
        <v>139959</v>
      </c>
      <c r="F620" s="932">
        <v>1</v>
      </c>
      <c r="G620" s="730">
        <v>407665063</v>
      </c>
      <c r="H620" s="731">
        <v>374049384</v>
      </c>
      <c r="I620" s="730"/>
      <c r="J620" s="731"/>
      <c r="K620" s="730"/>
      <c r="L620" s="731"/>
      <c r="M620" s="730">
        <v>466404305.81</v>
      </c>
      <c r="N620" s="730"/>
      <c r="O620" s="732">
        <f t="shared" si="77"/>
        <v>466404305.81</v>
      </c>
      <c r="P620" s="731">
        <v>478413431.02999997</v>
      </c>
      <c r="Q620" s="731"/>
      <c r="R620" s="733">
        <f t="shared" si="80"/>
        <v>478413431.02999997</v>
      </c>
      <c r="S620" s="732">
        <f t="shared" si="81"/>
        <v>874069368.80999994</v>
      </c>
      <c r="T620" s="733">
        <f t="shared" si="82"/>
        <v>852462815.02999997</v>
      </c>
      <c r="U620" s="730"/>
      <c r="V620" s="731"/>
      <c r="W620" s="730"/>
      <c r="X620" s="730"/>
      <c r="Y620" s="732">
        <f t="shared" si="78"/>
        <v>0</v>
      </c>
      <c r="Z620" s="731"/>
      <c r="AA620" s="731"/>
      <c r="AB620" s="733">
        <f t="shared" si="79"/>
        <v>0</v>
      </c>
      <c r="AC620" s="730"/>
      <c r="AD620" s="731"/>
      <c r="AE620" s="730"/>
      <c r="AF620" s="730"/>
      <c r="AG620" s="731"/>
      <c r="AH620" s="731"/>
      <c r="AI620" s="732">
        <f t="shared" si="83"/>
        <v>874069368.80999994</v>
      </c>
      <c r="AJ620" s="733">
        <f t="shared" si="84"/>
        <v>852462815.02999997</v>
      </c>
    </row>
    <row r="621" spans="1:36">
      <c r="A621" s="927" t="s">
        <v>365</v>
      </c>
      <c r="B621" s="928" t="s">
        <v>64</v>
      </c>
      <c r="C621" s="933" t="s">
        <v>368</v>
      </c>
      <c r="D621" s="934"/>
      <c r="E621" s="931">
        <v>139959</v>
      </c>
      <c r="F621" s="932">
        <v>1</v>
      </c>
      <c r="G621" s="730"/>
      <c r="H621" s="731"/>
      <c r="I621" s="730"/>
      <c r="J621" s="731"/>
      <c r="K621" s="730"/>
      <c r="L621" s="731"/>
      <c r="M621" s="730"/>
      <c r="N621" s="730"/>
      <c r="O621" s="732">
        <f t="shared" si="77"/>
        <v>0</v>
      </c>
      <c r="P621" s="731"/>
      <c r="Q621" s="731"/>
      <c r="R621" s="733">
        <f t="shared" si="80"/>
        <v>0</v>
      </c>
      <c r="S621" s="732">
        <f t="shared" si="81"/>
        <v>0</v>
      </c>
      <c r="T621" s="733">
        <f t="shared" si="82"/>
        <v>0</v>
      </c>
      <c r="U621" s="730"/>
      <c r="V621" s="731"/>
      <c r="W621" s="730"/>
      <c r="X621" s="730"/>
      <c r="Y621" s="732">
        <f t="shared" si="78"/>
        <v>0</v>
      </c>
      <c r="Z621" s="731"/>
      <c r="AA621" s="731"/>
      <c r="AB621" s="733">
        <f t="shared" si="79"/>
        <v>0</v>
      </c>
      <c r="AC621" s="730"/>
      <c r="AD621" s="731"/>
      <c r="AE621" s="730"/>
      <c r="AF621" s="730"/>
      <c r="AG621" s="731"/>
      <c r="AH621" s="731"/>
      <c r="AI621" s="732">
        <f t="shared" si="83"/>
        <v>0</v>
      </c>
      <c r="AJ621" s="733">
        <f t="shared" si="84"/>
        <v>0</v>
      </c>
    </row>
    <row r="622" spans="1:36">
      <c r="A622" s="927" t="s">
        <v>365</v>
      </c>
      <c r="B622" s="928" t="s">
        <v>64</v>
      </c>
      <c r="C622" s="935" t="s">
        <v>369</v>
      </c>
      <c r="D622" s="934"/>
      <c r="E622" s="931">
        <v>139959</v>
      </c>
      <c r="F622" s="932">
        <v>1</v>
      </c>
      <c r="G622" s="730"/>
      <c r="H622" s="731"/>
      <c r="I622" s="730"/>
      <c r="J622" s="731"/>
      <c r="K622" s="730"/>
      <c r="L622" s="731"/>
      <c r="M622" s="730"/>
      <c r="N622" s="730"/>
      <c r="O622" s="732">
        <f t="shared" si="77"/>
        <v>0</v>
      </c>
      <c r="P622" s="731"/>
      <c r="Q622" s="731"/>
      <c r="R622" s="733">
        <f t="shared" si="80"/>
        <v>0</v>
      </c>
      <c r="S622" s="732">
        <f t="shared" si="81"/>
        <v>0</v>
      </c>
      <c r="T622" s="733">
        <f t="shared" si="82"/>
        <v>0</v>
      </c>
      <c r="U622" s="730"/>
      <c r="V622" s="731"/>
      <c r="W622" s="730"/>
      <c r="X622" s="730"/>
      <c r="Y622" s="732">
        <f t="shared" si="78"/>
        <v>0</v>
      </c>
      <c r="Z622" s="731"/>
      <c r="AA622" s="731"/>
      <c r="AB622" s="733">
        <f t="shared" si="79"/>
        <v>0</v>
      </c>
      <c r="AC622" s="730">
        <v>19577806</v>
      </c>
      <c r="AD622" s="731">
        <v>18714246</v>
      </c>
      <c r="AE622" s="730">
        <v>10541896</v>
      </c>
      <c r="AF622" s="730"/>
      <c r="AG622" s="731">
        <v>10076902</v>
      </c>
      <c r="AH622" s="731"/>
      <c r="AI622" s="732">
        <f t="shared" si="83"/>
        <v>30119702</v>
      </c>
      <c r="AJ622" s="733">
        <f t="shared" si="84"/>
        <v>28791148</v>
      </c>
    </row>
    <row r="623" spans="1:36">
      <c r="A623" s="927" t="s">
        <v>365</v>
      </c>
      <c r="B623" s="928" t="s">
        <v>64</v>
      </c>
      <c r="C623" s="935" t="s">
        <v>370</v>
      </c>
      <c r="D623" s="934"/>
      <c r="E623" s="931">
        <v>139959</v>
      </c>
      <c r="F623" s="932">
        <v>1</v>
      </c>
      <c r="G623" s="730"/>
      <c r="H623" s="731"/>
      <c r="I623" s="730"/>
      <c r="J623" s="731"/>
      <c r="K623" s="730"/>
      <c r="L623" s="731"/>
      <c r="M623" s="730"/>
      <c r="N623" s="730"/>
      <c r="O623" s="732">
        <f t="shared" si="77"/>
        <v>0</v>
      </c>
      <c r="P623" s="731"/>
      <c r="Q623" s="731"/>
      <c r="R623" s="733">
        <f t="shared" si="80"/>
        <v>0</v>
      </c>
      <c r="S623" s="732">
        <f t="shared" si="81"/>
        <v>0</v>
      </c>
      <c r="T623" s="733">
        <f t="shared" si="82"/>
        <v>0</v>
      </c>
      <c r="U623" s="730"/>
      <c r="V623" s="731"/>
      <c r="W623" s="730"/>
      <c r="X623" s="730"/>
      <c r="Y623" s="732">
        <f t="shared" si="78"/>
        <v>0</v>
      </c>
      <c r="Z623" s="731"/>
      <c r="AA623" s="731"/>
      <c r="AB623" s="733">
        <f t="shared" si="79"/>
        <v>0</v>
      </c>
      <c r="AC623" s="730">
        <v>469806</v>
      </c>
      <c r="AD623" s="731">
        <v>481991</v>
      </c>
      <c r="AE623" s="730"/>
      <c r="AF623" s="730"/>
      <c r="AG623" s="731"/>
      <c r="AH623" s="731"/>
      <c r="AI623" s="732">
        <f t="shared" si="83"/>
        <v>469806</v>
      </c>
      <c r="AJ623" s="733">
        <f t="shared" si="84"/>
        <v>481991</v>
      </c>
    </row>
    <row r="624" spans="1:36">
      <c r="A624" s="927" t="s">
        <v>365</v>
      </c>
      <c r="B624" s="928" t="s">
        <v>69</v>
      </c>
      <c r="C624" s="933" t="s">
        <v>371</v>
      </c>
      <c r="D624" s="934"/>
      <c r="E624" s="931">
        <v>139959</v>
      </c>
      <c r="F624" s="932">
        <v>1</v>
      </c>
      <c r="G624" s="730"/>
      <c r="H624" s="731"/>
      <c r="I624" s="730"/>
      <c r="J624" s="731"/>
      <c r="K624" s="730"/>
      <c r="L624" s="731"/>
      <c r="M624" s="730"/>
      <c r="N624" s="730"/>
      <c r="O624" s="732">
        <f t="shared" si="77"/>
        <v>0</v>
      </c>
      <c r="P624" s="731"/>
      <c r="Q624" s="731"/>
      <c r="R624" s="733">
        <f t="shared" si="80"/>
        <v>0</v>
      </c>
      <c r="S624" s="732">
        <f t="shared" si="81"/>
        <v>0</v>
      </c>
      <c r="T624" s="733">
        <f t="shared" si="82"/>
        <v>0</v>
      </c>
      <c r="U624" s="730"/>
      <c r="V624" s="731"/>
      <c r="W624" s="730"/>
      <c r="X624" s="730"/>
      <c r="Y624" s="732">
        <f t="shared" si="78"/>
        <v>0</v>
      </c>
      <c r="Z624" s="731"/>
      <c r="AA624" s="731"/>
      <c r="AB624" s="733">
        <f t="shared" si="79"/>
        <v>0</v>
      </c>
      <c r="AC624" s="730"/>
      <c r="AD624" s="731"/>
      <c r="AE624" s="730"/>
      <c r="AF624" s="730"/>
      <c r="AG624" s="731"/>
      <c r="AH624" s="731"/>
      <c r="AI624" s="732">
        <f t="shared" si="83"/>
        <v>0</v>
      </c>
      <c r="AJ624" s="733">
        <f t="shared" si="84"/>
        <v>0</v>
      </c>
    </row>
    <row r="625" spans="1:36">
      <c r="A625" s="927" t="s">
        <v>365</v>
      </c>
      <c r="B625" s="928" t="s">
        <v>74</v>
      </c>
      <c r="C625" s="933" t="s">
        <v>372</v>
      </c>
      <c r="D625" s="934"/>
      <c r="E625" s="931">
        <v>139959</v>
      </c>
      <c r="F625" s="932">
        <v>1</v>
      </c>
      <c r="G625" s="730"/>
      <c r="H625" s="731"/>
      <c r="I625" s="730">
        <v>42437198</v>
      </c>
      <c r="J625" s="731">
        <v>41953059</v>
      </c>
      <c r="K625" s="730"/>
      <c r="L625" s="731"/>
      <c r="M625" s="730"/>
      <c r="N625" s="730"/>
      <c r="O625" s="732">
        <f t="shared" si="77"/>
        <v>0</v>
      </c>
      <c r="P625" s="731"/>
      <c r="Q625" s="731"/>
      <c r="R625" s="733">
        <f t="shared" si="80"/>
        <v>0</v>
      </c>
      <c r="S625" s="732">
        <f t="shared" si="81"/>
        <v>42437198</v>
      </c>
      <c r="T625" s="733">
        <f t="shared" si="82"/>
        <v>41953059</v>
      </c>
      <c r="U625" s="730"/>
      <c r="V625" s="731"/>
      <c r="W625" s="730"/>
      <c r="X625" s="730"/>
      <c r="Y625" s="732">
        <f t="shared" si="78"/>
        <v>0</v>
      </c>
      <c r="Z625" s="731"/>
      <c r="AA625" s="731"/>
      <c r="AB625" s="733">
        <f t="shared" si="79"/>
        <v>0</v>
      </c>
      <c r="AC625" s="730"/>
      <c r="AD625" s="731"/>
      <c r="AE625" s="730"/>
      <c r="AF625" s="730"/>
      <c r="AG625" s="731"/>
      <c r="AH625" s="731"/>
      <c r="AI625" s="732">
        <f t="shared" si="83"/>
        <v>42437198</v>
      </c>
      <c r="AJ625" s="733">
        <f t="shared" si="84"/>
        <v>41953059</v>
      </c>
    </row>
    <row r="626" spans="1:36">
      <c r="A626" s="927" t="s">
        <v>365</v>
      </c>
      <c r="B626" s="928" t="s">
        <v>76</v>
      </c>
      <c r="C626" s="933" t="s">
        <v>373</v>
      </c>
      <c r="D626" s="934"/>
      <c r="E626" s="931">
        <v>139959</v>
      </c>
      <c r="F626" s="932">
        <v>1</v>
      </c>
      <c r="G626" s="730"/>
      <c r="H626" s="731"/>
      <c r="I626" s="730">
        <v>45818324</v>
      </c>
      <c r="J626" s="731">
        <v>45142840</v>
      </c>
      <c r="K626" s="730"/>
      <c r="L626" s="731"/>
      <c r="M626" s="730"/>
      <c r="N626" s="730"/>
      <c r="O626" s="732">
        <f t="shared" si="77"/>
        <v>0</v>
      </c>
      <c r="P626" s="731"/>
      <c r="Q626" s="731"/>
      <c r="R626" s="733">
        <f t="shared" si="80"/>
        <v>0</v>
      </c>
      <c r="S626" s="732">
        <f t="shared" si="81"/>
        <v>45818324</v>
      </c>
      <c r="T626" s="733">
        <f t="shared" si="82"/>
        <v>45142840</v>
      </c>
      <c r="U626" s="730"/>
      <c r="V626" s="731"/>
      <c r="W626" s="730"/>
      <c r="X626" s="730"/>
      <c r="Y626" s="732">
        <f t="shared" si="78"/>
        <v>0</v>
      </c>
      <c r="Z626" s="731"/>
      <c r="AA626" s="731"/>
      <c r="AB626" s="733">
        <f t="shared" si="79"/>
        <v>0</v>
      </c>
      <c r="AC626" s="730"/>
      <c r="AD626" s="731"/>
      <c r="AE626" s="730"/>
      <c r="AF626" s="730"/>
      <c r="AG626" s="731"/>
      <c r="AH626" s="731"/>
      <c r="AI626" s="732">
        <f t="shared" si="83"/>
        <v>45818324</v>
      </c>
      <c r="AJ626" s="733">
        <f t="shared" si="84"/>
        <v>45142840</v>
      </c>
    </row>
    <row r="627" spans="1:36">
      <c r="A627" s="927" t="s">
        <v>365</v>
      </c>
      <c r="B627" s="928" t="s">
        <v>78</v>
      </c>
      <c r="C627" s="933" t="s">
        <v>374</v>
      </c>
      <c r="D627" s="934"/>
      <c r="E627" s="931">
        <v>139959</v>
      </c>
      <c r="F627" s="932">
        <v>1</v>
      </c>
      <c r="G627" s="730"/>
      <c r="H627" s="731"/>
      <c r="I627" s="730"/>
      <c r="J627" s="731"/>
      <c r="K627" s="730"/>
      <c r="L627" s="731"/>
      <c r="M627" s="730"/>
      <c r="N627" s="730"/>
      <c r="O627" s="732">
        <f t="shared" si="77"/>
        <v>0</v>
      </c>
      <c r="P627" s="731"/>
      <c r="Q627" s="731"/>
      <c r="R627" s="733">
        <f t="shared" si="80"/>
        <v>0</v>
      </c>
      <c r="S627" s="732">
        <f t="shared" si="81"/>
        <v>0</v>
      </c>
      <c r="T627" s="733">
        <f t="shared" si="82"/>
        <v>0</v>
      </c>
      <c r="U627" s="730"/>
      <c r="V627" s="731"/>
      <c r="W627" s="730"/>
      <c r="X627" s="730"/>
      <c r="Y627" s="732">
        <f t="shared" si="78"/>
        <v>0</v>
      </c>
      <c r="Z627" s="731"/>
      <c r="AA627" s="731"/>
      <c r="AB627" s="733">
        <f t="shared" si="79"/>
        <v>0</v>
      </c>
      <c r="AC627" s="730"/>
      <c r="AD627" s="731"/>
      <c r="AE627" s="730"/>
      <c r="AF627" s="730"/>
      <c r="AG627" s="731"/>
      <c r="AH627" s="731"/>
      <c r="AI627" s="732">
        <f t="shared" si="83"/>
        <v>0</v>
      </c>
      <c r="AJ627" s="733">
        <f t="shared" si="84"/>
        <v>0</v>
      </c>
    </row>
    <row r="628" spans="1:36">
      <c r="A628" s="927" t="s">
        <v>365</v>
      </c>
      <c r="B628" s="928" t="s">
        <v>78</v>
      </c>
      <c r="C628" s="935" t="s">
        <v>375</v>
      </c>
      <c r="D628" s="934"/>
      <c r="E628" s="931">
        <v>139959</v>
      </c>
      <c r="F628" s="932">
        <v>1</v>
      </c>
      <c r="G628" s="730"/>
      <c r="H628" s="731"/>
      <c r="I628" s="730">
        <v>1516672</v>
      </c>
      <c r="J628" s="731">
        <v>1510947</v>
      </c>
      <c r="K628" s="730"/>
      <c r="L628" s="731"/>
      <c r="M628" s="730"/>
      <c r="N628" s="730"/>
      <c r="O628" s="732">
        <f t="shared" si="77"/>
        <v>0</v>
      </c>
      <c r="P628" s="731"/>
      <c r="Q628" s="731"/>
      <c r="R628" s="733">
        <f t="shared" si="80"/>
        <v>0</v>
      </c>
      <c r="S628" s="732">
        <f t="shared" si="81"/>
        <v>1516672</v>
      </c>
      <c r="T628" s="733">
        <f t="shared" si="82"/>
        <v>1510947</v>
      </c>
      <c r="U628" s="730"/>
      <c r="V628" s="731"/>
      <c r="W628" s="730"/>
      <c r="X628" s="730"/>
      <c r="Y628" s="732">
        <f t="shared" si="78"/>
        <v>0</v>
      </c>
      <c r="Z628" s="731"/>
      <c r="AA628" s="731"/>
      <c r="AB628" s="733">
        <f t="shared" si="79"/>
        <v>0</v>
      </c>
      <c r="AC628" s="730"/>
      <c r="AD628" s="731"/>
      <c r="AE628" s="730"/>
      <c r="AF628" s="730"/>
      <c r="AG628" s="731"/>
      <c r="AH628" s="731"/>
      <c r="AI628" s="732">
        <f t="shared" si="83"/>
        <v>1516672</v>
      </c>
      <c r="AJ628" s="733">
        <f t="shared" si="84"/>
        <v>1510947</v>
      </c>
    </row>
    <row r="629" spans="1:36">
      <c r="A629" s="927" t="s">
        <v>365</v>
      </c>
      <c r="B629" s="928" t="s">
        <v>78</v>
      </c>
      <c r="C629" s="935" t="s">
        <v>376</v>
      </c>
      <c r="D629" s="934"/>
      <c r="E629" s="931">
        <v>139959</v>
      </c>
      <c r="F629" s="932">
        <v>1</v>
      </c>
      <c r="G629" s="730"/>
      <c r="H629" s="731"/>
      <c r="I629" s="730">
        <v>4457398</v>
      </c>
      <c r="J629" s="731">
        <v>4226424</v>
      </c>
      <c r="K629" s="730"/>
      <c r="L629" s="731"/>
      <c r="M629" s="730"/>
      <c r="N629" s="730"/>
      <c r="O629" s="732">
        <f t="shared" si="77"/>
        <v>0</v>
      </c>
      <c r="P629" s="731"/>
      <c r="Q629" s="731"/>
      <c r="R629" s="733">
        <f t="shared" si="80"/>
        <v>0</v>
      </c>
      <c r="S629" s="732">
        <f t="shared" si="81"/>
        <v>4457398</v>
      </c>
      <c r="T629" s="733">
        <f t="shared" si="82"/>
        <v>4226424</v>
      </c>
      <c r="U629" s="730"/>
      <c r="V629" s="731"/>
      <c r="W629" s="730"/>
      <c r="X629" s="730"/>
      <c r="Y629" s="732">
        <f t="shared" si="78"/>
        <v>0</v>
      </c>
      <c r="Z629" s="731"/>
      <c r="AA629" s="731"/>
      <c r="AB629" s="733">
        <f t="shared" si="79"/>
        <v>0</v>
      </c>
      <c r="AC629" s="730"/>
      <c r="AD629" s="731"/>
      <c r="AE629" s="730"/>
      <c r="AF629" s="730"/>
      <c r="AG629" s="731"/>
      <c r="AH629" s="731"/>
      <c r="AI629" s="732">
        <f t="shared" si="83"/>
        <v>4457398</v>
      </c>
      <c r="AJ629" s="733">
        <f t="shared" si="84"/>
        <v>4226424</v>
      </c>
    </row>
    <row r="630" spans="1:36">
      <c r="A630" s="927" t="s">
        <v>365</v>
      </c>
      <c r="B630" s="928" t="s">
        <v>78</v>
      </c>
      <c r="C630" s="935" t="s">
        <v>377</v>
      </c>
      <c r="D630" s="934"/>
      <c r="E630" s="931">
        <v>139959</v>
      </c>
      <c r="F630" s="932">
        <v>1</v>
      </c>
      <c r="G630" s="730"/>
      <c r="H630" s="731"/>
      <c r="I630" s="730">
        <v>988234</v>
      </c>
      <c r="J630" s="731">
        <v>972325</v>
      </c>
      <c r="K630" s="730"/>
      <c r="L630" s="731"/>
      <c r="M630" s="730"/>
      <c r="N630" s="730"/>
      <c r="O630" s="732">
        <f t="shared" si="77"/>
        <v>0</v>
      </c>
      <c r="P630" s="731"/>
      <c r="Q630" s="731"/>
      <c r="R630" s="733">
        <f t="shared" si="80"/>
        <v>0</v>
      </c>
      <c r="S630" s="732">
        <f t="shared" si="81"/>
        <v>988234</v>
      </c>
      <c r="T630" s="733">
        <f t="shared" si="82"/>
        <v>972325</v>
      </c>
      <c r="U630" s="730"/>
      <c r="V630" s="731"/>
      <c r="W630" s="730"/>
      <c r="X630" s="730"/>
      <c r="Y630" s="732">
        <f t="shared" si="78"/>
        <v>0</v>
      </c>
      <c r="Z630" s="731"/>
      <c r="AA630" s="731"/>
      <c r="AB630" s="733">
        <f t="shared" si="79"/>
        <v>0</v>
      </c>
      <c r="AC630" s="730"/>
      <c r="AD630" s="731"/>
      <c r="AE630" s="730"/>
      <c r="AF630" s="730"/>
      <c r="AG630" s="731"/>
      <c r="AH630" s="731"/>
      <c r="AI630" s="732">
        <f t="shared" si="83"/>
        <v>988234</v>
      </c>
      <c r="AJ630" s="733">
        <f t="shared" si="84"/>
        <v>972325</v>
      </c>
    </row>
    <row r="631" spans="1:36">
      <c r="A631" s="927" t="s">
        <v>365</v>
      </c>
      <c r="B631" s="928" t="s">
        <v>78</v>
      </c>
      <c r="C631" s="935" t="s">
        <v>378</v>
      </c>
      <c r="D631" s="934"/>
      <c r="E631" s="931">
        <v>139959</v>
      </c>
      <c r="F631" s="932">
        <v>1</v>
      </c>
      <c r="G631" s="730"/>
      <c r="H631" s="731"/>
      <c r="I631" s="730">
        <v>3868092</v>
      </c>
      <c r="J631" s="731">
        <v>3820984</v>
      </c>
      <c r="K631" s="730"/>
      <c r="L631" s="731"/>
      <c r="M631" s="730"/>
      <c r="N631" s="730"/>
      <c r="O631" s="732">
        <f t="shared" si="77"/>
        <v>0</v>
      </c>
      <c r="P631" s="731"/>
      <c r="Q631" s="731"/>
      <c r="R631" s="733">
        <f t="shared" si="80"/>
        <v>0</v>
      </c>
      <c r="S631" s="732">
        <f t="shared" si="81"/>
        <v>3868092</v>
      </c>
      <c r="T631" s="733">
        <f t="shared" si="82"/>
        <v>3820984</v>
      </c>
      <c r="U631" s="730"/>
      <c r="V631" s="731"/>
      <c r="W631" s="730"/>
      <c r="X631" s="730"/>
      <c r="Y631" s="732">
        <f t="shared" si="78"/>
        <v>0</v>
      </c>
      <c r="Z631" s="731"/>
      <c r="AA631" s="731"/>
      <c r="AB631" s="733">
        <f t="shared" si="79"/>
        <v>0</v>
      </c>
      <c r="AC631" s="730"/>
      <c r="AD631" s="731"/>
      <c r="AE631" s="730"/>
      <c r="AF631" s="730"/>
      <c r="AG631" s="731"/>
      <c r="AH631" s="731"/>
      <c r="AI631" s="732">
        <f t="shared" si="83"/>
        <v>3868092</v>
      </c>
      <c r="AJ631" s="733">
        <f t="shared" si="84"/>
        <v>3820984</v>
      </c>
    </row>
    <row r="632" spans="1:36">
      <c r="A632" s="927" t="s">
        <v>365</v>
      </c>
      <c r="B632" s="928" t="s">
        <v>78</v>
      </c>
      <c r="C632" s="935" t="s">
        <v>379</v>
      </c>
      <c r="D632" s="934"/>
      <c r="E632" s="931">
        <v>139959</v>
      </c>
      <c r="F632" s="932">
        <v>1</v>
      </c>
      <c r="G632" s="730"/>
      <c r="H632" s="731"/>
      <c r="I632" s="730">
        <v>3114405</v>
      </c>
      <c r="J632" s="731">
        <v>2953952</v>
      </c>
      <c r="K632" s="730"/>
      <c r="L632" s="731"/>
      <c r="M632" s="730"/>
      <c r="N632" s="730"/>
      <c r="O632" s="732">
        <f t="shared" si="77"/>
        <v>0</v>
      </c>
      <c r="P632" s="731"/>
      <c r="Q632" s="731"/>
      <c r="R632" s="733">
        <f t="shared" si="80"/>
        <v>0</v>
      </c>
      <c r="S632" s="732">
        <f t="shared" si="81"/>
        <v>3114405</v>
      </c>
      <c r="T632" s="733">
        <f t="shared" si="82"/>
        <v>2953952</v>
      </c>
      <c r="U632" s="730"/>
      <c r="V632" s="731"/>
      <c r="W632" s="730"/>
      <c r="X632" s="730"/>
      <c r="Y632" s="732">
        <f t="shared" si="78"/>
        <v>0</v>
      </c>
      <c r="Z632" s="731"/>
      <c r="AA632" s="731"/>
      <c r="AB632" s="733">
        <f t="shared" si="79"/>
        <v>0</v>
      </c>
      <c r="AC632" s="730"/>
      <c r="AD632" s="731"/>
      <c r="AE632" s="730"/>
      <c r="AF632" s="730"/>
      <c r="AG632" s="731"/>
      <c r="AH632" s="731"/>
      <c r="AI632" s="732">
        <f t="shared" si="83"/>
        <v>3114405</v>
      </c>
      <c r="AJ632" s="733">
        <f t="shared" si="84"/>
        <v>2953952</v>
      </c>
    </row>
    <row r="633" spans="1:36">
      <c r="A633" s="927" t="s">
        <v>365</v>
      </c>
      <c r="B633" s="928" t="s">
        <v>62</v>
      </c>
      <c r="C633" s="929" t="s">
        <v>380</v>
      </c>
      <c r="D633" s="930"/>
      <c r="E633" s="931">
        <v>139755</v>
      </c>
      <c r="F633" s="932">
        <v>2</v>
      </c>
      <c r="G633" s="730">
        <v>326601790</v>
      </c>
      <c r="H633" s="731">
        <v>321574558</v>
      </c>
      <c r="I633" s="730"/>
      <c r="J633" s="731"/>
      <c r="K633" s="730"/>
      <c r="L633" s="731"/>
      <c r="M633" s="730">
        <v>459606817.08999997</v>
      </c>
      <c r="N633" s="730"/>
      <c r="O633" s="732">
        <f t="shared" si="77"/>
        <v>459606817.08999997</v>
      </c>
      <c r="P633" s="731">
        <v>470679562.51999998</v>
      </c>
      <c r="Q633" s="731"/>
      <c r="R633" s="733">
        <f t="shared" si="80"/>
        <v>470679562.51999998</v>
      </c>
      <c r="S633" s="732">
        <f t="shared" si="81"/>
        <v>786208607.08999991</v>
      </c>
      <c r="T633" s="733">
        <f t="shared" si="82"/>
        <v>792254120.51999998</v>
      </c>
      <c r="U633" s="730"/>
      <c r="V633" s="731"/>
      <c r="W633" s="730"/>
      <c r="X633" s="730"/>
      <c r="Y633" s="732">
        <f t="shared" si="78"/>
        <v>0</v>
      </c>
      <c r="Z633" s="731"/>
      <c r="AA633" s="731"/>
      <c r="AB633" s="733">
        <f t="shared" si="79"/>
        <v>0</v>
      </c>
      <c r="AC633" s="730"/>
      <c r="AD633" s="731"/>
      <c r="AE633" s="730"/>
      <c r="AF633" s="730"/>
      <c r="AG633" s="731"/>
      <c r="AH633" s="731"/>
      <c r="AI633" s="732">
        <f t="shared" si="83"/>
        <v>786208607.08999991</v>
      </c>
      <c r="AJ633" s="733">
        <f t="shared" si="84"/>
        <v>792254120.51999998</v>
      </c>
    </row>
    <row r="634" spans="1:36">
      <c r="A634" s="927" t="s">
        <v>365</v>
      </c>
      <c r="B634" s="928" t="s">
        <v>69</v>
      </c>
      <c r="C634" s="933" t="s">
        <v>371</v>
      </c>
      <c r="D634" s="934"/>
      <c r="E634" s="931">
        <v>139755</v>
      </c>
      <c r="F634" s="932">
        <v>2</v>
      </c>
      <c r="G634" s="730"/>
      <c r="H634" s="731"/>
      <c r="I634" s="730"/>
      <c r="J634" s="731"/>
      <c r="K634" s="730"/>
      <c r="L634" s="731"/>
      <c r="M634" s="730"/>
      <c r="N634" s="730"/>
      <c r="O634" s="732">
        <f t="shared" si="77"/>
        <v>0</v>
      </c>
      <c r="P634" s="731"/>
      <c r="Q634" s="731"/>
      <c r="R634" s="733">
        <f t="shared" si="80"/>
        <v>0</v>
      </c>
      <c r="S634" s="732">
        <f t="shared" si="81"/>
        <v>0</v>
      </c>
      <c r="T634" s="733">
        <f t="shared" si="82"/>
        <v>0</v>
      </c>
      <c r="U634" s="730"/>
      <c r="V634" s="731"/>
      <c r="W634" s="730"/>
      <c r="X634" s="730"/>
      <c r="Y634" s="732">
        <f t="shared" si="78"/>
        <v>0</v>
      </c>
      <c r="Z634" s="731"/>
      <c r="AA634" s="731"/>
      <c r="AB634" s="733">
        <f t="shared" si="79"/>
        <v>0</v>
      </c>
      <c r="AC634" s="730"/>
      <c r="AD634" s="731"/>
      <c r="AE634" s="730"/>
      <c r="AF634" s="730"/>
      <c r="AG634" s="731"/>
      <c r="AH634" s="731"/>
      <c r="AI634" s="732">
        <f t="shared" si="83"/>
        <v>0</v>
      </c>
      <c r="AJ634" s="733">
        <f t="shared" si="84"/>
        <v>0</v>
      </c>
    </row>
    <row r="635" spans="1:36">
      <c r="A635" s="936" t="s">
        <v>365</v>
      </c>
      <c r="B635" s="937" t="s">
        <v>69</v>
      </c>
      <c r="C635" s="938" t="s">
        <v>1064</v>
      </c>
      <c r="D635" s="939"/>
      <c r="E635" s="940">
        <v>139755</v>
      </c>
      <c r="F635" s="941">
        <v>2</v>
      </c>
      <c r="G635" s="730"/>
      <c r="H635" s="731"/>
      <c r="I635" s="730">
        <v>9106171</v>
      </c>
      <c r="J635" s="731">
        <v>9435472</v>
      </c>
      <c r="K635" s="730"/>
      <c r="L635" s="731"/>
      <c r="M635" s="730"/>
      <c r="N635" s="730"/>
      <c r="O635" s="732">
        <f t="shared" si="77"/>
        <v>0</v>
      </c>
      <c r="P635" s="731"/>
      <c r="Q635" s="731"/>
      <c r="R635" s="733">
        <f t="shared" si="80"/>
        <v>0</v>
      </c>
      <c r="S635" s="732">
        <f t="shared" si="81"/>
        <v>9106171</v>
      </c>
      <c r="T635" s="733">
        <f t="shared" si="82"/>
        <v>9435472</v>
      </c>
      <c r="U635" s="730"/>
      <c r="V635" s="731"/>
      <c r="W635" s="730"/>
      <c r="X635" s="730"/>
      <c r="Y635" s="732">
        <f t="shared" si="78"/>
        <v>0</v>
      </c>
      <c r="Z635" s="731"/>
      <c r="AA635" s="731"/>
      <c r="AB635" s="733">
        <f t="shared" si="79"/>
        <v>0</v>
      </c>
      <c r="AC635" s="730"/>
      <c r="AD635" s="731"/>
      <c r="AE635" s="730"/>
      <c r="AF635" s="730"/>
      <c r="AG635" s="731"/>
      <c r="AH635" s="731"/>
      <c r="AI635" s="732">
        <f t="shared" si="83"/>
        <v>9106171</v>
      </c>
      <c r="AJ635" s="733">
        <f t="shared" si="84"/>
        <v>9435472</v>
      </c>
    </row>
    <row r="636" spans="1:36">
      <c r="A636" s="927" t="s">
        <v>365</v>
      </c>
      <c r="B636" s="928" t="s">
        <v>78</v>
      </c>
      <c r="C636" s="933" t="s">
        <v>374</v>
      </c>
      <c r="D636" s="934"/>
      <c r="E636" s="931">
        <v>139755</v>
      </c>
      <c r="F636" s="932">
        <v>2</v>
      </c>
      <c r="G636" s="730"/>
      <c r="H636" s="731"/>
      <c r="I636" s="730"/>
      <c r="J636" s="731"/>
      <c r="K636" s="730"/>
      <c r="L636" s="731"/>
      <c r="M636" s="730"/>
      <c r="N636" s="730"/>
      <c r="O636" s="732">
        <f t="shared" si="77"/>
        <v>0</v>
      </c>
      <c r="P636" s="731"/>
      <c r="Q636" s="731"/>
      <c r="R636" s="733">
        <f t="shared" si="80"/>
        <v>0</v>
      </c>
      <c r="S636" s="732">
        <f t="shared" si="81"/>
        <v>0</v>
      </c>
      <c r="T636" s="733">
        <f t="shared" si="82"/>
        <v>0</v>
      </c>
      <c r="U636" s="730"/>
      <c r="V636" s="731"/>
      <c r="W636" s="730"/>
      <c r="X636" s="730"/>
      <c r="Y636" s="732">
        <f t="shared" si="78"/>
        <v>0</v>
      </c>
      <c r="Z636" s="731"/>
      <c r="AA636" s="731"/>
      <c r="AB636" s="733">
        <f t="shared" si="79"/>
        <v>0</v>
      </c>
      <c r="AC636" s="730"/>
      <c r="AD636" s="731"/>
      <c r="AE636" s="730"/>
      <c r="AF636" s="730"/>
      <c r="AG636" s="731"/>
      <c r="AH636" s="731"/>
      <c r="AI636" s="732">
        <f t="shared" si="83"/>
        <v>0</v>
      </c>
      <c r="AJ636" s="733">
        <f t="shared" si="84"/>
        <v>0</v>
      </c>
    </row>
    <row r="637" spans="1:36">
      <c r="A637" s="927" t="s">
        <v>365</v>
      </c>
      <c r="B637" s="928" t="s">
        <v>381</v>
      </c>
      <c r="C637" s="933" t="s">
        <v>382</v>
      </c>
      <c r="D637" s="934"/>
      <c r="E637" s="931">
        <v>139755</v>
      </c>
      <c r="F637" s="932">
        <v>2</v>
      </c>
      <c r="G637" s="730"/>
      <c r="H637" s="731"/>
      <c r="I637" s="730">
        <v>5855190</v>
      </c>
      <c r="J637" s="731">
        <v>5849684</v>
      </c>
      <c r="K637" s="730"/>
      <c r="L637" s="731"/>
      <c r="M637" s="730"/>
      <c r="N637" s="730"/>
      <c r="O637" s="732">
        <f t="shared" si="77"/>
        <v>0</v>
      </c>
      <c r="P637" s="731"/>
      <c r="Q637" s="731"/>
      <c r="R637" s="733">
        <f t="shared" si="80"/>
        <v>0</v>
      </c>
      <c r="S637" s="732">
        <f t="shared" si="81"/>
        <v>5855190</v>
      </c>
      <c r="T637" s="733">
        <f t="shared" si="82"/>
        <v>5849684</v>
      </c>
      <c r="U637" s="730"/>
      <c r="V637" s="731"/>
      <c r="W637" s="730"/>
      <c r="X637" s="730"/>
      <c r="Y637" s="732">
        <f t="shared" si="78"/>
        <v>0</v>
      </c>
      <c r="Z637" s="731"/>
      <c r="AA637" s="731"/>
      <c r="AB637" s="733">
        <f t="shared" si="79"/>
        <v>0</v>
      </c>
      <c r="AC637" s="730"/>
      <c r="AD637" s="731"/>
      <c r="AE637" s="730"/>
      <c r="AF637" s="730"/>
      <c r="AG637" s="731"/>
      <c r="AH637" s="731"/>
      <c r="AI637" s="732">
        <f t="shared" si="83"/>
        <v>5855190</v>
      </c>
      <c r="AJ637" s="733">
        <f t="shared" si="84"/>
        <v>5849684</v>
      </c>
    </row>
    <row r="638" spans="1:36">
      <c r="A638" s="927" t="s">
        <v>365</v>
      </c>
      <c r="B638" s="928" t="s">
        <v>62</v>
      </c>
      <c r="C638" s="929" t="s">
        <v>383</v>
      </c>
      <c r="D638" s="942" t="s">
        <v>1439</v>
      </c>
      <c r="E638" s="931">
        <v>139931</v>
      </c>
      <c r="F638" s="932">
        <v>3</v>
      </c>
      <c r="G638" s="730">
        <v>142242476</v>
      </c>
      <c r="H638" s="731">
        <v>122255679</v>
      </c>
      <c r="I638" s="730"/>
      <c r="J638" s="731"/>
      <c r="K638" s="730"/>
      <c r="L638" s="731"/>
      <c r="M638" s="730">
        <v>152424806.77000001</v>
      </c>
      <c r="N638" s="730"/>
      <c r="O638" s="732">
        <f t="shared" si="77"/>
        <v>152424806.77000001</v>
      </c>
      <c r="P638" s="731">
        <v>158063206.40000001</v>
      </c>
      <c r="Q638" s="731"/>
      <c r="R638" s="733">
        <f t="shared" si="80"/>
        <v>158063206.40000001</v>
      </c>
      <c r="S638" s="732">
        <f t="shared" si="81"/>
        <v>294667282.76999998</v>
      </c>
      <c r="T638" s="733">
        <f t="shared" si="82"/>
        <v>280318885.39999998</v>
      </c>
      <c r="U638" s="730"/>
      <c r="V638" s="731"/>
      <c r="W638" s="730"/>
      <c r="X638" s="730"/>
      <c r="Y638" s="732">
        <f t="shared" si="78"/>
        <v>0</v>
      </c>
      <c r="Z638" s="731"/>
      <c r="AA638" s="731"/>
      <c r="AB638" s="733">
        <f t="shared" si="79"/>
        <v>0</v>
      </c>
      <c r="AC638" s="730"/>
      <c r="AD638" s="731"/>
      <c r="AE638" s="730"/>
      <c r="AF638" s="730"/>
      <c r="AG638" s="731"/>
      <c r="AH638" s="731"/>
      <c r="AI638" s="732">
        <f t="shared" si="83"/>
        <v>294667282.76999998</v>
      </c>
      <c r="AJ638" s="733">
        <f t="shared" si="84"/>
        <v>280318885.39999998</v>
      </c>
    </row>
    <row r="639" spans="1:36">
      <c r="A639" s="927" t="s">
        <v>365</v>
      </c>
      <c r="B639" s="928" t="s">
        <v>62</v>
      </c>
      <c r="C639" s="929" t="s">
        <v>384</v>
      </c>
      <c r="D639" s="943" t="s">
        <v>1439</v>
      </c>
      <c r="E639" s="931">
        <v>486840</v>
      </c>
      <c r="F639" s="932">
        <v>3</v>
      </c>
      <c r="G639" s="730">
        <v>163351566</v>
      </c>
      <c r="H639" s="731">
        <v>149031170</v>
      </c>
      <c r="I639" s="730"/>
      <c r="J639" s="731"/>
      <c r="K639" s="730"/>
      <c r="L639" s="731"/>
      <c r="M639" s="730">
        <v>223365350.25</v>
      </c>
      <c r="N639" s="730"/>
      <c r="O639" s="732">
        <f t="shared" si="77"/>
        <v>223365350.25</v>
      </c>
      <c r="P639" s="731">
        <v>234767588.38</v>
      </c>
      <c r="Q639" s="731"/>
      <c r="R639" s="733">
        <f t="shared" si="80"/>
        <v>234767588.38</v>
      </c>
      <c r="S639" s="732">
        <f t="shared" si="81"/>
        <v>386716916.25</v>
      </c>
      <c r="T639" s="733">
        <f t="shared" si="82"/>
        <v>383798758.38</v>
      </c>
      <c r="U639" s="730"/>
      <c r="V639" s="731"/>
      <c r="W639" s="730"/>
      <c r="X639" s="730"/>
      <c r="Y639" s="732">
        <f t="shared" si="78"/>
        <v>0</v>
      </c>
      <c r="Z639" s="731"/>
      <c r="AA639" s="731"/>
      <c r="AB639" s="733">
        <f t="shared" si="79"/>
        <v>0</v>
      </c>
      <c r="AC639" s="730"/>
      <c r="AD639" s="731"/>
      <c r="AE639" s="730"/>
      <c r="AF639" s="730"/>
      <c r="AG639" s="731"/>
      <c r="AH639" s="731"/>
      <c r="AI639" s="732">
        <f t="shared" si="83"/>
        <v>386716916.25</v>
      </c>
      <c r="AJ639" s="733">
        <f t="shared" si="84"/>
        <v>383798758.38</v>
      </c>
    </row>
    <row r="640" spans="1:36">
      <c r="A640" s="927" t="s">
        <v>365</v>
      </c>
      <c r="B640" s="928" t="s">
        <v>62</v>
      </c>
      <c r="C640" s="929" t="s">
        <v>385</v>
      </c>
      <c r="D640" s="930"/>
      <c r="E640" s="931">
        <v>141334</v>
      </c>
      <c r="F640" s="932">
        <v>3</v>
      </c>
      <c r="G640" s="730">
        <v>67449485</v>
      </c>
      <c r="H640" s="731">
        <v>63141540</v>
      </c>
      <c r="I640" s="730"/>
      <c r="J640" s="731"/>
      <c r="K640" s="730"/>
      <c r="L640" s="731"/>
      <c r="M640" s="730">
        <v>89969258.560000002</v>
      </c>
      <c r="N640" s="730"/>
      <c r="O640" s="732">
        <f t="shared" si="77"/>
        <v>89969258.560000002</v>
      </c>
      <c r="P640" s="731">
        <v>89997024.909999996</v>
      </c>
      <c r="Q640" s="731"/>
      <c r="R640" s="733">
        <f t="shared" si="80"/>
        <v>89997024.909999996</v>
      </c>
      <c r="S640" s="732">
        <f t="shared" si="81"/>
        <v>157418743.56</v>
      </c>
      <c r="T640" s="733">
        <f t="shared" si="82"/>
        <v>153138564.91</v>
      </c>
      <c r="U640" s="730"/>
      <c r="V640" s="731"/>
      <c r="W640" s="730"/>
      <c r="X640" s="730"/>
      <c r="Y640" s="732">
        <f t="shared" si="78"/>
        <v>0</v>
      </c>
      <c r="Z640" s="731"/>
      <c r="AA640" s="731"/>
      <c r="AB640" s="733">
        <f t="shared" si="79"/>
        <v>0</v>
      </c>
      <c r="AC640" s="730"/>
      <c r="AD640" s="731"/>
      <c r="AE640" s="730"/>
      <c r="AF640" s="730"/>
      <c r="AG640" s="731"/>
      <c r="AH640" s="731"/>
      <c r="AI640" s="732">
        <f t="shared" si="83"/>
        <v>157418743.56</v>
      </c>
      <c r="AJ640" s="733">
        <f t="shared" si="84"/>
        <v>153138564.91</v>
      </c>
    </row>
    <row r="641" spans="1:36">
      <c r="A641" s="927" t="s">
        <v>365</v>
      </c>
      <c r="B641" s="928" t="s">
        <v>62</v>
      </c>
      <c r="C641" s="929" t="s">
        <v>386</v>
      </c>
      <c r="D641" s="930"/>
      <c r="E641" s="931">
        <v>141264</v>
      </c>
      <c r="F641" s="932">
        <v>3</v>
      </c>
      <c r="G641" s="730">
        <v>51899243</v>
      </c>
      <c r="H641" s="731">
        <v>46470181</v>
      </c>
      <c r="I641" s="730"/>
      <c r="J641" s="731"/>
      <c r="K641" s="730"/>
      <c r="L641" s="731"/>
      <c r="M641" s="730">
        <v>63974264</v>
      </c>
      <c r="N641" s="730"/>
      <c r="O641" s="732">
        <f t="shared" si="77"/>
        <v>63974264</v>
      </c>
      <c r="P641" s="731">
        <v>66319293.280000001</v>
      </c>
      <c r="Q641" s="731"/>
      <c r="R641" s="733">
        <f t="shared" si="80"/>
        <v>66319293.280000001</v>
      </c>
      <c r="S641" s="732">
        <f t="shared" si="81"/>
        <v>115873507</v>
      </c>
      <c r="T641" s="733">
        <f t="shared" si="82"/>
        <v>112789474.28</v>
      </c>
      <c r="U641" s="730"/>
      <c r="V641" s="731"/>
      <c r="W641" s="730"/>
      <c r="X641" s="730"/>
      <c r="Y641" s="732">
        <f t="shared" si="78"/>
        <v>0</v>
      </c>
      <c r="Z641" s="731"/>
      <c r="AA641" s="731"/>
      <c r="AB641" s="733">
        <f t="shared" si="79"/>
        <v>0</v>
      </c>
      <c r="AC641" s="730"/>
      <c r="AD641" s="731"/>
      <c r="AE641" s="730"/>
      <c r="AF641" s="730"/>
      <c r="AG641" s="731"/>
      <c r="AH641" s="731"/>
      <c r="AI641" s="732">
        <f t="shared" si="83"/>
        <v>115873507</v>
      </c>
      <c r="AJ641" s="733">
        <f t="shared" si="84"/>
        <v>112789474.28</v>
      </c>
    </row>
    <row r="642" spans="1:36">
      <c r="A642" s="936" t="s">
        <v>365</v>
      </c>
      <c r="B642" s="937" t="s">
        <v>62</v>
      </c>
      <c r="C642" s="944" t="s">
        <v>387</v>
      </c>
      <c r="D642" s="945"/>
      <c r="E642" s="940">
        <v>138716</v>
      </c>
      <c r="F642" s="941">
        <v>4</v>
      </c>
      <c r="G642" s="730">
        <v>29039060</v>
      </c>
      <c r="H642" s="731">
        <v>25830640</v>
      </c>
      <c r="I642" s="730"/>
      <c r="J642" s="731"/>
      <c r="K642" s="730"/>
      <c r="L642" s="731"/>
      <c r="M642" s="730">
        <v>25819589.41</v>
      </c>
      <c r="N642" s="730"/>
      <c r="O642" s="732">
        <f t="shared" si="77"/>
        <v>25819589.41</v>
      </c>
      <c r="P642" s="731">
        <v>21059684.420000002</v>
      </c>
      <c r="Q642" s="731"/>
      <c r="R642" s="733">
        <f t="shared" si="80"/>
        <v>21059684.420000002</v>
      </c>
      <c r="S642" s="732">
        <f t="shared" si="81"/>
        <v>54858649.409999996</v>
      </c>
      <c r="T642" s="733">
        <f t="shared" si="82"/>
        <v>46890324.420000002</v>
      </c>
      <c r="U642" s="730"/>
      <c r="V642" s="731"/>
      <c r="W642" s="730"/>
      <c r="X642" s="730"/>
      <c r="Y642" s="732">
        <f t="shared" si="78"/>
        <v>0</v>
      </c>
      <c r="Z642" s="731"/>
      <c r="AA642" s="731"/>
      <c r="AB642" s="733">
        <f t="shared" si="79"/>
        <v>0</v>
      </c>
      <c r="AC642" s="730"/>
      <c r="AD642" s="731"/>
      <c r="AE642" s="730"/>
      <c r="AF642" s="730"/>
      <c r="AG642" s="731"/>
      <c r="AH642" s="731"/>
      <c r="AI642" s="732">
        <f t="shared" si="83"/>
        <v>54858649.409999996</v>
      </c>
      <c r="AJ642" s="733">
        <f t="shared" si="84"/>
        <v>46890324.420000002</v>
      </c>
    </row>
    <row r="643" spans="1:36">
      <c r="A643" s="927" t="s">
        <v>365</v>
      </c>
      <c r="B643" s="928" t="s">
        <v>62</v>
      </c>
      <c r="C643" s="929" t="s">
        <v>392</v>
      </c>
      <c r="D643" s="930"/>
      <c r="E643" s="931">
        <v>482149</v>
      </c>
      <c r="F643" s="932">
        <v>4</v>
      </c>
      <c r="G643" s="730">
        <v>32202731</v>
      </c>
      <c r="H643" s="731">
        <v>30863977</v>
      </c>
      <c r="I643" s="730"/>
      <c r="J643" s="731"/>
      <c r="K643" s="730"/>
      <c r="L643" s="731"/>
      <c r="M643" s="730">
        <v>28588010.899999999</v>
      </c>
      <c r="N643" s="730"/>
      <c r="O643" s="732">
        <f t="shared" si="77"/>
        <v>28588010.899999999</v>
      </c>
      <c r="P643" s="731">
        <v>29472938.390000001</v>
      </c>
      <c r="Q643" s="731"/>
      <c r="R643" s="733">
        <f t="shared" si="80"/>
        <v>29472938.390000001</v>
      </c>
      <c r="S643" s="732">
        <f t="shared" si="81"/>
        <v>60790741.899999999</v>
      </c>
      <c r="T643" s="733">
        <f t="shared" si="82"/>
        <v>60336915.390000001</v>
      </c>
      <c r="U643" s="730"/>
      <c r="V643" s="731"/>
      <c r="W643" s="730"/>
      <c r="X643" s="730"/>
      <c r="Y643" s="732">
        <f t="shared" si="78"/>
        <v>0</v>
      </c>
      <c r="Z643" s="731"/>
      <c r="AA643" s="731"/>
      <c r="AB643" s="733">
        <f t="shared" si="79"/>
        <v>0</v>
      </c>
      <c r="AC643" s="730"/>
      <c r="AD643" s="731"/>
      <c r="AE643" s="730"/>
      <c r="AF643" s="730"/>
      <c r="AG643" s="731"/>
      <c r="AH643" s="731"/>
      <c r="AI643" s="732">
        <f t="shared" si="83"/>
        <v>60790741.899999999</v>
      </c>
      <c r="AJ643" s="733">
        <f t="shared" si="84"/>
        <v>60336915.390000001</v>
      </c>
    </row>
    <row r="644" spans="1:36">
      <c r="A644" s="927" t="s">
        <v>365</v>
      </c>
      <c r="B644" s="928" t="s">
        <v>64</v>
      </c>
      <c r="C644" s="933" t="s">
        <v>368</v>
      </c>
      <c r="D644" s="930"/>
      <c r="E644" s="931">
        <v>482149</v>
      </c>
      <c r="F644" s="932">
        <v>4</v>
      </c>
      <c r="G644" s="730"/>
      <c r="H644" s="731"/>
      <c r="I644" s="730"/>
      <c r="J644" s="731"/>
      <c r="K644" s="730"/>
      <c r="L644" s="731"/>
      <c r="M644" s="730"/>
      <c r="N644" s="730"/>
      <c r="O644" s="732">
        <f t="shared" si="77"/>
        <v>0</v>
      </c>
      <c r="P644" s="731"/>
      <c r="Q644" s="731"/>
      <c r="R644" s="733">
        <f t="shared" si="80"/>
        <v>0</v>
      </c>
      <c r="S644" s="732">
        <f t="shared" si="81"/>
        <v>0</v>
      </c>
      <c r="T644" s="733">
        <f t="shared" si="82"/>
        <v>0</v>
      </c>
      <c r="U644" s="730"/>
      <c r="V644" s="731"/>
      <c r="W644" s="730"/>
      <c r="X644" s="730"/>
      <c r="Y644" s="732">
        <f t="shared" si="78"/>
        <v>0</v>
      </c>
      <c r="Z644" s="731"/>
      <c r="AA644" s="731"/>
      <c r="AB644" s="733">
        <f t="shared" si="79"/>
        <v>0</v>
      </c>
      <c r="AC644" s="730">
        <v>224890259</v>
      </c>
      <c r="AD644" s="731">
        <v>214532525</v>
      </c>
      <c r="AE644" s="730">
        <v>72720519</v>
      </c>
      <c r="AF644" s="730"/>
      <c r="AG644" s="731">
        <v>73095620</v>
      </c>
      <c r="AH644" s="731"/>
      <c r="AI644" s="732">
        <f t="shared" si="83"/>
        <v>297610778</v>
      </c>
      <c r="AJ644" s="733">
        <f t="shared" si="84"/>
        <v>287628145</v>
      </c>
    </row>
    <row r="645" spans="1:36">
      <c r="A645" s="927" t="s">
        <v>365</v>
      </c>
      <c r="B645" s="928" t="s">
        <v>62</v>
      </c>
      <c r="C645" s="946" t="s">
        <v>388</v>
      </c>
      <c r="D645" s="947"/>
      <c r="E645" s="931">
        <v>139311</v>
      </c>
      <c r="F645" s="932">
        <v>4</v>
      </c>
      <c r="G645" s="730">
        <v>28233759</v>
      </c>
      <c r="H645" s="731">
        <v>26385003</v>
      </c>
      <c r="I645" s="730"/>
      <c r="J645" s="731"/>
      <c r="K645" s="730"/>
      <c r="L645" s="731"/>
      <c r="M645" s="730">
        <v>33960760.109999999</v>
      </c>
      <c r="N645" s="730"/>
      <c r="O645" s="732">
        <f t="shared" si="77"/>
        <v>33960760.109999999</v>
      </c>
      <c r="P645" s="731">
        <v>33075927.149999999</v>
      </c>
      <c r="Q645" s="731"/>
      <c r="R645" s="733">
        <f t="shared" si="80"/>
        <v>33075927.149999999</v>
      </c>
      <c r="S645" s="732">
        <f t="shared" si="81"/>
        <v>62194519.109999999</v>
      </c>
      <c r="T645" s="733">
        <f t="shared" si="82"/>
        <v>59460930.149999999</v>
      </c>
      <c r="U645" s="730"/>
      <c r="V645" s="731"/>
      <c r="W645" s="730"/>
      <c r="X645" s="730"/>
      <c r="Y645" s="732">
        <f t="shared" si="78"/>
        <v>0</v>
      </c>
      <c r="Z645" s="731"/>
      <c r="AA645" s="731"/>
      <c r="AB645" s="733">
        <f t="shared" si="79"/>
        <v>0</v>
      </c>
      <c r="AC645" s="730"/>
      <c r="AD645" s="731"/>
      <c r="AE645" s="730"/>
      <c r="AF645" s="730"/>
      <c r="AG645" s="731"/>
      <c r="AH645" s="731"/>
      <c r="AI645" s="732">
        <f t="shared" si="83"/>
        <v>62194519.109999999</v>
      </c>
      <c r="AJ645" s="733">
        <f t="shared" si="84"/>
        <v>59460930.149999999</v>
      </c>
    </row>
    <row r="646" spans="1:36">
      <c r="A646" s="927" t="s">
        <v>365</v>
      </c>
      <c r="B646" s="928" t="s">
        <v>62</v>
      </c>
      <c r="C646" s="929" t="s">
        <v>389</v>
      </c>
      <c r="D646" s="942" t="s">
        <v>1423</v>
      </c>
      <c r="E646" s="931">
        <v>139366</v>
      </c>
      <c r="F646" s="932">
        <v>4</v>
      </c>
      <c r="G646" s="730">
        <v>45601911</v>
      </c>
      <c r="H646" s="731">
        <v>39799975</v>
      </c>
      <c r="I646" s="730"/>
      <c r="J646" s="731"/>
      <c r="K646" s="730"/>
      <c r="L646" s="731"/>
      <c r="M646" s="730">
        <v>42682692.479999997</v>
      </c>
      <c r="N646" s="730"/>
      <c r="O646" s="732">
        <f t="shared" si="77"/>
        <v>42682692.479999997</v>
      </c>
      <c r="P646" s="731">
        <v>42854556.079999998</v>
      </c>
      <c r="Q646" s="731"/>
      <c r="R646" s="733">
        <f t="shared" si="80"/>
        <v>42854556.079999998</v>
      </c>
      <c r="S646" s="732">
        <f t="shared" si="81"/>
        <v>88284603.479999989</v>
      </c>
      <c r="T646" s="733">
        <f t="shared" si="82"/>
        <v>82654531.079999998</v>
      </c>
      <c r="U646" s="730"/>
      <c r="V646" s="731"/>
      <c r="W646" s="730"/>
      <c r="X646" s="730"/>
      <c r="Y646" s="732">
        <f t="shared" si="78"/>
        <v>0</v>
      </c>
      <c r="Z646" s="731"/>
      <c r="AA646" s="731"/>
      <c r="AB646" s="733">
        <f t="shared" si="79"/>
        <v>0</v>
      </c>
      <c r="AC646" s="730"/>
      <c r="AD646" s="731"/>
      <c r="AE646" s="730"/>
      <c r="AF646" s="730"/>
      <c r="AG646" s="731"/>
      <c r="AH646" s="731"/>
      <c r="AI646" s="732">
        <f t="shared" si="83"/>
        <v>88284603.479999989</v>
      </c>
      <c r="AJ646" s="733">
        <f t="shared" si="84"/>
        <v>82654531.079999998</v>
      </c>
    </row>
    <row r="647" spans="1:36">
      <c r="A647" s="927" t="s">
        <v>365</v>
      </c>
      <c r="B647" s="928" t="s">
        <v>62</v>
      </c>
      <c r="C647" s="929" t="s">
        <v>390</v>
      </c>
      <c r="D647" s="948" t="s">
        <v>1785</v>
      </c>
      <c r="E647" s="949">
        <v>139719</v>
      </c>
      <c r="F647" s="950">
        <v>5</v>
      </c>
      <c r="G647" s="730">
        <v>24259424</v>
      </c>
      <c r="H647" s="731">
        <v>22536611</v>
      </c>
      <c r="I647" s="730"/>
      <c r="J647" s="731"/>
      <c r="K647" s="730"/>
      <c r="L647" s="731"/>
      <c r="M647" s="730">
        <v>13811966.609999999</v>
      </c>
      <c r="N647" s="730"/>
      <c r="O647" s="732">
        <f t="shared" si="77"/>
        <v>13811966.609999999</v>
      </c>
      <c r="P647" s="731">
        <v>14077688.539999999</v>
      </c>
      <c r="Q647" s="731"/>
      <c r="R647" s="733">
        <f t="shared" si="80"/>
        <v>14077688.539999999</v>
      </c>
      <c r="S647" s="732">
        <f t="shared" si="81"/>
        <v>38071390.609999999</v>
      </c>
      <c r="T647" s="733">
        <f t="shared" si="82"/>
        <v>36614299.539999999</v>
      </c>
      <c r="U647" s="730"/>
      <c r="V647" s="731"/>
      <c r="W647" s="730"/>
      <c r="X647" s="730"/>
      <c r="Y647" s="732">
        <f t="shared" si="78"/>
        <v>0</v>
      </c>
      <c r="Z647" s="731"/>
      <c r="AA647" s="731"/>
      <c r="AB647" s="733">
        <f t="shared" si="79"/>
        <v>0</v>
      </c>
      <c r="AC647" s="730"/>
      <c r="AD647" s="731"/>
      <c r="AE647" s="730"/>
      <c r="AF647" s="730"/>
      <c r="AG647" s="731"/>
      <c r="AH647" s="731"/>
      <c r="AI647" s="732">
        <f t="shared" si="83"/>
        <v>38071390.609999999</v>
      </c>
      <c r="AJ647" s="733">
        <f t="shared" si="84"/>
        <v>36614299.539999999</v>
      </c>
    </row>
    <row r="648" spans="1:36">
      <c r="A648" s="927" t="s">
        <v>365</v>
      </c>
      <c r="B648" s="928" t="s">
        <v>62</v>
      </c>
      <c r="C648" s="929" t="s">
        <v>391</v>
      </c>
      <c r="D648" s="930"/>
      <c r="E648" s="931">
        <v>139861</v>
      </c>
      <c r="F648" s="932">
        <v>4</v>
      </c>
      <c r="G648" s="730">
        <v>43400239</v>
      </c>
      <c r="H648" s="731">
        <v>39121142</v>
      </c>
      <c r="I648" s="730"/>
      <c r="J648" s="731"/>
      <c r="K648" s="730"/>
      <c r="L648" s="731"/>
      <c r="M648" s="730">
        <v>58499708.380000003</v>
      </c>
      <c r="N648" s="730"/>
      <c r="O648" s="732">
        <f t="shared" si="77"/>
        <v>58499708.380000003</v>
      </c>
      <c r="P648" s="731">
        <v>56732163.350000001</v>
      </c>
      <c r="Q648" s="731"/>
      <c r="R648" s="733">
        <f t="shared" si="80"/>
        <v>56732163.350000001</v>
      </c>
      <c r="S648" s="732">
        <f t="shared" si="81"/>
        <v>101899947.38</v>
      </c>
      <c r="T648" s="733">
        <f t="shared" si="82"/>
        <v>95853305.349999994</v>
      </c>
      <c r="U648" s="730"/>
      <c r="V648" s="731"/>
      <c r="W648" s="730"/>
      <c r="X648" s="730"/>
      <c r="Y648" s="732">
        <f t="shared" si="78"/>
        <v>0</v>
      </c>
      <c r="Z648" s="731"/>
      <c r="AA648" s="731"/>
      <c r="AB648" s="733">
        <f t="shared" si="79"/>
        <v>0</v>
      </c>
      <c r="AC648" s="730"/>
      <c r="AD648" s="731"/>
      <c r="AE648" s="730"/>
      <c r="AF648" s="730"/>
      <c r="AG648" s="731"/>
      <c r="AH648" s="731"/>
      <c r="AI648" s="732">
        <f t="shared" si="83"/>
        <v>101899947.38</v>
      </c>
      <c r="AJ648" s="733">
        <f t="shared" si="84"/>
        <v>95853305.349999994</v>
      </c>
    </row>
    <row r="649" spans="1:36">
      <c r="A649" s="927" t="s">
        <v>365</v>
      </c>
      <c r="B649" s="928" t="s">
        <v>62</v>
      </c>
      <c r="C649" s="929" t="s">
        <v>394</v>
      </c>
      <c r="D649" s="943" t="s">
        <v>1424</v>
      </c>
      <c r="E649" s="931">
        <v>139764</v>
      </c>
      <c r="F649" s="932">
        <v>4</v>
      </c>
      <c r="G649" s="730">
        <v>16167839</v>
      </c>
      <c r="H649" s="731">
        <v>14386876</v>
      </c>
      <c r="I649" s="730"/>
      <c r="J649" s="731"/>
      <c r="K649" s="730"/>
      <c r="L649" s="731"/>
      <c r="M649" s="730">
        <v>14443152.529999999</v>
      </c>
      <c r="N649" s="730"/>
      <c r="O649" s="732">
        <f t="shared" si="77"/>
        <v>14443152.529999999</v>
      </c>
      <c r="P649" s="731">
        <v>15035362.68</v>
      </c>
      <c r="Q649" s="731"/>
      <c r="R649" s="733">
        <f t="shared" si="80"/>
        <v>15035362.68</v>
      </c>
      <c r="S649" s="732">
        <f t="shared" si="81"/>
        <v>30610991.530000001</v>
      </c>
      <c r="T649" s="733">
        <f t="shared" si="82"/>
        <v>29422238.68</v>
      </c>
      <c r="U649" s="730"/>
      <c r="V649" s="731"/>
      <c r="W649" s="730"/>
      <c r="X649" s="730"/>
      <c r="Y649" s="732">
        <f t="shared" si="78"/>
        <v>0</v>
      </c>
      <c r="Z649" s="731"/>
      <c r="AA649" s="731"/>
      <c r="AB649" s="733">
        <f t="shared" si="79"/>
        <v>0</v>
      </c>
      <c r="AC649" s="730"/>
      <c r="AD649" s="731"/>
      <c r="AE649" s="730"/>
      <c r="AF649" s="730"/>
      <c r="AG649" s="731"/>
      <c r="AH649" s="731"/>
      <c r="AI649" s="732">
        <f t="shared" si="83"/>
        <v>30610991.530000001</v>
      </c>
      <c r="AJ649" s="733">
        <f t="shared" si="84"/>
        <v>29422238.68</v>
      </c>
    </row>
    <row r="650" spans="1:36">
      <c r="A650" s="927" t="s">
        <v>365</v>
      </c>
      <c r="B650" s="928" t="s">
        <v>62</v>
      </c>
      <c r="C650" s="929" t="s">
        <v>393</v>
      </c>
      <c r="D650" s="930"/>
      <c r="E650" s="951">
        <v>482680</v>
      </c>
      <c r="F650" s="932">
        <v>4</v>
      </c>
      <c r="G650" s="730">
        <v>86681369</v>
      </c>
      <c r="H650" s="731">
        <v>82375657</v>
      </c>
      <c r="I650" s="730"/>
      <c r="J650" s="731"/>
      <c r="K650" s="730"/>
      <c r="L650" s="731"/>
      <c r="M650" s="730">
        <v>92893454.659999996</v>
      </c>
      <c r="N650" s="730"/>
      <c r="O650" s="732">
        <f t="shared" ref="O650:O713" si="85">SUM(M650:N650)</f>
        <v>92893454.659999996</v>
      </c>
      <c r="P650" s="731">
        <v>87287151.739999995</v>
      </c>
      <c r="Q650" s="731"/>
      <c r="R650" s="733">
        <f t="shared" si="80"/>
        <v>87287151.739999995</v>
      </c>
      <c r="S650" s="732">
        <f t="shared" si="81"/>
        <v>179574823.66</v>
      </c>
      <c r="T650" s="733">
        <f t="shared" si="82"/>
        <v>169662808.74000001</v>
      </c>
      <c r="U650" s="730"/>
      <c r="V650" s="731"/>
      <c r="W650" s="730"/>
      <c r="X650" s="730"/>
      <c r="Y650" s="732">
        <f t="shared" ref="Y650:Y713" si="86">SUM(W650:X650)</f>
        <v>0</v>
      </c>
      <c r="Z650" s="731"/>
      <c r="AA650" s="731"/>
      <c r="AB650" s="733">
        <f t="shared" ref="AB650:AB713" si="87">SUM(Z650:AA650)</f>
        <v>0</v>
      </c>
      <c r="AC650" s="730"/>
      <c r="AD650" s="731"/>
      <c r="AE650" s="730"/>
      <c r="AF650" s="730"/>
      <c r="AG650" s="731"/>
      <c r="AH650" s="731"/>
      <c r="AI650" s="732">
        <f t="shared" si="83"/>
        <v>179574823.66</v>
      </c>
      <c r="AJ650" s="733">
        <f t="shared" si="84"/>
        <v>169662808.74000001</v>
      </c>
    </row>
    <row r="651" spans="1:36" s="13" customFormat="1" ht="15" customHeight="1">
      <c r="A651" s="927" t="s">
        <v>365</v>
      </c>
      <c r="B651" s="928" t="s">
        <v>62</v>
      </c>
      <c r="C651" s="929" t="s">
        <v>395</v>
      </c>
      <c r="D651" s="943" t="s">
        <v>1796</v>
      </c>
      <c r="E651" s="931">
        <v>140960</v>
      </c>
      <c r="F651" s="932">
        <v>5</v>
      </c>
      <c r="G651" s="730">
        <v>24846184</v>
      </c>
      <c r="H651" s="731">
        <v>20715552</v>
      </c>
      <c r="I651" s="730"/>
      <c r="J651" s="731"/>
      <c r="K651" s="730"/>
      <c r="L651" s="731"/>
      <c r="M651" s="730">
        <v>19709761.379999999</v>
      </c>
      <c r="N651" s="730"/>
      <c r="O651" s="732">
        <f t="shared" si="85"/>
        <v>19709761.379999999</v>
      </c>
      <c r="P651" s="731">
        <v>15674284.52</v>
      </c>
      <c r="Q651" s="731"/>
      <c r="R651" s="733">
        <f t="shared" ref="R651:R714" si="88">SUM(P651:Q651)</f>
        <v>15674284.52</v>
      </c>
      <c r="S651" s="732">
        <f t="shared" ref="S651:S714" si="89">SUM(G651,I651,K651,M651)</f>
        <v>44555945.379999995</v>
      </c>
      <c r="T651" s="733">
        <f t="shared" ref="T651:T714" si="90">SUM(H651,J651,L651,P651)</f>
        <v>36389836.519999996</v>
      </c>
      <c r="U651" s="730"/>
      <c r="V651" s="731"/>
      <c r="W651" s="730"/>
      <c r="X651" s="730"/>
      <c r="Y651" s="732">
        <f t="shared" si="86"/>
        <v>0</v>
      </c>
      <c r="Z651" s="731"/>
      <c r="AA651" s="731"/>
      <c r="AB651" s="733">
        <f t="shared" si="87"/>
        <v>0</v>
      </c>
      <c r="AC651" s="730"/>
      <c r="AD651" s="731"/>
      <c r="AE651" s="730"/>
      <c r="AF651" s="730"/>
      <c r="AG651" s="731"/>
      <c r="AH651" s="731"/>
      <c r="AI651" s="732">
        <f t="shared" ref="AI651:AI714" si="91">SUM(S651,U651,W651,AC651,AE651)</f>
        <v>44555945.379999995</v>
      </c>
      <c r="AJ651" s="733">
        <f t="shared" ref="AJ651:AJ714" si="92">SUM(T651,V651,Z651,AD651,AG651)</f>
        <v>36389836.519999996</v>
      </c>
    </row>
    <row r="652" spans="1:36">
      <c r="A652" s="927" t="s">
        <v>365</v>
      </c>
      <c r="B652" s="928" t="s">
        <v>62</v>
      </c>
      <c r="C652" s="929" t="s">
        <v>400</v>
      </c>
      <c r="D652" s="942"/>
      <c r="E652" s="931">
        <v>138558</v>
      </c>
      <c r="F652" s="952">
        <v>6</v>
      </c>
      <c r="G652" s="730">
        <v>26057553</v>
      </c>
      <c r="H652" s="731">
        <v>23186030</v>
      </c>
      <c r="I652" s="730"/>
      <c r="J652" s="731"/>
      <c r="K652" s="730"/>
      <c r="L652" s="731"/>
      <c r="M652" s="730">
        <v>12107699.65</v>
      </c>
      <c r="N652" s="730"/>
      <c r="O652" s="732">
        <f t="shared" si="85"/>
        <v>12107699.65</v>
      </c>
      <c r="P652" s="731">
        <v>11994243.76</v>
      </c>
      <c r="Q652" s="731"/>
      <c r="R652" s="733">
        <f t="shared" si="88"/>
        <v>11994243.76</v>
      </c>
      <c r="S652" s="732">
        <f t="shared" si="89"/>
        <v>38165252.649999999</v>
      </c>
      <c r="T652" s="733">
        <f t="shared" si="90"/>
        <v>35180273.759999998</v>
      </c>
      <c r="U652" s="730"/>
      <c r="V652" s="731"/>
      <c r="W652" s="730"/>
      <c r="X652" s="730"/>
      <c r="Y652" s="732">
        <f t="shared" si="86"/>
        <v>0</v>
      </c>
      <c r="Z652" s="731"/>
      <c r="AA652" s="731"/>
      <c r="AB652" s="733">
        <f t="shared" si="87"/>
        <v>0</v>
      </c>
      <c r="AC652" s="730"/>
      <c r="AD652" s="731"/>
      <c r="AE652" s="730"/>
      <c r="AF652" s="730"/>
      <c r="AG652" s="731"/>
      <c r="AH652" s="731"/>
      <c r="AI652" s="732">
        <f t="shared" si="91"/>
        <v>38165252.649999999</v>
      </c>
      <c r="AJ652" s="733">
        <f t="shared" si="92"/>
        <v>35180273.759999998</v>
      </c>
    </row>
    <row r="653" spans="1:36">
      <c r="A653" s="927" t="s">
        <v>365</v>
      </c>
      <c r="B653" s="928" t="s">
        <v>62</v>
      </c>
      <c r="C653" s="929" t="s">
        <v>396</v>
      </c>
      <c r="D653" s="947"/>
      <c r="E653" s="931">
        <v>139250</v>
      </c>
      <c r="F653" s="932">
        <v>6</v>
      </c>
      <c r="G653" s="730">
        <v>17690362</v>
      </c>
      <c r="H653" s="731">
        <v>15840974</v>
      </c>
      <c r="I653" s="730"/>
      <c r="J653" s="731"/>
      <c r="K653" s="730"/>
      <c r="L653" s="731"/>
      <c r="M653" s="730">
        <v>10811450.869999999</v>
      </c>
      <c r="N653" s="730"/>
      <c r="O653" s="732">
        <f t="shared" si="85"/>
        <v>10811450.869999999</v>
      </c>
      <c r="P653" s="731">
        <v>9747549.7699999996</v>
      </c>
      <c r="Q653" s="731"/>
      <c r="R653" s="733">
        <f t="shared" si="88"/>
        <v>9747549.7699999996</v>
      </c>
      <c r="S653" s="732">
        <f t="shared" si="89"/>
        <v>28501812.869999997</v>
      </c>
      <c r="T653" s="733">
        <f t="shared" si="90"/>
        <v>25588523.77</v>
      </c>
      <c r="U653" s="730"/>
      <c r="V653" s="731"/>
      <c r="W653" s="730"/>
      <c r="X653" s="730"/>
      <c r="Y653" s="732">
        <f t="shared" si="86"/>
        <v>0</v>
      </c>
      <c r="Z653" s="731"/>
      <c r="AA653" s="731"/>
      <c r="AB653" s="733">
        <f t="shared" si="87"/>
        <v>0</v>
      </c>
      <c r="AC653" s="730"/>
      <c r="AD653" s="731"/>
      <c r="AE653" s="730"/>
      <c r="AF653" s="730"/>
      <c r="AG653" s="731"/>
      <c r="AH653" s="731"/>
      <c r="AI653" s="732">
        <f t="shared" si="91"/>
        <v>28501812.869999997</v>
      </c>
      <c r="AJ653" s="733">
        <f t="shared" si="92"/>
        <v>25588523.77</v>
      </c>
    </row>
    <row r="654" spans="1:36">
      <c r="A654" s="927" t="s">
        <v>365</v>
      </c>
      <c r="B654" s="928" t="s">
        <v>62</v>
      </c>
      <c r="C654" s="929" t="s">
        <v>397</v>
      </c>
      <c r="D654" s="947"/>
      <c r="E654" s="931">
        <v>139463</v>
      </c>
      <c r="F654" s="932">
        <v>6</v>
      </c>
      <c r="G654" s="730">
        <v>19129440</v>
      </c>
      <c r="H654" s="731">
        <v>17051010</v>
      </c>
      <c r="I654" s="730"/>
      <c r="J654" s="731"/>
      <c r="K654" s="730"/>
      <c r="L654" s="731"/>
      <c r="M654" s="730">
        <v>14737206.24</v>
      </c>
      <c r="N654" s="730"/>
      <c r="O654" s="732">
        <f t="shared" si="85"/>
        <v>14737206.24</v>
      </c>
      <c r="P654" s="731">
        <v>13411408.890000001</v>
      </c>
      <c r="Q654" s="731"/>
      <c r="R654" s="733">
        <f t="shared" si="88"/>
        <v>13411408.890000001</v>
      </c>
      <c r="S654" s="732">
        <f t="shared" si="89"/>
        <v>33866646.240000002</v>
      </c>
      <c r="T654" s="733">
        <f t="shared" si="90"/>
        <v>30462418.890000001</v>
      </c>
      <c r="U654" s="730"/>
      <c r="V654" s="731"/>
      <c r="W654" s="730"/>
      <c r="X654" s="730"/>
      <c r="Y654" s="732">
        <f t="shared" si="86"/>
        <v>0</v>
      </c>
      <c r="Z654" s="731"/>
      <c r="AA654" s="731"/>
      <c r="AB654" s="733">
        <f t="shared" si="87"/>
        <v>0</v>
      </c>
      <c r="AC654" s="730"/>
      <c r="AD654" s="731"/>
      <c r="AE654" s="730"/>
      <c r="AF654" s="730"/>
      <c r="AG654" s="731"/>
      <c r="AH654" s="731"/>
      <c r="AI654" s="732">
        <f t="shared" si="91"/>
        <v>33866646.240000002</v>
      </c>
      <c r="AJ654" s="733">
        <f t="shared" si="92"/>
        <v>30462418.890000001</v>
      </c>
    </row>
    <row r="655" spans="1:36">
      <c r="A655" s="927" t="s">
        <v>365</v>
      </c>
      <c r="B655" s="928" t="s">
        <v>116</v>
      </c>
      <c r="C655" s="929" t="s">
        <v>398</v>
      </c>
      <c r="D655" s="947"/>
      <c r="E655" s="931">
        <v>447689</v>
      </c>
      <c r="F655" s="932">
        <v>6</v>
      </c>
      <c r="G655" s="730">
        <v>60028351</v>
      </c>
      <c r="H655" s="731">
        <v>53607939</v>
      </c>
      <c r="I655" s="730"/>
      <c r="J655" s="731"/>
      <c r="K655" s="730"/>
      <c r="L655" s="731"/>
      <c r="M655" s="730">
        <v>50707350</v>
      </c>
      <c r="N655" s="730"/>
      <c r="O655" s="732">
        <f t="shared" si="85"/>
        <v>50707350</v>
      </c>
      <c r="P655" s="731">
        <v>46946168.490000002</v>
      </c>
      <c r="Q655" s="731"/>
      <c r="R655" s="733">
        <f t="shared" si="88"/>
        <v>46946168.490000002</v>
      </c>
      <c r="S655" s="732">
        <f t="shared" si="89"/>
        <v>110735701</v>
      </c>
      <c r="T655" s="733">
        <f t="shared" si="90"/>
        <v>100554107.49000001</v>
      </c>
      <c r="U655" s="730"/>
      <c r="V655" s="731"/>
      <c r="W655" s="730"/>
      <c r="X655" s="730"/>
      <c r="Y655" s="732">
        <f t="shared" si="86"/>
        <v>0</v>
      </c>
      <c r="Z655" s="731"/>
      <c r="AA655" s="731"/>
      <c r="AB655" s="733">
        <f t="shared" si="87"/>
        <v>0</v>
      </c>
      <c r="AC655" s="730"/>
      <c r="AD655" s="731"/>
      <c r="AE655" s="730"/>
      <c r="AF655" s="730"/>
      <c r="AG655" s="731"/>
      <c r="AH655" s="731"/>
      <c r="AI655" s="732">
        <f t="shared" si="91"/>
        <v>110735701</v>
      </c>
      <c r="AJ655" s="733">
        <f t="shared" si="92"/>
        <v>100554107.49000001</v>
      </c>
    </row>
    <row r="656" spans="1:36">
      <c r="A656" s="927" t="s">
        <v>365</v>
      </c>
      <c r="B656" s="928" t="s">
        <v>62</v>
      </c>
      <c r="C656" s="929" t="s">
        <v>401</v>
      </c>
      <c r="D656" s="943"/>
      <c r="E656" s="932">
        <v>482158</v>
      </c>
      <c r="F656" s="952">
        <v>6</v>
      </c>
      <c r="G656" s="730">
        <v>13782332</v>
      </c>
      <c r="H656" s="731">
        <v>11903429</v>
      </c>
      <c r="I656" s="730"/>
      <c r="J656" s="731"/>
      <c r="K656" s="730"/>
      <c r="L656" s="731"/>
      <c r="M656" s="730">
        <v>10148660.27</v>
      </c>
      <c r="N656" s="730"/>
      <c r="O656" s="732">
        <f t="shared" si="85"/>
        <v>10148660.27</v>
      </c>
      <c r="P656" s="731">
        <v>8682253</v>
      </c>
      <c r="Q656" s="731"/>
      <c r="R656" s="733">
        <f t="shared" si="88"/>
        <v>8682253</v>
      </c>
      <c r="S656" s="732">
        <f t="shared" si="89"/>
        <v>23930992.27</v>
      </c>
      <c r="T656" s="733">
        <f t="shared" si="90"/>
        <v>20585682</v>
      </c>
      <c r="U656" s="730"/>
      <c r="V656" s="731"/>
      <c r="W656" s="730"/>
      <c r="X656" s="730"/>
      <c r="Y656" s="732">
        <f t="shared" si="86"/>
        <v>0</v>
      </c>
      <c r="Z656" s="731"/>
      <c r="AA656" s="731"/>
      <c r="AB656" s="733">
        <f t="shared" si="87"/>
        <v>0</v>
      </c>
      <c r="AC656" s="730"/>
      <c r="AD656" s="731"/>
      <c r="AE656" s="730"/>
      <c r="AF656" s="730"/>
      <c r="AG656" s="731"/>
      <c r="AH656" s="731"/>
      <c r="AI656" s="732">
        <f t="shared" si="91"/>
        <v>23930992.27</v>
      </c>
      <c r="AJ656" s="733">
        <f t="shared" si="92"/>
        <v>20585682</v>
      </c>
    </row>
    <row r="657" spans="1:36">
      <c r="A657" s="927" t="s">
        <v>365</v>
      </c>
      <c r="B657" s="928" t="s">
        <v>62</v>
      </c>
      <c r="C657" s="929" t="s">
        <v>399</v>
      </c>
      <c r="D657" s="948" t="s">
        <v>1785</v>
      </c>
      <c r="E657" s="951">
        <v>482158</v>
      </c>
      <c r="F657" s="950">
        <v>5</v>
      </c>
      <c r="G657" s="730">
        <v>36905041</v>
      </c>
      <c r="H657" s="731">
        <v>36844586</v>
      </c>
      <c r="I657" s="730"/>
      <c r="J657" s="731"/>
      <c r="K657" s="730"/>
      <c r="L657" s="731"/>
      <c r="M657" s="730">
        <v>28643595.640000001</v>
      </c>
      <c r="N657" s="730"/>
      <c r="O657" s="732">
        <f t="shared" si="85"/>
        <v>28643595.640000001</v>
      </c>
      <c r="P657" s="731">
        <v>28341240.870000001</v>
      </c>
      <c r="Q657" s="731"/>
      <c r="R657" s="733">
        <f t="shared" si="88"/>
        <v>28341240.870000001</v>
      </c>
      <c r="S657" s="732">
        <f t="shared" si="89"/>
        <v>65548636.640000001</v>
      </c>
      <c r="T657" s="733">
        <f t="shared" si="90"/>
        <v>65185826.870000005</v>
      </c>
      <c r="U657" s="730"/>
      <c r="V657" s="731"/>
      <c r="W657" s="730"/>
      <c r="X657" s="730"/>
      <c r="Y657" s="732">
        <f t="shared" si="86"/>
        <v>0</v>
      </c>
      <c r="Z657" s="731"/>
      <c r="AA657" s="731"/>
      <c r="AB657" s="733">
        <f t="shared" si="87"/>
        <v>0</v>
      </c>
      <c r="AC657" s="730"/>
      <c r="AD657" s="731"/>
      <c r="AE657" s="730"/>
      <c r="AF657" s="730"/>
      <c r="AG657" s="731"/>
      <c r="AH657" s="731"/>
      <c r="AI657" s="732">
        <f t="shared" si="91"/>
        <v>65548636.640000001</v>
      </c>
      <c r="AJ657" s="733">
        <f t="shared" si="92"/>
        <v>65185826.870000005</v>
      </c>
    </row>
    <row r="658" spans="1:36">
      <c r="A658" s="927" t="s">
        <v>365</v>
      </c>
      <c r="B658" s="928" t="s">
        <v>62</v>
      </c>
      <c r="C658" s="946" t="s">
        <v>402</v>
      </c>
      <c r="D658" s="947"/>
      <c r="E658" s="931">
        <v>138901</v>
      </c>
      <c r="F658" s="932">
        <v>7</v>
      </c>
      <c r="G658" s="730">
        <v>9982355</v>
      </c>
      <c r="H658" s="731">
        <v>8612181</v>
      </c>
      <c r="I658" s="730"/>
      <c r="J658" s="731"/>
      <c r="K658" s="730"/>
      <c r="L658" s="731"/>
      <c r="M658" s="730">
        <v>6401846.2599999998</v>
      </c>
      <c r="N658" s="730"/>
      <c r="O658" s="732">
        <f t="shared" si="85"/>
        <v>6401846.2599999998</v>
      </c>
      <c r="P658" s="731">
        <v>4487261.4000000004</v>
      </c>
      <c r="Q658" s="731"/>
      <c r="R658" s="733">
        <f t="shared" si="88"/>
        <v>4487261.4000000004</v>
      </c>
      <c r="S658" s="732">
        <f t="shared" si="89"/>
        <v>16384201.26</v>
      </c>
      <c r="T658" s="733">
        <f t="shared" si="90"/>
        <v>13099442.4</v>
      </c>
      <c r="U658" s="730"/>
      <c r="V658" s="731"/>
      <c r="W658" s="730"/>
      <c r="X658" s="730"/>
      <c r="Y658" s="732">
        <f t="shared" si="86"/>
        <v>0</v>
      </c>
      <c r="Z658" s="731"/>
      <c r="AA658" s="731"/>
      <c r="AB658" s="733">
        <f t="shared" si="87"/>
        <v>0</v>
      </c>
      <c r="AC658" s="730"/>
      <c r="AD658" s="731"/>
      <c r="AE658" s="730"/>
      <c r="AF658" s="730"/>
      <c r="AG658" s="731"/>
      <c r="AH658" s="731"/>
      <c r="AI658" s="732">
        <f t="shared" si="91"/>
        <v>16384201.26</v>
      </c>
      <c r="AJ658" s="733">
        <f t="shared" si="92"/>
        <v>13099442.4</v>
      </c>
    </row>
    <row r="659" spans="1:36">
      <c r="A659" s="927" t="s">
        <v>365</v>
      </c>
      <c r="B659" s="928" t="s">
        <v>62</v>
      </c>
      <c r="C659" s="946" t="s">
        <v>403</v>
      </c>
      <c r="D659" s="947"/>
      <c r="E659" s="931">
        <v>139621</v>
      </c>
      <c r="F659" s="932">
        <v>7</v>
      </c>
      <c r="G659" s="730">
        <v>10126926</v>
      </c>
      <c r="H659" s="731">
        <v>9895581</v>
      </c>
      <c r="I659" s="730"/>
      <c r="J659" s="731"/>
      <c r="K659" s="730"/>
      <c r="L659" s="731"/>
      <c r="M659" s="730">
        <v>7623782.79</v>
      </c>
      <c r="N659" s="730"/>
      <c r="O659" s="732">
        <f t="shared" si="85"/>
        <v>7623782.79</v>
      </c>
      <c r="P659" s="731">
        <v>5873649.6799999997</v>
      </c>
      <c r="Q659" s="731"/>
      <c r="R659" s="733">
        <f t="shared" si="88"/>
        <v>5873649.6799999997</v>
      </c>
      <c r="S659" s="732">
        <f t="shared" si="89"/>
        <v>17750708.789999999</v>
      </c>
      <c r="T659" s="733">
        <f t="shared" si="90"/>
        <v>15769230.68</v>
      </c>
      <c r="U659" s="730"/>
      <c r="V659" s="731"/>
      <c r="W659" s="730"/>
      <c r="X659" s="730"/>
      <c r="Y659" s="732">
        <f t="shared" si="86"/>
        <v>0</v>
      </c>
      <c r="Z659" s="731"/>
      <c r="AA659" s="731"/>
      <c r="AB659" s="733">
        <f t="shared" si="87"/>
        <v>0</v>
      </c>
      <c r="AC659" s="730"/>
      <c r="AD659" s="731"/>
      <c r="AE659" s="730"/>
      <c r="AF659" s="730"/>
      <c r="AG659" s="731"/>
      <c r="AH659" s="731"/>
      <c r="AI659" s="732">
        <f t="shared" si="91"/>
        <v>17750708.789999999</v>
      </c>
      <c r="AJ659" s="733">
        <f t="shared" si="92"/>
        <v>15769230.68</v>
      </c>
    </row>
    <row r="660" spans="1:36">
      <c r="A660" s="927" t="s">
        <v>365</v>
      </c>
      <c r="B660" s="928" t="s">
        <v>62</v>
      </c>
      <c r="C660" s="929" t="s">
        <v>404</v>
      </c>
      <c r="D660" s="947"/>
      <c r="E660" s="931">
        <v>139700</v>
      </c>
      <c r="F660" s="932">
        <v>7</v>
      </c>
      <c r="G660" s="730">
        <v>20389147</v>
      </c>
      <c r="H660" s="731">
        <v>20133599</v>
      </c>
      <c r="I660" s="730"/>
      <c r="J660" s="731"/>
      <c r="K660" s="730"/>
      <c r="L660" s="731"/>
      <c r="M660" s="730">
        <v>15689735.27</v>
      </c>
      <c r="N660" s="730"/>
      <c r="O660" s="732">
        <f t="shared" si="85"/>
        <v>15689735.27</v>
      </c>
      <c r="P660" s="731">
        <v>14064578.029999999</v>
      </c>
      <c r="Q660" s="731"/>
      <c r="R660" s="733">
        <f t="shared" si="88"/>
        <v>14064578.029999999</v>
      </c>
      <c r="S660" s="732">
        <f t="shared" si="89"/>
        <v>36078882.269999996</v>
      </c>
      <c r="T660" s="733">
        <f t="shared" si="90"/>
        <v>34198177.030000001</v>
      </c>
      <c r="U660" s="730"/>
      <c r="V660" s="731"/>
      <c r="W660" s="730"/>
      <c r="X660" s="730"/>
      <c r="Y660" s="732">
        <f t="shared" si="86"/>
        <v>0</v>
      </c>
      <c r="Z660" s="731"/>
      <c r="AA660" s="731"/>
      <c r="AB660" s="733">
        <f t="shared" si="87"/>
        <v>0</v>
      </c>
      <c r="AC660" s="730"/>
      <c r="AD660" s="731"/>
      <c r="AE660" s="730"/>
      <c r="AF660" s="730"/>
      <c r="AG660" s="731"/>
      <c r="AH660" s="731"/>
      <c r="AI660" s="732">
        <f t="shared" si="91"/>
        <v>36078882.269999996</v>
      </c>
      <c r="AJ660" s="733">
        <f t="shared" si="92"/>
        <v>34198177.030000001</v>
      </c>
    </row>
    <row r="661" spans="1:36">
      <c r="A661" s="927" t="s">
        <v>365</v>
      </c>
      <c r="B661" s="928" t="s">
        <v>62</v>
      </c>
      <c r="C661" s="929" t="s">
        <v>405</v>
      </c>
      <c r="D661" s="947"/>
      <c r="E661" s="951">
        <v>482699</v>
      </c>
      <c r="F661" s="932">
        <v>7</v>
      </c>
      <c r="G661" s="730">
        <v>12196835</v>
      </c>
      <c r="H661" s="731">
        <v>11588476</v>
      </c>
      <c r="I661" s="730"/>
      <c r="J661" s="731"/>
      <c r="K661" s="730"/>
      <c r="L661" s="731"/>
      <c r="M661" s="730">
        <v>6518976.9500000002</v>
      </c>
      <c r="N661" s="730"/>
      <c r="O661" s="732">
        <f t="shared" si="85"/>
        <v>6518976.9500000002</v>
      </c>
      <c r="P661" s="731">
        <v>5311424.1100000003</v>
      </c>
      <c r="Q661" s="731"/>
      <c r="R661" s="733">
        <f t="shared" si="88"/>
        <v>5311424.1100000003</v>
      </c>
      <c r="S661" s="732">
        <f t="shared" si="89"/>
        <v>18715811.949999999</v>
      </c>
      <c r="T661" s="733">
        <f t="shared" si="90"/>
        <v>16899900.109999999</v>
      </c>
      <c r="U661" s="730"/>
      <c r="V661" s="731"/>
      <c r="W661" s="730"/>
      <c r="X661" s="730"/>
      <c r="Y661" s="732">
        <f t="shared" si="86"/>
        <v>0</v>
      </c>
      <c r="Z661" s="731"/>
      <c r="AA661" s="731"/>
      <c r="AB661" s="733">
        <f t="shared" si="87"/>
        <v>0</v>
      </c>
      <c r="AC661" s="730"/>
      <c r="AD661" s="731"/>
      <c r="AE661" s="730"/>
      <c r="AF661" s="730"/>
      <c r="AG661" s="731"/>
      <c r="AH661" s="731"/>
      <c r="AI661" s="732">
        <f t="shared" si="91"/>
        <v>18715811.949999999</v>
      </c>
      <c r="AJ661" s="733">
        <f t="shared" si="92"/>
        <v>16899900.109999999</v>
      </c>
    </row>
    <row r="662" spans="1:36">
      <c r="A662" s="927" t="s">
        <v>365</v>
      </c>
      <c r="B662" s="928" t="s">
        <v>118</v>
      </c>
      <c r="C662" s="930" t="s">
        <v>406</v>
      </c>
      <c r="D662" s="930"/>
      <c r="E662" s="953"/>
      <c r="F662" s="954">
        <v>99</v>
      </c>
      <c r="G662" s="730"/>
      <c r="H662" s="731"/>
      <c r="I662" s="730"/>
      <c r="J662" s="731"/>
      <c r="K662" s="730"/>
      <c r="L662" s="731"/>
      <c r="M662" s="730"/>
      <c r="N662" s="730"/>
      <c r="O662" s="732">
        <f t="shared" si="85"/>
        <v>0</v>
      </c>
      <c r="P662" s="731"/>
      <c r="Q662" s="731"/>
      <c r="R662" s="733">
        <f t="shared" si="88"/>
        <v>0</v>
      </c>
      <c r="S662" s="732">
        <f t="shared" si="89"/>
        <v>0</v>
      </c>
      <c r="T662" s="733">
        <f t="shared" si="90"/>
        <v>0</v>
      </c>
      <c r="U662" s="730"/>
      <c r="V662" s="731"/>
      <c r="W662" s="730"/>
      <c r="X662" s="730"/>
      <c r="Y662" s="732">
        <f t="shared" si="86"/>
        <v>0</v>
      </c>
      <c r="Z662" s="731"/>
      <c r="AA662" s="731"/>
      <c r="AB662" s="733">
        <f t="shared" si="87"/>
        <v>0</v>
      </c>
      <c r="AC662" s="730"/>
      <c r="AD662" s="731"/>
      <c r="AE662" s="730"/>
      <c r="AF662" s="730"/>
      <c r="AG662" s="731"/>
      <c r="AH662" s="731"/>
      <c r="AI662" s="732">
        <f t="shared" si="91"/>
        <v>0</v>
      </c>
      <c r="AJ662" s="733">
        <f t="shared" si="92"/>
        <v>0</v>
      </c>
    </row>
    <row r="663" spans="1:36">
      <c r="A663" s="927" t="s">
        <v>365</v>
      </c>
      <c r="B663" s="928" t="s">
        <v>120</v>
      </c>
      <c r="C663" s="933" t="s">
        <v>79</v>
      </c>
      <c r="D663" s="934"/>
      <c r="E663" s="953"/>
      <c r="F663" s="954">
        <v>99</v>
      </c>
      <c r="G663" s="730"/>
      <c r="H663" s="731"/>
      <c r="I663" s="730"/>
      <c r="J663" s="731"/>
      <c r="K663" s="730"/>
      <c r="L663" s="731"/>
      <c r="M663" s="730"/>
      <c r="N663" s="730"/>
      <c r="O663" s="732">
        <f t="shared" si="85"/>
        <v>0</v>
      </c>
      <c r="P663" s="731"/>
      <c r="Q663" s="731"/>
      <c r="R663" s="733">
        <f t="shared" si="88"/>
        <v>0</v>
      </c>
      <c r="S663" s="732">
        <f t="shared" si="89"/>
        <v>0</v>
      </c>
      <c r="T663" s="733">
        <f t="shared" si="90"/>
        <v>0</v>
      </c>
      <c r="U663" s="730"/>
      <c r="V663" s="731"/>
      <c r="W663" s="730"/>
      <c r="X663" s="730"/>
      <c r="Y663" s="732">
        <f t="shared" si="86"/>
        <v>0</v>
      </c>
      <c r="Z663" s="731"/>
      <c r="AA663" s="731"/>
      <c r="AB663" s="733">
        <f t="shared" si="87"/>
        <v>0</v>
      </c>
      <c r="AC663" s="730"/>
      <c r="AD663" s="731"/>
      <c r="AE663" s="730"/>
      <c r="AF663" s="730"/>
      <c r="AG663" s="731"/>
      <c r="AH663" s="731"/>
      <c r="AI663" s="732">
        <f t="shared" si="91"/>
        <v>0</v>
      </c>
      <c r="AJ663" s="733">
        <f t="shared" si="92"/>
        <v>0</v>
      </c>
    </row>
    <row r="664" spans="1:36">
      <c r="A664" s="927" t="s">
        <v>365</v>
      </c>
      <c r="B664" s="928" t="s">
        <v>120</v>
      </c>
      <c r="C664" s="935" t="s">
        <v>407</v>
      </c>
      <c r="D664" s="934"/>
      <c r="E664" s="953"/>
      <c r="F664" s="954">
        <v>99</v>
      </c>
      <c r="G664" s="730"/>
      <c r="H664" s="731"/>
      <c r="I664" s="730">
        <v>4669595</v>
      </c>
      <c r="J664" s="731">
        <v>4304139</v>
      </c>
      <c r="K664" s="730"/>
      <c r="L664" s="731"/>
      <c r="M664" s="730"/>
      <c r="N664" s="730"/>
      <c r="O664" s="732">
        <f t="shared" si="85"/>
        <v>0</v>
      </c>
      <c r="P664" s="731"/>
      <c r="Q664" s="731"/>
      <c r="R664" s="733">
        <f t="shared" si="88"/>
        <v>0</v>
      </c>
      <c r="S664" s="732">
        <f t="shared" si="89"/>
        <v>4669595</v>
      </c>
      <c r="T664" s="733">
        <f t="shared" si="90"/>
        <v>4304139</v>
      </c>
      <c r="U664" s="730"/>
      <c r="V664" s="731"/>
      <c r="W664" s="730"/>
      <c r="X664" s="730"/>
      <c r="Y664" s="732">
        <f t="shared" si="86"/>
        <v>0</v>
      </c>
      <c r="Z664" s="731"/>
      <c r="AA664" s="731"/>
      <c r="AB664" s="733">
        <f t="shared" si="87"/>
        <v>0</v>
      </c>
      <c r="AC664" s="730"/>
      <c r="AD664" s="731"/>
      <c r="AE664" s="730"/>
      <c r="AF664" s="730"/>
      <c r="AG664" s="731"/>
      <c r="AH664" s="731"/>
      <c r="AI664" s="732">
        <f t="shared" si="91"/>
        <v>4669595</v>
      </c>
      <c r="AJ664" s="733">
        <f t="shared" si="92"/>
        <v>4304139</v>
      </c>
    </row>
    <row r="665" spans="1:36">
      <c r="A665" s="927" t="s">
        <v>365</v>
      </c>
      <c r="B665" s="928" t="s">
        <v>120</v>
      </c>
      <c r="C665" s="935" t="s">
        <v>408</v>
      </c>
      <c r="D665" s="934"/>
      <c r="E665" s="953"/>
      <c r="F665" s="954">
        <v>99</v>
      </c>
      <c r="G665" s="730"/>
      <c r="H665" s="731"/>
      <c r="I665" s="730">
        <v>39657132</v>
      </c>
      <c r="J665" s="731">
        <v>39738860</v>
      </c>
      <c r="K665" s="730"/>
      <c r="L665" s="731"/>
      <c r="M665" s="730"/>
      <c r="N665" s="730"/>
      <c r="O665" s="732">
        <f t="shared" si="85"/>
        <v>0</v>
      </c>
      <c r="P665" s="731"/>
      <c r="Q665" s="731"/>
      <c r="R665" s="733">
        <f t="shared" si="88"/>
        <v>0</v>
      </c>
      <c r="S665" s="732">
        <f t="shared" si="89"/>
        <v>39657132</v>
      </c>
      <c r="T665" s="733">
        <f t="shared" si="90"/>
        <v>39738860</v>
      </c>
      <c r="U665" s="730"/>
      <c r="V665" s="731"/>
      <c r="W665" s="730"/>
      <c r="X665" s="730"/>
      <c r="Y665" s="732">
        <f t="shared" si="86"/>
        <v>0</v>
      </c>
      <c r="Z665" s="731"/>
      <c r="AA665" s="731"/>
      <c r="AB665" s="733">
        <f t="shared" si="87"/>
        <v>0</v>
      </c>
      <c r="AC665" s="730"/>
      <c r="AD665" s="731"/>
      <c r="AE665" s="730"/>
      <c r="AF665" s="730"/>
      <c r="AG665" s="731"/>
      <c r="AH665" s="731"/>
      <c r="AI665" s="732">
        <f t="shared" si="91"/>
        <v>39657132</v>
      </c>
      <c r="AJ665" s="733">
        <f t="shared" si="92"/>
        <v>39738860</v>
      </c>
    </row>
    <row r="666" spans="1:36">
      <c r="A666" s="927" t="s">
        <v>365</v>
      </c>
      <c r="B666" s="928" t="s">
        <v>132</v>
      </c>
      <c r="C666" s="930" t="s">
        <v>335</v>
      </c>
      <c r="D666" s="930"/>
      <c r="E666" s="955"/>
      <c r="F666" s="954">
        <v>99</v>
      </c>
      <c r="G666" s="730"/>
      <c r="H666" s="731"/>
      <c r="I666" s="730"/>
      <c r="J666" s="731"/>
      <c r="K666" s="730"/>
      <c r="L666" s="731"/>
      <c r="M666" s="730"/>
      <c r="N666" s="730"/>
      <c r="O666" s="732">
        <f t="shared" si="85"/>
        <v>0</v>
      </c>
      <c r="P666" s="731"/>
      <c r="Q666" s="731"/>
      <c r="R666" s="733">
        <f t="shared" si="88"/>
        <v>0</v>
      </c>
      <c r="S666" s="732">
        <f t="shared" si="89"/>
        <v>0</v>
      </c>
      <c r="T666" s="733">
        <f t="shared" si="90"/>
        <v>0</v>
      </c>
      <c r="U666" s="730"/>
      <c r="V666" s="731"/>
      <c r="W666" s="730"/>
      <c r="X666" s="730"/>
      <c r="Y666" s="732">
        <f t="shared" si="86"/>
        <v>0</v>
      </c>
      <c r="Z666" s="731"/>
      <c r="AA666" s="731"/>
      <c r="AB666" s="733">
        <f t="shared" si="87"/>
        <v>0</v>
      </c>
      <c r="AC666" s="730"/>
      <c r="AD666" s="731"/>
      <c r="AE666" s="730"/>
      <c r="AF666" s="730"/>
      <c r="AG666" s="731"/>
      <c r="AH666" s="731"/>
      <c r="AI666" s="732">
        <f t="shared" si="91"/>
        <v>0</v>
      </c>
      <c r="AJ666" s="733">
        <f t="shared" si="92"/>
        <v>0</v>
      </c>
    </row>
    <row r="667" spans="1:36">
      <c r="A667" s="927" t="s">
        <v>365</v>
      </c>
      <c r="B667" s="928" t="s">
        <v>132</v>
      </c>
      <c r="C667" s="935" t="s">
        <v>409</v>
      </c>
      <c r="D667" s="934"/>
      <c r="E667" s="955"/>
      <c r="F667" s="954">
        <v>99</v>
      </c>
      <c r="G667" s="730"/>
      <c r="H667" s="731"/>
      <c r="I667" s="730"/>
      <c r="J667" s="731"/>
      <c r="K667" s="730"/>
      <c r="L667" s="731"/>
      <c r="M667" s="730"/>
      <c r="N667" s="730"/>
      <c r="O667" s="732">
        <f t="shared" si="85"/>
        <v>0</v>
      </c>
      <c r="P667" s="731"/>
      <c r="Q667" s="731"/>
      <c r="R667" s="733">
        <f t="shared" si="88"/>
        <v>0</v>
      </c>
      <c r="S667" s="732">
        <f t="shared" si="89"/>
        <v>0</v>
      </c>
      <c r="T667" s="733">
        <f t="shared" si="90"/>
        <v>0</v>
      </c>
      <c r="U667" s="730"/>
      <c r="V667" s="731"/>
      <c r="W667" s="730"/>
      <c r="X667" s="730"/>
      <c r="Y667" s="732">
        <f t="shared" si="86"/>
        <v>0</v>
      </c>
      <c r="Z667" s="731"/>
      <c r="AA667" s="731"/>
      <c r="AB667" s="733">
        <f t="shared" si="87"/>
        <v>0</v>
      </c>
      <c r="AC667" s="730"/>
      <c r="AD667" s="731"/>
      <c r="AE667" s="730"/>
      <c r="AF667" s="730"/>
      <c r="AG667" s="731"/>
      <c r="AH667" s="731"/>
      <c r="AI667" s="732">
        <f t="shared" si="91"/>
        <v>0</v>
      </c>
      <c r="AJ667" s="733">
        <f t="shared" si="92"/>
        <v>0</v>
      </c>
    </row>
    <row r="668" spans="1:36">
      <c r="A668" s="927" t="s">
        <v>365</v>
      </c>
      <c r="B668" s="928" t="s">
        <v>132</v>
      </c>
      <c r="C668" s="935" t="s">
        <v>410</v>
      </c>
      <c r="D668" s="934"/>
      <c r="E668" s="955"/>
      <c r="F668" s="954">
        <v>99</v>
      </c>
      <c r="G668" s="730"/>
      <c r="H668" s="731"/>
      <c r="I668" s="730">
        <v>33313349</v>
      </c>
      <c r="J668" s="731">
        <v>27844530</v>
      </c>
      <c r="K668" s="730"/>
      <c r="L668" s="731"/>
      <c r="M668" s="730"/>
      <c r="N668" s="730"/>
      <c r="O668" s="732">
        <f t="shared" si="85"/>
        <v>0</v>
      </c>
      <c r="P668" s="731"/>
      <c r="Q668" s="731"/>
      <c r="R668" s="733">
        <f t="shared" si="88"/>
        <v>0</v>
      </c>
      <c r="S668" s="732">
        <f t="shared" si="89"/>
        <v>33313349</v>
      </c>
      <c r="T668" s="733">
        <f t="shared" si="90"/>
        <v>27844530</v>
      </c>
      <c r="U668" s="730"/>
      <c r="V668" s="731"/>
      <c r="W668" s="730"/>
      <c r="X668" s="730"/>
      <c r="Y668" s="732">
        <f t="shared" si="86"/>
        <v>0</v>
      </c>
      <c r="Z668" s="731"/>
      <c r="AA668" s="731"/>
      <c r="AB668" s="733">
        <f t="shared" si="87"/>
        <v>0</v>
      </c>
      <c r="AC668" s="730"/>
      <c r="AD668" s="731"/>
      <c r="AE668" s="730"/>
      <c r="AF668" s="730"/>
      <c r="AG668" s="731"/>
      <c r="AH668" s="731"/>
      <c r="AI668" s="732">
        <f t="shared" si="91"/>
        <v>33313349</v>
      </c>
      <c r="AJ668" s="733">
        <f t="shared" si="92"/>
        <v>27844530</v>
      </c>
    </row>
    <row r="669" spans="1:36">
      <c r="A669" s="927" t="s">
        <v>365</v>
      </c>
      <c r="B669" s="928" t="s">
        <v>132</v>
      </c>
      <c r="C669" s="935" t="s">
        <v>411</v>
      </c>
      <c r="D669" s="934"/>
      <c r="E669" s="955"/>
      <c r="F669" s="954">
        <v>99</v>
      </c>
      <c r="G669" s="730"/>
      <c r="H669" s="731"/>
      <c r="I669" s="730">
        <v>6096722.9400000004</v>
      </c>
      <c r="J669" s="731">
        <v>5863842</v>
      </c>
      <c r="K669" s="730"/>
      <c r="L669" s="731"/>
      <c r="M669" s="730"/>
      <c r="N669" s="730"/>
      <c r="O669" s="732">
        <f t="shared" si="85"/>
        <v>0</v>
      </c>
      <c r="P669" s="731"/>
      <c r="Q669" s="731"/>
      <c r="R669" s="733">
        <f t="shared" si="88"/>
        <v>0</v>
      </c>
      <c r="S669" s="732">
        <f t="shared" si="89"/>
        <v>6096722.9400000004</v>
      </c>
      <c r="T669" s="733">
        <f t="shared" si="90"/>
        <v>5863842</v>
      </c>
      <c r="U669" s="730"/>
      <c r="V669" s="731"/>
      <c r="W669" s="730"/>
      <c r="X669" s="730"/>
      <c r="Y669" s="732">
        <f t="shared" si="86"/>
        <v>0</v>
      </c>
      <c r="Z669" s="731"/>
      <c r="AA669" s="731"/>
      <c r="AB669" s="733">
        <f t="shared" si="87"/>
        <v>0</v>
      </c>
      <c r="AC669" s="730"/>
      <c r="AD669" s="731"/>
      <c r="AE669" s="730"/>
      <c r="AF669" s="730"/>
      <c r="AG669" s="731"/>
      <c r="AH669" s="731"/>
      <c r="AI669" s="732">
        <f t="shared" si="91"/>
        <v>6096722.9400000004</v>
      </c>
      <c r="AJ669" s="733">
        <f t="shared" si="92"/>
        <v>5863842</v>
      </c>
    </row>
    <row r="670" spans="1:36">
      <c r="A670" s="927" t="s">
        <v>365</v>
      </c>
      <c r="B670" s="928" t="s">
        <v>132</v>
      </c>
      <c r="C670" s="935" t="s">
        <v>412</v>
      </c>
      <c r="D670" s="934"/>
      <c r="E670" s="955"/>
      <c r="F670" s="954">
        <v>99</v>
      </c>
      <c r="G670" s="730"/>
      <c r="H670" s="731"/>
      <c r="I670" s="730">
        <v>35238491.68</v>
      </c>
      <c r="J670" s="731">
        <v>35690384</v>
      </c>
      <c r="K670" s="730"/>
      <c r="L670" s="731"/>
      <c r="M670" s="730">
        <v>595050</v>
      </c>
      <c r="N670" s="730"/>
      <c r="O670" s="732">
        <f t="shared" si="85"/>
        <v>595050</v>
      </c>
      <c r="P670" s="731">
        <v>645600.01</v>
      </c>
      <c r="Q670" s="731"/>
      <c r="R670" s="733">
        <f t="shared" si="88"/>
        <v>645600.01</v>
      </c>
      <c r="S670" s="732">
        <f t="shared" si="89"/>
        <v>35833541.68</v>
      </c>
      <c r="T670" s="733">
        <f t="shared" si="90"/>
        <v>36335984.009999998</v>
      </c>
      <c r="U670" s="730"/>
      <c r="V670" s="731"/>
      <c r="W670" s="730"/>
      <c r="X670" s="730"/>
      <c r="Y670" s="732">
        <f t="shared" si="86"/>
        <v>0</v>
      </c>
      <c r="Z670" s="731"/>
      <c r="AA670" s="731"/>
      <c r="AB670" s="733">
        <f t="shared" si="87"/>
        <v>0</v>
      </c>
      <c r="AC670" s="730"/>
      <c r="AD670" s="731"/>
      <c r="AE670" s="730"/>
      <c r="AF670" s="730"/>
      <c r="AG670" s="731"/>
      <c r="AH670" s="731"/>
      <c r="AI670" s="732">
        <f t="shared" si="91"/>
        <v>35833541.68</v>
      </c>
      <c r="AJ670" s="733">
        <f t="shared" si="92"/>
        <v>36335984.009999998</v>
      </c>
    </row>
    <row r="671" spans="1:36">
      <c r="A671" s="927" t="s">
        <v>365</v>
      </c>
      <c r="B671" s="928" t="s">
        <v>138</v>
      </c>
      <c r="C671" s="930" t="s">
        <v>139</v>
      </c>
      <c r="D671" s="930"/>
      <c r="E671" s="953"/>
      <c r="F671" s="954">
        <v>99</v>
      </c>
      <c r="G671" s="730"/>
      <c r="H671" s="731"/>
      <c r="I671" s="730"/>
      <c r="J671" s="731"/>
      <c r="K671" s="730"/>
      <c r="L671" s="731"/>
      <c r="M671" s="730"/>
      <c r="N671" s="730"/>
      <c r="O671" s="732">
        <f t="shared" si="85"/>
        <v>0</v>
      </c>
      <c r="P671" s="731"/>
      <c r="Q671" s="731"/>
      <c r="R671" s="733">
        <f t="shared" si="88"/>
        <v>0</v>
      </c>
      <c r="S671" s="732">
        <f t="shared" si="89"/>
        <v>0</v>
      </c>
      <c r="T671" s="733">
        <f t="shared" si="90"/>
        <v>0</v>
      </c>
      <c r="U671" s="730"/>
      <c r="V671" s="731"/>
      <c r="W671" s="730"/>
      <c r="X671" s="730"/>
      <c r="Y671" s="732">
        <f t="shared" si="86"/>
        <v>0</v>
      </c>
      <c r="Z671" s="731"/>
      <c r="AA671" s="731"/>
      <c r="AB671" s="733">
        <f t="shared" si="87"/>
        <v>0</v>
      </c>
      <c r="AC671" s="730"/>
      <c r="AD671" s="731"/>
      <c r="AE671" s="730"/>
      <c r="AF671" s="730"/>
      <c r="AG671" s="731"/>
      <c r="AH671" s="731"/>
      <c r="AI671" s="732">
        <f t="shared" si="91"/>
        <v>0</v>
      </c>
      <c r="AJ671" s="733">
        <f t="shared" si="92"/>
        <v>0</v>
      </c>
    </row>
    <row r="672" spans="1:36">
      <c r="A672" s="927" t="s">
        <v>365</v>
      </c>
      <c r="B672" s="928" t="s">
        <v>140</v>
      </c>
      <c r="C672" s="933" t="s">
        <v>141</v>
      </c>
      <c r="D672" s="934"/>
      <c r="E672" s="953"/>
      <c r="F672" s="954">
        <v>99</v>
      </c>
      <c r="G672" s="730"/>
      <c r="H672" s="731"/>
      <c r="I672" s="730"/>
      <c r="J672" s="731"/>
      <c r="K672" s="730"/>
      <c r="L672" s="731"/>
      <c r="M672" s="730"/>
      <c r="N672" s="730"/>
      <c r="O672" s="732">
        <f t="shared" si="85"/>
        <v>0</v>
      </c>
      <c r="P672" s="731"/>
      <c r="Q672" s="731"/>
      <c r="R672" s="733">
        <f t="shared" si="88"/>
        <v>0</v>
      </c>
      <c r="S672" s="732">
        <f t="shared" si="89"/>
        <v>0</v>
      </c>
      <c r="T672" s="733">
        <f t="shared" si="90"/>
        <v>0</v>
      </c>
      <c r="U672" s="730"/>
      <c r="V672" s="731"/>
      <c r="W672" s="730"/>
      <c r="X672" s="730"/>
      <c r="Y672" s="732">
        <f t="shared" si="86"/>
        <v>0</v>
      </c>
      <c r="Z672" s="731"/>
      <c r="AA672" s="731"/>
      <c r="AB672" s="733">
        <f t="shared" si="87"/>
        <v>0</v>
      </c>
      <c r="AC672" s="730"/>
      <c r="AD672" s="731"/>
      <c r="AE672" s="730"/>
      <c r="AF672" s="730"/>
      <c r="AG672" s="731"/>
      <c r="AH672" s="731"/>
      <c r="AI672" s="732">
        <f t="shared" si="91"/>
        <v>0</v>
      </c>
      <c r="AJ672" s="733">
        <f t="shared" si="92"/>
        <v>0</v>
      </c>
    </row>
    <row r="673" spans="1:36">
      <c r="A673" s="927" t="s">
        <v>365</v>
      </c>
      <c r="B673" s="928" t="s">
        <v>140</v>
      </c>
      <c r="C673" s="935" t="s">
        <v>413</v>
      </c>
      <c r="D673" s="934"/>
      <c r="E673" s="955"/>
      <c r="F673" s="954">
        <v>99</v>
      </c>
      <c r="G673" s="730"/>
      <c r="H673" s="731"/>
      <c r="I673" s="730"/>
      <c r="J673" s="731"/>
      <c r="K673" s="730"/>
      <c r="L673" s="731"/>
      <c r="M673" s="730"/>
      <c r="N673" s="730"/>
      <c r="O673" s="732">
        <f t="shared" si="85"/>
        <v>0</v>
      </c>
      <c r="P673" s="731"/>
      <c r="Q673" s="731"/>
      <c r="R673" s="733">
        <f t="shared" si="88"/>
        <v>0</v>
      </c>
      <c r="S673" s="732">
        <f t="shared" si="89"/>
        <v>0</v>
      </c>
      <c r="T673" s="733">
        <f t="shared" si="90"/>
        <v>0</v>
      </c>
      <c r="U673" s="730">
        <v>11017100</v>
      </c>
      <c r="V673" s="731">
        <v>10821119</v>
      </c>
      <c r="W673" s="730"/>
      <c r="X673" s="730"/>
      <c r="Y673" s="732">
        <f t="shared" si="86"/>
        <v>0</v>
      </c>
      <c r="Z673" s="731"/>
      <c r="AA673" s="731"/>
      <c r="AB673" s="733">
        <f t="shared" si="87"/>
        <v>0</v>
      </c>
      <c r="AC673" s="730"/>
      <c r="AD673" s="731"/>
      <c r="AE673" s="730"/>
      <c r="AF673" s="730"/>
      <c r="AG673" s="731"/>
      <c r="AH673" s="731"/>
      <c r="AI673" s="732">
        <f t="shared" si="91"/>
        <v>11017100</v>
      </c>
      <c r="AJ673" s="733">
        <f t="shared" si="92"/>
        <v>10821119</v>
      </c>
    </row>
    <row r="674" spans="1:36">
      <c r="A674" s="927" t="s">
        <v>365</v>
      </c>
      <c r="B674" s="928" t="s">
        <v>145</v>
      </c>
      <c r="C674" s="933" t="s">
        <v>146</v>
      </c>
      <c r="D674" s="934"/>
      <c r="E674" s="955"/>
      <c r="F674" s="954">
        <v>99</v>
      </c>
      <c r="G674" s="730"/>
      <c r="H674" s="731"/>
      <c r="I674" s="730"/>
      <c r="J674" s="731"/>
      <c r="K674" s="730"/>
      <c r="L674" s="731"/>
      <c r="M674" s="730"/>
      <c r="N674" s="730"/>
      <c r="O674" s="732">
        <f t="shared" si="85"/>
        <v>0</v>
      </c>
      <c r="P674" s="731"/>
      <c r="Q674" s="731"/>
      <c r="R674" s="733">
        <f t="shared" si="88"/>
        <v>0</v>
      </c>
      <c r="S674" s="732">
        <f t="shared" si="89"/>
        <v>0</v>
      </c>
      <c r="T674" s="733">
        <f t="shared" si="90"/>
        <v>0</v>
      </c>
      <c r="U674" s="730"/>
      <c r="V674" s="731"/>
      <c r="W674" s="730"/>
      <c r="X674" s="730"/>
      <c r="Y674" s="732">
        <f t="shared" si="86"/>
        <v>0</v>
      </c>
      <c r="Z674" s="731"/>
      <c r="AA674" s="731"/>
      <c r="AB674" s="733">
        <f t="shared" si="87"/>
        <v>0</v>
      </c>
      <c r="AC674" s="730"/>
      <c r="AD674" s="731"/>
      <c r="AE674" s="730"/>
      <c r="AF674" s="730"/>
      <c r="AG674" s="731"/>
      <c r="AH674" s="731"/>
      <c r="AI674" s="732">
        <f t="shared" si="91"/>
        <v>0</v>
      </c>
      <c r="AJ674" s="733">
        <f t="shared" si="92"/>
        <v>0</v>
      </c>
    </row>
    <row r="675" spans="1:36">
      <c r="A675" s="927" t="s">
        <v>365</v>
      </c>
      <c r="B675" s="928" t="s">
        <v>145</v>
      </c>
      <c r="C675" s="956" t="s">
        <v>337</v>
      </c>
      <c r="D675" s="957"/>
      <c r="E675" s="955"/>
      <c r="F675" s="954">
        <v>99</v>
      </c>
      <c r="G675" s="730"/>
      <c r="H675" s="731"/>
      <c r="I675" s="730"/>
      <c r="J675" s="731"/>
      <c r="K675" s="730"/>
      <c r="L675" s="731"/>
      <c r="M675" s="730"/>
      <c r="N675" s="730"/>
      <c r="O675" s="732">
        <f t="shared" si="85"/>
        <v>0</v>
      </c>
      <c r="P675" s="731"/>
      <c r="Q675" s="731"/>
      <c r="R675" s="733">
        <f t="shared" si="88"/>
        <v>0</v>
      </c>
      <c r="S675" s="732">
        <f t="shared" si="89"/>
        <v>0</v>
      </c>
      <c r="T675" s="733">
        <f t="shared" si="90"/>
        <v>0</v>
      </c>
      <c r="U675" s="730">
        <v>208508</v>
      </c>
      <c r="V675" s="731">
        <v>208508</v>
      </c>
      <c r="W675" s="730"/>
      <c r="X675" s="730"/>
      <c r="Y675" s="732">
        <f t="shared" si="86"/>
        <v>0</v>
      </c>
      <c r="Z675" s="731"/>
      <c r="AA675" s="731"/>
      <c r="AB675" s="733">
        <f t="shared" si="87"/>
        <v>0</v>
      </c>
      <c r="AC675" s="730"/>
      <c r="AD675" s="731"/>
      <c r="AE675" s="730"/>
      <c r="AF675" s="730"/>
      <c r="AG675" s="731"/>
      <c r="AH675" s="731"/>
      <c r="AI675" s="732">
        <f t="shared" si="91"/>
        <v>208508</v>
      </c>
      <c r="AJ675" s="733">
        <f t="shared" si="92"/>
        <v>208508</v>
      </c>
    </row>
    <row r="676" spans="1:36">
      <c r="A676" s="927" t="s">
        <v>365</v>
      </c>
      <c r="B676" s="928" t="s">
        <v>145</v>
      </c>
      <c r="C676" s="956" t="s">
        <v>414</v>
      </c>
      <c r="D676" s="957"/>
      <c r="E676" s="955"/>
      <c r="F676" s="954">
        <v>99</v>
      </c>
      <c r="G676" s="730"/>
      <c r="H676" s="731"/>
      <c r="I676" s="730"/>
      <c r="J676" s="731"/>
      <c r="K676" s="730"/>
      <c r="L676" s="731"/>
      <c r="M676" s="730"/>
      <c r="N676" s="730"/>
      <c r="O676" s="732">
        <f t="shared" si="85"/>
        <v>0</v>
      </c>
      <c r="P676" s="731"/>
      <c r="Q676" s="731"/>
      <c r="R676" s="733">
        <f t="shared" si="88"/>
        <v>0</v>
      </c>
      <c r="S676" s="732">
        <f t="shared" si="89"/>
        <v>0</v>
      </c>
      <c r="T676" s="733">
        <f t="shared" si="90"/>
        <v>0</v>
      </c>
      <c r="U676" s="730">
        <v>500000</v>
      </c>
      <c r="V676" s="731">
        <v>500000</v>
      </c>
      <c r="W676" s="730"/>
      <c r="X676" s="730"/>
      <c r="Y676" s="732">
        <f t="shared" si="86"/>
        <v>0</v>
      </c>
      <c r="Z676" s="731"/>
      <c r="AA676" s="731"/>
      <c r="AB676" s="733">
        <f t="shared" si="87"/>
        <v>0</v>
      </c>
      <c r="AC676" s="730"/>
      <c r="AD676" s="731"/>
      <c r="AE676" s="730"/>
      <c r="AF676" s="730"/>
      <c r="AG676" s="731"/>
      <c r="AH676" s="731"/>
      <c r="AI676" s="732">
        <f t="shared" si="91"/>
        <v>500000</v>
      </c>
      <c r="AJ676" s="733">
        <f t="shared" si="92"/>
        <v>500000</v>
      </c>
    </row>
    <row r="677" spans="1:36">
      <c r="A677" s="927" t="s">
        <v>365</v>
      </c>
      <c r="B677" s="928" t="s">
        <v>149</v>
      </c>
      <c r="C677" s="933" t="s">
        <v>247</v>
      </c>
      <c r="D677" s="934"/>
      <c r="E677" s="946"/>
      <c r="F677" s="954">
        <v>99</v>
      </c>
      <c r="G677" s="730"/>
      <c r="H677" s="731"/>
      <c r="I677" s="730"/>
      <c r="J677" s="731"/>
      <c r="K677" s="730"/>
      <c r="L677" s="731"/>
      <c r="M677" s="730"/>
      <c r="N677" s="730"/>
      <c r="O677" s="732">
        <f t="shared" si="85"/>
        <v>0</v>
      </c>
      <c r="P677" s="731"/>
      <c r="Q677" s="731"/>
      <c r="R677" s="733">
        <f t="shared" si="88"/>
        <v>0</v>
      </c>
      <c r="S677" s="732">
        <f t="shared" si="89"/>
        <v>0</v>
      </c>
      <c r="T677" s="733">
        <f t="shared" si="90"/>
        <v>0</v>
      </c>
      <c r="U677" s="730"/>
      <c r="V677" s="731"/>
      <c r="W677" s="730"/>
      <c r="X677" s="730"/>
      <c r="Y677" s="732">
        <f t="shared" si="86"/>
        <v>0</v>
      </c>
      <c r="Z677" s="731"/>
      <c r="AA677" s="731"/>
      <c r="AB677" s="733">
        <f t="shared" si="87"/>
        <v>0</v>
      </c>
      <c r="AC677" s="730"/>
      <c r="AD677" s="731"/>
      <c r="AE677" s="730"/>
      <c r="AF677" s="730"/>
      <c r="AG677" s="731"/>
      <c r="AH677" s="731"/>
      <c r="AI677" s="732">
        <f t="shared" si="91"/>
        <v>0</v>
      </c>
      <c r="AJ677" s="733">
        <f t="shared" si="92"/>
        <v>0</v>
      </c>
    </row>
    <row r="678" spans="1:36">
      <c r="A678" s="927" t="s">
        <v>365</v>
      </c>
      <c r="B678" s="928" t="s">
        <v>149</v>
      </c>
      <c r="C678" s="935" t="s">
        <v>415</v>
      </c>
      <c r="D678" s="934"/>
      <c r="E678" s="946"/>
      <c r="F678" s="954">
        <v>99</v>
      </c>
      <c r="G678" s="730"/>
      <c r="H678" s="731"/>
      <c r="I678" s="730"/>
      <c r="J678" s="731"/>
      <c r="K678" s="730"/>
      <c r="L678" s="731"/>
      <c r="M678" s="730"/>
      <c r="N678" s="730"/>
      <c r="O678" s="732">
        <f t="shared" si="85"/>
        <v>0</v>
      </c>
      <c r="P678" s="731"/>
      <c r="Q678" s="731"/>
      <c r="R678" s="733">
        <f t="shared" si="88"/>
        <v>0</v>
      </c>
      <c r="S678" s="732">
        <f t="shared" si="89"/>
        <v>0</v>
      </c>
      <c r="T678" s="733">
        <f t="shared" si="90"/>
        <v>0</v>
      </c>
      <c r="U678" s="730"/>
      <c r="V678" s="731"/>
      <c r="W678" s="730"/>
      <c r="X678" s="730"/>
      <c r="Y678" s="732">
        <f t="shared" si="86"/>
        <v>0</v>
      </c>
      <c r="Z678" s="731"/>
      <c r="AA678" s="731"/>
      <c r="AB678" s="733">
        <f t="shared" si="87"/>
        <v>0</v>
      </c>
      <c r="AC678" s="730"/>
      <c r="AD678" s="731"/>
      <c r="AE678" s="730"/>
      <c r="AF678" s="730"/>
      <c r="AG678" s="731"/>
      <c r="AH678" s="731"/>
      <c r="AI678" s="732">
        <f t="shared" si="91"/>
        <v>0</v>
      </c>
      <c r="AJ678" s="733">
        <f t="shared" si="92"/>
        <v>0</v>
      </c>
    </row>
    <row r="679" spans="1:36">
      <c r="A679" s="927" t="s">
        <v>365</v>
      </c>
      <c r="B679" s="928" t="s">
        <v>151</v>
      </c>
      <c r="C679" s="930" t="s">
        <v>152</v>
      </c>
      <c r="D679" s="930"/>
      <c r="E679" s="955"/>
      <c r="F679" s="954">
        <v>99</v>
      </c>
      <c r="G679" s="730"/>
      <c r="H679" s="731"/>
      <c r="I679" s="730"/>
      <c r="J679" s="731"/>
      <c r="K679" s="730"/>
      <c r="L679" s="731"/>
      <c r="M679" s="730"/>
      <c r="N679" s="730"/>
      <c r="O679" s="732">
        <f t="shared" si="85"/>
        <v>0</v>
      </c>
      <c r="P679" s="731"/>
      <c r="Q679" s="731"/>
      <c r="R679" s="733">
        <f t="shared" si="88"/>
        <v>0</v>
      </c>
      <c r="S679" s="732">
        <f t="shared" si="89"/>
        <v>0</v>
      </c>
      <c r="T679" s="733">
        <f t="shared" si="90"/>
        <v>0</v>
      </c>
      <c r="U679" s="730"/>
      <c r="V679" s="731"/>
      <c r="W679" s="730"/>
      <c r="X679" s="730"/>
      <c r="Y679" s="732">
        <f t="shared" si="86"/>
        <v>0</v>
      </c>
      <c r="Z679" s="731"/>
      <c r="AA679" s="731"/>
      <c r="AB679" s="733">
        <f t="shared" si="87"/>
        <v>0</v>
      </c>
      <c r="AC679" s="730"/>
      <c r="AD679" s="731"/>
      <c r="AE679" s="730"/>
      <c r="AF679" s="730"/>
      <c r="AG679" s="731"/>
      <c r="AH679" s="731"/>
      <c r="AI679" s="732">
        <f t="shared" si="91"/>
        <v>0</v>
      </c>
      <c r="AJ679" s="733">
        <f t="shared" si="92"/>
        <v>0</v>
      </c>
    </row>
    <row r="680" spans="1:36">
      <c r="A680" s="927" t="s">
        <v>365</v>
      </c>
      <c r="B680" s="928" t="s">
        <v>151</v>
      </c>
      <c r="C680" s="935" t="s">
        <v>416</v>
      </c>
      <c r="D680" s="934"/>
      <c r="E680" s="955"/>
      <c r="F680" s="954">
        <v>99</v>
      </c>
      <c r="G680" s="730"/>
      <c r="H680" s="731"/>
      <c r="I680" s="730"/>
      <c r="J680" s="731"/>
      <c r="K680" s="730"/>
      <c r="L680" s="731"/>
      <c r="M680" s="730"/>
      <c r="N680" s="730"/>
      <c r="O680" s="732">
        <f t="shared" si="85"/>
        <v>0</v>
      </c>
      <c r="P680" s="731"/>
      <c r="Q680" s="731"/>
      <c r="R680" s="733">
        <f t="shared" si="88"/>
        <v>0</v>
      </c>
      <c r="S680" s="732">
        <f t="shared" si="89"/>
        <v>0</v>
      </c>
      <c r="T680" s="733">
        <f t="shared" si="90"/>
        <v>0</v>
      </c>
      <c r="U680" s="730">
        <v>7809322</v>
      </c>
      <c r="V680" s="731">
        <v>7267924</v>
      </c>
      <c r="W680" s="730"/>
      <c r="X680" s="730"/>
      <c r="Y680" s="732">
        <f t="shared" si="86"/>
        <v>0</v>
      </c>
      <c r="Z680" s="731"/>
      <c r="AA680" s="731"/>
      <c r="AB680" s="733">
        <f t="shared" si="87"/>
        <v>0</v>
      </c>
      <c r="AC680" s="730"/>
      <c r="AD680" s="731"/>
      <c r="AE680" s="730"/>
      <c r="AF680" s="730"/>
      <c r="AG680" s="731"/>
      <c r="AH680" s="731"/>
      <c r="AI680" s="732">
        <f t="shared" si="91"/>
        <v>7809322</v>
      </c>
      <c r="AJ680" s="733">
        <f t="shared" si="92"/>
        <v>7267924</v>
      </c>
    </row>
    <row r="681" spans="1:36">
      <c r="A681" s="927" t="s">
        <v>365</v>
      </c>
      <c r="B681" s="928" t="s">
        <v>151</v>
      </c>
      <c r="C681" s="935" t="s">
        <v>417</v>
      </c>
      <c r="D681" s="934"/>
      <c r="E681" s="955"/>
      <c r="F681" s="954">
        <v>99</v>
      </c>
      <c r="G681" s="730"/>
      <c r="H681" s="731"/>
      <c r="I681" s="730"/>
      <c r="J681" s="731"/>
      <c r="K681" s="730"/>
      <c r="L681" s="731"/>
      <c r="M681" s="730"/>
      <c r="N681" s="730"/>
      <c r="O681" s="732">
        <f t="shared" si="85"/>
        <v>0</v>
      </c>
      <c r="P681" s="731"/>
      <c r="Q681" s="731"/>
      <c r="R681" s="733">
        <f t="shared" si="88"/>
        <v>0</v>
      </c>
      <c r="S681" s="732">
        <f t="shared" si="89"/>
        <v>0</v>
      </c>
      <c r="T681" s="733">
        <f t="shared" si="90"/>
        <v>0</v>
      </c>
      <c r="U681" s="730">
        <v>24039911</v>
      </c>
      <c r="V681" s="731">
        <v>24881103</v>
      </c>
      <c r="W681" s="730"/>
      <c r="X681" s="730"/>
      <c r="Y681" s="732">
        <f t="shared" si="86"/>
        <v>0</v>
      </c>
      <c r="Z681" s="731"/>
      <c r="AA681" s="731"/>
      <c r="AB681" s="733">
        <f t="shared" si="87"/>
        <v>0</v>
      </c>
      <c r="AC681" s="730"/>
      <c r="AD681" s="731"/>
      <c r="AE681" s="730"/>
      <c r="AF681" s="730"/>
      <c r="AG681" s="731"/>
      <c r="AH681" s="731"/>
      <c r="AI681" s="732">
        <f t="shared" si="91"/>
        <v>24039911</v>
      </c>
      <c r="AJ681" s="733">
        <f t="shared" si="92"/>
        <v>24881103</v>
      </c>
    </row>
    <row r="682" spans="1:36">
      <c r="A682" s="927" t="s">
        <v>365</v>
      </c>
      <c r="B682" s="928" t="s">
        <v>151</v>
      </c>
      <c r="C682" s="935" t="s">
        <v>418</v>
      </c>
      <c r="D682" s="934"/>
      <c r="E682" s="955"/>
      <c r="F682" s="954">
        <v>99</v>
      </c>
      <c r="G682" s="730"/>
      <c r="H682" s="731"/>
      <c r="I682" s="730"/>
      <c r="J682" s="731"/>
      <c r="K682" s="730"/>
      <c r="L682" s="731"/>
      <c r="M682" s="730"/>
      <c r="N682" s="730"/>
      <c r="O682" s="732">
        <f t="shared" si="85"/>
        <v>0</v>
      </c>
      <c r="P682" s="731"/>
      <c r="Q682" s="731"/>
      <c r="R682" s="733">
        <f t="shared" si="88"/>
        <v>0</v>
      </c>
      <c r="S682" s="732">
        <f t="shared" si="89"/>
        <v>0</v>
      </c>
      <c r="T682" s="733">
        <f t="shared" si="90"/>
        <v>0</v>
      </c>
      <c r="U682" s="730">
        <v>28931713</v>
      </c>
      <c r="V682" s="731">
        <v>28931713</v>
      </c>
      <c r="W682" s="730"/>
      <c r="X682" s="730"/>
      <c r="Y682" s="732">
        <f t="shared" si="86"/>
        <v>0</v>
      </c>
      <c r="Z682" s="731"/>
      <c r="AA682" s="731"/>
      <c r="AB682" s="733">
        <f t="shared" si="87"/>
        <v>0</v>
      </c>
      <c r="AC682" s="730"/>
      <c r="AD682" s="731"/>
      <c r="AE682" s="730"/>
      <c r="AF682" s="730"/>
      <c r="AG682" s="731"/>
      <c r="AH682" s="731"/>
      <c r="AI682" s="732">
        <f t="shared" si="91"/>
        <v>28931713</v>
      </c>
      <c r="AJ682" s="733">
        <f t="shared" si="92"/>
        <v>28931713</v>
      </c>
    </row>
    <row r="683" spans="1:36">
      <c r="A683" s="927" t="s">
        <v>365</v>
      </c>
      <c r="B683" s="928" t="s">
        <v>248</v>
      </c>
      <c r="C683" s="930" t="s">
        <v>249</v>
      </c>
      <c r="D683" s="930"/>
      <c r="E683" s="955"/>
      <c r="F683" s="954">
        <v>99</v>
      </c>
      <c r="G683" s="730"/>
      <c r="H683" s="731"/>
      <c r="I683" s="730"/>
      <c r="J683" s="731"/>
      <c r="K683" s="730"/>
      <c r="L683" s="731"/>
      <c r="M683" s="730"/>
      <c r="N683" s="730"/>
      <c r="O683" s="732">
        <f t="shared" si="85"/>
        <v>0</v>
      </c>
      <c r="P683" s="731"/>
      <c r="Q683" s="731"/>
      <c r="R683" s="733">
        <f t="shared" si="88"/>
        <v>0</v>
      </c>
      <c r="S683" s="732">
        <f t="shared" si="89"/>
        <v>0</v>
      </c>
      <c r="T683" s="733">
        <f t="shared" si="90"/>
        <v>0</v>
      </c>
      <c r="U683" s="730"/>
      <c r="V683" s="731"/>
      <c r="W683" s="730"/>
      <c r="X683" s="730"/>
      <c r="Y683" s="732">
        <f t="shared" si="86"/>
        <v>0</v>
      </c>
      <c r="Z683" s="731"/>
      <c r="AA683" s="731"/>
      <c r="AB683" s="733">
        <f t="shared" si="87"/>
        <v>0</v>
      </c>
      <c r="AC683" s="730"/>
      <c r="AD683" s="731"/>
      <c r="AE683" s="730"/>
      <c r="AF683" s="730"/>
      <c r="AG683" s="731"/>
      <c r="AH683" s="731"/>
      <c r="AI683" s="732">
        <f t="shared" si="91"/>
        <v>0</v>
      </c>
      <c r="AJ683" s="733">
        <f t="shared" si="92"/>
        <v>0</v>
      </c>
    </row>
    <row r="684" spans="1:36">
      <c r="A684" s="927" t="s">
        <v>365</v>
      </c>
      <c r="B684" s="928" t="s">
        <v>250</v>
      </c>
      <c r="C684" s="933" t="s">
        <v>251</v>
      </c>
      <c r="D684" s="934"/>
      <c r="E684" s="955"/>
      <c r="F684" s="954">
        <v>99</v>
      </c>
      <c r="G684" s="730"/>
      <c r="H684" s="731"/>
      <c r="I684" s="730"/>
      <c r="J684" s="731"/>
      <c r="K684" s="730"/>
      <c r="L684" s="731"/>
      <c r="M684" s="730"/>
      <c r="N684" s="730"/>
      <c r="O684" s="732">
        <f t="shared" si="85"/>
        <v>0</v>
      </c>
      <c r="P684" s="731"/>
      <c r="Q684" s="731"/>
      <c r="R684" s="733">
        <f t="shared" si="88"/>
        <v>0</v>
      </c>
      <c r="S684" s="732">
        <f t="shared" si="89"/>
        <v>0</v>
      </c>
      <c r="T684" s="733">
        <f t="shared" si="90"/>
        <v>0</v>
      </c>
      <c r="U684" s="730"/>
      <c r="V684" s="731"/>
      <c r="W684" s="730"/>
      <c r="X684" s="730"/>
      <c r="Y684" s="732">
        <f t="shared" si="86"/>
        <v>0</v>
      </c>
      <c r="Z684" s="731"/>
      <c r="AA684" s="731"/>
      <c r="AB684" s="733">
        <f t="shared" si="87"/>
        <v>0</v>
      </c>
      <c r="AC684" s="730"/>
      <c r="AD684" s="731"/>
      <c r="AE684" s="730"/>
      <c r="AF684" s="730"/>
      <c r="AG684" s="731"/>
      <c r="AH684" s="731"/>
      <c r="AI684" s="732">
        <f t="shared" si="91"/>
        <v>0</v>
      </c>
      <c r="AJ684" s="733">
        <f t="shared" si="92"/>
        <v>0</v>
      </c>
    </row>
    <row r="685" spans="1:36">
      <c r="A685" s="927" t="s">
        <v>365</v>
      </c>
      <c r="B685" s="928" t="s">
        <v>250</v>
      </c>
      <c r="C685" s="935" t="s">
        <v>419</v>
      </c>
      <c r="D685" s="934"/>
      <c r="E685" s="955"/>
      <c r="F685" s="954">
        <v>99</v>
      </c>
      <c r="G685" s="730"/>
      <c r="H685" s="731"/>
      <c r="I685" s="730"/>
      <c r="J685" s="731"/>
      <c r="K685" s="730"/>
      <c r="L685" s="731"/>
      <c r="M685" s="730"/>
      <c r="N685" s="730"/>
      <c r="O685" s="732">
        <f t="shared" si="85"/>
        <v>0</v>
      </c>
      <c r="P685" s="731"/>
      <c r="Q685" s="731"/>
      <c r="R685" s="733">
        <f t="shared" si="88"/>
        <v>0</v>
      </c>
      <c r="S685" s="732">
        <f t="shared" si="89"/>
        <v>0</v>
      </c>
      <c r="T685" s="733">
        <f t="shared" si="90"/>
        <v>0</v>
      </c>
      <c r="U685" s="730"/>
      <c r="V685" s="731"/>
      <c r="W685" s="730"/>
      <c r="X685" s="730"/>
      <c r="Y685" s="732">
        <f t="shared" si="86"/>
        <v>0</v>
      </c>
      <c r="Z685" s="731"/>
      <c r="AA685" s="731"/>
      <c r="AB685" s="733">
        <f t="shared" si="87"/>
        <v>0</v>
      </c>
      <c r="AC685" s="730"/>
      <c r="AD685" s="731"/>
      <c r="AE685" s="730"/>
      <c r="AF685" s="730"/>
      <c r="AG685" s="731"/>
      <c r="AH685" s="731"/>
      <c r="AI685" s="732">
        <f t="shared" si="91"/>
        <v>0</v>
      </c>
      <c r="AJ685" s="733">
        <f t="shared" si="92"/>
        <v>0</v>
      </c>
    </row>
    <row r="686" spans="1:36">
      <c r="A686" s="927" t="s">
        <v>365</v>
      </c>
      <c r="B686" s="928" t="s">
        <v>250</v>
      </c>
      <c r="C686" s="935" t="s">
        <v>420</v>
      </c>
      <c r="D686" s="934"/>
      <c r="E686" s="955"/>
      <c r="F686" s="954">
        <v>99</v>
      </c>
      <c r="G686" s="730"/>
      <c r="H686" s="731"/>
      <c r="I686" s="730"/>
      <c r="J686" s="731"/>
      <c r="K686" s="730"/>
      <c r="L686" s="731"/>
      <c r="M686" s="730"/>
      <c r="N686" s="730"/>
      <c r="O686" s="732">
        <f t="shared" si="85"/>
        <v>0</v>
      </c>
      <c r="P686" s="731"/>
      <c r="Q686" s="731"/>
      <c r="R686" s="733">
        <f t="shared" si="88"/>
        <v>0</v>
      </c>
      <c r="S686" s="732">
        <f t="shared" si="89"/>
        <v>0</v>
      </c>
      <c r="T686" s="733">
        <f t="shared" si="90"/>
        <v>0</v>
      </c>
      <c r="U686" s="730">
        <v>460800</v>
      </c>
      <c r="V686" s="731">
        <v>475200</v>
      </c>
      <c r="W686" s="730"/>
      <c r="X686" s="730"/>
      <c r="Y686" s="732">
        <f t="shared" si="86"/>
        <v>0</v>
      </c>
      <c r="Z686" s="731"/>
      <c r="AA686" s="731"/>
      <c r="AB686" s="733">
        <f t="shared" si="87"/>
        <v>0</v>
      </c>
      <c r="AC686" s="730"/>
      <c r="AD686" s="731"/>
      <c r="AE686" s="730"/>
      <c r="AF686" s="730"/>
      <c r="AG686" s="731"/>
      <c r="AH686" s="731"/>
      <c r="AI686" s="732">
        <f t="shared" si="91"/>
        <v>460800</v>
      </c>
      <c r="AJ686" s="733">
        <f t="shared" si="92"/>
        <v>475200</v>
      </c>
    </row>
    <row r="687" spans="1:36">
      <c r="A687" s="927" t="s">
        <v>365</v>
      </c>
      <c r="B687" s="928" t="s">
        <v>250</v>
      </c>
      <c r="C687" s="935" t="s">
        <v>422</v>
      </c>
      <c r="D687" s="934"/>
      <c r="E687" s="955"/>
      <c r="F687" s="954">
        <v>99</v>
      </c>
      <c r="G687" s="730"/>
      <c r="H687" s="731"/>
      <c r="I687" s="730"/>
      <c r="J687" s="731"/>
      <c r="K687" s="730"/>
      <c r="L687" s="731"/>
      <c r="M687" s="730"/>
      <c r="N687" s="730"/>
      <c r="O687" s="732">
        <f t="shared" si="85"/>
        <v>0</v>
      </c>
      <c r="P687" s="731"/>
      <c r="Q687" s="731"/>
      <c r="R687" s="733">
        <f t="shared" si="88"/>
        <v>0</v>
      </c>
      <c r="S687" s="732">
        <f t="shared" si="89"/>
        <v>0</v>
      </c>
      <c r="T687" s="733">
        <f t="shared" si="90"/>
        <v>0</v>
      </c>
      <c r="U687" s="730"/>
      <c r="V687" s="731"/>
      <c r="W687" s="730"/>
      <c r="X687" s="730"/>
      <c r="Y687" s="732">
        <f t="shared" si="86"/>
        <v>0</v>
      </c>
      <c r="Z687" s="731"/>
      <c r="AA687" s="731"/>
      <c r="AB687" s="733">
        <f t="shared" si="87"/>
        <v>0</v>
      </c>
      <c r="AC687" s="730"/>
      <c r="AD687" s="731"/>
      <c r="AE687" s="730"/>
      <c r="AF687" s="730"/>
      <c r="AG687" s="731"/>
      <c r="AH687" s="731"/>
      <c r="AI687" s="732">
        <f t="shared" si="91"/>
        <v>0</v>
      </c>
      <c r="AJ687" s="733">
        <f t="shared" si="92"/>
        <v>0</v>
      </c>
    </row>
    <row r="688" spans="1:36">
      <c r="A688" s="927" t="s">
        <v>365</v>
      </c>
      <c r="B688" s="928" t="s">
        <v>258</v>
      </c>
      <c r="C688" s="933" t="s">
        <v>259</v>
      </c>
      <c r="D688" s="934"/>
      <c r="E688" s="955"/>
      <c r="F688" s="954">
        <v>99</v>
      </c>
      <c r="G688" s="730"/>
      <c r="H688" s="731"/>
      <c r="I688" s="730"/>
      <c r="J688" s="731"/>
      <c r="K688" s="730"/>
      <c r="L688" s="731"/>
      <c r="M688" s="730"/>
      <c r="N688" s="730"/>
      <c r="O688" s="732">
        <f t="shared" si="85"/>
        <v>0</v>
      </c>
      <c r="P688" s="731"/>
      <c r="Q688" s="731"/>
      <c r="R688" s="733">
        <f t="shared" si="88"/>
        <v>0</v>
      </c>
      <c r="S688" s="732">
        <f t="shared" si="89"/>
        <v>0</v>
      </c>
      <c r="T688" s="733">
        <f t="shared" si="90"/>
        <v>0</v>
      </c>
      <c r="U688" s="730"/>
      <c r="V688" s="731"/>
      <c r="W688" s="730"/>
      <c r="X688" s="730"/>
      <c r="Y688" s="732">
        <f t="shared" si="86"/>
        <v>0</v>
      </c>
      <c r="Z688" s="731"/>
      <c r="AA688" s="731"/>
      <c r="AB688" s="733">
        <f t="shared" si="87"/>
        <v>0</v>
      </c>
      <c r="AC688" s="730"/>
      <c r="AD688" s="731"/>
      <c r="AE688" s="730"/>
      <c r="AF688" s="730"/>
      <c r="AG688" s="731"/>
      <c r="AH688" s="731"/>
      <c r="AI688" s="732">
        <f t="shared" si="91"/>
        <v>0</v>
      </c>
      <c r="AJ688" s="733">
        <f t="shared" si="92"/>
        <v>0</v>
      </c>
    </row>
    <row r="689" spans="1:36">
      <c r="A689" s="927" t="s">
        <v>365</v>
      </c>
      <c r="B689" s="928" t="s">
        <v>258</v>
      </c>
      <c r="C689" s="935" t="s">
        <v>423</v>
      </c>
      <c r="D689" s="934"/>
      <c r="E689" s="955"/>
      <c r="F689" s="954">
        <v>99</v>
      </c>
      <c r="G689" s="730"/>
      <c r="H689" s="731"/>
      <c r="I689" s="730"/>
      <c r="J689" s="731"/>
      <c r="K689" s="730"/>
      <c r="L689" s="731"/>
      <c r="M689" s="730"/>
      <c r="N689" s="730"/>
      <c r="O689" s="732">
        <f t="shared" si="85"/>
        <v>0</v>
      </c>
      <c r="P689" s="731"/>
      <c r="Q689" s="731"/>
      <c r="R689" s="733">
        <f t="shared" si="88"/>
        <v>0</v>
      </c>
      <c r="S689" s="732">
        <f t="shared" si="89"/>
        <v>0</v>
      </c>
      <c r="T689" s="733">
        <f t="shared" si="90"/>
        <v>0</v>
      </c>
      <c r="U689" s="730">
        <v>192000</v>
      </c>
      <c r="V689" s="731">
        <v>198000</v>
      </c>
      <c r="W689" s="730"/>
      <c r="X689" s="730"/>
      <c r="Y689" s="732">
        <f t="shared" si="86"/>
        <v>0</v>
      </c>
      <c r="Z689" s="731"/>
      <c r="AA689" s="731"/>
      <c r="AB689" s="733">
        <f t="shared" si="87"/>
        <v>0</v>
      </c>
      <c r="AC689" s="730"/>
      <c r="AD689" s="731"/>
      <c r="AE689" s="730"/>
      <c r="AF689" s="730"/>
      <c r="AG689" s="731"/>
      <c r="AH689" s="731"/>
      <c r="AI689" s="732">
        <f t="shared" si="91"/>
        <v>192000</v>
      </c>
      <c r="AJ689" s="733">
        <f t="shared" si="92"/>
        <v>198000</v>
      </c>
    </row>
    <row r="690" spans="1:36">
      <c r="A690" s="927" t="s">
        <v>365</v>
      </c>
      <c r="B690" s="928" t="s">
        <v>157</v>
      </c>
      <c r="C690" s="933" t="s">
        <v>424</v>
      </c>
      <c r="D690" s="934"/>
      <c r="E690" s="955"/>
      <c r="F690" s="954">
        <v>99</v>
      </c>
      <c r="G690" s="730"/>
      <c r="H690" s="731"/>
      <c r="I690" s="730"/>
      <c r="J690" s="731"/>
      <c r="K690" s="730"/>
      <c r="L690" s="731"/>
      <c r="M690" s="730"/>
      <c r="N690" s="730"/>
      <c r="O690" s="732">
        <f t="shared" si="85"/>
        <v>0</v>
      </c>
      <c r="P690" s="731"/>
      <c r="Q690" s="731"/>
      <c r="R690" s="733">
        <f t="shared" si="88"/>
        <v>0</v>
      </c>
      <c r="S690" s="732">
        <f t="shared" si="89"/>
        <v>0</v>
      </c>
      <c r="T690" s="733">
        <f t="shared" si="90"/>
        <v>0</v>
      </c>
      <c r="U690" s="730"/>
      <c r="V690" s="731"/>
      <c r="W690" s="730"/>
      <c r="X690" s="730"/>
      <c r="Y690" s="732">
        <f t="shared" si="86"/>
        <v>0</v>
      </c>
      <c r="Z690" s="731"/>
      <c r="AA690" s="731"/>
      <c r="AB690" s="733">
        <f t="shared" si="87"/>
        <v>0</v>
      </c>
      <c r="AC690" s="730"/>
      <c r="AD690" s="731"/>
      <c r="AE690" s="730"/>
      <c r="AF690" s="730"/>
      <c r="AG690" s="731"/>
      <c r="AH690" s="731"/>
      <c r="AI690" s="732">
        <f t="shared" si="91"/>
        <v>0</v>
      </c>
      <c r="AJ690" s="733">
        <f t="shared" si="92"/>
        <v>0</v>
      </c>
    </row>
    <row r="691" spans="1:36">
      <c r="A691" s="927" t="s">
        <v>365</v>
      </c>
      <c r="B691" s="928" t="s">
        <v>157</v>
      </c>
      <c r="C691" s="935" t="s">
        <v>417</v>
      </c>
      <c r="D691" s="934"/>
      <c r="E691" s="955"/>
      <c r="F691" s="954">
        <v>99</v>
      </c>
      <c r="G691" s="730"/>
      <c r="H691" s="731"/>
      <c r="I691" s="730"/>
      <c r="J691" s="731"/>
      <c r="K691" s="730"/>
      <c r="L691" s="731"/>
      <c r="M691" s="730"/>
      <c r="N691" s="730"/>
      <c r="O691" s="732">
        <f t="shared" si="85"/>
        <v>0</v>
      </c>
      <c r="P691" s="731"/>
      <c r="Q691" s="731"/>
      <c r="R691" s="733">
        <f t="shared" si="88"/>
        <v>0</v>
      </c>
      <c r="S691" s="732">
        <f t="shared" si="89"/>
        <v>0</v>
      </c>
      <c r="T691" s="733">
        <f t="shared" si="90"/>
        <v>0</v>
      </c>
      <c r="U691" s="730">
        <v>1336333</v>
      </c>
      <c r="V691" s="731">
        <v>1336317</v>
      </c>
      <c r="W691" s="730"/>
      <c r="X691" s="730"/>
      <c r="Y691" s="732">
        <f t="shared" si="86"/>
        <v>0</v>
      </c>
      <c r="Z691" s="731"/>
      <c r="AA691" s="731"/>
      <c r="AB691" s="733">
        <f t="shared" si="87"/>
        <v>0</v>
      </c>
      <c r="AC691" s="730"/>
      <c r="AD691" s="731"/>
      <c r="AE691" s="730"/>
      <c r="AF691" s="730"/>
      <c r="AG691" s="731"/>
      <c r="AH691" s="731"/>
      <c r="AI691" s="732">
        <f t="shared" si="91"/>
        <v>1336333</v>
      </c>
      <c r="AJ691" s="733">
        <f t="shared" si="92"/>
        <v>1336317</v>
      </c>
    </row>
    <row r="692" spans="1:36">
      <c r="A692" s="927" t="s">
        <v>365</v>
      </c>
      <c r="B692" s="928" t="s">
        <v>157</v>
      </c>
      <c r="C692" s="935" t="s">
        <v>418</v>
      </c>
      <c r="D692" s="934"/>
      <c r="E692" s="955"/>
      <c r="F692" s="954">
        <v>99</v>
      </c>
      <c r="G692" s="730"/>
      <c r="H692" s="731"/>
      <c r="I692" s="730"/>
      <c r="J692" s="731"/>
      <c r="K692" s="730"/>
      <c r="L692" s="731"/>
      <c r="M692" s="730"/>
      <c r="N692" s="730"/>
      <c r="O692" s="732">
        <f t="shared" si="85"/>
        <v>0</v>
      </c>
      <c r="P692" s="731"/>
      <c r="Q692" s="731"/>
      <c r="R692" s="733">
        <f t="shared" si="88"/>
        <v>0</v>
      </c>
      <c r="S692" s="732">
        <f t="shared" si="89"/>
        <v>0</v>
      </c>
      <c r="T692" s="733">
        <f t="shared" si="90"/>
        <v>0</v>
      </c>
      <c r="U692" s="730">
        <v>610895</v>
      </c>
      <c r="V692" s="731">
        <v>610888</v>
      </c>
      <c r="W692" s="730"/>
      <c r="X692" s="730"/>
      <c r="Y692" s="732">
        <f t="shared" si="86"/>
        <v>0</v>
      </c>
      <c r="Z692" s="731"/>
      <c r="AA692" s="731"/>
      <c r="AB692" s="733">
        <f t="shared" si="87"/>
        <v>0</v>
      </c>
      <c r="AC692" s="730"/>
      <c r="AD692" s="731"/>
      <c r="AE692" s="730"/>
      <c r="AF692" s="730"/>
      <c r="AG692" s="731"/>
      <c r="AH692" s="731"/>
      <c r="AI692" s="732">
        <f t="shared" si="91"/>
        <v>610895</v>
      </c>
      <c r="AJ692" s="733">
        <f t="shared" si="92"/>
        <v>610888</v>
      </c>
    </row>
    <row r="693" spans="1:36">
      <c r="A693" s="927" t="s">
        <v>365</v>
      </c>
      <c r="B693" s="928" t="s">
        <v>157</v>
      </c>
      <c r="C693" s="935" t="s">
        <v>425</v>
      </c>
      <c r="D693" s="934"/>
      <c r="E693" s="955"/>
      <c r="F693" s="954">
        <v>99</v>
      </c>
      <c r="G693" s="730"/>
      <c r="H693" s="731"/>
      <c r="I693" s="730"/>
      <c r="J693" s="731"/>
      <c r="K693" s="730"/>
      <c r="L693" s="731"/>
      <c r="M693" s="730"/>
      <c r="N693" s="730"/>
      <c r="O693" s="732">
        <f t="shared" si="85"/>
        <v>0</v>
      </c>
      <c r="P693" s="731"/>
      <c r="Q693" s="731"/>
      <c r="R693" s="733">
        <f t="shared" si="88"/>
        <v>0</v>
      </c>
      <c r="S693" s="732">
        <f t="shared" si="89"/>
        <v>0</v>
      </c>
      <c r="T693" s="733">
        <f t="shared" si="90"/>
        <v>0</v>
      </c>
      <c r="U693" s="730">
        <v>719075</v>
      </c>
      <c r="V693" s="731">
        <v>719066</v>
      </c>
      <c r="W693" s="730"/>
      <c r="X693" s="730"/>
      <c r="Y693" s="732">
        <f t="shared" si="86"/>
        <v>0</v>
      </c>
      <c r="Z693" s="731"/>
      <c r="AA693" s="731"/>
      <c r="AB693" s="733">
        <f t="shared" si="87"/>
        <v>0</v>
      </c>
      <c r="AC693" s="730"/>
      <c r="AD693" s="731"/>
      <c r="AE693" s="730"/>
      <c r="AF693" s="730"/>
      <c r="AG693" s="731"/>
      <c r="AH693" s="731"/>
      <c r="AI693" s="732">
        <f t="shared" si="91"/>
        <v>719075</v>
      </c>
      <c r="AJ693" s="733">
        <f t="shared" si="92"/>
        <v>719066</v>
      </c>
    </row>
    <row r="694" spans="1:36">
      <c r="A694" s="927" t="s">
        <v>365</v>
      </c>
      <c r="B694" s="928" t="s">
        <v>157</v>
      </c>
      <c r="C694" s="935" t="s">
        <v>426</v>
      </c>
      <c r="D694" s="934"/>
      <c r="E694" s="955"/>
      <c r="F694" s="954">
        <v>99</v>
      </c>
      <c r="G694" s="730"/>
      <c r="H694" s="731"/>
      <c r="I694" s="730"/>
      <c r="J694" s="731"/>
      <c r="K694" s="730"/>
      <c r="L694" s="731"/>
      <c r="M694" s="730"/>
      <c r="N694" s="730"/>
      <c r="O694" s="732">
        <f t="shared" si="85"/>
        <v>0</v>
      </c>
      <c r="P694" s="731"/>
      <c r="Q694" s="731"/>
      <c r="R694" s="733">
        <f t="shared" si="88"/>
        <v>0</v>
      </c>
      <c r="S694" s="732">
        <f t="shared" si="89"/>
        <v>0</v>
      </c>
      <c r="T694" s="733">
        <f t="shared" si="90"/>
        <v>0</v>
      </c>
      <c r="U694" s="730">
        <v>954480</v>
      </c>
      <c r="V694" s="731">
        <v>954512</v>
      </c>
      <c r="W694" s="730"/>
      <c r="X694" s="730"/>
      <c r="Y694" s="732">
        <f t="shared" si="86"/>
        <v>0</v>
      </c>
      <c r="Z694" s="731"/>
      <c r="AA694" s="731"/>
      <c r="AB694" s="733">
        <f t="shared" si="87"/>
        <v>0</v>
      </c>
      <c r="AC694" s="730"/>
      <c r="AD694" s="731"/>
      <c r="AE694" s="730"/>
      <c r="AF694" s="730"/>
      <c r="AG694" s="731"/>
      <c r="AH694" s="731"/>
      <c r="AI694" s="732">
        <f t="shared" si="91"/>
        <v>954480</v>
      </c>
      <c r="AJ694" s="733">
        <f t="shared" si="92"/>
        <v>954512</v>
      </c>
    </row>
    <row r="695" spans="1:36">
      <c r="A695" s="927" t="s">
        <v>365</v>
      </c>
      <c r="B695" s="928" t="s">
        <v>157</v>
      </c>
      <c r="C695" s="935" t="s">
        <v>1065</v>
      </c>
      <c r="D695" s="934"/>
      <c r="E695" s="955"/>
      <c r="F695" s="954">
        <v>99</v>
      </c>
      <c r="G695" s="730"/>
      <c r="H695" s="731"/>
      <c r="I695" s="730"/>
      <c r="J695" s="731"/>
      <c r="K695" s="730"/>
      <c r="L695" s="731"/>
      <c r="M695" s="730"/>
      <c r="N695" s="730"/>
      <c r="O695" s="732">
        <f t="shared" si="85"/>
        <v>0</v>
      </c>
      <c r="P695" s="731"/>
      <c r="Q695" s="731"/>
      <c r="R695" s="733">
        <f t="shared" si="88"/>
        <v>0</v>
      </c>
      <c r="S695" s="732">
        <f t="shared" si="89"/>
        <v>0</v>
      </c>
      <c r="T695" s="733">
        <f t="shared" si="90"/>
        <v>0</v>
      </c>
      <c r="U695" s="730">
        <v>200000</v>
      </c>
      <c r="V695" s="731">
        <v>200000</v>
      </c>
      <c r="W695" s="730"/>
      <c r="X695" s="730"/>
      <c r="Y695" s="732">
        <f t="shared" si="86"/>
        <v>0</v>
      </c>
      <c r="Z695" s="731"/>
      <c r="AA695" s="731"/>
      <c r="AB695" s="733">
        <f t="shared" si="87"/>
        <v>0</v>
      </c>
      <c r="AC695" s="730"/>
      <c r="AD695" s="731"/>
      <c r="AE695" s="730"/>
      <c r="AF695" s="730"/>
      <c r="AG695" s="731"/>
      <c r="AH695" s="731"/>
      <c r="AI695" s="732">
        <f t="shared" si="91"/>
        <v>200000</v>
      </c>
      <c r="AJ695" s="733">
        <f t="shared" si="92"/>
        <v>200000</v>
      </c>
    </row>
    <row r="696" spans="1:36">
      <c r="A696" s="927" t="s">
        <v>365</v>
      </c>
      <c r="B696" s="928" t="s">
        <v>159</v>
      </c>
      <c r="C696" s="958" t="s">
        <v>160</v>
      </c>
      <c r="D696" s="958"/>
      <c r="E696" s="955"/>
      <c r="F696" s="954">
        <v>99</v>
      </c>
      <c r="G696" s="730"/>
      <c r="H696" s="731"/>
      <c r="I696" s="730"/>
      <c r="J696" s="731"/>
      <c r="K696" s="730"/>
      <c r="L696" s="731"/>
      <c r="M696" s="730"/>
      <c r="N696" s="730"/>
      <c r="O696" s="732">
        <f t="shared" si="85"/>
        <v>0</v>
      </c>
      <c r="P696" s="731"/>
      <c r="Q696" s="731"/>
      <c r="R696" s="733">
        <f t="shared" si="88"/>
        <v>0</v>
      </c>
      <c r="S696" s="732">
        <f t="shared" si="89"/>
        <v>0</v>
      </c>
      <c r="T696" s="733">
        <f t="shared" si="90"/>
        <v>0</v>
      </c>
      <c r="U696" s="730"/>
      <c r="V696" s="731"/>
      <c r="W696" s="730"/>
      <c r="X696" s="730"/>
      <c r="Y696" s="732">
        <f t="shared" si="86"/>
        <v>0</v>
      </c>
      <c r="Z696" s="731"/>
      <c r="AA696" s="731"/>
      <c r="AB696" s="733">
        <f t="shared" si="87"/>
        <v>0</v>
      </c>
      <c r="AC696" s="730"/>
      <c r="AD696" s="731"/>
      <c r="AE696" s="730"/>
      <c r="AF696" s="730"/>
      <c r="AG696" s="731"/>
      <c r="AH696" s="731"/>
      <c r="AI696" s="732">
        <f t="shared" si="91"/>
        <v>0</v>
      </c>
      <c r="AJ696" s="733">
        <f t="shared" si="92"/>
        <v>0</v>
      </c>
    </row>
    <row r="697" spans="1:36">
      <c r="A697" s="927" t="s">
        <v>365</v>
      </c>
      <c r="B697" s="928" t="s">
        <v>161</v>
      </c>
      <c r="C697" s="959" t="s">
        <v>162</v>
      </c>
      <c r="D697" s="958"/>
      <c r="E697" s="953"/>
      <c r="F697" s="954">
        <v>99</v>
      </c>
      <c r="G697" s="730"/>
      <c r="H697" s="731"/>
      <c r="I697" s="730"/>
      <c r="J697" s="731"/>
      <c r="K697" s="730"/>
      <c r="L697" s="731"/>
      <c r="M697" s="730"/>
      <c r="N697" s="730"/>
      <c r="O697" s="732">
        <f t="shared" si="85"/>
        <v>0</v>
      </c>
      <c r="P697" s="731"/>
      <c r="Q697" s="731"/>
      <c r="R697" s="733">
        <f t="shared" si="88"/>
        <v>0</v>
      </c>
      <c r="S697" s="732">
        <f t="shared" si="89"/>
        <v>0</v>
      </c>
      <c r="T697" s="733">
        <f t="shared" si="90"/>
        <v>0</v>
      </c>
      <c r="U697" s="730"/>
      <c r="V697" s="731"/>
      <c r="W697" s="730"/>
      <c r="X697" s="730"/>
      <c r="Y697" s="732">
        <f t="shared" si="86"/>
        <v>0</v>
      </c>
      <c r="Z697" s="731"/>
      <c r="AA697" s="731"/>
      <c r="AB697" s="733">
        <f t="shared" si="87"/>
        <v>0</v>
      </c>
      <c r="AC697" s="730"/>
      <c r="AD697" s="731"/>
      <c r="AE697" s="730"/>
      <c r="AF697" s="730"/>
      <c r="AG697" s="731"/>
      <c r="AH697" s="731"/>
      <c r="AI697" s="732">
        <f t="shared" si="91"/>
        <v>0</v>
      </c>
      <c r="AJ697" s="733">
        <f t="shared" si="92"/>
        <v>0</v>
      </c>
    </row>
    <row r="698" spans="1:36">
      <c r="A698" s="927" t="s">
        <v>365</v>
      </c>
      <c r="B698" s="928" t="s">
        <v>161</v>
      </c>
      <c r="C698" s="960" t="s">
        <v>427</v>
      </c>
      <c r="D698" s="934"/>
      <c r="E698" s="955"/>
      <c r="F698" s="954">
        <v>99</v>
      </c>
      <c r="G698" s="730"/>
      <c r="H698" s="731"/>
      <c r="I698" s="730"/>
      <c r="J698" s="731"/>
      <c r="K698" s="730"/>
      <c r="L698" s="731"/>
      <c r="M698" s="730"/>
      <c r="N698" s="730"/>
      <c r="O698" s="732">
        <f t="shared" si="85"/>
        <v>0</v>
      </c>
      <c r="P698" s="731"/>
      <c r="Q698" s="731"/>
      <c r="R698" s="733">
        <f t="shared" si="88"/>
        <v>0</v>
      </c>
      <c r="S698" s="732">
        <f t="shared" si="89"/>
        <v>0</v>
      </c>
      <c r="T698" s="733">
        <f t="shared" si="90"/>
        <v>0</v>
      </c>
      <c r="U698" s="730"/>
      <c r="V698" s="731"/>
      <c r="W698" s="730"/>
      <c r="X698" s="730"/>
      <c r="Y698" s="732">
        <f t="shared" si="86"/>
        <v>0</v>
      </c>
      <c r="Z698" s="731"/>
      <c r="AA698" s="731"/>
      <c r="AB698" s="733">
        <f t="shared" si="87"/>
        <v>0</v>
      </c>
      <c r="AC698" s="730"/>
      <c r="AD698" s="731"/>
      <c r="AE698" s="730"/>
      <c r="AF698" s="730"/>
      <c r="AG698" s="731"/>
      <c r="AH698" s="731"/>
      <c r="AI698" s="732">
        <f t="shared" si="91"/>
        <v>0</v>
      </c>
      <c r="AJ698" s="733">
        <f t="shared" si="92"/>
        <v>0</v>
      </c>
    </row>
    <row r="699" spans="1:36">
      <c r="A699" s="927" t="s">
        <v>365</v>
      </c>
      <c r="B699" s="961" t="s">
        <v>170</v>
      </c>
      <c r="C699" s="935" t="s">
        <v>171</v>
      </c>
      <c r="D699" s="934"/>
      <c r="E699" s="955"/>
      <c r="F699" s="954">
        <v>99</v>
      </c>
      <c r="G699" s="730"/>
      <c r="H699" s="731"/>
      <c r="I699" s="730"/>
      <c r="J699" s="731"/>
      <c r="K699" s="730"/>
      <c r="L699" s="731"/>
      <c r="M699" s="730"/>
      <c r="N699" s="730"/>
      <c r="O699" s="732">
        <f t="shared" si="85"/>
        <v>0</v>
      </c>
      <c r="P699" s="731"/>
      <c r="Q699" s="731"/>
      <c r="R699" s="733">
        <f t="shared" si="88"/>
        <v>0</v>
      </c>
      <c r="S699" s="732">
        <f t="shared" si="89"/>
        <v>0</v>
      </c>
      <c r="T699" s="733">
        <f t="shared" si="90"/>
        <v>0</v>
      </c>
      <c r="U699" s="730"/>
      <c r="V699" s="731"/>
      <c r="W699" s="730"/>
      <c r="X699" s="730"/>
      <c r="Y699" s="732">
        <f t="shared" si="86"/>
        <v>0</v>
      </c>
      <c r="Z699" s="731"/>
      <c r="AA699" s="731"/>
      <c r="AB699" s="733">
        <f t="shared" si="87"/>
        <v>0</v>
      </c>
      <c r="AC699" s="730"/>
      <c r="AD699" s="731"/>
      <c r="AE699" s="730"/>
      <c r="AF699" s="730"/>
      <c r="AG699" s="731"/>
      <c r="AH699" s="731"/>
      <c r="AI699" s="732">
        <f t="shared" si="91"/>
        <v>0</v>
      </c>
      <c r="AJ699" s="733">
        <f t="shared" si="92"/>
        <v>0</v>
      </c>
    </row>
    <row r="700" spans="1:36">
      <c r="A700" s="927" t="s">
        <v>365</v>
      </c>
      <c r="B700" s="961" t="s">
        <v>172</v>
      </c>
      <c r="C700" s="935" t="s">
        <v>165</v>
      </c>
      <c r="D700" s="934"/>
      <c r="E700" s="955"/>
      <c r="F700" s="954">
        <v>99</v>
      </c>
      <c r="G700" s="730"/>
      <c r="H700" s="731"/>
      <c r="I700" s="730"/>
      <c r="J700" s="731"/>
      <c r="K700" s="730"/>
      <c r="L700" s="731"/>
      <c r="M700" s="730"/>
      <c r="N700" s="730"/>
      <c r="O700" s="732">
        <f t="shared" si="85"/>
        <v>0</v>
      </c>
      <c r="P700" s="731"/>
      <c r="Q700" s="731"/>
      <c r="R700" s="733">
        <f t="shared" si="88"/>
        <v>0</v>
      </c>
      <c r="S700" s="732">
        <f t="shared" si="89"/>
        <v>0</v>
      </c>
      <c r="T700" s="733">
        <f t="shared" si="90"/>
        <v>0</v>
      </c>
      <c r="U700" s="730"/>
      <c r="V700" s="731"/>
      <c r="W700" s="730"/>
      <c r="X700" s="730"/>
      <c r="Y700" s="732">
        <f t="shared" si="86"/>
        <v>0</v>
      </c>
      <c r="Z700" s="731"/>
      <c r="AA700" s="731"/>
      <c r="AB700" s="733">
        <f t="shared" si="87"/>
        <v>0</v>
      </c>
      <c r="AC700" s="730"/>
      <c r="AD700" s="731"/>
      <c r="AE700" s="730"/>
      <c r="AF700" s="730"/>
      <c r="AG700" s="731"/>
      <c r="AH700" s="731"/>
      <c r="AI700" s="732">
        <f t="shared" si="91"/>
        <v>0</v>
      </c>
      <c r="AJ700" s="733">
        <f t="shared" si="92"/>
        <v>0</v>
      </c>
    </row>
    <row r="701" spans="1:36">
      <c r="A701" s="927" t="s">
        <v>365</v>
      </c>
      <c r="B701" s="961" t="s">
        <v>173</v>
      </c>
      <c r="C701" s="935" t="s">
        <v>167</v>
      </c>
      <c r="D701" s="934"/>
      <c r="E701" s="955"/>
      <c r="F701" s="954">
        <v>99</v>
      </c>
      <c r="G701" s="730"/>
      <c r="H701" s="731"/>
      <c r="I701" s="730"/>
      <c r="J701" s="731"/>
      <c r="K701" s="730"/>
      <c r="L701" s="731"/>
      <c r="M701" s="730"/>
      <c r="N701" s="730"/>
      <c r="O701" s="732">
        <f t="shared" si="85"/>
        <v>0</v>
      </c>
      <c r="P701" s="731"/>
      <c r="Q701" s="731"/>
      <c r="R701" s="733">
        <f t="shared" si="88"/>
        <v>0</v>
      </c>
      <c r="S701" s="732">
        <f t="shared" si="89"/>
        <v>0</v>
      </c>
      <c r="T701" s="733">
        <f t="shared" si="90"/>
        <v>0</v>
      </c>
      <c r="U701" s="730">
        <v>600000</v>
      </c>
      <c r="V701" s="731">
        <v>540000</v>
      </c>
      <c r="W701" s="730"/>
      <c r="X701" s="730"/>
      <c r="Y701" s="732">
        <f t="shared" si="86"/>
        <v>0</v>
      </c>
      <c r="Z701" s="731"/>
      <c r="AA701" s="731"/>
      <c r="AB701" s="733">
        <f t="shared" si="87"/>
        <v>0</v>
      </c>
      <c r="AC701" s="730"/>
      <c r="AD701" s="731"/>
      <c r="AE701" s="730"/>
      <c r="AF701" s="730"/>
      <c r="AG701" s="731"/>
      <c r="AH701" s="731"/>
      <c r="AI701" s="732">
        <f t="shared" si="91"/>
        <v>600000</v>
      </c>
      <c r="AJ701" s="733">
        <f t="shared" si="92"/>
        <v>540000</v>
      </c>
    </row>
    <row r="702" spans="1:36">
      <c r="A702" s="927" t="s">
        <v>365</v>
      </c>
      <c r="B702" s="961" t="s">
        <v>176</v>
      </c>
      <c r="C702" s="935" t="s">
        <v>177</v>
      </c>
      <c r="D702" s="934"/>
      <c r="E702" s="955"/>
      <c r="F702" s="954">
        <v>99</v>
      </c>
      <c r="G702" s="730"/>
      <c r="H702" s="731"/>
      <c r="I702" s="730"/>
      <c r="J702" s="731"/>
      <c r="K702" s="730"/>
      <c r="L702" s="731"/>
      <c r="M702" s="730"/>
      <c r="N702" s="730"/>
      <c r="O702" s="732">
        <f t="shared" si="85"/>
        <v>0</v>
      </c>
      <c r="P702" s="731"/>
      <c r="Q702" s="731"/>
      <c r="R702" s="733">
        <f t="shared" si="88"/>
        <v>0</v>
      </c>
      <c r="S702" s="732">
        <f t="shared" si="89"/>
        <v>0</v>
      </c>
      <c r="T702" s="733">
        <f t="shared" si="90"/>
        <v>0</v>
      </c>
      <c r="U702" s="730"/>
      <c r="V702" s="731"/>
      <c r="W702" s="730"/>
      <c r="X702" s="730"/>
      <c r="Y702" s="732">
        <f t="shared" si="86"/>
        <v>0</v>
      </c>
      <c r="Z702" s="731"/>
      <c r="AA702" s="731"/>
      <c r="AB702" s="733">
        <f t="shared" si="87"/>
        <v>0</v>
      </c>
      <c r="AC702" s="730"/>
      <c r="AD702" s="731"/>
      <c r="AE702" s="730"/>
      <c r="AF702" s="730"/>
      <c r="AG702" s="731"/>
      <c r="AH702" s="731"/>
      <c r="AI702" s="732">
        <f t="shared" si="91"/>
        <v>0</v>
      </c>
      <c r="AJ702" s="733">
        <f t="shared" si="92"/>
        <v>0</v>
      </c>
    </row>
    <row r="703" spans="1:36">
      <c r="A703" s="927" t="s">
        <v>365</v>
      </c>
      <c r="B703" s="961" t="s">
        <v>180</v>
      </c>
      <c r="C703" s="935" t="s">
        <v>165</v>
      </c>
      <c r="D703" s="934"/>
      <c r="E703" s="955"/>
      <c r="F703" s="954">
        <v>99</v>
      </c>
      <c r="G703" s="730"/>
      <c r="H703" s="731"/>
      <c r="I703" s="730"/>
      <c r="J703" s="731"/>
      <c r="K703" s="730"/>
      <c r="L703" s="731"/>
      <c r="M703" s="730"/>
      <c r="N703" s="730"/>
      <c r="O703" s="732">
        <f t="shared" si="85"/>
        <v>0</v>
      </c>
      <c r="P703" s="731"/>
      <c r="Q703" s="731"/>
      <c r="R703" s="733">
        <f t="shared" si="88"/>
        <v>0</v>
      </c>
      <c r="S703" s="732">
        <f t="shared" si="89"/>
        <v>0</v>
      </c>
      <c r="T703" s="733">
        <f t="shared" si="90"/>
        <v>0</v>
      </c>
      <c r="U703" s="730"/>
      <c r="V703" s="731"/>
      <c r="W703" s="730"/>
      <c r="X703" s="730"/>
      <c r="Y703" s="732">
        <f t="shared" si="86"/>
        <v>0</v>
      </c>
      <c r="Z703" s="731"/>
      <c r="AA703" s="731"/>
      <c r="AB703" s="733">
        <f t="shared" si="87"/>
        <v>0</v>
      </c>
      <c r="AC703" s="730"/>
      <c r="AD703" s="731"/>
      <c r="AE703" s="730"/>
      <c r="AF703" s="730"/>
      <c r="AG703" s="731"/>
      <c r="AH703" s="731"/>
      <c r="AI703" s="732">
        <f t="shared" si="91"/>
        <v>0</v>
      </c>
      <c r="AJ703" s="733">
        <f t="shared" si="92"/>
        <v>0</v>
      </c>
    </row>
    <row r="704" spans="1:36">
      <c r="A704" s="927" t="s">
        <v>365</v>
      </c>
      <c r="B704" s="961" t="s">
        <v>178</v>
      </c>
      <c r="C704" s="935" t="s">
        <v>167</v>
      </c>
      <c r="D704" s="934"/>
      <c r="E704" s="955"/>
      <c r="F704" s="954">
        <v>99</v>
      </c>
      <c r="G704" s="730"/>
      <c r="H704" s="731"/>
      <c r="I704" s="730"/>
      <c r="J704" s="731"/>
      <c r="K704" s="730"/>
      <c r="L704" s="731"/>
      <c r="M704" s="730"/>
      <c r="N704" s="730"/>
      <c r="O704" s="732">
        <f t="shared" si="85"/>
        <v>0</v>
      </c>
      <c r="P704" s="731"/>
      <c r="Q704" s="731"/>
      <c r="R704" s="733">
        <f t="shared" si="88"/>
        <v>0</v>
      </c>
      <c r="S704" s="732">
        <f t="shared" si="89"/>
        <v>0</v>
      </c>
      <c r="T704" s="733">
        <f t="shared" si="90"/>
        <v>0</v>
      </c>
      <c r="U704" s="730"/>
      <c r="V704" s="731"/>
      <c r="W704" s="730"/>
      <c r="X704" s="730"/>
      <c r="Y704" s="732">
        <f t="shared" si="86"/>
        <v>0</v>
      </c>
      <c r="Z704" s="731"/>
      <c r="AA704" s="731"/>
      <c r="AB704" s="733">
        <f t="shared" si="87"/>
        <v>0</v>
      </c>
      <c r="AC704" s="730"/>
      <c r="AD704" s="731"/>
      <c r="AE704" s="730"/>
      <c r="AF704" s="730"/>
      <c r="AG704" s="731"/>
      <c r="AH704" s="731"/>
      <c r="AI704" s="732">
        <f t="shared" si="91"/>
        <v>0</v>
      </c>
      <c r="AJ704" s="733">
        <f t="shared" si="92"/>
        <v>0</v>
      </c>
    </row>
    <row r="705" spans="1:36">
      <c r="A705" s="927" t="s">
        <v>365</v>
      </c>
      <c r="B705" s="928" t="s">
        <v>161</v>
      </c>
      <c r="C705" s="960" t="s">
        <v>428</v>
      </c>
      <c r="D705" s="934"/>
      <c r="E705" s="955"/>
      <c r="F705" s="954">
        <v>99</v>
      </c>
      <c r="G705" s="730"/>
      <c r="H705" s="731"/>
      <c r="I705" s="730"/>
      <c r="J705" s="731"/>
      <c r="K705" s="730"/>
      <c r="L705" s="731"/>
      <c r="M705" s="730"/>
      <c r="N705" s="730"/>
      <c r="O705" s="732">
        <f t="shared" si="85"/>
        <v>0</v>
      </c>
      <c r="P705" s="731"/>
      <c r="Q705" s="731"/>
      <c r="R705" s="733">
        <f t="shared" si="88"/>
        <v>0</v>
      </c>
      <c r="S705" s="732">
        <f t="shared" si="89"/>
        <v>0</v>
      </c>
      <c r="T705" s="733">
        <f t="shared" si="90"/>
        <v>0</v>
      </c>
      <c r="U705" s="730"/>
      <c r="V705" s="731"/>
      <c r="W705" s="730"/>
      <c r="X705" s="730"/>
      <c r="Y705" s="732">
        <f t="shared" si="86"/>
        <v>0</v>
      </c>
      <c r="Z705" s="731"/>
      <c r="AA705" s="731"/>
      <c r="AB705" s="733">
        <f t="shared" si="87"/>
        <v>0</v>
      </c>
      <c r="AC705" s="730"/>
      <c r="AD705" s="731"/>
      <c r="AE705" s="730"/>
      <c r="AF705" s="730"/>
      <c r="AG705" s="731"/>
      <c r="AH705" s="731"/>
      <c r="AI705" s="732">
        <f t="shared" si="91"/>
        <v>0</v>
      </c>
      <c r="AJ705" s="733">
        <f t="shared" si="92"/>
        <v>0</v>
      </c>
    </row>
    <row r="706" spans="1:36">
      <c r="A706" s="927" t="s">
        <v>365</v>
      </c>
      <c r="B706" s="961" t="s">
        <v>170</v>
      </c>
      <c r="C706" s="935" t="s">
        <v>171</v>
      </c>
      <c r="D706" s="934"/>
      <c r="E706" s="955"/>
      <c r="F706" s="954">
        <v>99</v>
      </c>
      <c r="G706" s="730"/>
      <c r="H706" s="731"/>
      <c r="I706" s="730"/>
      <c r="J706" s="731"/>
      <c r="K706" s="730"/>
      <c r="L706" s="731"/>
      <c r="M706" s="730"/>
      <c r="N706" s="730"/>
      <c r="O706" s="732">
        <f t="shared" si="85"/>
        <v>0</v>
      </c>
      <c r="P706" s="731"/>
      <c r="Q706" s="731"/>
      <c r="R706" s="733">
        <f t="shared" si="88"/>
        <v>0</v>
      </c>
      <c r="S706" s="732">
        <f t="shared" si="89"/>
        <v>0</v>
      </c>
      <c r="T706" s="733">
        <f t="shared" si="90"/>
        <v>0</v>
      </c>
      <c r="U706" s="730"/>
      <c r="V706" s="731"/>
      <c r="W706" s="730"/>
      <c r="X706" s="730"/>
      <c r="Y706" s="732">
        <f t="shared" si="86"/>
        <v>0</v>
      </c>
      <c r="Z706" s="731"/>
      <c r="AA706" s="731"/>
      <c r="AB706" s="733">
        <f t="shared" si="87"/>
        <v>0</v>
      </c>
      <c r="AC706" s="730"/>
      <c r="AD706" s="731"/>
      <c r="AE706" s="730"/>
      <c r="AF706" s="730"/>
      <c r="AG706" s="731"/>
      <c r="AH706" s="731"/>
      <c r="AI706" s="732">
        <f t="shared" si="91"/>
        <v>0</v>
      </c>
      <c r="AJ706" s="733">
        <f t="shared" si="92"/>
        <v>0</v>
      </c>
    </row>
    <row r="707" spans="1:36">
      <c r="A707" s="927" t="s">
        <v>365</v>
      </c>
      <c r="B707" s="961" t="s">
        <v>172</v>
      </c>
      <c r="C707" s="935" t="s">
        <v>165</v>
      </c>
      <c r="D707" s="934"/>
      <c r="E707" s="955"/>
      <c r="F707" s="954">
        <v>99</v>
      </c>
      <c r="G707" s="730"/>
      <c r="H707" s="731"/>
      <c r="I707" s="730"/>
      <c r="J707" s="731"/>
      <c r="K707" s="730"/>
      <c r="L707" s="731"/>
      <c r="M707" s="730"/>
      <c r="N707" s="730"/>
      <c r="O707" s="732">
        <f t="shared" si="85"/>
        <v>0</v>
      </c>
      <c r="P707" s="731"/>
      <c r="Q707" s="731"/>
      <c r="R707" s="733">
        <f t="shared" si="88"/>
        <v>0</v>
      </c>
      <c r="S707" s="732">
        <f t="shared" si="89"/>
        <v>0</v>
      </c>
      <c r="T707" s="733">
        <f t="shared" si="90"/>
        <v>0</v>
      </c>
      <c r="U707" s="730"/>
      <c r="V707" s="731"/>
      <c r="W707" s="730"/>
      <c r="X707" s="730"/>
      <c r="Y707" s="732">
        <f t="shared" si="86"/>
        <v>0</v>
      </c>
      <c r="Z707" s="731"/>
      <c r="AA707" s="731"/>
      <c r="AB707" s="733">
        <f t="shared" si="87"/>
        <v>0</v>
      </c>
      <c r="AC707" s="730"/>
      <c r="AD707" s="731"/>
      <c r="AE707" s="730"/>
      <c r="AF707" s="730"/>
      <c r="AG707" s="731"/>
      <c r="AH707" s="731"/>
      <c r="AI707" s="732">
        <f t="shared" si="91"/>
        <v>0</v>
      </c>
      <c r="AJ707" s="733">
        <f t="shared" si="92"/>
        <v>0</v>
      </c>
    </row>
    <row r="708" spans="1:36">
      <c r="A708" s="927" t="s">
        <v>365</v>
      </c>
      <c r="B708" s="961" t="s">
        <v>173</v>
      </c>
      <c r="C708" s="935" t="s">
        <v>167</v>
      </c>
      <c r="D708" s="934"/>
      <c r="E708" s="955"/>
      <c r="F708" s="954">
        <v>99</v>
      </c>
      <c r="G708" s="730"/>
      <c r="H708" s="731"/>
      <c r="I708" s="730"/>
      <c r="J708" s="731"/>
      <c r="K708" s="730"/>
      <c r="L708" s="731"/>
      <c r="M708" s="730"/>
      <c r="N708" s="730"/>
      <c r="O708" s="732">
        <f t="shared" si="85"/>
        <v>0</v>
      </c>
      <c r="P708" s="731"/>
      <c r="Q708" s="731"/>
      <c r="R708" s="733">
        <f t="shared" si="88"/>
        <v>0</v>
      </c>
      <c r="S708" s="732">
        <f t="shared" si="89"/>
        <v>0</v>
      </c>
      <c r="T708" s="733">
        <f t="shared" si="90"/>
        <v>0</v>
      </c>
      <c r="U708" s="730"/>
      <c r="V708" s="731"/>
      <c r="W708" s="730"/>
      <c r="X708" s="730"/>
      <c r="Y708" s="732">
        <f t="shared" si="86"/>
        <v>0</v>
      </c>
      <c r="Z708" s="731"/>
      <c r="AA708" s="731"/>
      <c r="AB708" s="733">
        <f t="shared" si="87"/>
        <v>0</v>
      </c>
      <c r="AC708" s="730"/>
      <c r="AD708" s="731"/>
      <c r="AE708" s="730"/>
      <c r="AF708" s="730"/>
      <c r="AG708" s="731"/>
      <c r="AH708" s="731"/>
      <c r="AI708" s="732">
        <f t="shared" si="91"/>
        <v>0</v>
      </c>
      <c r="AJ708" s="733">
        <f t="shared" si="92"/>
        <v>0</v>
      </c>
    </row>
    <row r="709" spans="1:36">
      <c r="A709" s="927" t="s">
        <v>365</v>
      </c>
      <c r="B709" s="961" t="s">
        <v>176</v>
      </c>
      <c r="C709" s="935" t="s">
        <v>177</v>
      </c>
      <c r="D709" s="934"/>
      <c r="E709" s="955"/>
      <c r="F709" s="954">
        <v>99</v>
      </c>
      <c r="G709" s="730"/>
      <c r="H709" s="731"/>
      <c r="I709" s="730"/>
      <c r="J709" s="731"/>
      <c r="K709" s="730"/>
      <c r="L709" s="731"/>
      <c r="M709" s="730"/>
      <c r="N709" s="730"/>
      <c r="O709" s="732">
        <f t="shared" si="85"/>
        <v>0</v>
      </c>
      <c r="P709" s="731"/>
      <c r="Q709" s="731"/>
      <c r="R709" s="733">
        <f t="shared" si="88"/>
        <v>0</v>
      </c>
      <c r="S709" s="732">
        <f t="shared" si="89"/>
        <v>0</v>
      </c>
      <c r="T709" s="733">
        <f t="shared" si="90"/>
        <v>0</v>
      </c>
      <c r="U709" s="730"/>
      <c r="V709" s="731"/>
      <c r="W709" s="730"/>
      <c r="X709" s="730"/>
      <c r="Y709" s="732">
        <f t="shared" si="86"/>
        <v>0</v>
      </c>
      <c r="Z709" s="731"/>
      <c r="AA709" s="731"/>
      <c r="AB709" s="733">
        <f t="shared" si="87"/>
        <v>0</v>
      </c>
      <c r="AC709" s="730"/>
      <c r="AD709" s="731"/>
      <c r="AE709" s="730"/>
      <c r="AF709" s="730"/>
      <c r="AG709" s="731"/>
      <c r="AH709" s="731"/>
      <c r="AI709" s="732">
        <f t="shared" si="91"/>
        <v>0</v>
      </c>
      <c r="AJ709" s="733">
        <f t="shared" si="92"/>
        <v>0</v>
      </c>
    </row>
    <row r="710" spans="1:36">
      <c r="A710" s="927" t="s">
        <v>365</v>
      </c>
      <c r="B710" s="961" t="s">
        <v>180</v>
      </c>
      <c r="C710" s="935" t="s">
        <v>165</v>
      </c>
      <c r="D710" s="934"/>
      <c r="E710" s="955"/>
      <c r="F710" s="954">
        <v>99</v>
      </c>
      <c r="G710" s="730"/>
      <c r="H710" s="731"/>
      <c r="I710" s="730"/>
      <c r="J710" s="731"/>
      <c r="K710" s="730"/>
      <c r="L710" s="731"/>
      <c r="M710" s="730"/>
      <c r="N710" s="730"/>
      <c r="O710" s="732">
        <f t="shared" si="85"/>
        <v>0</v>
      </c>
      <c r="P710" s="731"/>
      <c r="Q710" s="731"/>
      <c r="R710" s="733">
        <f t="shared" si="88"/>
        <v>0</v>
      </c>
      <c r="S710" s="732">
        <f t="shared" si="89"/>
        <v>0</v>
      </c>
      <c r="T710" s="733">
        <f t="shared" si="90"/>
        <v>0</v>
      </c>
      <c r="U710" s="730"/>
      <c r="V710" s="731"/>
      <c r="W710" s="730"/>
      <c r="X710" s="730"/>
      <c r="Y710" s="732">
        <f t="shared" si="86"/>
        <v>0</v>
      </c>
      <c r="Z710" s="731"/>
      <c r="AA710" s="731"/>
      <c r="AB710" s="733">
        <f t="shared" si="87"/>
        <v>0</v>
      </c>
      <c r="AC710" s="730"/>
      <c r="AD710" s="731"/>
      <c r="AE710" s="730"/>
      <c r="AF710" s="730"/>
      <c r="AG710" s="731"/>
      <c r="AH710" s="731"/>
      <c r="AI710" s="732">
        <f t="shared" si="91"/>
        <v>0</v>
      </c>
      <c r="AJ710" s="733">
        <f t="shared" si="92"/>
        <v>0</v>
      </c>
    </row>
    <row r="711" spans="1:36">
      <c r="A711" s="927" t="s">
        <v>365</v>
      </c>
      <c r="B711" s="961" t="s">
        <v>178</v>
      </c>
      <c r="C711" s="935" t="s">
        <v>167</v>
      </c>
      <c r="D711" s="934"/>
      <c r="E711" s="955"/>
      <c r="F711" s="954">
        <v>99</v>
      </c>
      <c r="G711" s="730"/>
      <c r="H711" s="731"/>
      <c r="I711" s="730"/>
      <c r="J711" s="731"/>
      <c r="K711" s="730"/>
      <c r="L711" s="731"/>
      <c r="M711" s="730"/>
      <c r="N711" s="730"/>
      <c r="O711" s="732">
        <f t="shared" si="85"/>
        <v>0</v>
      </c>
      <c r="P711" s="731"/>
      <c r="Q711" s="731"/>
      <c r="R711" s="733">
        <f t="shared" si="88"/>
        <v>0</v>
      </c>
      <c r="S711" s="732">
        <f t="shared" si="89"/>
        <v>0</v>
      </c>
      <c r="T711" s="733">
        <f t="shared" si="90"/>
        <v>0</v>
      </c>
      <c r="U711" s="730">
        <v>1060500</v>
      </c>
      <c r="V711" s="731">
        <v>1146950</v>
      </c>
      <c r="W711" s="730"/>
      <c r="X711" s="730"/>
      <c r="Y711" s="732">
        <f t="shared" si="86"/>
        <v>0</v>
      </c>
      <c r="Z711" s="731"/>
      <c r="AA711" s="731"/>
      <c r="AB711" s="733">
        <f t="shared" si="87"/>
        <v>0</v>
      </c>
      <c r="AC711" s="730"/>
      <c r="AD711" s="731"/>
      <c r="AE711" s="730"/>
      <c r="AF711" s="730"/>
      <c r="AG711" s="731"/>
      <c r="AH711" s="731"/>
      <c r="AI711" s="732">
        <f t="shared" si="91"/>
        <v>1060500</v>
      </c>
      <c r="AJ711" s="733">
        <f t="shared" si="92"/>
        <v>1146950</v>
      </c>
    </row>
    <row r="712" spans="1:36">
      <c r="A712" s="927" t="s">
        <v>365</v>
      </c>
      <c r="B712" s="961" t="s">
        <v>187</v>
      </c>
      <c r="C712" s="959" t="s">
        <v>188</v>
      </c>
      <c r="D712" s="958"/>
      <c r="E712" s="955"/>
      <c r="F712" s="954">
        <v>99</v>
      </c>
      <c r="G712" s="730"/>
      <c r="H712" s="731"/>
      <c r="I712" s="730"/>
      <c r="J712" s="731"/>
      <c r="K712" s="730"/>
      <c r="L712" s="731"/>
      <c r="M712" s="730"/>
      <c r="N712" s="730"/>
      <c r="O712" s="732">
        <f t="shared" si="85"/>
        <v>0</v>
      </c>
      <c r="P712" s="731"/>
      <c r="Q712" s="731"/>
      <c r="R712" s="733">
        <f t="shared" si="88"/>
        <v>0</v>
      </c>
      <c r="S712" s="732">
        <f t="shared" si="89"/>
        <v>0</v>
      </c>
      <c r="T712" s="733">
        <f t="shared" si="90"/>
        <v>0</v>
      </c>
      <c r="U712" s="730"/>
      <c r="V712" s="731"/>
      <c r="W712" s="730"/>
      <c r="X712" s="730"/>
      <c r="Y712" s="732">
        <f t="shared" si="86"/>
        <v>0</v>
      </c>
      <c r="Z712" s="731"/>
      <c r="AA712" s="731"/>
      <c r="AB712" s="733">
        <f t="shared" si="87"/>
        <v>0</v>
      </c>
      <c r="AC712" s="730"/>
      <c r="AD712" s="731"/>
      <c r="AE712" s="730"/>
      <c r="AF712" s="730"/>
      <c r="AG712" s="731"/>
      <c r="AH712" s="731"/>
      <c r="AI712" s="732">
        <f t="shared" si="91"/>
        <v>0</v>
      </c>
      <c r="AJ712" s="733">
        <f t="shared" si="92"/>
        <v>0</v>
      </c>
    </row>
    <row r="713" spans="1:36">
      <c r="A713" s="927" t="s">
        <v>365</v>
      </c>
      <c r="B713" s="928" t="s">
        <v>187</v>
      </c>
      <c r="C713" s="960" t="s">
        <v>429</v>
      </c>
      <c r="D713" s="934"/>
      <c r="E713" s="955"/>
      <c r="F713" s="954">
        <v>99</v>
      </c>
      <c r="G713" s="730"/>
      <c r="H713" s="731"/>
      <c r="I713" s="730"/>
      <c r="J713" s="731"/>
      <c r="K713" s="730"/>
      <c r="L713" s="731"/>
      <c r="M713" s="730"/>
      <c r="N713" s="730"/>
      <c r="O713" s="732">
        <f t="shared" si="85"/>
        <v>0</v>
      </c>
      <c r="P713" s="731"/>
      <c r="Q713" s="731"/>
      <c r="R713" s="733">
        <f t="shared" si="88"/>
        <v>0</v>
      </c>
      <c r="S713" s="732">
        <f t="shared" si="89"/>
        <v>0</v>
      </c>
      <c r="T713" s="733">
        <f t="shared" si="90"/>
        <v>0</v>
      </c>
      <c r="U713" s="730"/>
      <c r="V713" s="731"/>
      <c r="W713" s="730"/>
      <c r="X713" s="730"/>
      <c r="Y713" s="732">
        <f t="shared" si="86"/>
        <v>0</v>
      </c>
      <c r="Z713" s="731"/>
      <c r="AA713" s="731"/>
      <c r="AB713" s="733">
        <f t="shared" si="87"/>
        <v>0</v>
      </c>
      <c r="AC713" s="730"/>
      <c r="AD713" s="731"/>
      <c r="AE713" s="730"/>
      <c r="AF713" s="730"/>
      <c r="AG713" s="731"/>
      <c r="AH713" s="731"/>
      <c r="AI713" s="732">
        <f t="shared" si="91"/>
        <v>0</v>
      </c>
      <c r="AJ713" s="733">
        <f t="shared" si="92"/>
        <v>0</v>
      </c>
    </row>
    <row r="714" spans="1:36">
      <c r="A714" s="927" t="s">
        <v>365</v>
      </c>
      <c r="B714" s="961" t="s">
        <v>190</v>
      </c>
      <c r="C714" s="935" t="s">
        <v>165</v>
      </c>
      <c r="D714" s="934"/>
      <c r="E714" s="955"/>
      <c r="F714" s="954">
        <v>99</v>
      </c>
      <c r="G714" s="730"/>
      <c r="H714" s="731"/>
      <c r="I714" s="730"/>
      <c r="J714" s="731"/>
      <c r="K714" s="730"/>
      <c r="L714" s="731"/>
      <c r="M714" s="730"/>
      <c r="N714" s="730"/>
      <c r="O714" s="732">
        <f t="shared" ref="O714:O777" si="93">SUM(M714:N714)</f>
        <v>0</v>
      </c>
      <c r="P714" s="731"/>
      <c r="Q714" s="731"/>
      <c r="R714" s="733">
        <f t="shared" si="88"/>
        <v>0</v>
      </c>
      <c r="S714" s="732">
        <f t="shared" si="89"/>
        <v>0</v>
      </c>
      <c r="T714" s="733">
        <f t="shared" si="90"/>
        <v>0</v>
      </c>
      <c r="U714" s="730"/>
      <c r="V714" s="731"/>
      <c r="W714" s="730"/>
      <c r="X714" s="730"/>
      <c r="Y714" s="732">
        <f t="shared" ref="Y714:Y777" si="94">SUM(W714:X714)</f>
        <v>0</v>
      </c>
      <c r="Z714" s="731"/>
      <c r="AA714" s="731"/>
      <c r="AB714" s="733">
        <f t="shared" ref="AB714:AB777" si="95">SUM(Z714:AA714)</f>
        <v>0</v>
      </c>
      <c r="AC714" s="730"/>
      <c r="AD714" s="731"/>
      <c r="AE714" s="730"/>
      <c r="AF714" s="730"/>
      <c r="AG714" s="731"/>
      <c r="AH714" s="731"/>
      <c r="AI714" s="732">
        <f t="shared" si="91"/>
        <v>0</v>
      </c>
      <c r="AJ714" s="733">
        <f t="shared" si="92"/>
        <v>0</v>
      </c>
    </row>
    <row r="715" spans="1:36">
      <c r="A715" s="927" t="s">
        <v>365</v>
      </c>
      <c r="B715" s="961" t="s">
        <v>191</v>
      </c>
      <c r="C715" s="935" t="s">
        <v>167</v>
      </c>
      <c r="D715" s="934"/>
      <c r="E715" s="955"/>
      <c r="F715" s="954">
        <v>99</v>
      </c>
      <c r="G715" s="730"/>
      <c r="H715" s="731"/>
      <c r="I715" s="730"/>
      <c r="J715" s="731"/>
      <c r="K715" s="730"/>
      <c r="L715" s="731"/>
      <c r="M715" s="730"/>
      <c r="N715" s="730"/>
      <c r="O715" s="732">
        <f t="shared" si="93"/>
        <v>0</v>
      </c>
      <c r="P715" s="731"/>
      <c r="Q715" s="731"/>
      <c r="R715" s="733">
        <f t="shared" ref="R715:R778" si="96">SUM(P715:Q715)</f>
        <v>0</v>
      </c>
      <c r="S715" s="732">
        <f t="shared" ref="S715:S778" si="97">SUM(G715,I715,K715,M715)</f>
        <v>0</v>
      </c>
      <c r="T715" s="733">
        <f t="shared" ref="T715:T778" si="98">SUM(H715,J715,L715,P715)</f>
        <v>0</v>
      </c>
      <c r="U715" s="730">
        <v>692988104</v>
      </c>
      <c r="V715" s="731">
        <v>752427712</v>
      </c>
      <c r="W715" s="730"/>
      <c r="X715" s="730"/>
      <c r="Y715" s="732">
        <f t="shared" si="94"/>
        <v>0</v>
      </c>
      <c r="Z715" s="731"/>
      <c r="AA715" s="731"/>
      <c r="AB715" s="733">
        <f t="shared" si="95"/>
        <v>0</v>
      </c>
      <c r="AC715" s="730"/>
      <c r="AD715" s="731"/>
      <c r="AE715" s="730"/>
      <c r="AF715" s="730"/>
      <c r="AG715" s="731"/>
      <c r="AH715" s="731"/>
      <c r="AI715" s="732">
        <f t="shared" ref="AI715:AI778" si="99">SUM(S715,U715,W715,AC715,AE715)</f>
        <v>692988104</v>
      </c>
      <c r="AJ715" s="733">
        <f t="shared" ref="AJ715:AJ778" si="100">SUM(T715,V715,Z715,AD715,AG715)</f>
        <v>752427712</v>
      </c>
    </row>
    <row r="716" spans="1:36">
      <c r="A716" s="927" t="s">
        <v>365</v>
      </c>
      <c r="B716" s="928" t="s">
        <v>192</v>
      </c>
      <c r="C716" s="959" t="s">
        <v>332</v>
      </c>
      <c r="D716" s="958"/>
      <c r="E716" s="955"/>
      <c r="F716" s="954">
        <v>99</v>
      </c>
      <c r="G716" s="730"/>
      <c r="H716" s="731"/>
      <c r="I716" s="730"/>
      <c r="J716" s="731"/>
      <c r="K716" s="730"/>
      <c r="L716" s="731"/>
      <c r="M716" s="730"/>
      <c r="N716" s="730"/>
      <c r="O716" s="732">
        <f t="shared" si="93"/>
        <v>0</v>
      </c>
      <c r="P716" s="731"/>
      <c r="Q716" s="731"/>
      <c r="R716" s="733">
        <f t="shared" si="96"/>
        <v>0</v>
      </c>
      <c r="S716" s="732">
        <f t="shared" si="97"/>
        <v>0</v>
      </c>
      <c r="T716" s="733">
        <f t="shared" si="98"/>
        <v>0</v>
      </c>
      <c r="U716" s="730"/>
      <c r="V716" s="731"/>
      <c r="W716" s="730"/>
      <c r="X716" s="730"/>
      <c r="Y716" s="732">
        <f t="shared" si="94"/>
        <v>0</v>
      </c>
      <c r="Z716" s="731"/>
      <c r="AA716" s="731"/>
      <c r="AB716" s="733">
        <f t="shared" si="95"/>
        <v>0</v>
      </c>
      <c r="AC716" s="730"/>
      <c r="AD716" s="731"/>
      <c r="AE716" s="730"/>
      <c r="AF716" s="730"/>
      <c r="AG716" s="731"/>
      <c r="AH716" s="731"/>
      <c r="AI716" s="732">
        <f t="shared" si="99"/>
        <v>0</v>
      </c>
      <c r="AJ716" s="733">
        <f t="shared" si="100"/>
        <v>0</v>
      </c>
    </row>
    <row r="717" spans="1:36">
      <c r="A717" s="927" t="s">
        <v>365</v>
      </c>
      <c r="B717" s="928" t="s">
        <v>192</v>
      </c>
      <c r="C717" s="960" t="s">
        <v>430</v>
      </c>
      <c r="D717" s="934"/>
      <c r="E717" s="962"/>
      <c r="F717" s="954">
        <v>99</v>
      </c>
      <c r="G717" s="730"/>
      <c r="H717" s="731"/>
      <c r="I717" s="730"/>
      <c r="J717" s="731"/>
      <c r="K717" s="730"/>
      <c r="L717" s="731"/>
      <c r="M717" s="730"/>
      <c r="N717" s="730"/>
      <c r="O717" s="732">
        <f t="shared" si="93"/>
        <v>0</v>
      </c>
      <c r="P717" s="731"/>
      <c r="Q717" s="731"/>
      <c r="R717" s="733">
        <f t="shared" si="96"/>
        <v>0</v>
      </c>
      <c r="S717" s="732">
        <f t="shared" si="97"/>
        <v>0</v>
      </c>
      <c r="T717" s="733">
        <f t="shared" si="98"/>
        <v>0</v>
      </c>
      <c r="U717" s="730"/>
      <c r="V717" s="731"/>
      <c r="W717" s="730"/>
      <c r="X717" s="730"/>
      <c r="Y717" s="732">
        <f t="shared" si="94"/>
        <v>0</v>
      </c>
      <c r="Z717" s="731"/>
      <c r="AA717" s="731"/>
      <c r="AB717" s="733">
        <f t="shared" si="95"/>
        <v>0</v>
      </c>
      <c r="AC717" s="730"/>
      <c r="AD717" s="731"/>
      <c r="AE717" s="730"/>
      <c r="AF717" s="730"/>
      <c r="AG717" s="731"/>
      <c r="AH717" s="731"/>
      <c r="AI717" s="732">
        <f t="shared" si="99"/>
        <v>0</v>
      </c>
      <c r="AJ717" s="733">
        <f t="shared" si="100"/>
        <v>0</v>
      </c>
    </row>
    <row r="718" spans="1:36">
      <c r="A718" s="927" t="s">
        <v>365</v>
      </c>
      <c r="B718" s="961" t="s">
        <v>195</v>
      </c>
      <c r="C718" s="935" t="s">
        <v>165</v>
      </c>
      <c r="D718" s="934"/>
      <c r="E718" s="962"/>
      <c r="F718" s="954">
        <v>99</v>
      </c>
      <c r="G718" s="730"/>
      <c r="H718" s="731"/>
      <c r="I718" s="730"/>
      <c r="J718" s="731"/>
      <c r="K718" s="730"/>
      <c r="L718" s="731"/>
      <c r="M718" s="730"/>
      <c r="N718" s="730"/>
      <c r="O718" s="732">
        <f t="shared" si="93"/>
        <v>0</v>
      </c>
      <c r="P718" s="731"/>
      <c r="Q718" s="731"/>
      <c r="R718" s="733">
        <f t="shared" si="96"/>
        <v>0</v>
      </c>
      <c r="S718" s="732">
        <f t="shared" si="97"/>
        <v>0</v>
      </c>
      <c r="T718" s="733">
        <f t="shared" si="98"/>
        <v>0</v>
      </c>
      <c r="U718" s="730"/>
      <c r="V718" s="731"/>
      <c r="W718" s="730"/>
      <c r="X718" s="730"/>
      <c r="Y718" s="732">
        <f t="shared" si="94"/>
        <v>0</v>
      </c>
      <c r="Z718" s="731"/>
      <c r="AA718" s="731"/>
      <c r="AB718" s="733">
        <f t="shared" si="95"/>
        <v>0</v>
      </c>
      <c r="AC718" s="730"/>
      <c r="AD718" s="731"/>
      <c r="AE718" s="730"/>
      <c r="AF718" s="730"/>
      <c r="AG718" s="731"/>
      <c r="AH718" s="731"/>
      <c r="AI718" s="732">
        <f t="shared" si="99"/>
        <v>0</v>
      </c>
      <c r="AJ718" s="733">
        <f t="shared" si="100"/>
        <v>0</v>
      </c>
    </row>
    <row r="719" spans="1:36">
      <c r="A719" s="927" t="s">
        <v>365</v>
      </c>
      <c r="B719" s="961" t="s">
        <v>196</v>
      </c>
      <c r="C719" s="935" t="s">
        <v>167</v>
      </c>
      <c r="D719" s="934"/>
      <c r="E719" s="962"/>
      <c r="F719" s="954">
        <v>99</v>
      </c>
      <c r="G719" s="730"/>
      <c r="H719" s="731"/>
      <c r="I719" s="730"/>
      <c r="J719" s="731"/>
      <c r="K719" s="730"/>
      <c r="L719" s="731"/>
      <c r="M719" s="730"/>
      <c r="N719" s="730"/>
      <c r="O719" s="732">
        <f t="shared" si="93"/>
        <v>0</v>
      </c>
      <c r="P719" s="731"/>
      <c r="Q719" s="731"/>
      <c r="R719" s="733">
        <f t="shared" si="96"/>
        <v>0</v>
      </c>
      <c r="S719" s="732">
        <f t="shared" si="97"/>
        <v>0</v>
      </c>
      <c r="T719" s="733">
        <f t="shared" si="98"/>
        <v>0</v>
      </c>
      <c r="U719" s="730">
        <v>1203240</v>
      </c>
      <c r="V719" s="731">
        <v>1082916</v>
      </c>
      <c r="W719" s="730"/>
      <c r="X719" s="730"/>
      <c r="Y719" s="732">
        <f t="shared" si="94"/>
        <v>0</v>
      </c>
      <c r="Z719" s="731"/>
      <c r="AA719" s="731"/>
      <c r="AB719" s="733">
        <f t="shared" si="95"/>
        <v>0</v>
      </c>
      <c r="AC719" s="730"/>
      <c r="AD719" s="731"/>
      <c r="AE719" s="730"/>
      <c r="AF719" s="730"/>
      <c r="AG719" s="731"/>
      <c r="AH719" s="731"/>
      <c r="AI719" s="732">
        <f t="shared" si="99"/>
        <v>1203240</v>
      </c>
      <c r="AJ719" s="733">
        <f t="shared" si="100"/>
        <v>1082916</v>
      </c>
    </row>
    <row r="720" spans="1:36">
      <c r="A720" s="927" t="s">
        <v>365</v>
      </c>
      <c r="B720" s="928" t="s">
        <v>192</v>
      </c>
      <c r="C720" s="960" t="s">
        <v>429</v>
      </c>
      <c r="D720" s="934"/>
      <c r="E720" s="962"/>
      <c r="F720" s="954">
        <v>99</v>
      </c>
      <c r="G720" s="730"/>
      <c r="H720" s="731"/>
      <c r="I720" s="730"/>
      <c r="J720" s="731"/>
      <c r="K720" s="730"/>
      <c r="L720" s="731"/>
      <c r="M720" s="730"/>
      <c r="N720" s="730"/>
      <c r="O720" s="732">
        <f t="shared" si="93"/>
        <v>0</v>
      </c>
      <c r="P720" s="731"/>
      <c r="Q720" s="731"/>
      <c r="R720" s="733">
        <f t="shared" si="96"/>
        <v>0</v>
      </c>
      <c r="S720" s="732">
        <f t="shared" si="97"/>
        <v>0</v>
      </c>
      <c r="T720" s="733">
        <f t="shared" si="98"/>
        <v>0</v>
      </c>
      <c r="U720" s="730"/>
      <c r="V720" s="731"/>
      <c r="W720" s="730"/>
      <c r="X720" s="730"/>
      <c r="Y720" s="732">
        <f t="shared" si="94"/>
        <v>0</v>
      </c>
      <c r="Z720" s="731"/>
      <c r="AA720" s="731"/>
      <c r="AB720" s="733">
        <f t="shared" si="95"/>
        <v>0</v>
      </c>
      <c r="AC720" s="730"/>
      <c r="AD720" s="731"/>
      <c r="AE720" s="730"/>
      <c r="AF720" s="730"/>
      <c r="AG720" s="731"/>
      <c r="AH720" s="731"/>
      <c r="AI720" s="732">
        <f t="shared" si="99"/>
        <v>0</v>
      </c>
      <c r="AJ720" s="733">
        <f t="shared" si="100"/>
        <v>0</v>
      </c>
    </row>
    <row r="721" spans="1:36">
      <c r="A721" s="927" t="s">
        <v>365</v>
      </c>
      <c r="B721" s="961" t="s">
        <v>195</v>
      </c>
      <c r="C721" s="935" t="s">
        <v>165</v>
      </c>
      <c r="D721" s="934"/>
      <c r="E721" s="962"/>
      <c r="F721" s="954">
        <v>99</v>
      </c>
      <c r="G721" s="730"/>
      <c r="H721" s="731"/>
      <c r="I721" s="730"/>
      <c r="J721" s="731"/>
      <c r="K721" s="730"/>
      <c r="L721" s="731"/>
      <c r="M721" s="730"/>
      <c r="N721" s="730"/>
      <c r="O721" s="732">
        <f t="shared" si="93"/>
        <v>0</v>
      </c>
      <c r="P721" s="731"/>
      <c r="Q721" s="731"/>
      <c r="R721" s="733">
        <f t="shared" si="96"/>
        <v>0</v>
      </c>
      <c r="S721" s="732">
        <f t="shared" si="97"/>
        <v>0</v>
      </c>
      <c r="T721" s="733">
        <f t="shared" si="98"/>
        <v>0</v>
      </c>
      <c r="U721" s="730"/>
      <c r="V721" s="731"/>
      <c r="W721" s="730"/>
      <c r="X721" s="730"/>
      <c r="Y721" s="732">
        <f t="shared" si="94"/>
        <v>0</v>
      </c>
      <c r="Z721" s="731"/>
      <c r="AA721" s="731"/>
      <c r="AB721" s="733">
        <f t="shared" si="95"/>
        <v>0</v>
      </c>
      <c r="AC721" s="730"/>
      <c r="AD721" s="731"/>
      <c r="AE721" s="730"/>
      <c r="AF721" s="730"/>
      <c r="AG721" s="731"/>
      <c r="AH721" s="731"/>
      <c r="AI721" s="732">
        <f t="shared" si="99"/>
        <v>0</v>
      </c>
      <c r="AJ721" s="733">
        <f t="shared" si="100"/>
        <v>0</v>
      </c>
    </row>
    <row r="722" spans="1:36">
      <c r="A722" s="927" t="s">
        <v>365</v>
      </c>
      <c r="B722" s="961" t="s">
        <v>195</v>
      </c>
      <c r="C722" s="935" t="s">
        <v>165</v>
      </c>
      <c r="D722" s="934"/>
      <c r="E722" s="962"/>
      <c r="F722" s="954">
        <v>99</v>
      </c>
      <c r="G722" s="730"/>
      <c r="H722" s="731"/>
      <c r="I722" s="730"/>
      <c r="J722" s="731"/>
      <c r="K722" s="730"/>
      <c r="L722" s="731"/>
      <c r="M722" s="730"/>
      <c r="N722" s="730"/>
      <c r="O722" s="732">
        <f t="shared" si="93"/>
        <v>0</v>
      </c>
      <c r="P722" s="731"/>
      <c r="Q722" s="731"/>
      <c r="R722" s="733">
        <f t="shared" si="96"/>
        <v>0</v>
      </c>
      <c r="S722" s="732">
        <f t="shared" si="97"/>
        <v>0</v>
      </c>
      <c r="T722" s="733">
        <f t="shared" si="98"/>
        <v>0</v>
      </c>
      <c r="U722" s="730">
        <v>62792274</v>
      </c>
      <c r="V722" s="731">
        <v>68258147</v>
      </c>
      <c r="W722" s="730"/>
      <c r="X722" s="730"/>
      <c r="Y722" s="732">
        <f t="shared" si="94"/>
        <v>0</v>
      </c>
      <c r="Z722" s="731"/>
      <c r="AA722" s="731"/>
      <c r="AB722" s="733">
        <f t="shared" si="95"/>
        <v>0</v>
      </c>
      <c r="AC722" s="730"/>
      <c r="AD722" s="731"/>
      <c r="AE722" s="730"/>
      <c r="AF722" s="730"/>
      <c r="AG722" s="731"/>
      <c r="AH722" s="731"/>
      <c r="AI722" s="732">
        <f t="shared" si="99"/>
        <v>62792274</v>
      </c>
      <c r="AJ722" s="733">
        <f t="shared" si="100"/>
        <v>68258147</v>
      </c>
    </row>
    <row r="723" spans="1:36">
      <c r="A723" s="963" t="s">
        <v>365</v>
      </c>
      <c r="B723" s="689" t="s">
        <v>62</v>
      </c>
      <c r="C723" s="964" t="s">
        <v>1494</v>
      </c>
      <c r="D723" s="965"/>
      <c r="E723" s="46">
        <v>138682</v>
      </c>
      <c r="F723" s="46">
        <v>12</v>
      </c>
      <c r="G723" s="730">
        <v>11629387</v>
      </c>
      <c r="H723" s="731">
        <v>10670910.5</v>
      </c>
      <c r="I723" s="730"/>
      <c r="J723" s="731"/>
      <c r="K723" s="730"/>
      <c r="L723" s="731"/>
      <c r="M723" s="730">
        <v>9898898.2200000007</v>
      </c>
      <c r="N723" s="730"/>
      <c r="O723" s="732">
        <f t="shared" si="93"/>
        <v>9898898.2200000007</v>
      </c>
      <c r="P723" s="731">
        <v>9514181.3100000098</v>
      </c>
      <c r="Q723" s="731"/>
      <c r="R723" s="733">
        <f t="shared" si="96"/>
        <v>9514181.3100000098</v>
      </c>
      <c r="S723" s="732">
        <f t="shared" si="97"/>
        <v>21528285.219999999</v>
      </c>
      <c r="T723" s="733">
        <f t="shared" si="98"/>
        <v>20185091.81000001</v>
      </c>
      <c r="U723" s="730"/>
      <c r="V723" s="731"/>
      <c r="W723" s="730"/>
      <c r="X723" s="730"/>
      <c r="Y723" s="732">
        <f t="shared" si="94"/>
        <v>0</v>
      </c>
      <c r="Z723" s="731"/>
      <c r="AA723" s="731"/>
      <c r="AB723" s="733">
        <f t="shared" si="95"/>
        <v>0</v>
      </c>
      <c r="AC723" s="730"/>
      <c r="AD723" s="731"/>
      <c r="AE723" s="730"/>
      <c r="AF723" s="730"/>
      <c r="AG723" s="731"/>
      <c r="AH723" s="731"/>
      <c r="AI723" s="732">
        <f t="shared" si="99"/>
        <v>21528285.219999999</v>
      </c>
      <c r="AJ723" s="733">
        <f t="shared" si="100"/>
        <v>20185091.81000001</v>
      </c>
    </row>
    <row r="724" spans="1:36">
      <c r="A724" s="963" t="s">
        <v>365</v>
      </c>
      <c r="B724" s="689" t="s">
        <v>62</v>
      </c>
      <c r="C724" s="964" t="s">
        <v>1495</v>
      </c>
      <c r="D724" s="965"/>
      <c r="E724" s="46">
        <v>246813</v>
      </c>
      <c r="F724" s="46">
        <v>12</v>
      </c>
      <c r="G724" s="730">
        <v>12310461</v>
      </c>
      <c r="H724" s="731">
        <v>11361710</v>
      </c>
      <c r="I724" s="730"/>
      <c r="J724" s="731"/>
      <c r="K724" s="730"/>
      <c r="L724" s="731"/>
      <c r="M724" s="730">
        <v>12694957.98</v>
      </c>
      <c r="N724" s="730"/>
      <c r="O724" s="732">
        <f t="shared" si="93"/>
        <v>12694957.98</v>
      </c>
      <c r="P724" s="731">
        <v>11784124.33</v>
      </c>
      <c r="Q724" s="731"/>
      <c r="R724" s="733">
        <f t="shared" si="96"/>
        <v>11784124.33</v>
      </c>
      <c r="S724" s="732">
        <f t="shared" si="97"/>
        <v>25005418.98</v>
      </c>
      <c r="T724" s="733">
        <f t="shared" si="98"/>
        <v>23145834.329999998</v>
      </c>
      <c r="U724" s="730"/>
      <c r="V724" s="731"/>
      <c r="W724" s="730"/>
      <c r="X724" s="730"/>
      <c r="Y724" s="732">
        <f t="shared" si="94"/>
        <v>0</v>
      </c>
      <c r="Z724" s="731"/>
      <c r="AA724" s="731"/>
      <c r="AB724" s="733">
        <f t="shared" si="95"/>
        <v>0</v>
      </c>
      <c r="AC724" s="730"/>
      <c r="AD724" s="731"/>
      <c r="AE724" s="730"/>
      <c r="AF724" s="730"/>
      <c r="AG724" s="731"/>
      <c r="AH724" s="731"/>
      <c r="AI724" s="732">
        <f t="shared" si="99"/>
        <v>25005418.98</v>
      </c>
      <c r="AJ724" s="733">
        <f t="shared" si="100"/>
        <v>23145834.329999998</v>
      </c>
    </row>
    <row r="725" spans="1:36">
      <c r="A725" s="963" t="s">
        <v>365</v>
      </c>
      <c r="B725" s="689" t="s">
        <v>62</v>
      </c>
      <c r="C725" s="964" t="s">
        <v>1496</v>
      </c>
      <c r="D725" s="965"/>
      <c r="E725" s="46">
        <v>138840</v>
      </c>
      <c r="F725" s="46">
        <v>12</v>
      </c>
      <c r="G725" s="730">
        <v>13536643</v>
      </c>
      <c r="H725" s="731">
        <v>12281624</v>
      </c>
      <c r="I725" s="730"/>
      <c r="J725" s="731"/>
      <c r="K725" s="730"/>
      <c r="L725" s="731"/>
      <c r="M725" s="730">
        <v>14842842.199999999</v>
      </c>
      <c r="N725" s="730"/>
      <c r="O725" s="732">
        <f t="shared" si="93"/>
        <v>14842842.199999999</v>
      </c>
      <c r="P725" s="731">
        <v>12974239.51</v>
      </c>
      <c r="Q725" s="731"/>
      <c r="R725" s="733">
        <f t="shared" si="96"/>
        <v>12974239.51</v>
      </c>
      <c r="S725" s="732">
        <f t="shared" si="97"/>
        <v>28379485.199999999</v>
      </c>
      <c r="T725" s="733">
        <f t="shared" si="98"/>
        <v>25255863.509999998</v>
      </c>
      <c r="U725" s="730"/>
      <c r="V725" s="731"/>
      <c r="W725" s="730"/>
      <c r="X725" s="730"/>
      <c r="Y725" s="732">
        <f t="shared" si="94"/>
        <v>0</v>
      </c>
      <c r="Z725" s="731"/>
      <c r="AA725" s="731"/>
      <c r="AB725" s="733">
        <f t="shared" si="95"/>
        <v>0</v>
      </c>
      <c r="AC725" s="730"/>
      <c r="AD725" s="731"/>
      <c r="AE725" s="730"/>
      <c r="AF725" s="730"/>
      <c r="AG725" s="731"/>
      <c r="AH725" s="731"/>
      <c r="AI725" s="732">
        <f t="shared" si="99"/>
        <v>28379485.199999999</v>
      </c>
      <c r="AJ725" s="733">
        <f t="shared" si="100"/>
        <v>25255863.509999998</v>
      </c>
    </row>
    <row r="726" spans="1:36">
      <c r="A726" s="963" t="s">
        <v>365</v>
      </c>
      <c r="B726" s="689" t="s">
        <v>62</v>
      </c>
      <c r="C726" s="964" t="s">
        <v>1497</v>
      </c>
      <c r="D726" s="965"/>
      <c r="E726" s="46">
        <v>138956</v>
      </c>
      <c r="F726" s="46">
        <v>12</v>
      </c>
      <c r="G726" s="730">
        <v>14379569</v>
      </c>
      <c r="H726" s="731">
        <v>13176603.5</v>
      </c>
      <c r="I726" s="730"/>
      <c r="J726" s="731"/>
      <c r="K726" s="730"/>
      <c r="L726" s="731"/>
      <c r="M726" s="730">
        <v>12327778.720000001</v>
      </c>
      <c r="N726" s="730"/>
      <c r="O726" s="732">
        <f t="shared" si="93"/>
        <v>12327778.720000001</v>
      </c>
      <c r="P726" s="731">
        <v>14713897.5</v>
      </c>
      <c r="Q726" s="731"/>
      <c r="R726" s="733">
        <f t="shared" si="96"/>
        <v>14713897.5</v>
      </c>
      <c r="S726" s="732">
        <f t="shared" si="97"/>
        <v>26707347.719999999</v>
      </c>
      <c r="T726" s="733">
        <f t="shared" si="98"/>
        <v>27890501</v>
      </c>
      <c r="U726" s="730"/>
      <c r="V726" s="731"/>
      <c r="W726" s="730"/>
      <c r="X726" s="730"/>
      <c r="Y726" s="732">
        <f t="shared" si="94"/>
        <v>0</v>
      </c>
      <c r="Z726" s="731"/>
      <c r="AA726" s="731"/>
      <c r="AB726" s="733">
        <f t="shared" si="95"/>
        <v>0</v>
      </c>
      <c r="AC726" s="730"/>
      <c r="AD726" s="731"/>
      <c r="AE726" s="730"/>
      <c r="AF726" s="730"/>
      <c r="AG726" s="731"/>
      <c r="AH726" s="731"/>
      <c r="AI726" s="732">
        <f t="shared" si="99"/>
        <v>26707347.719999999</v>
      </c>
      <c r="AJ726" s="733">
        <f t="shared" si="100"/>
        <v>27890501</v>
      </c>
    </row>
    <row r="727" spans="1:36">
      <c r="A727" s="963" t="s">
        <v>365</v>
      </c>
      <c r="B727" s="689" t="s">
        <v>62</v>
      </c>
      <c r="C727" s="964" t="s">
        <v>1498</v>
      </c>
      <c r="D727" s="965"/>
      <c r="E727" s="46">
        <v>483045</v>
      </c>
      <c r="F727" s="46">
        <v>12</v>
      </c>
      <c r="G727" s="730">
        <v>25789261</v>
      </c>
      <c r="H727" s="731">
        <v>21779409.5</v>
      </c>
      <c r="I727" s="730"/>
      <c r="J727" s="731"/>
      <c r="K727" s="730"/>
      <c r="L727" s="731"/>
      <c r="M727" s="730">
        <v>23015638.07</v>
      </c>
      <c r="N727" s="730"/>
      <c r="O727" s="732">
        <f t="shared" si="93"/>
        <v>23015638.07</v>
      </c>
      <c r="P727" s="731">
        <v>21271226.489999998</v>
      </c>
      <c r="Q727" s="731"/>
      <c r="R727" s="733">
        <f t="shared" si="96"/>
        <v>21271226.489999998</v>
      </c>
      <c r="S727" s="732">
        <f t="shared" si="97"/>
        <v>48804899.07</v>
      </c>
      <c r="T727" s="733">
        <f t="shared" si="98"/>
        <v>43050635.989999995</v>
      </c>
      <c r="U727" s="730"/>
      <c r="V727" s="731"/>
      <c r="W727" s="730"/>
      <c r="X727" s="730"/>
      <c r="Y727" s="732">
        <f t="shared" si="94"/>
        <v>0</v>
      </c>
      <c r="Z727" s="731"/>
      <c r="AA727" s="731"/>
      <c r="AB727" s="733">
        <f t="shared" si="95"/>
        <v>0</v>
      </c>
      <c r="AC727" s="730"/>
      <c r="AD727" s="731"/>
      <c r="AE727" s="730"/>
      <c r="AF727" s="730"/>
      <c r="AG727" s="731"/>
      <c r="AH727" s="731"/>
      <c r="AI727" s="732">
        <f t="shared" si="99"/>
        <v>48804899.07</v>
      </c>
      <c r="AJ727" s="733">
        <f t="shared" si="100"/>
        <v>43050635.989999995</v>
      </c>
    </row>
    <row r="728" spans="1:36">
      <c r="A728" s="963" t="s">
        <v>365</v>
      </c>
      <c r="B728" s="689" t="s">
        <v>62</v>
      </c>
      <c r="C728" s="964" t="s">
        <v>1499</v>
      </c>
      <c r="D728" s="965"/>
      <c r="E728" s="46">
        <v>140331</v>
      </c>
      <c r="F728" s="46">
        <v>12</v>
      </c>
      <c r="G728" s="730">
        <v>24257357</v>
      </c>
      <c r="H728" s="731">
        <v>21190925.5</v>
      </c>
      <c r="I728" s="730"/>
      <c r="J728" s="731"/>
      <c r="K728" s="730"/>
      <c r="L728" s="731"/>
      <c r="M728" s="730">
        <v>29923022.77</v>
      </c>
      <c r="N728" s="730"/>
      <c r="O728" s="732">
        <f t="shared" si="93"/>
        <v>29923022.77</v>
      </c>
      <c r="P728" s="731">
        <v>27356718.73</v>
      </c>
      <c r="Q728" s="731"/>
      <c r="R728" s="733">
        <f t="shared" si="96"/>
        <v>27356718.73</v>
      </c>
      <c r="S728" s="732">
        <f t="shared" si="97"/>
        <v>54180379.769999996</v>
      </c>
      <c r="T728" s="733">
        <f t="shared" si="98"/>
        <v>48547644.230000004</v>
      </c>
      <c r="U728" s="730"/>
      <c r="V728" s="731"/>
      <c r="W728" s="730"/>
      <c r="X728" s="730"/>
      <c r="Y728" s="732">
        <f t="shared" si="94"/>
        <v>0</v>
      </c>
      <c r="Z728" s="731"/>
      <c r="AA728" s="731"/>
      <c r="AB728" s="733">
        <f t="shared" si="95"/>
        <v>0</v>
      </c>
      <c r="AC728" s="730"/>
      <c r="AD728" s="731"/>
      <c r="AE728" s="730"/>
      <c r="AF728" s="730"/>
      <c r="AG728" s="731"/>
      <c r="AH728" s="731"/>
      <c r="AI728" s="732">
        <f t="shared" si="99"/>
        <v>54180379.769999996</v>
      </c>
      <c r="AJ728" s="733">
        <f t="shared" si="100"/>
        <v>48547644.230000004</v>
      </c>
    </row>
    <row r="729" spans="1:36">
      <c r="A729" s="963" t="s">
        <v>365</v>
      </c>
      <c r="B729" s="689" t="s">
        <v>62</v>
      </c>
      <c r="C729" s="964" t="s">
        <v>1500</v>
      </c>
      <c r="D729" s="830"/>
      <c r="E729" s="840">
        <v>485458</v>
      </c>
      <c r="F729" s="46">
        <v>12</v>
      </c>
      <c r="G729" s="730">
        <v>13341955</v>
      </c>
      <c r="H729" s="731">
        <v>13632712.5</v>
      </c>
      <c r="I729" s="730"/>
      <c r="J729" s="731"/>
      <c r="K729" s="730"/>
      <c r="L729" s="731"/>
      <c r="M729" s="730">
        <v>10428120.800000001</v>
      </c>
      <c r="N729" s="730"/>
      <c r="O729" s="732">
        <f t="shared" si="93"/>
        <v>10428120.800000001</v>
      </c>
      <c r="P729" s="731">
        <v>9377152.9700000007</v>
      </c>
      <c r="Q729" s="731"/>
      <c r="R729" s="733">
        <f t="shared" si="96"/>
        <v>9377152.9700000007</v>
      </c>
      <c r="S729" s="732">
        <f t="shared" si="97"/>
        <v>23770075.800000001</v>
      </c>
      <c r="T729" s="733">
        <f t="shared" si="98"/>
        <v>23009865.469999999</v>
      </c>
      <c r="U729" s="730"/>
      <c r="V729" s="731"/>
      <c r="W729" s="730"/>
      <c r="X729" s="730"/>
      <c r="Y729" s="732">
        <f t="shared" si="94"/>
        <v>0</v>
      </c>
      <c r="Z729" s="731"/>
      <c r="AA729" s="731"/>
      <c r="AB729" s="733">
        <f t="shared" si="95"/>
        <v>0</v>
      </c>
      <c r="AC729" s="730"/>
      <c r="AD729" s="731"/>
      <c r="AE729" s="730"/>
      <c r="AF729" s="730"/>
      <c r="AG729" s="731"/>
      <c r="AH729" s="731"/>
      <c r="AI729" s="732">
        <f t="shared" si="99"/>
        <v>23770075.800000001</v>
      </c>
      <c r="AJ729" s="733">
        <f t="shared" si="100"/>
        <v>23009865.469999999</v>
      </c>
    </row>
    <row r="730" spans="1:36">
      <c r="A730" s="963" t="s">
        <v>365</v>
      </c>
      <c r="B730" s="689" t="s">
        <v>62</v>
      </c>
      <c r="C730" s="828" t="s">
        <v>1501</v>
      </c>
      <c r="D730" s="965"/>
      <c r="E730" s="46">
        <v>139357</v>
      </c>
      <c r="F730" s="46">
        <v>12</v>
      </c>
      <c r="G730" s="730">
        <v>11491695</v>
      </c>
      <c r="H730" s="731">
        <v>10111639.5</v>
      </c>
      <c r="I730" s="730"/>
      <c r="J730" s="731"/>
      <c r="K730" s="730"/>
      <c r="L730" s="731"/>
      <c r="M730" s="730">
        <v>10823484.460000001</v>
      </c>
      <c r="N730" s="730"/>
      <c r="O730" s="732">
        <f t="shared" si="93"/>
        <v>10823484.460000001</v>
      </c>
      <c r="P730" s="731">
        <v>10055664.050000001</v>
      </c>
      <c r="Q730" s="731"/>
      <c r="R730" s="733">
        <f t="shared" si="96"/>
        <v>10055664.050000001</v>
      </c>
      <c r="S730" s="732">
        <f t="shared" si="97"/>
        <v>22315179.460000001</v>
      </c>
      <c r="T730" s="733">
        <f t="shared" si="98"/>
        <v>20167303.550000001</v>
      </c>
      <c r="U730" s="730"/>
      <c r="V730" s="731"/>
      <c r="W730" s="730"/>
      <c r="X730" s="730"/>
      <c r="Y730" s="732">
        <f t="shared" si="94"/>
        <v>0</v>
      </c>
      <c r="Z730" s="731"/>
      <c r="AA730" s="731"/>
      <c r="AB730" s="733">
        <f t="shared" si="95"/>
        <v>0</v>
      </c>
      <c r="AC730" s="730"/>
      <c r="AD730" s="731"/>
      <c r="AE730" s="730"/>
      <c r="AF730" s="730"/>
      <c r="AG730" s="731"/>
      <c r="AH730" s="731"/>
      <c r="AI730" s="732">
        <f t="shared" si="99"/>
        <v>22315179.460000001</v>
      </c>
      <c r="AJ730" s="733">
        <f t="shared" si="100"/>
        <v>20167303.550000001</v>
      </c>
    </row>
    <row r="731" spans="1:36">
      <c r="A731" s="963" t="s">
        <v>365</v>
      </c>
      <c r="B731" s="689" t="s">
        <v>62</v>
      </c>
      <c r="C731" s="964" t="s">
        <v>1502</v>
      </c>
      <c r="D731" s="965"/>
      <c r="E731" s="46">
        <v>139384</v>
      </c>
      <c r="F731" s="46">
        <v>12</v>
      </c>
      <c r="G731" s="730">
        <v>16963463</v>
      </c>
      <c r="H731" s="731">
        <v>17897038.5</v>
      </c>
      <c r="I731" s="730"/>
      <c r="J731" s="731"/>
      <c r="K731" s="730"/>
      <c r="L731" s="731"/>
      <c r="M731" s="730">
        <v>16359495.050000001</v>
      </c>
      <c r="N731" s="730"/>
      <c r="O731" s="732">
        <f t="shared" si="93"/>
        <v>16359495.050000001</v>
      </c>
      <c r="P731" s="731">
        <v>16675992.5</v>
      </c>
      <c r="Q731" s="731"/>
      <c r="R731" s="733">
        <f t="shared" si="96"/>
        <v>16675992.5</v>
      </c>
      <c r="S731" s="732">
        <f t="shared" si="97"/>
        <v>33322958.050000001</v>
      </c>
      <c r="T731" s="733">
        <f t="shared" si="98"/>
        <v>34573031</v>
      </c>
      <c r="U731" s="730"/>
      <c r="V731" s="731"/>
      <c r="W731" s="730"/>
      <c r="X731" s="730"/>
      <c r="Y731" s="732">
        <f t="shared" si="94"/>
        <v>0</v>
      </c>
      <c r="Z731" s="731"/>
      <c r="AA731" s="731"/>
      <c r="AB731" s="733">
        <f t="shared" si="95"/>
        <v>0</v>
      </c>
      <c r="AC731" s="730"/>
      <c r="AD731" s="731"/>
      <c r="AE731" s="730"/>
      <c r="AF731" s="730"/>
      <c r="AG731" s="731"/>
      <c r="AH731" s="731"/>
      <c r="AI731" s="732">
        <f t="shared" si="99"/>
        <v>33322958.050000001</v>
      </c>
      <c r="AJ731" s="733">
        <f t="shared" si="100"/>
        <v>34573031</v>
      </c>
    </row>
    <row r="732" spans="1:36">
      <c r="A732" s="963" t="s">
        <v>365</v>
      </c>
      <c r="B732" s="689" t="s">
        <v>62</v>
      </c>
      <c r="C732" s="964" t="s">
        <v>1503</v>
      </c>
      <c r="D732" s="831"/>
      <c r="E732" s="46">
        <v>244446</v>
      </c>
      <c r="F732" s="46">
        <v>12</v>
      </c>
      <c r="G732" s="730">
        <v>10443724</v>
      </c>
      <c r="H732" s="731">
        <v>13084959.5</v>
      </c>
      <c r="I732" s="730"/>
      <c r="J732" s="731"/>
      <c r="K732" s="730"/>
      <c r="L732" s="731"/>
      <c r="M732" s="730">
        <v>11480000.640000001</v>
      </c>
      <c r="N732" s="730"/>
      <c r="O732" s="732">
        <f t="shared" si="93"/>
        <v>11480000.640000001</v>
      </c>
      <c r="P732" s="731">
        <v>7967955.8499999996</v>
      </c>
      <c r="Q732" s="731"/>
      <c r="R732" s="733">
        <f t="shared" si="96"/>
        <v>7967955.8499999996</v>
      </c>
      <c r="S732" s="732">
        <f t="shared" si="97"/>
        <v>21923724.640000001</v>
      </c>
      <c r="T732" s="733">
        <f t="shared" si="98"/>
        <v>21052915.350000001</v>
      </c>
      <c r="U732" s="730"/>
      <c r="V732" s="731"/>
      <c r="W732" s="730"/>
      <c r="X732" s="730"/>
      <c r="Y732" s="732">
        <f t="shared" si="94"/>
        <v>0</v>
      </c>
      <c r="Z732" s="731"/>
      <c r="AA732" s="731"/>
      <c r="AB732" s="733">
        <f t="shared" si="95"/>
        <v>0</v>
      </c>
      <c r="AC732" s="730"/>
      <c r="AD732" s="731"/>
      <c r="AE732" s="730"/>
      <c r="AF732" s="730"/>
      <c r="AG732" s="731"/>
      <c r="AH732" s="731"/>
      <c r="AI732" s="732">
        <f t="shared" si="99"/>
        <v>21923724.640000001</v>
      </c>
      <c r="AJ732" s="733">
        <f t="shared" si="100"/>
        <v>21052915.350000001</v>
      </c>
    </row>
    <row r="733" spans="1:36">
      <c r="A733" s="963" t="s">
        <v>365</v>
      </c>
      <c r="B733" s="689" t="s">
        <v>62</v>
      </c>
      <c r="C733" s="964" t="s">
        <v>1504</v>
      </c>
      <c r="D733" s="965"/>
      <c r="E733" s="46">
        <v>140012</v>
      </c>
      <c r="F733" s="46">
        <v>12</v>
      </c>
      <c r="G733" s="730">
        <v>15986317</v>
      </c>
      <c r="H733" s="731">
        <v>15372466</v>
      </c>
      <c r="I733" s="730"/>
      <c r="J733" s="731"/>
      <c r="K733" s="730"/>
      <c r="L733" s="731"/>
      <c r="M733" s="730">
        <v>29950813.57</v>
      </c>
      <c r="N733" s="730"/>
      <c r="O733" s="732">
        <f t="shared" si="93"/>
        <v>29950813.57</v>
      </c>
      <c r="P733" s="731">
        <v>25842038.629999999</v>
      </c>
      <c r="Q733" s="731"/>
      <c r="R733" s="733">
        <f t="shared" si="96"/>
        <v>25842038.629999999</v>
      </c>
      <c r="S733" s="732">
        <f t="shared" si="97"/>
        <v>45937130.57</v>
      </c>
      <c r="T733" s="733">
        <f t="shared" si="98"/>
        <v>41214504.629999995</v>
      </c>
      <c r="U733" s="730"/>
      <c r="V733" s="731"/>
      <c r="W733" s="730"/>
      <c r="X733" s="730"/>
      <c r="Y733" s="732">
        <f t="shared" si="94"/>
        <v>0</v>
      </c>
      <c r="Z733" s="731"/>
      <c r="AA733" s="731"/>
      <c r="AB733" s="733">
        <f t="shared" si="95"/>
        <v>0</v>
      </c>
      <c r="AC733" s="730"/>
      <c r="AD733" s="731"/>
      <c r="AE733" s="730"/>
      <c r="AF733" s="730"/>
      <c r="AG733" s="731"/>
      <c r="AH733" s="731"/>
      <c r="AI733" s="732">
        <f t="shared" si="99"/>
        <v>45937130.57</v>
      </c>
      <c r="AJ733" s="733">
        <f t="shared" si="100"/>
        <v>41214504.629999995</v>
      </c>
    </row>
    <row r="734" spans="1:36">
      <c r="A734" s="963" t="s">
        <v>365</v>
      </c>
      <c r="B734" s="689" t="s">
        <v>62</v>
      </c>
      <c r="C734" s="964" t="s">
        <v>1505</v>
      </c>
      <c r="D734" s="965"/>
      <c r="E734" s="46">
        <v>140243</v>
      </c>
      <c r="F734" s="46">
        <v>12</v>
      </c>
      <c r="G734" s="730">
        <v>11775012</v>
      </c>
      <c r="H734" s="731">
        <v>11078975.5</v>
      </c>
      <c r="I734" s="730"/>
      <c r="J734" s="731"/>
      <c r="K734" s="730"/>
      <c r="L734" s="731"/>
      <c r="M734" s="730">
        <v>15830957.869999999</v>
      </c>
      <c r="N734" s="730"/>
      <c r="O734" s="732">
        <f t="shared" si="93"/>
        <v>15830957.869999999</v>
      </c>
      <c r="P734" s="731">
        <v>14325990.74</v>
      </c>
      <c r="Q734" s="731"/>
      <c r="R734" s="733">
        <f t="shared" si="96"/>
        <v>14325990.74</v>
      </c>
      <c r="S734" s="732">
        <f t="shared" si="97"/>
        <v>27605969.869999997</v>
      </c>
      <c r="T734" s="733">
        <f t="shared" si="98"/>
        <v>25404966.240000002</v>
      </c>
      <c r="U734" s="730"/>
      <c r="V734" s="731"/>
      <c r="W734" s="730"/>
      <c r="X734" s="730"/>
      <c r="Y734" s="732">
        <f t="shared" si="94"/>
        <v>0</v>
      </c>
      <c r="Z734" s="731"/>
      <c r="AA734" s="731"/>
      <c r="AB734" s="733">
        <f t="shared" si="95"/>
        <v>0</v>
      </c>
      <c r="AC734" s="730"/>
      <c r="AD734" s="731"/>
      <c r="AE734" s="730"/>
      <c r="AF734" s="730"/>
      <c r="AG734" s="731"/>
      <c r="AH734" s="731"/>
      <c r="AI734" s="732">
        <f t="shared" si="99"/>
        <v>27605969.869999997</v>
      </c>
      <c r="AJ734" s="733">
        <f t="shared" si="100"/>
        <v>25404966.240000002</v>
      </c>
    </row>
    <row r="735" spans="1:36">
      <c r="A735" s="963" t="s">
        <v>365</v>
      </c>
      <c r="B735" s="689" t="s">
        <v>62</v>
      </c>
      <c r="C735" s="964" t="s">
        <v>1506</v>
      </c>
      <c r="D735" s="965"/>
      <c r="E735" s="46">
        <v>140678</v>
      </c>
      <c r="F735" s="46">
        <v>12</v>
      </c>
      <c r="G735" s="730">
        <v>10547704</v>
      </c>
      <c r="H735" s="731">
        <v>9534759.1999999993</v>
      </c>
      <c r="I735" s="730"/>
      <c r="J735" s="731"/>
      <c r="K735" s="730"/>
      <c r="L735" s="731"/>
      <c r="M735" s="730">
        <v>9767079.3100000005</v>
      </c>
      <c r="N735" s="730"/>
      <c r="O735" s="732">
        <f t="shared" si="93"/>
        <v>9767079.3100000005</v>
      </c>
      <c r="P735" s="731">
        <v>8630782.6199999992</v>
      </c>
      <c r="Q735" s="731"/>
      <c r="R735" s="733">
        <f t="shared" si="96"/>
        <v>8630782.6199999992</v>
      </c>
      <c r="S735" s="732">
        <f t="shared" si="97"/>
        <v>20314783.310000002</v>
      </c>
      <c r="T735" s="733">
        <f t="shared" si="98"/>
        <v>18165541.82</v>
      </c>
      <c r="U735" s="730"/>
      <c r="V735" s="731"/>
      <c r="W735" s="730"/>
      <c r="X735" s="730"/>
      <c r="Y735" s="732">
        <f t="shared" si="94"/>
        <v>0</v>
      </c>
      <c r="Z735" s="731"/>
      <c r="AA735" s="731"/>
      <c r="AB735" s="733">
        <f t="shared" si="95"/>
        <v>0</v>
      </c>
      <c r="AC735" s="730"/>
      <c r="AD735" s="731"/>
      <c r="AE735" s="730"/>
      <c r="AF735" s="730"/>
      <c r="AG735" s="731"/>
      <c r="AH735" s="731"/>
      <c r="AI735" s="732">
        <f t="shared" si="99"/>
        <v>20314783.310000002</v>
      </c>
      <c r="AJ735" s="733">
        <f t="shared" si="100"/>
        <v>18165541.82</v>
      </c>
    </row>
    <row r="736" spans="1:36">
      <c r="A736" s="963" t="s">
        <v>365</v>
      </c>
      <c r="B736" s="689" t="s">
        <v>62</v>
      </c>
      <c r="C736" s="828" t="s">
        <v>1507</v>
      </c>
      <c r="D736" s="965"/>
      <c r="E736" s="46">
        <v>420431</v>
      </c>
      <c r="F736" s="46">
        <v>12</v>
      </c>
      <c r="G736" s="730">
        <v>8868604</v>
      </c>
      <c r="H736" s="731">
        <v>8638909</v>
      </c>
      <c r="I736" s="730"/>
      <c r="J736" s="731"/>
      <c r="K736" s="730"/>
      <c r="L736" s="731"/>
      <c r="M736" s="730">
        <v>5999159.1600000001</v>
      </c>
      <c r="N736" s="730"/>
      <c r="O736" s="732">
        <f t="shared" si="93"/>
        <v>5999159.1600000001</v>
      </c>
      <c r="P736" s="731">
        <v>5611400.4000000004</v>
      </c>
      <c r="Q736" s="731"/>
      <c r="R736" s="733">
        <f t="shared" si="96"/>
        <v>5611400.4000000004</v>
      </c>
      <c r="S736" s="732">
        <f t="shared" si="97"/>
        <v>14867763.16</v>
      </c>
      <c r="T736" s="733">
        <f t="shared" si="98"/>
        <v>14250309.4</v>
      </c>
      <c r="U736" s="730"/>
      <c r="V736" s="731"/>
      <c r="W736" s="730"/>
      <c r="X736" s="730"/>
      <c r="Y736" s="732">
        <f t="shared" si="94"/>
        <v>0</v>
      </c>
      <c r="Z736" s="731"/>
      <c r="AA736" s="731"/>
      <c r="AB736" s="733">
        <f t="shared" si="95"/>
        <v>0</v>
      </c>
      <c r="AC736" s="730"/>
      <c r="AD736" s="731"/>
      <c r="AE736" s="730"/>
      <c r="AF736" s="730"/>
      <c r="AG736" s="731"/>
      <c r="AH736" s="731"/>
      <c r="AI736" s="732">
        <f t="shared" si="99"/>
        <v>14867763.16</v>
      </c>
      <c r="AJ736" s="733">
        <f t="shared" si="100"/>
        <v>14250309.4</v>
      </c>
    </row>
    <row r="737" spans="1:36">
      <c r="A737" s="963" t="s">
        <v>365</v>
      </c>
      <c r="B737" s="689" t="s">
        <v>62</v>
      </c>
      <c r="C737" s="964" t="s">
        <v>1508</v>
      </c>
      <c r="D737" s="965"/>
      <c r="E737" s="46">
        <v>366465</v>
      </c>
      <c r="F737" s="46">
        <v>12</v>
      </c>
      <c r="G737" s="730">
        <v>8726105</v>
      </c>
      <c r="H737" s="731">
        <v>7916017</v>
      </c>
      <c r="I737" s="730"/>
      <c r="J737" s="731"/>
      <c r="K737" s="730"/>
      <c r="L737" s="731"/>
      <c r="M737" s="730">
        <v>8129015.7300000004</v>
      </c>
      <c r="N737" s="730"/>
      <c r="O737" s="732">
        <f t="shared" si="93"/>
        <v>8129015.7300000004</v>
      </c>
      <c r="P737" s="731">
        <v>8824906.3000000007</v>
      </c>
      <c r="Q737" s="731"/>
      <c r="R737" s="733">
        <f t="shared" si="96"/>
        <v>8824906.3000000007</v>
      </c>
      <c r="S737" s="732">
        <f t="shared" si="97"/>
        <v>16855120.73</v>
      </c>
      <c r="T737" s="733">
        <f t="shared" si="98"/>
        <v>16740923.300000001</v>
      </c>
      <c r="U737" s="730"/>
      <c r="V737" s="731"/>
      <c r="W737" s="730"/>
      <c r="X737" s="730"/>
      <c r="Y737" s="732">
        <f t="shared" si="94"/>
        <v>0</v>
      </c>
      <c r="Z737" s="731"/>
      <c r="AA737" s="731"/>
      <c r="AB737" s="733">
        <f t="shared" si="95"/>
        <v>0</v>
      </c>
      <c r="AC737" s="730"/>
      <c r="AD737" s="731"/>
      <c r="AE737" s="730"/>
      <c r="AF737" s="730"/>
      <c r="AG737" s="731"/>
      <c r="AH737" s="731"/>
      <c r="AI737" s="732">
        <f t="shared" si="99"/>
        <v>16855120.73</v>
      </c>
      <c r="AJ737" s="733">
        <f t="shared" si="100"/>
        <v>16740923.300000001</v>
      </c>
    </row>
    <row r="738" spans="1:36">
      <c r="A738" s="963" t="s">
        <v>365</v>
      </c>
      <c r="B738" s="689" t="s">
        <v>62</v>
      </c>
      <c r="C738" s="964" t="s">
        <v>1509</v>
      </c>
      <c r="D738" s="965"/>
      <c r="E738" s="46">
        <v>140942</v>
      </c>
      <c r="F738" s="46">
        <v>12</v>
      </c>
      <c r="G738" s="730">
        <v>13710317</v>
      </c>
      <c r="H738" s="731">
        <v>12565772.5</v>
      </c>
      <c r="I738" s="730"/>
      <c r="J738" s="731"/>
      <c r="K738" s="730"/>
      <c r="L738" s="731"/>
      <c r="M738" s="730">
        <v>14603534.810000001</v>
      </c>
      <c r="N738" s="730"/>
      <c r="O738" s="732">
        <f t="shared" si="93"/>
        <v>14603534.810000001</v>
      </c>
      <c r="P738" s="731">
        <v>13599367.199999999</v>
      </c>
      <c r="Q738" s="731"/>
      <c r="R738" s="733">
        <f t="shared" si="96"/>
        <v>13599367.199999999</v>
      </c>
      <c r="S738" s="732">
        <f t="shared" si="97"/>
        <v>28313851.810000002</v>
      </c>
      <c r="T738" s="733">
        <f t="shared" si="98"/>
        <v>26165139.699999999</v>
      </c>
      <c r="U738" s="730"/>
      <c r="V738" s="731"/>
      <c r="W738" s="730"/>
      <c r="X738" s="730"/>
      <c r="Y738" s="732">
        <f t="shared" si="94"/>
        <v>0</v>
      </c>
      <c r="Z738" s="731"/>
      <c r="AA738" s="731"/>
      <c r="AB738" s="733">
        <f t="shared" si="95"/>
        <v>0</v>
      </c>
      <c r="AC738" s="730"/>
      <c r="AD738" s="731"/>
      <c r="AE738" s="730"/>
      <c r="AF738" s="730"/>
      <c r="AG738" s="731"/>
      <c r="AH738" s="731"/>
      <c r="AI738" s="732">
        <f t="shared" si="99"/>
        <v>28313851.810000002</v>
      </c>
      <c r="AJ738" s="733">
        <f t="shared" si="100"/>
        <v>26165139.699999999</v>
      </c>
    </row>
    <row r="739" spans="1:36">
      <c r="A739" s="963" t="s">
        <v>365</v>
      </c>
      <c r="B739" s="689" t="s">
        <v>62</v>
      </c>
      <c r="C739" s="964" t="s">
        <v>1510</v>
      </c>
      <c r="D739" s="965"/>
      <c r="E739" s="46">
        <v>141006</v>
      </c>
      <c r="F739" s="46">
        <v>12</v>
      </c>
      <c r="G739" s="730">
        <v>9173855</v>
      </c>
      <c r="H739" s="731">
        <v>8390398.5</v>
      </c>
      <c r="I739" s="730"/>
      <c r="J739" s="731"/>
      <c r="K739" s="730"/>
      <c r="L739" s="731"/>
      <c r="M739" s="730">
        <v>6821116.9100000001</v>
      </c>
      <c r="N739" s="730"/>
      <c r="O739" s="732">
        <f t="shared" si="93"/>
        <v>6821116.9100000001</v>
      </c>
      <c r="P739" s="731">
        <v>5986114.2599999998</v>
      </c>
      <c r="Q739" s="731"/>
      <c r="R739" s="733">
        <f t="shared" si="96"/>
        <v>5986114.2599999998</v>
      </c>
      <c r="S739" s="732">
        <f t="shared" si="97"/>
        <v>15994971.91</v>
      </c>
      <c r="T739" s="733">
        <f t="shared" si="98"/>
        <v>14376512.76</v>
      </c>
      <c r="U739" s="730"/>
      <c r="V739" s="731"/>
      <c r="W739" s="730"/>
      <c r="X739" s="730"/>
      <c r="Y739" s="732">
        <f t="shared" si="94"/>
        <v>0</v>
      </c>
      <c r="Z739" s="731"/>
      <c r="AA739" s="731"/>
      <c r="AB739" s="733">
        <f t="shared" si="95"/>
        <v>0</v>
      </c>
      <c r="AC739" s="730"/>
      <c r="AD739" s="731"/>
      <c r="AE739" s="730"/>
      <c r="AF739" s="730"/>
      <c r="AG739" s="731"/>
      <c r="AH739" s="731"/>
      <c r="AI739" s="732">
        <f t="shared" si="99"/>
        <v>15994971.91</v>
      </c>
      <c r="AJ739" s="733">
        <f t="shared" si="100"/>
        <v>14376512.76</v>
      </c>
    </row>
    <row r="740" spans="1:36">
      <c r="A740" s="963" t="s">
        <v>365</v>
      </c>
      <c r="B740" s="689" t="s">
        <v>62</v>
      </c>
      <c r="C740" s="964" t="s">
        <v>1511</v>
      </c>
      <c r="D740" s="965"/>
      <c r="E740" s="46">
        <v>368911</v>
      </c>
      <c r="F740" s="46">
        <v>12</v>
      </c>
      <c r="G740" s="730">
        <v>9381094</v>
      </c>
      <c r="H740" s="731">
        <v>7843864.5</v>
      </c>
      <c r="I740" s="730"/>
      <c r="J740" s="731"/>
      <c r="K740" s="730"/>
      <c r="L740" s="731"/>
      <c r="M740" s="730">
        <v>5944644.6399999997</v>
      </c>
      <c r="N740" s="730"/>
      <c r="O740" s="732">
        <f t="shared" si="93"/>
        <v>5944644.6399999997</v>
      </c>
      <c r="P740" s="731">
        <v>4951555.6500000004</v>
      </c>
      <c r="Q740" s="731"/>
      <c r="R740" s="733">
        <f t="shared" si="96"/>
        <v>4951555.6500000004</v>
      </c>
      <c r="S740" s="732">
        <f t="shared" si="97"/>
        <v>15325738.640000001</v>
      </c>
      <c r="T740" s="733">
        <f t="shared" si="98"/>
        <v>12795420.15</v>
      </c>
      <c r="U740" s="730"/>
      <c r="V740" s="731"/>
      <c r="W740" s="730"/>
      <c r="X740" s="730"/>
      <c r="Y740" s="732">
        <f t="shared" si="94"/>
        <v>0</v>
      </c>
      <c r="Z740" s="731"/>
      <c r="AA740" s="731"/>
      <c r="AB740" s="733">
        <f t="shared" si="95"/>
        <v>0</v>
      </c>
      <c r="AC740" s="730"/>
      <c r="AD740" s="731"/>
      <c r="AE740" s="730"/>
      <c r="AF740" s="730"/>
      <c r="AG740" s="731"/>
      <c r="AH740" s="731"/>
      <c r="AI740" s="732">
        <f t="shared" si="99"/>
        <v>15325738.640000001</v>
      </c>
      <c r="AJ740" s="733">
        <f t="shared" si="100"/>
        <v>12795420.15</v>
      </c>
    </row>
    <row r="741" spans="1:36">
      <c r="A741" s="963" t="s">
        <v>365</v>
      </c>
      <c r="B741" s="689" t="s">
        <v>62</v>
      </c>
      <c r="C741" s="964" t="s">
        <v>1512</v>
      </c>
      <c r="D741" s="965"/>
      <c r="E741" s="46">
        <v>139986</v>
      </c>
      <c r="F741" s="46">
        <v>12</v>
      </c>
      <c r="G741" s="730">
        <v>14184052</v>
      </c>
      <c r="H741" s="731">
        <v>13405735</v>
      </c>
      <c r="I741" s="730"/>
      <c r="J741" s="731"/>
      <c r="K741" s="730"/>
      <c r="L741" s="731"/>
      <c r="M741" s="730">
        <v>16442767.550000001</v>
      </c>
      <c r="N741" s="730"/>
      <c r="O741" s="732">
        <f t="shared" si="93"/>
        <v>16442767.550000001</v>
      </c>
      <c r="P741" s="731">
        <v>15887561.27</v>
      </c>
      <c r="Q741" s="731"/>
      <c r="R741" s="733">
        <f t="shared" si="96"/>
        <v>15887561.27</v>
      </c>
      <c r="S741" s="732">
        <f t="shared" si="97"/>
        <v>30626819.550000001</v>
      </c>
      <c r="T741" s="733">
        <f t="shared" si="98"/>
        <v>29293296.27</v>
      </c>
      <c r="U741" s="730"/>
      <c r="V741" s="731"/>
      <c r="W741" s="730"/>
      <c r="X741" s="730"/>
      <c r="Y741" s="732">
        <f t="shared" si="94"/>
        <v>0</v>
      </c>
      <c r="Z741" s="731"/>
      <c r="AA741" s="731"/>
      <c r="AB741" s="733">
        <f t="shared" si="95"/>
        <v>0</v>
      </c>
      <c r="AC741" s="730"/>
      <c r="AD741" s="731"/>
      <c r="AE741" s="730"/>
      <c r="AF741" s="730"/>
      <c r="AG741" s="731"/>
      <c r="AH741" s="731"/>
      <c r="AI741" s="732">
        <f t="shared" si="99"/>
        <v>30626819.550000001</v>
      </c>
      <c r="AJ741" s="733">
        <f t="shared" si="100"/>
        <v>29293296.27</v>
      </c>
    </row>
    <row r="742" spans="1:36">
      <c r="A742" s="963" t="s">
        <v>365</v>
      </c>
      <c r="B742" s="689" t="s">
        <v>62</v>
      </c>
      <c r="C742" s="964" t="s">
        <v>1513</v>
      </c>
      <c r="D742" s="830"/>
      <c r="E742" s="840">
        <v>487162</v>
      </c>
      <c r="F742" s="46">
        <v>12</v>
      </c>
      <c r="G742" s="730">
        <v>19223727</v>
      </c>
      <c r="H742" s="731">
        <v>17597532</v>
      </c>
      <c r="I742" s="730"/>
      <c r="J742" s="731"/>
      <c r="K742" s="730"/>
      <c r="L742" s="731"/>
      <c r="M742" s="730">
        <v>13933618.58</v>
      </c>
      <c r="N742" s="730"/>
      <c r="O742" s="732">
        <f t="shared" si="93"/>
        <v>13933618.58</v>
      </c>
      <c r="P742" s="731">
        <v>12257923.27</v>
      </c>
      <c r="Q742" s="731"/>
      <c r="R742" s="733">
        <f t="shared" si="96"/>
        <v>12257923.27</v>
      </c>
      <c r="S742" s="732">
        <f t="shared" si="97"/>
        <v>33157345.579999998</v>
      </c>
      <c r="T742" s="733">
        <f t="shared" si="98"/>
        <v>29855455.27</v>
      </c>
      <c r="U742" s="730"/>
      <c r="V742" s="731"/>
      <c r="W742" s="730"/>
      <c r="X742" s="730"/>
      <c r="Y742" s="732">
        <f t="shared" si="94"/>
        <v>0</v>
      </c>
      <c r="Z742" s="731"/>
      <c r="AA742" s="731"/>
      <c r="AB742" s="733">
        <f t="shared" si="95"/>
        <v>0</v>
      </c>
      <c r="AC742" s="730"/>
      <c r="AD742" s="731"/>
      <c r="AE742" s="730"/>
      <c r="AF742" s="730"/>
      <c r="AG742" s="731"/>
      <c r="AH742" s="731"/>
      <c r="AI742" s="732">
        <f t="shared" si="99"/>
        <v>33157345.579999998</v>
      </c>
      <c r="AJ742" s="733">
        <f t="shared" si="100"/>
        <v>29855455.27</v>
      </c>
    </row>
    <row r="743" spans="1:36">
      <c r="A743" s="963" t="s">
        <v>365</v>
      </c>
      <c r="B743" s="689" t="s">
        <v>62</v>
      </c>
      <c r="C743" s="964" t="s">
        <v>1514</v>
      </c>
      <c r="D743" s="965"/>
      <c r="E743" s="46">
        <v>139278</v>
      </c>
      <c r="F743" s="46">
        <v>12</v>
      </c>
      <c r="G743" s="730">
        <v>20242347</v>
      </c>
      <c r="H743" s="731">
        <v>17625975.5</v>
      </c>
      <c r="I743" s="730"/>
      <c r="J743" s="731"/>
      <c r="K743" s="730"/>
      <c r="L743" s="731"/>
      <c r="M743" s="730">
        <v>20568774.899999999</v>
      </c>
      <c r="N743" s="730"/>
      <c r="O743" s="732">
        <f t="shared" si="93"/>
        <v>20568774.899999999</v>
      </c>
      <c r="P743" s="731">
        <v>18148523.989999998</v>
      </c>
      <c r="Q743" s="731"/>
      <c r="R743" s="733">
        <f t="shared" si="96"/>
        <v>18148523.989999998</v>
      </c>
      <c r="S743" s="732">
        <f t="shared" si="97"/>
        <v>40811121.899999999</v>
      </c>
      <c r="T743" s="733">
        <f t="shared" si="98"/>
        <v>35774499.489999995</v>
      </c>
      <c r="U743" s="730"/>
      <c r="V743" s="731"/>
      <c r="W743" s="730"/>
      <c r="X743" s="730"/>
      <c r="Y743" s="732">
        <f t="shared" si="94"/>
        <v>0</v>
      </c>
      <c r="Z743" s="731"/>
      <c r="AA743" s="731"/>
      <c r="AB743" s="733">
        <f t="shared" si="95"/>
        <v>0</v>
      </c>
      <c r="AC743" s="730"/>
      <c r="AD743" s="731"/>
      <c r="AE743" s="730"/>
      <c r="AF743" s="730"/>
      <c r="AG743" s="731"/>
      <c r="AH743" s="731"/>
      <c r="AI743" s="732">
        <f t="shared" si="99"/>
        <v>40811121.899999999</v>
      </c>
      <c r="AJ743" s="733">
        <f t="shared" si="100"/>
        <v>35774499.489999995</v>
      </c>
    </row>
    <row r="744" spans="1:36">
      <c r="A744" s="963" t="s">
        <v>365</v>
      </c>
      <c r="B744" s="689" t="s">
        <v>62</v>
      </c>
      <c r="C744" s="964" t="s">
        <v>1515</v>
      </c>
      <c r="D744" s="965"/>
      <c r="E744" s="46">
        <v>141255</v>
      </c>
      <c r="F744" s="46">
        <v>12</v>
      </c>
      <c r="G744" s="730">
        <v>14772223</v>
      </c>
      <c r="H744" s="731">
        <v>11665779.5</v>
      </c>
      <c r="I744" s="730"/>
      <c r="J744" s="731"/>
      <c r="K744" s="730"/>
      <c r="L744" s="731"/>
      <c r="M744" s="730">
        <v>13356519.630000001</v>
      </c>
      <c r="N744" s="730"/>
      <c r="O744" s="732">
        <f t="shared" si="93"/>
        <v>13356519.630000001</v>
      </c>
      <c r="P744" s="731">
        <v>12277758.58</v>
      </c>
      <c r="Q744" s="731"/>
      <c r="R744" s="733">
        <f t="shared" si="96"/>
        <v>12277758.58</v>
      </c>
      <c r="S744" s="732">
        <f t="shared" si="97"/>
        <v>28128742.630000003</v>
      </c>
      <c r="T744" s="733">
        <f t="shared" si="98"/>
        <v>23943538.079999998</v>
      </c>
      <c r="U744" s="730"/>
      <c r="V744" s="731"/>
      <c r="W744" s="730"/>
      <c r="X744" s="730"/>
      <c r="Y744" s="732">
        <f t="shared" si="94"/>
        <v>0</v>
      </c>
      <c r="Z744" s="731"/>
      <c r="AA744" s="731"/>
      <c r="AB744" s="733">
        <f t="shared" si="95"/>
        <v>0</v>
      </c>
      <c r="AC744" s="730"/>
      <c r="AD744" s="731"/>
      <c r="AE744" s="730"/>
      <c r="AF744" s="730"/>
      <c r="AG744" s="731"/>
      <c r="AH744" s="731"/>
      <c r="AI744" s="732">
        <f t="shared" si="99"/>
        <v>28128742.630000003</v>
      </c>
      <c r="AJ744" s="733">
        <f t="shared" si="100"/>
        <v>23943538.079999998</v>
      </c>
    </row>
    <row r="745" spans="1:36">
      <c r="A745" s="963" t="s">
        <v>365</v>
      </c>
      <c r="B745" s="689" t="s">
        <v>138</v>
      </c>
      <c r="C745" s="690" t="s">
        <v>139</v>
      </c>
      <c r="D745" s="690"/>
      <c r="E745" s="833"/>
      <c r="F745" s="840">
        <v>99</v>
      </c>
      <c r="G745" s="730"/>
      <c r="H745" s="731"/>
      <c r="I745" s="730"/>
      <c r="J745" s="731"/>
      <c r="K745" s="730"/>
      <c r="L745" s="731"/>
      <c r="M745" s="730"/>
      <c r="N745" s="730"/>
      <c r="O745" s="732">
        <f t="shared" si="93"/>
        <v>0</v>
      </c>
      <c r="P745" s="731"/>
      <c r="Q745" s="731"/>
      <c r="R745" s="733">
        <f t="shared" si="96"/>
        <v>0</v>
      </c>
      <c r="S745" s="732">
        <f t="shared" si="97"/>
        <v>0</v>
      </c>
      <c r="T745" s="733">
        <f t="shared" si="98"/>
        <v>0</v>
      </c>
      <c r="U745" s="730"/>
      <c r="V745" s="731"/>
      <c r="W745" s="730"/>
      <c r="X745" s="730"/>
      <c r="Y745" s="732">
        <f t="shared" si="94"/>
        <v>0</v>
      </c>
      <c r="Z745" s="731"/>
      <c r="AA745" s="731"/>
      <c r="AB745" s="733">
        <f t="shared" si="95"/>
        <v>0</v>
      </c>
      <c r="AC745" s="730"/>
      <c r="AD745" s="731"/>
      <c r="AE745" s="730"/>
      <c r="AF745" s="730"/>
      <c r="AG745" s="731"/>
      <c r="AH745" s="731"/>
      <c r="AI745" s="732">
        <f t="shared" si="99"/>
        <v>0</v>
      </c>
      <c r="AJ745" s="733">
        <f t="shared" si="100"/>
        <v>0</v>
      </c>
    </row>
    <row r="746" spans="1:36">
      <c r="A746" s="963" t="s">
        <v>365</v>
      </c>
      <c r="B746" s="689" t="s">
        <v>142</v>
      </c>
      <c r="C746" s="966" t="s">
        <v>143</v>
      </c>
      <c r="D746" s="967"/>
      <c r="E746" s="833"/>
      <c r="F746" s="840">
        <v>99</v>
      </c>
      <c r="G746" s="730"/>
      <c r="H746" s="731"/>
      <c r="I746" s="730"/>
      <c r="J746" s="731"/>
      <c r="K746" s="730"/>
      <c r="L746" s="731"/>
      <c r="M746" s="730"/>
      <c r="N746" s="730"/>
      <c r="O746" s="732">
        <f t="shared" si="93"/>
        <v>0</v>
      </c>
      <c r="P746" s="731"/>
      <c r="Q746" s="731"/>
      <c r="R746" s="733">
        <f t="shared" si="96"/>
        <v>0</v>
      </c>
      <c r="S746" s="732">
        <f t="shared" si="97"/>
        <v>0</v>
      </c>
      <c r="T746" s="733">
        <f t="shared" si="98"/>
        <v>0</v>
      </c>
      <c r="U746" s="730"/>
      <c r="V746" s="731"/>
      <c r="W746" s="730"/>
      <c r="X746" s="730"/>
      <c r="Y746" s="732">
        <f t="shared" si="94"/>
        <v>0</v>
      </c>
      <c r="Z746" s="731"/>
      <c r="AA746" s="731"/>
      <c r="AB746" s="733">
        <f t="shared" si="95"/>
        <v>0</v>
      </c>
      <c r="AC746" s="730"/>
      <c r="AD746" s="731"/>
      <c r="AE746" s="730"/>
      <c r="AF746" s="730"/>
      <c r="AG746" s="731"/>
      <c r="AH746" s="731"/>
      <c r="AI746" s="732">
        <f t="shared" si="99"/>
        <v>0</v>
      </c>
      <c r="AJ746" s="733">
        <f t="shared" si="100"/>
        <v>0</v>
      </c>
    </row>
    <row r="747" spans="1:36">
      <c r="A747" s="963" t="s">
        <v>365</v>
      </c>
      <c r="B747" s="689" t="s">
        <v>142</v>
      </c>
      <c r="C747" s="968" t="s">
        <v>1516</v>
      </c>
      <c r="D747" s="967"/>
      <c r="E747" s="833"/>
      <c r="F747" s="840">
        <v>99</v>
      </c>
      <c r="G747" s="730"/>
      <c r="H747" s="731"/>
      <c r="I747" s="730"/>
      <c r="J747" s="731"/>
      <c r="K747" s="730"/>
      <c r="L747" s="731"/>
      <c r="M747" s="730"/>
      <c r="N747" s="730"/>
      <c r="O747" s="732">
        <f t="shared" si="93"/>
        <v>0</v>
      </c>
      <c r="P747" s="731"/>
      <c r="Q747" s="731"/>
      <c r="R747" s="733">
        <f t="shared" si="96"/>
        <v>0</v>
      </c>
      <c r="S747" s="732">
        <f t="shared" si="97"/>
        <v>0</v>
      </c>
      <c r="T747" s="733">
        <f t="shared" si="98"/>
        <v>0</v>
      </c>
      <c r="U747" s="730"/>
      <c r="V747" s="731"/>
      <c r="W747" s="730"/>
      <c r="X747" s="730"/>
      <c r="Y747" s="732">
        <f t="shared" si="94"/>
        <v>0</v>
      </c>
      <c r="Z747" s="731"/>
      <c r="AA747" s="731"/>
      <c r="AB747" s="733">
        <f t="shared" si="95"/>
        <v>0</v>
      </c>
      <c r="AC747" s="730"/>
      <c r="AD747" s="731"/>
      <c r="AE747" s="730"/>
      <c r="AF747" s="730"/>
      <c r="AG747" s="731"/>
      <c r="AH747" s="731"/>
      <c r="AI747" s="732">
        <f t="shared" si="99"/>
        <v>0</v>
      </c>
      <c r="AJ747" s="733">
        <f t="shared" si="100"/>
        <v>0</v>
      </c>
    </row>
    <row r="748" spans="1:36">
      <c r="A748" s="846" t="s">
        <v>432</v>
      </c>
      <c r="B748" s="878" t="s">
        <v>62</v>
      </c>
      <c r="C748" s="969" t="s">
        <v>433</v>
      </c>
      <c r="D748" s="861" t="s">
        <v>1784</v>
      </c>
      <c r="E748" s="850">
        <v>157085</v>
      </c>
      <c r="F748" s="851">
        <v>1</v>
      </c>
      <c r="G748" s="730">
        <v>129293200</v>
      </c>
      <c r="H748" s="731">
        <v>132281300</v>
      </c>
      <c r="I748" s="730"/>
      <c r="J748" s="731"/>
      <c r="K748" s="730">
        <v>27915000</v>
      </c>
      <c r="L748" s="731">
        <v>27285000</v>
      </c>
      <c r="M748" s="730">
        <v>465746200</v>
      </c>
      <c r="N748" s="730">
        <v>8023000</v>
      </c>
      <c r="O748" s="732">
        <f t="shared" si="93"/>
        <v>473769200</v>
      </c>
      <c r="P748" s="731">
        <v>471360494.75999999</v>
      </c>
      <c r="Q748" s="1150">
        <v>3927894</v>
      </c>
      <c r="R748" s="733">
        <f t="shared" si="96"/>
        <v>475288388.75999999</v>
      </c>
      <c r="S748" s="732">
        <f t="shared" si="97"/>
        <v>622954400</v>
      </c>
      <c r="T748" s="733">
        <f t="shared" si="98"/>
        <v>630926794.75999999</v>
      </c>
      <c r="U748" s="730"/>
      <c r="V748" s="731"/>
      <c r="W748" s="730"/>
      <c r="X748" s="730"/>
      <c r="Y748" s="732">
        <f t="shared" si="94"/>
        <v>0</v>
      </c>
      <c r="Z748" s="731"/>
      <c r="AA748" s="731"/>
      <c r="AB748" s="733">
        <f t="shared" si="95"/>
        <v>0</v>
      </c>
      <c r="AC748" s="730"/>
      <c r="AD748" s="731"/>
      <c r="AE748" s="730"/>
      <c r="AF748" s="730"/>
      <c r="AG748" s="731"/>
      <c r="AH748" s="731"/>
      <c r="AI748" s="732">
        <f t="shared" si="99"/>
        <v>622954400</v>
      </c>
      <c r="AJ748" s="733">
        <f t="shared" si="100"/>
        <v>630926794.75999999</v>
      </c>
    </row>
    <row r="749" spans="1:36">
      <c r="A749" s="846" t="s">
        <v>432</v>
      </c>
      <c r="B749" s="878" t="s">
        <v>64</v>
      </c>
      <c r="C749" s="875" t="s">
        <v>334</v>
      </c>
      <c r="D749" s="861" t="s">
        <v>1784</v>
      </c>
      <c r="E749" s="850">
        <v>157085</v>
      </c>
      <c r="F749" s="851">
        <v>1</v>
      </c>
      <c r="G749" s="730"/>
      <c r="H749" s="731"/>
      <c r="I749" s="730"/>
      <c r="J749" s="731"/>
      <c r="K749" s="730"/>
      <c r="L749" s="731"/>
      <c r="M749" s="730"/>
      <c r="N749" s="730"/>
      <c r="O749" s="732">
        <f t="shared" si="93"/>
        <v>0</v>
      </c>
      <c r="P749" s="731"/>
      <c r="Q749" s="731"/>
      <c r="R749" s="733">
        <f t="shared" si="96"/>
        <v>0</v>
      </c>
      <c r="S749" s="732">
        <f t="shared" si="97"/>
        <v>0</v>
      </c>
      <c r="T749" s="733">
        <f t="shared" si="98"/>
        <v>0</v>
      </c>
      <c r="U749" s="730"/>
      <c r="V749" s="731"/>
      <c r="W749" s="730"/>
      <c r="X749" s="730"/>
      <c r="Y749" s="732">
        <f t="shared" si="94"/>
        <v>0</v>
      </c>
      <c r="Z749" s="731"/>
      <c r="AA749" s="731"/>
      <c r="AB749" s="733">
        <f t="shared" si="95"/>
        <v>0</v>
      </c>
      <c r="AC749" s="730">
        <v>52380700</v>
      </c>
      <c r="AD749" s="731">
        <v>52380700</v>
      </c>
      <c r="AE749" s="730">
        <v>40630783</v>
      </c>
      <c r="AF749" s="730"/>
      <c r="AG749" s="731">
        <v>44082611.240000002</v>
      </c>
      <c r="AH749" s="731"/>
      <c r="AI749" s="732">
        <f t="shared" si="99"/>
        <v>93011483</v>
      </c>
      <c r="AJ749" s="733">
        <f t="shared" si="100"/>
        <v>96463311.24000001</v>
      </c>
    </row>
    <row r="750" spans="1:36">
      <c r="A750" s="846" t="s">
        <v>432</v>
      </c>
      <c r="B750" s="878" t="s">
        <v>69</v>
      </c>
      <c r="C750" s="870" t="s">
        <v>371</v>
      </c>
      <c r="D750" s="861" t="s">
        <v>1784</v>
      </c>
      <c r="E750" s="850">
        <v>157085</v>
      </c>
      <c r="F750" s="851">
        <v>1</v>
      </c>
      <c r="G750" s="730"/>
      <c r="H750" s="731"/>
      <c r="I750" s="730"/>
      <c r="J750" s="731"/>
      <c r="K750" s="730"/>
      <c r="L750" s="731"/>
      <c r="M750" s="730"/>
      <c r="N750" s="730"/>
      <c r="O750" s="732">
        <f t="shared" si="93"/>
        <v>0</v>
      </c>
      <c r="P750" s="731"/>
      <c r="Q750" s="731"/>
      <c r="R750" s="733">
        <f t="shared" si="96"/>
        <v>0</v>
      </c>
      <c r="S750" s="732">
        <f t="shared" si="97"/>
        <v>0</v>
      </c>
      <c r="T750" s="733">
        <f t="shared" si="98"/>
        <v>0</v>
      </c>
      <c r="U750" s="730"/>
      <c r="V750" s="731"/>
      <c r="W750" s="730"/>
      <c r="X750" s="730"/>
      <c r="Y750" s="732">
        <f t="shared" si="94"/>
        <v>0</v>
      </c>
      <c r="Z750" s="731"/>
      <c r="AA750" s="731"/>
      <c r="AB750" s="733">
        <f t="shared" si="95"/>
        <v>0</v>
      </c>
      <c r="AC750" s="730"/>
      <c r="AD750" s="731"/>
      <c r="AE750" s="730"/>
      <c r="AF750" s="730"/>
      <c r="AG750" s="731"/>
      <c r="AH750" s="731"/>
      <c r="AI750" s="732">
        <f t="shared" si="99"/>
        <v>0</v>
      </c>
      <c r="AJ750" s="733">
        <f t="shared" si="100"/>
        <v>0</v>
      </c>
    </row>
    <row r="751" spans="1:36">
      <c r="A751" s="846" t="s">
        <v>432</v>
      </c>
      <c r="B751" s="878" t="s">
        <v>69</v>
      </c>
      <c r="C751" s="875" t="s">
        <v>434</v>
      </c>
      <c r="D751" s="861" t="s">
        <v>1784</v>
      </c>
      <c r="E751" s="850">
        <v>157085</v>
      </c>
      <c r="F751" s="851">
        <v>1</v>
      </c>
      <c r="G751" s="730"/>
      <c r="H751" s="731"/>
      <c r="I751" s="730">
        <v>4034200</v>
      </c>
      <c r="J751" s="731">
        <v>4034200</v>
      </c>
      <c r="K751" s="730"/>
      <c r="L751" s="731"/>
      <c r="M751" s="730"/>
      <c r="N751" s="730"/>
      <c r="O751" s="732">
        <f t="shared" si="93"/>
        <v>0</v>
      </c>
      <c r="P751" s="731"/>
      <c r="Q751" s="731"/>
      <c r="R751" s="733">
        <f t="shared" si="96"/>
        <v>0</v>
      </c>
      <c r="S751" s="732">
        <f t="shared" si="97"/>
        <v>4034200</v>
      </c>
      <c r="T751" s="733">
        <f t="shared" si="98"/>
        <v>4034200</v>
      </c>
      <c r="U751" s="730"/>
      <c r="V751" s="731"/>
      <c r="W751" s="730"/>
      <c r="X751" s="730"/>
      <c r="Y751" s="732">
        <f t="shared" si="94"/>
        <v>0</v>
      </c>
      <c r="Z751" s="731"/>
      <c r="AA751" s="731"/>
      <c r="AB751" s="733">
        <f t="shared" si="95"/>
        <v>0</v>
      </c>
      <c r="AC751" s="730"/>
      <c r="AD751" s="731"/>
      <c r="AE751" s="730"/>
      <c r="AF751" s="730"/>
      <c r="AG751" s="731"/>
      <c r="AH751" s="731"/>
      <c r="AI751" s="732">
        <f t="shared" si="99"/>
        <v>4034200</v>
      </c>
      <c r="AJ751" s="733">
        <f t="shared" si="100"/>
        <v>4034200</v>
      </c>
    </row>
    <row r="752" spans="1:36">
      <c r="A752" s="846" t="s">
        <v>432</v>
      </c>
      <c r="B752" s="878" t="s">
        <v>69</v>
      </c>
      <c r="C752" s="875" t="s">
        <v>435</v>
      </c>
      <c r="D752" s="861" t="s">
        <v>1784</v>
      </c>
      <c r="E752" s="850">
        <v>157085</v>
      </c>
      <c r="F752" s="851">
        <v>1</v>
      </c>
      <c r="G752" s="730"/>
      <c r="H752" s="731"/>
      <c r="I752" s="730">
        <v>1800000</v>
      </c>
      <c r="J752" s="1150">
        <v>1800000</v>
      </c>
      <c r="K752" s="730"/>
      <c r="L752" s="731"/>
      <c r="M752" s="730"/>
      <c r="N752" s="730"/>
      <c r="O752" s="732">
        <f t="shared" si="93"/>
        <v>0</v>
      </c>
      <c r="P752" s="731"/>
      <c r="Q752" s="731"/>
      <c r="R752" s="733">
        <f t="shared" si="96"/>
        <v>0</v>
      </c>
      <c r="S752" s="732">
        <f t="shared" si="97"/>
        <v>1800000</v>
      </c>
      <c r="T752" s="733">
        <f t="shared" si="98"/>
        <v>1800000</v>
      </c>
      <c r="U752" s="730"/>
      <c r="V752" s="731"/>
      <c r="W752" s="730"/>
      <c r="X752" s="730"/>
      <c r="Y752" s="732">
        <f t="shared" si="94"/>
        <v>0</v>
      </c>
      <c r="Z752" s="731"/>
      <c r="AA752" s="731"/>
      <c r="AB752" s="733">
        <f t="shared" si="95"/>
        <v>0</v>
      </c>
      <c r="AC752" s="730"/>
      <c r="AD752" s="731"/>
      <c r="AE752" s="730"/>
      <c r="AF752" s="730"/>
      <c r="AG752" s="731"/>
      <c r="AH752" s="731"/>
      <c r="AI752" s="732">
        <f t="shared" si="99"/>
        <v>1800000</v>
      </c>
      <c r="AJ752" s="733">
        <f t="shared" si="100"/>
        <v>1800000</v>
      </c>
    </row>
    <row r="753" spans="1:36">
      <c r="A753" s="846" t="s">
        <v>432</v>
      </c>
      <c r="B753" s="878" t="s">
        <v>69</v>
      </c>
      <c r="C753" s="875" t="s">
        <v>436</v>
      </c>
      <c r="D753" s="861" t="s">
        <v>1784</v>
      </c>
      <c r="E753" s="850">
        <v>157085</v>
      </c>
      <c r="F753" s="851">
        <v>1</v>
      </c>
      <c r="G753" s="730"/>
      <c r="H753" s="731"/>
      <c r="I753" s="730">
        <v>4076300</v>
      </c>
      <c r="J753" s="731">
        <v>4076300</v>
      </c>
      <c r="K753" s="730"/>
      <c r="L753" s="731"/>
      <c r="M753" s="730"/>
      <c r="N753" s="730"/>
      <c r="O753" s="732">
        <f t="shared" si="93"/>
        <v>0</v>
      </c>
      <c r="P753" s="731"/>
      <c r="Q753" s="731"/>
      <c r="R753" s="733">
        <f t="shared" si="96"/>
        <v>0</v>
      </c>
      <c r="S753" s="732">
        <f t="shared" si="97"/>
        <v>4076300</v>
      </c>
      <c r="T753" s="733">
        <f t="shared" si="98"/>
        <v>4076300</v>
      </c>
      <c r="U753" s="730"/>
      <c r="V753" s="731"/>
      <c r="W753" s="730"/>
      <c r="X753" s="730"/>
      <c r="Y753" s="732">
        <f t="shared" si="94"/>
        <v>0</v>
      </c>
      <c r="Z753" s="731"/>
      <c r="AA753" s="731"/>
      <c r="AB753" s="733">
        <f t="shared" si="95"/>
        <v>0</v>
      </c>
      <c r="AC753" s="730"/>
      <c r="AD753" s="731"/>
      <c r="AE753" s="730"/>
      <c r="AF753" s="730"/>
      <c r="AG753" s="731"/>
      <c r="AH753" s="731"/>
      <c r="AI753" s="732">
        <f t="shared" si="99"/>
        <v>4076300</v>
      </c>
      <c r="AJ753" s="733">
        <f t="shared" si="100"/>
        <v>4076300</v>
      </c>
    </row>
    <row r="754" spans="1:36">
      <c r="A754" s="846" t="s">
        <v>432</v>
      </c>
      <c r="B754" s="878" t="s">
        <v>69</v>
      </c>
      <c r="C754" s="875" t="s">
        <v>437</v>
      </c>
      <c r="D754" s="861" t="s">
        <v>1784</v>
      </c>
      <c r="E754" s="850">
        <v>157085</v>
      </c>
      <c r="F754" s="851">
        <v>1</v>
      </c>
      <c r="G754" s="730"/>
      <c r="H754" s="731"/>
      <c r="I754" s="730">
        <v>0</v>
      </c>
      <c r="J754" s="1151">
        <v>586300</v>
      </c>
      <c r="K754" s="730"/>
      <c r="L754" s="731"/>
      <c r="M754" s="730"/>
      <c r="N754" s="730"/>
      <c r="O754" s="732">
        <f t="shared" si="93"/>
        <v>0</v>
      </c>
      <c r="P754" s="731"/>
      <c r="Q754" s="731"/>
      <c r="R754" s="733">
        <f t="shared" si="96"/>
        <v>0</v>
      </c>
      <c r="S754" s="732">
        <f t="shared" si="97"/>
        <v>0</v>
      </c>
      <c r="T754" s="733">
        <f t="shared" si="98"/>
        <v>586300</v>
      </c>
      <c r="U754" s="730"/>
      <c r="V754" s="731"/>
      <c r="W754" s="730"/>
      <c r="X754" s="730"/>
      <c r="Y754" s="732">
        <f t="shared" si="94"/>
        <v>0</v>
      </c>
      <c r="Z754" s="731"/>
      <c r="AA754" s="731"/>
      <c r="AB754" s="733">
        <f t="shared" si="95"/>
        <v>0</v>
      </c>
      <c r="AC754" s="730"/>
      <c r="AD754" s="731"/>
      <c r="AE754" s="730"/>
      <c r="AF754" s="730"/>
      <c r="AG754" s="731"/>
      <c r="AH754" s="731"/>
      <c r="AI754" s="732">
        <f t="shared" si="99"/>
        <v>0</v>
      </c>
      <c r="AJ754" s="733">
        <f t="shared" si="100"/>
        <v>586300</v>
      </c>
    </row>
    <row r="755" spans="1:36">
      <c r="A755" s="846" t="s">
        <v>432</v>
      </c>
      <c r="B755" s="878" t="s">
        <v>69</v>
      </c>
      <c r="C755" s="875" t="s">
        <v>1650</v>
      </c>
      <c r="D755" s="861"/>
      <c r="E755" s="850">
        <v>157085</v>
      </c>
      <c r="F755" s="836">
        <v>1</v>
      </c>
      <c r="G755" s="730"/>
      <c r="H755" s="731"/>
      <c r="I755" s="730"/>
      <c r="J755" s="1151"/>
      <c r="K755" s="730"/>
      <c r="L755" s="731"/>
      <c r="M755" s="730"/>
      <c r="N755" s="730"/>
      <c r="O755" s="732">
        <f t="shared" si="93"/>
        <v>0</v>
      </c>
      <c r="P755" s="731"/>
      <c r="Q755" s="731"/>
      <c r="R755" s="733">
        <f t="shared" si="96"/>
        <v>0</v>
      </c>
      <c r="S755" s="732">
        <f t="shared" si="97"/>
        <v>0</v>
      </c>
      <c r="T755" s="733">
        <f t="shared" si="98"/>
        <v>0</v>
      </c>
      <c r="U755" s="730"/>
      <c r="V755" s="731"/>
      <c r="W755" s="730"/>
      <c r="X755" s="730"/>
      <c r="Y755" s="732">
        <f t="shared" si="94"/>
        <v>0</v>
      </c>
      <c r="Z755" s="731"/>
      <c r="AA755" s="731"/>
      <c r="AB755" s="733">
        <f t="shared" si="95"/>
        <v>0</v>
      </c>
      <c r="AC755" s="730"/>
      <c r="AD755" s="731"/>
      <c r="AE755" s="730"/>
      <c r="AF755" s="730"/>
      <c r="AG755" s="731"/>
      <c r="AH755" s="731"/>
      <c r="AI755" s="732">
        <f t="shared" si="99"/>
        <v>0</v>
      </c>
      <c r="AJ755" s="733">
        <f t="shared" si="100"/>
        <v>0</v>
      </c>
    </row>
    <row r="756" spans="1:36">
      <c r="A756" s="846" t="s">
        <v>432</v>
      </c>
      <c r="B756" s="878" t="s">
        <v>69</v>
      </c>
      <c r="C756" s="875" t="s">
        <v>1651</v>
      </c>
      <c r="D756" s="861"/>
      <c r="E756" s="850">
        <v>157085</v>
      </c>
      <c r="F756" s="836">
        <v>1</v>
      </c>
      <c r="G756" s="730"/>
      <c r="H756" s="731"/>
      <c r="I756" s="730">
        <v>0</v>
      </c>
      <c r="J756" s="1151">
        <v>600000</v>
      </c>
      <c r="K756" s="730"/>
      <c r="L756" s="731"/>
      <c r="M756" s="730"/>
      <c r="N756" s="730"/>
      <c r="O756" s="732">
        <f t="shared" si="93"/>
        <v>0</v>
      </c>
      <c r="P756" s="731"/>
      <c r="Q756" s="731"/>
      <c r="R756" s="733">
        <f t="shared" si="96"/>
        <v>0</v>
      </c>
      <c r="S756" s="732">
        <f t="shared" si="97"/>
        <v>0</v>
      </c>
      <c r="T756" s="733">
        <f t="shared" si="98"/>
        <v>600000</v>
      </c>
      <c r="U756" s="730"/>
      <c r="V756" s="731"/>
      <c r="W756" s="730"/>
      <c r="X756" s="730"/>
      <c r="Y756" s="732">
        <f t="shared" si="94"/>
        <v>0</v>
      </c>
      <c r="Z756" s="731"/>
      <c r="AA756" s="731"/>
      <c r="AB756" s="733">
        <f t="shared" si="95"/>
        <v>0</v>
      </c>
      <c r="AC756" s="730"/>
      <c r="AD756" s="731"/>
      <c r="AE756" s="730"/>
      <c r="AF756" s="730"/>
      <c r="AG756" s="731"/>
      <c r="AH756" s="731"/>
      <c r="AI756" s="732">
        <f t="shared" si="99"/>
        <v>0</v>
      </c>
      <c r="AJ756" s="733">
        <f t="shared" si="100"/>
        <v>600000</v>
      </c>
    </row>
    <row r="757" spans="1:36">
      <c r="A757" s="846" t="s">
        <v>432</v>
      </c>
      <c r="B757" s="878" t="s">
        <v>74</v>
      </c>
      <c r="C757" s="870" t="s">
        <v>75</v>
      </c>
      <c r="D757" s="861" t="s">
        <v>1784</v>
      </c>
      <c r="E757" s="850">
        <v>157085</v>
      </c>
      <c r="F757" s="851">
        <v>1</v>
      </c>
      <c r="G757" s="730"/>
      <c r="H757" s="731"/>
      <c r="I757" s="730">
        <v>31275300</v>
      </c>
      <c r="J757" s="731">
        <v>31275300</v>
      </c>
      <c r="K757" s="730"/>
      <c r="L757" s="731"/>
      <c r="M757" s="730"/>
      <c r="N757" s="730"/>
      <c r="O757" s="732">
        <f t="shared" si="93"/>
        <v>0</v>
      </c>
      <c r="P757" s="731"/>
      <c r="Q757" s="731"/>
      <c r="R757" s="733">
        <f t="shared" si="96"/>
        <v>0</v>
      </c>
      <c r="S757" s="732">
        <f t="shared" si="97"/>
        <v>31275300</v>
      </c>
      <c r="T757" s="733">
        <f t="shared" si="98"/>
        <v>31275300</v>
      </c>
      <c r="U757" s="730"/>
      <c r="V757" s="731"/>
      <c r="W757" s="730"/>
      <c r="X757" s="730"/>
      <c r="Y757" s="732">
        <f t="shared" si="94"/>
        <v>0</v>
      </c>
      <c r="Z757" s="731"/>
      <c r="AA757" s="731"/>
      <c r="AB757" s="733">
        <f t="shared" si="95"/>
        <v>0</v>
      </c>
      <c r="AC757" s="730"/>
      <c r="AD757" s="731"/>
      <c r="AE757" s="730"/>
      <c r="AF757" s="730"/>
      <c r="AG757" s="731"/>
      <c r="AH757" s="731"/>
      <c r="AI757" s="732">
        <f t="shared" si="99"/>
        <v>31275300</v>
      </c>
      <c r="AJ757" s="733">
        <f t="shared" si="100"/>
        <v>31275300</v>
      </c>
    </row>
    <row r="758" spans="1:36">
      <c r="A758" s="846" t="s">
        <v>432</v>
      </c>
      <c r="B758" s="878" t="s">
        <v>74</v>
      </c>
      <c r="C758" s="870" t="s">
        <v>77</v>
      </c>
      <c r="D758" s="861" t="s">
        <v>1784</v>
      </c>
      <c r="E758" s="850">
        <v>157085</v>
      </c>
      <c r="F758" s="851">
        <v>1</v>
      </c>
      <c r="G758" s="730"/>
      <c r="H758" s="731"/>
      <c r="I758" s="730">
        <v>29479600</v>
      </c>
      <c r="J758" s="731">
        <v>29479600</v>
      </c>
      <c r="K758" s="730"/>
      <c r="L758" s="731"/>
      <c r="M758" s="730"/>
      <c r="N758" s="730"/>
      <c r="O758" s="732">
        <f t="shared" si="93"/>
        <v>0</v>
      </c>
      <c r="P758" s="731"/>
      <c r="Q758" s="731"/>
      <c r="R758" s="733">
        <f t="shared" si="96"/>
        <v>0</v>
      </c>
      <c r="S758" s="732">
        <f t="shared" si="97"/>
        <v>29479600</v>
      </c>
      <c r="T758" s="733">
        <f t="shared" si="98"/>
        <v>29479600</v>
      </c>
      <c r="U758" s="730"/>
      <c r="V758" s="731"/>
      <c r="W758" s="730"/>
      <c r="X758" s="730"/>
      <c r="Y758" s="732">
        <f t="shared" si="94"/>
        <v>0</v>
      </c>
      <c r="Z758" s="731"/>
      <c r="AA758" s="731"/>
      <c r="AB758" s="733">
        <f t="shared" si="95"/>
        <v>0</v>
      </c>
      <c r="AC758" s="730"/>
      <c r="AD758" s="731"/>
      <c r="AE758" s="730"/>
      <c r="AF758" s="730"/>
      <c r="AG758" s="731"/>
      <c r="AH758" s="731"/>
      <c r="AI758" s="732">
        <f t="shared" si="99"/>
        <v>29479600</v>
      </c>
      <c r="AJ758" s="733">
        <f t="shared" si="100"/>
        <v>29479600</v>
      </c>
    </row>
    <row r="759" spans="1:36">
      <c r="A759" s="846" t="s">
        <v>432</v>
      </c>
      <c r="B759" s="878" t="s">
        <v>78</v>
      </c>
      <c r="C759" s="870" t="s">
        <v>79</v>
      </c>
      <c r="D759" s="861" t="s">
        <v>1784</v>
      </c>
      <c r="E759" s="850">
        <v>157085</v>
      </c>
      <c r="F759" s="851">
        <v>1</v>
      </c>
      <c r="G759" s="730"/>
      <c r="H759" s="731"/>
      <c r="I759" s="730"/>
      <c r="J759" s="731"/>
      <c r="K759" s="730"/>
      <c r="L759" s="731"/>
      <c r="M759" s="730"/>
      <c r="N759" s="730"/>
      <c r="O759" s="732">
        <f t="shared" si="93"/>
        <v>0</v>
      </c>
      <c r="P759" s="731"/>
      <c r="Q759" s="731"/>
      <c r="R759" s="733">
        <f t="shared" si="96"/>
        <v>0</v>
      </c>
      <c r="S759" s="732">
        <f t="shared" si="97"/>
        <v>0</v>
      </c>
      <c r="T759" s="733">
        <f t="shared" si="98"/>
        <v>0</v>
      </c>
      <c r="U759" s="730"/>
      <c r="V759" s="731"/>
      <c r="W759" s="730"/>
      <c r="X759" s="730"/>
      <c r="Y759" s="732">
        <f t="shared" si="94"/>
        <v>0</v>
      </c>
      <c r="Z759" s="731"/>
      <c r="AA759" s="731"/>
      <c r="AB759" s="733">
        <f t="shared" si="95"/>
        <v>0</v>
      </c>
      <c r="AC759" s="730"/>
      <c r="AD759" s="731"/>
      <c r="AE759" s="730"/>
      <c r="AF759" s="730"/>
      <c r="AG759" s="731"/>
      <c r="AH759" s="731"/>
      <c r="AI759" s="732">
        <f t="shared" si="99"/>
        <v>0</v>
      </c>
      <c r="AJ759" s="733">
        <f t="shared" si="100"/>
        <v>0</v>
      </c>
    </row>
    <row r="760" spans="1:36">
      <c r="A760" s="846" t="s">
        <v>432</v>
      </c>
      <c r="B760" s="878" t="s">
        <v>78</v>
      </c>
      <c r="C760" s="875" t="s">
        <v>438</v>
      </c>
      <c r="D760" s="861" t="s">
        <v>1784</v>
      </c>
      <c r="E760" s="850">
        <v>157085</v>
      </c>
      <c r="F760" s="851">
        <v>1</v>
      </c>
      <c r="G760" s="730"/>
      <c r="H760" s="731"/>
      <c r="I760" s="730">
        <v>2040500</v>
      </c>
      <c r="J760" s="731">
        <v>2040500</v>
      </c>
      <c r="K760" s="730"/>
      <c r="L760" s="731"/>
      <c r="M760" s="730"/>
      <c r="N760" s="730"/>
      <c r="O760" s="732">
        <f t="shared" si="93"/>
        <v>0</v>
      </c>
      <c r="P760" s="731"/>
      <c r="Q760" s="731"/>
      <c r="R760" s="733">
        <f t="shared" si="96"/>
        <v>0</v>
      </c>
      <c r="S760" s="732">
        <f t="shared" si="97"/>
        <v>2040500</v>
      </c>
      <c r="T760" s="733">
        <f t="shared" si="98"/>
        <v>2040500</v>
      </c>
      <c r="U760" s="730"/>
      <c r="V760" s="731"/>
      <c r="W760" s="730"/>
      <c r="X760" s="730"/>
      <c r="Y760" s="732">
        <f t="shared" si="94"/>
        <v>0</v>
      </c>
      <c r="Z760" s="731"/>
      <c r="AA760" s="731"/>
      <c r="AB760" s="733">
        <f t="shared" si="95"/>
        <v>0</v>
      </c>
      <c r="AC760" s="730"/>
      <c r="AD760" s="731"/>
      <c r="AE760" s="730"/>
      <c r="AF760" s="730"/>
      <c r="AG760" s="731"/>
      <c r="AH760" s="731"/>
      <c r="AI760" s="732">
        <f t="shared" si="99"/>
        <v>2040500</v>
      </c>
      <c r="AJ760" s="733">
        <f t="shared" si="100"/>
        <v>2040500</v>
      </c>
    </row>
    <row r="761" spans="1:36">
      <c r="A761" s="846" t="s">
        <v>432</v>
      </c>
      <c r="B761" s="878" t="s">
        <v>78</v>
      </c>
      <c r="C761" s="875" t="s">
        <v>439</v>
      </c>
      <c r="D761" s="861" t="s">
        <v>1784</v>
      </c>
      <c r="E761" s="850">
        <v>157085</v>
      </c>
      <c r="F761" s="851">
        <v>1</v>
      </c>
      <c r="G761" s="730"/>
      <c r="H761" s="731"/>
      <c r="I761" s="730">
        <v>600000</v>
      </c>
      <c r="J761" s="1150">
        <v>0</v>
      </c>
      <c r="K761" s="730"/>
      <c r="L761" s="731"/>
      <c r="M761" s="730"/>
      <c r="N761" s="730"/>
      <c r="O761" s="732">
        <f t="shared" si="93"/>
        <v>0</v>
      </c>
      <c r="P761" s="731"/>
      <c r="Q761" s="731"/>
      <c r="R761" s="733">
        <f t="shared" si="96"/>
        <v>0</v>
      </c>
      <c r="S761" s="732">
        <f t="shared" si="97"/>
        <v>600000</v>
      </c>
      <c r="T761" s="733">
        <f t="shared" si="98"/>
        <v>0</v>
      </c>
      <c r="U761" s="730"/>
      <c r="V761" s="731"/>
      <c r="W761" s="730"/>
      <c r="X761" s="730"/>
      <c r="Y761" s="732">
        <f t="shared" si="94"/>
        <v>0</v>
      </c>
      <c r="Z761" s="731"/>
      <c r="AA761" s="731"/>
      <c r="AB761" s="733">
        <f t="shared" si="95"/>
        <v>0</v>
      </c>
      <c r="AC761" s="730"/>
      <c r="AD761" s="731"/>
      <c r="AE761" s="730"/>
      <c r="AF761" s="730"/>
      <c r="AG761" s="731"/>
      <c r="AH761" s="731"/>
      <c r="AI761" s="732">
        <f t="shared" si="99"/>
        <v>600000</v>
      </c>
      <c r="AJ761" s="733">
        <f t="shared" si="100"/>
        <v>0</v>
      </c>
    </row>
    <row r="762" spans="1:36">
      <c r="A762" s="846" t="s">
        <v>432</v>
      </c>
      <c r="B762" s="878" t="s">
        <v>78</v>
      </c>
      <c r="C762" s="875" t="s">
        <v>440</v>
      </c>
      <c r="D762" s="861" t="s">
        <v>1784</v>
      </c>
      <c r="E762" s="850">
        <v>157085</v>
      </c>
      <c r="F762" s="851">
        <v>1</v>
      </c>
      <c r="G762" s="730"/>
      <c r="H762" s="731"/>
      <c r="I762" s="730">
        <v>5176200</v>
      </c>
      <c r="J762" s="731">
        <v>5176200</v>
      </c>
      <c r="K762" s="730"/>
      <c r="L762" s="731"/>
      <c r="M762" s="730"/>
      <c r="N762" s="730"/>
      <c r="O762" s="732">
        <f t="shared" si="93"/>
        <v>0</v>
      </c>
      <c r="P762" s="731"/>
      <c r="Q762" s="731"/>
      <c r="R762" s="733">
        <f t="shared" si="96"/>
        <v>0</v>
      </c>
      <c r="S762" s="732">
        <f t="shared" si="97"/>
        <v>5176200</v>
      </c>
      <c r="T762" s="733">
        <f t="shared" si="98"/>
        <v>5176200</v>
      </c>
      <c r="U762" s="730"/>
      <c r="V762" s="731"/>
      <c r="W762" s="730"/>
      <c r="X762" s="730"/>
      <c r="Y762" s="732">
        <f t="shared" si="94"/>
        <v>0</v>
      </c>
      <c r="Z762" s="731"/>
      <c r="AA762" s="731"/>
      <c r="AB762" s="733">
        <f t="shared" si="95"/>
        <v>0</v>
      </c>
      <c r="AC762" s="730"/>
      <c r="AD762" s="731"/>
      <c r="AE762" s="730"/>
      <c r="AF762" s="730"/>
      <c r="AG762" s="731"/>
      <c r="AH762" s="731"/>
      <c r="AI762" s="732">
        <f t="shared" si="99"/>
        <v>5176200</v>
      </c>
      <c r="AJ762" s="733">
        <f t="shared" si="100"/>
        <v>5176200</v>
      </c>
    </row>
    <row r="763" spans="1:36">
      <c r="A763" s="846" t="s">
        <v>432</v>
      </c>
      <c r="B763" s="878" t="s">
        <v>78</v>
      </c>
      <c r="C763" s="875" t="s">
        <v>441</v>
      </c>
      <c r="D763" s="861" t="s">
        <v>1784</v>
      </c>
      <c r="E763" s="850">
        <v>157085</v>
      </c>
      <c r="F763" s="851">
        <v>1</v>
      </c>
      <c r="G763" s="730"/>
      <c r="H763" s="731"/>
      <c r="I763" s="730">
        <v>450200</v>
      </c>
      <c r="J763" s="731">
        <v>450200</v>
      </c>
      <c r="K763" s="730"/>
      <c r="L763" s="731"/>
      <c r="M763" s="730"/>
      <c r="N763" s="730"/>
      <c r="O763" s="732">
        <f t="shared" si="93"/>
        <v>0</v>
      </c>
      <c r="P763" s="731"/>
      <c r="Q763" s="731"/>
      <c r="R763" s="733">
        <f t="shared" si="96"/>
        <v>0</v>
      </c>
      <c r="S763" s="732">
        <f t="shared" si="97"/>
        <v>450200</v>
      </c>
      <c r="T763" s="733">
        <f t="shared" si="98"/>
        <v>450200</v>
      </c>
      <c r="U763" s="730"/>
      <c r="V763" s="731"/>
      <c r="W763" s="730"/>
      <c r="X763" s="730"/>
      <c r="Y763" s="732">
        <f t="shared" si="94"/>
        <v>0</v>
      </c>
      <c r="Z763" s="731"/>
      <c r="AA763" s="731"/>
      <c r="AB763" s="733">
        <f t="shared" si="95"/>
        <v>0</v>
      </c>
      <c r="AC763" s="730"/>
      <c r="AD763" s="731"/>
      <c r="AE763" s="730"/>
      <c r="AF763" s="730"/>
      <c r="AG763" s="731"/>
      <c r="AH763" s="731"/>
      <c r="AI763" s="732">
        <f t="shared" si="99"/>
        <v>450200</v>
      </c>
      <c r="AJ763" s="733">
        <f t="shared" si="100"/>
        <v>450200</v>
      </c>
    </row>
    <row r="764" spans="1:36">
      <c r="A764" s="846" t="s">
        <v>432</v>
      </c>
      <c r="B764" s="878" t="s">
        <v>78</v>
      </c>
      <c r="C764" s="875" t="s">
        <v>1652</v>
      </c>
      <c r="D764" s="861"/>
      <c r="E764" s="850">
        <v>157085</v>
      </c>
      <c r="F764" s="836">
        <v>1</v>
      </c>
      <c r="G764" s="730"/>
      <c r="H764" s="731"/>
      <c r="I764" s="730">
        <v>450200</v>
      </c>
      <c r="J764" s="1151">
        <v>450200</v>
      </c>
      <c r="K764" s="730"/>
      <c r="L764" s="731"/>
      <c r="M764" s="730"/>
      <c r="N764" s="730"/>
      <c r="O764" s="732">
        <f t="shared" si="93"/>
        <v>0</v>
      </c>
      <c r="P764" s="731"/>
      <c r="Q764" s="731"/>
      <c r="R764" s="733">
        <f t="shared" si="96"/>
        <v>0</v>
      </c>
      <c r="S764" s="732">
        <f t="shared" si="97"/>
        <v>450200</v>
      </c>
      <c r="T764" s="733">
        <f t="shared" si="98"/>
        <v>450200</v>
      </c>
      <c r="U764" s="730"/>
      <c r="V764" s="731"/>
      <c r="W764" s="730"/>
      <c r="X764" s="730"/>
      <c r="Y764" s="732">
        <f t="shared" si="94"/>
        <v>0</v>
      </c>
      <c r="Z764" s="731"/>
      <c r="AA764" s="731"/>
      <c r="AB764" s="733">
        <f t="shared" si="95"/>
        <v>0</v>
      </c>
      <c r="AC764" s="730"/>
      <c r="AD764" s="731"/>
      <c r="AE764" s="730"/>
      <c r="AF764" s="730"/>
      <c r="AG764" s="731"/>
      <c r="AH764" s="731"/>
      <c r="AI764" s="732">
        <f t="shared" si="99"/>
        <v>450200</v>
      </c>
      <c r="AJ764" s="733">
        <f t="shared" si="100"/>
        <v>450200</v>
      </c>
    </row>
    <row r="765" spans="1:36">
      <c r="A765" s="846" t="s">
        <v>432</v>
      </c>
      <c r="B765" s="878" t="s">
        <v>78</v>
      </c>
      <c r="C765" s="875" t="s">
        <v>1653</v>
      </c>
      <c r="D765" s="861"/>
      <c r="E765" s="850">
        <v>157085</v>
      </c>
      <c r="F765" s="836">
        <v>1</v>
      </c>
      <c r="G765" s="730"/>
      <c r="H765" s="731"/>
      <c r="I765" s="730">
        <v>0</v>
      </c>
      <c r="J765" s="1151">
        <v>500000</v>
      </c>
      <c r="K765" s="730"/>
      <c r="L765" s="731"/>
      <c r="M765" s="730"/>
      <c r="N765" s="730"/>
      <c r="O765" s="732">
        <f t="shared" si="93"/>
        <v>0</v>
      </c>
      <c r="P765" s="731"/>
      <c r="Q765" s="731"/>
      <c r="R765" s="733">
        <f t="shared" si="96"/>
        <v>0</v>
      </c>
      <c r="S765" s="732">
        <f t="shared" si="97"/>
        <v>0</v>
      </c>
      <c r="T765" s="733">
        <f t="shared" si="98"/>
        <v>500000</v>
      </c>
      <c r="U765" s="730"/>
      <c r="V765" s="731"/>
      <c r="W765" s="730"/>
      <c r="X765" s="730"/>
      <c r="Y765" s="732">
        <f t="shared" si="94"/>
        <v>0</v>
      </c>
      <c r="Z765" s="731"/>
      <c r="AA765" s="731"/>
      <c r="AB765" s="733">
        <f t="shared" si="95"/>
        <v>0</v>
      </c>
      <c r="AC765" s="730"/>
      <c r="AD765" s="731"/>
      <c r="AE765" s="730"/>
      <c r="AF765" s="730"/>
      <c r="AG765" s="731"/>
      <c r="AH765" s="731"/>
      <c r="AI765" s="732">
        <f t="shared" si="99"/>
        <v>0</v>
      </c>
      <c r="AJ765" s="733">
        <f t="shared" si="100"/>
        <v>500000</v>
      </c>
    </row>
    <row r="766" spans="1:36">
      <c r="A766" s="846" t="s">
        <v>432</v>
      </c>
      <c r="B766" s="878" t="s">
        <v>78</v>
      </c>
      <c r="C766" s="875" t="s">
        <v>1654</v>
      </c>
      <c r="D766" s="861"/>
      <c r="E766" s="850">
        <v>157085</v>
      </c>
      <c r="F766" s="836">
        <v>1</v>
      </c>
      <c r="G766" s="730"/>
      <c r="H766" s="731"/>
      <c r="I766" s="730">
        <v>0</v>
      </c>
      <c r="J766" s="1151">
        <v>100000</v>
      </c>
      <c r="K766" s="730"/>
      <c r="L766" s="731"/>
      <c r="M766" s="730"/>
      <c r="N766" s="730"/>
      <c r="O766" s="732">
        <f t="shared" si="93"/>
        <v>0</v>
      </c>
      <c r="P766" s="731"/>
      <c r="Q766" s="731"/>
      <c r="R766" s="733">
        <f t="shared" si="96"/>
        <v>0</v>
      </c>
      <c r="S766" s="732">
        <f t="shared" si="97"/>
        <v>0</v>
      </c>
      <c r="T766" s="733">
        <f t="shared" si="98"/>
        <v>100000</v>
      </c>
      <c r="U766" s="730"/>
      <c r="V766" s="731"/>
      <c r="W766" s="730"/>
      <c r="X766" s="730"/>
      <c r="Y766" s="732">
        <f t="shared" si="94"/>
        <v>0</v>
      </c>
      <c r="Z766" s="731"/>
      <c r="AA766" s="731"/>
      <c r="AB766" s="733">
        <f t="shared" si="95"/>
        <v>0</v>
      </c>
      <c r="AC766" s="730"/>
      <c r="AD766" s="731"/>
      <c r="AE766" s="730"/>
      <c r="AF766" s="730"/>
      <c r="AG766" s="731"/>
      <c r="AH766" s="731"/>
      <c r="AI766" s="732">
        <f t="shared" si="99"/>
        <v>0</v>
      </c>
      <c r="AJ766" s="733">
        <f t="shared" si="100"/>
        <v>100000</v>
      </c>
    </row>
    <row r="767" spans="1:36">
      <c r="A767" s="846" t="s">
        <v>432</v>
      </c>
      <c r="B767" s="878" t="s">
        <v>62</v>
      </c>
      <c r="C767" s="878" t="s">
        <v>442</v>
      </c>
      <c r="D767" s="861" t="s">
        <v>1784</v>
      </c>
      <c r="E767" s="850">
        <v>157289</v>
      </c>
      <c r="F767" s="851">
        <v>1</v>
      </c>
      <c r="G767" s="730">
        <v>124989100</v>
      </c>
      <c r="H767" s="731">
        <v>113271835</v>
      </c>
      <c r="I767" s="730"/>
      <c r="J767" s="731"/>
      <c r="K767" s="730"/>
      <c r="L767" s="731"/>
      <c r="M767" s="730">
        <v>259279100</v>
      </c>
      <c r="N767" s="730">
        <v>4559800</v>
      </c>
      <c r="O767" s="732">
        <f t="shared" si="93"/>
        <v>263838900</v>
      </c>
      <c r="P767" s="731">
        <v>264855880.239739</v>
      </c>
      <c r="Q767" s="731">
        <v>4229839.1900000004</v>
      </c>
      <c r="R767" s="733">
        <f t="shared" si="96"/>
        <v>269085719.429739</v>
      </c>
      <c r="S767" s="732">
        <f t="shared" si="97"/>
        <v>384268200</v>
      </c>
      <c r="T767" s="733">
        <f t="shared" si="98"/>
        <v>378127715.239739</v>
      </c>
      <c r="U767" s="730"/>
      <c r="V767" s="731"/>
      <c r="W767" s="730"/>
      <c r="X767" s="730"/>
      <c r="Y767" s="732">
        <f t="shared" si="94"/>
        <v>0</v>
      </c>
      <c r="Z767" s="731"/>
      <c r="AA767" s="731"/>
      <c r="AB767" s="733">
        <f t="shared" si="95"/>
        <v>0</v>
      </c>
      <c r="AC767" s="730"/>
      <c r="AD767" s="731"/>
      <c r="AE767" s="730"/>
      <c r="AF767" s="730"/>
      <c r="AG767" s="731"/>
      <c r="AH767" s="731"/>
      <c r="AI767" s="732">
        <f t="shared" si="99"/>
        <v>384268200</v>
      </c>
      <c r="AJ767" s="733">
        <f t="shared" si="100"/>
        <v>378127715.239739</v>
      </c>
    </row>
    <row r="768" spans="1:36">
      <c r="A768" s="846" t="s">
        <v>432</v>
      </c>
      <c r="B768" s="878" t="s">
        <v>64</v>
      </c>
      <c r="C768" s="875" t="s">
        <v>334</v>
      </c>
      <c r="D768" s="861" t="s">
        <v>1784</v>
      </c>
      <c r="E768" s="850">
        <v>157289</v>
      </c>
      <c r="F768" s="851">
        <v>1</v>
      </c>
      <c r="G768" s="730"/>
      <c r="H768" s="731"/>
      <c r="I768" s="730"/>
      <c r="J768" s="731"/>
      <c r="K768" s="730"/>
      <c r="L768" s="731"/>
      <c r="M768" s="730"/>
      <c r="N768" s="730"/>
      <c r="O768" s="732">
        <f t="shared" si="93"/>
        <v>0</v>
      </c>
      <c r="P768" s="731"/>
      <c r="Q768" s="731"/>
      <c r="R768" s="733">
        <f t="shared" si="96"/>
        <v>0</v>
      </c>
      <c r="S768" s="732">
        <f t="shared" si="97"/>
        <v>0</v>
      </c>
      <c r="T768" s="733">
        <f t="shared" si="98"/>
        <v>0</v>
      </c>
      <c r="U768" s="730"/>
      <c r="V768" s="731"/>
      <c r="W768" s="730"/>
      <c r="X768" s="730"/>
      <c r="Y768" s="732">
        <f t="shared" si="94"/>
        <v>0</v>
      </c>
      <c r="Z768" s="731"/>
      <c r="AA768" s="731"/>
      <c r="AB768" s="733">
        <f t="shared" si="95"/>
        <v>0</v>
      </c>
      <c r="AC768" s="730">
        <v>12739666.947464999</v>
      </c>
      <c r="AD768" s="1151">
        <v>12939765</v>
      </c>
      <c r="AE768" s="730">
        <v>62012518</v>
      </c>
      <c r="AF768" s="730"/>
      <c r="AG768" s="731">
        <v>64306700.570261396</v>
      </c>
      <c r="AH768" s="731"/>
      <c r="AI768" s="732">
        <f t="shared" si="99"/>
        <v>74752184.947465003</v>
      </c>
      <c r="AJ768" s="733">
        <f t="shared" si="100"/>
        <v>77246465.570261389</v>
      </c>
    </row>
    <row r="769" spans="1:36">
      <c r="A769" s="846" t="s">
        <v>432</v>
      </c>
      <c r="B769" s="878" t="s">
        <v>69</v>
      </c>
      <c r="C769" s="870" t="s">
        <v>371</v>
      </c>
      <c r="D769" s="861" t="s">
        <v>1784</v>
      </c>
      <c r="E769" s="850">
        <v>157289</v>
      </c>
      <c r="F769" s="851">
        <v>1</v>
      </c>
      <c r="G769" s="730"/>
      <c r="H769" s="731"/>
      <c r="I769" s="730"/>
      <c r="J769" s="731"/>
      <c r="K769" s="730"/>
      <c r="L769" s="731"/>
      <c r="M769" s="730"/>
      <c r="N769" s="730"/>
      <c r="O769" s="732">
        <f t="shared" si="93"/>
        <v>0</v>
      </c>
      <c r="P769" s="731"/>
      <c r="Q769" s="731"/>
      <c r="R769" s="733">
        <f t="shared" si="96"/>
        <v>0</v>
      </c>
      <c r="S769" s="732">
        <f t="shared" si="97"/>
        <v>0</v>
      </c>
      <c r="T769" s="733">
        <f t="shared" si="98"/>
        <v>0</v>
      </c>
      <c r="U769" s="730"/>
      <c r="V769" s="731"/>
      <c r="W769" s="730"/>
      <c r="X769" s="730"/>
      <c r="Y769" s="732">
        <f t="shared" si="94"/>
        <v>0</v>
      </c>
      <c r="Z769" s="731"/>
      <c r="AA769" s="731"/>
      <c r="AB769" s="733">
        <f t="shared" si="95"/>
        <v>0</v>
      </c>
      <c r="AC769" s="730"/>
      <c r="AD769" s="731"/>
      <c r="AE769" s="730"/>
      <c r="AF769" s="730"/>
      <c r="AG769" s="731"/>
      <c r="AH769" s="731"/>
      <c r="AI769" s="732">
        <f t="shared" si="99"/>
        <v>0</v>
      </c>
      <c r="AJ769" s="733">
        <f t="shared" si="100"/>
        <v>0</v>
      </c>
    </row>
    <row r="770" spans="1:36">
      <c r="A770" s="846" t="s">
        <v>432</v>
      </c>
      <c r="B770" s="878" t="s">
        <v>69</v>
      </c>
      <c r="C770" s="870" t="s">
        <v>443</v>
      </c>
      <c r="D770" s="861" t="s">
        <v>1784</v>
      </c>
      <c r="E770" s="850">
        <v>157289</v>
      </c>
      <c r="F770" s="851">
        <v>1</v>
      </c>
      <c r="G770" s="730"/>
      <c r="H770" s="731"/>
      <c r="I770" s="730">
        <v>0</v>
      </c>
      <c r="J770" s="1150">
        <v>0</v>
      </c>
      <c r="K770" s="730"/>
      <c r="L770" s="731"/>
      <c r="M770" s="730"/>
      <c r="N770" s="730"/>
      <c r="O770" s="732">
        <f t="shared" si="93"/>
        <v>0</v>
      </c>
      <c r="P770" s="731"/>
      <c r="Q770" s="731"/>
      <c r="R770" s="733">
        <f t="shared" si="96"/>
        <v>0</v>
      </c>
      <c r="S770" s="732">
        <f t="shared" si="97"/>
        <v>0</v>
      </c>
      <c r="T770" s="733">
        <f t="shared" si="98"/>
        <v>0</v>
      </c>
      <c r="U770" s="730"/>
      <c r="V770" s="731"/>
      <c r="W770" s="730"/>
      <c r="X770" s="730"/>
      <c r="Y770" s="732">
        <f t="shared" si="94"/>
        <v>0</v>
      </c>
      <c r="Z770" s="731"/>
      <c r="AA770" s="731"/>
      <c r="AB770" s="733">
        <f t="shared" si="95"/>
        <v>0</v>
      </c>
      <c r="AC770" s="730"/>
      <c r="AD770" s="731"/>
      <c r="AE770" s="730"/>
      <c r="AF770" s="730"/>
      <c r="AG770" s="731"/>
      <c r="AH770" s="731"/>
      <c r="AI770" s="732">
        <f t="shared" si="99"/>
        <v>0</v>
      </c>
      <c r="AJ770" s="733">
        <f t="shared" si="100"/>
        <v>0</v>
      </c>
    </row>
    <row r="771" spans="1:36">
      <c r="A771" s="846" t="s">
        <v>432</v>
      </c>
      <c r="B771" s="878" t="s">
        <v>69</v>
      </c>
      <c r="C771" s="870" t="s">
        <v>441</v>
      </c>
      <c r="D771" s="861" t="s">
        <v>1784</v>
      </c>
      <c r="E771" s="850">
        <v>157289</v>
      </c>
      <c r="F771" s="851">
        <v>1</v>
      </c>
      <c r="G771" s="730"/>
      <c r="H771" s="731"/>
      <c r="I771" s="730">
        <v>638200</v>
      </c>
      <c r="J771" s="731">
        <v>695200</v>
      </c>
      <c r="K771" s="730"/>
      <c r="L771" s="731"/>
      <c r="M771" s="730"/>
      <c r="N771" s="730"/>
      <c r="O771" s="732">
        <f t="shared" si="93"/>
        <v>0</v>
      </c>
      <c r="P771" s="731"/>
      <c r="Q771" s="731"/>
      <c r="R771" s="733">
        <f t="shared" si="96"/>
        <v>0</v>
      </c>
      <c r="S771" s="732">
        <f t="shared" si="97"/>
        <v>638200</v>
      </c>
      <c r="T771" s="733">
        <f t="shared" si="98"/>
        <v>695200</v>
      </c>
      <c r="U771" s="730"/>
      <c r="V771" s="731"/>
      <c r="W771" s="730"/>
      <c r="X771" s="730"/>
      <c r="Y771" s="732">
        <f t="shared" si="94"/>
        <v>0</v>
      </c>
      <c r="Z771" s="731"/>
      <c r="AA771" s="731"/>
      <c r="AB771" s="733">
        <f t="shared" si="95"/>
        <v>0</v>
      </c>
      <c r="AC771" s="730"/>
      <c r="AD771" s="731"/>
      <c r="AE771" s="730"/>
      <c r="AF771" s="730"/>
      <c r="AG771" s="731"/>
      <c r="AH771" s="731"/>
      <c r="AI771" s="732">
        <f t="shared" si="99"/>
        <v>638200</v>
      </c>
      <c r="AJ771" s="733">
        <f t="shared" si="100"/>
        <v>695200</v>
      </c>
    </row>
    <row r="772" spans="1:36">
      <c r="A772" s="970" t="s">
        <v>432</v>
      </c>
      <c r="B772" s="970" t="s">
        <v>69</v>
      </c>
      <c r="C772" s="971" t="s">
        <v>1655</v>
      </c>
      <c r="D772" s="861" t="s">
        <v>1784</v>
      </c>
      <c r="E772" s="850">
        <v>157289</v>
      </c>
      <c r="F772" s="851">
        <v>1</v>
      </c>
      <c r="G772" s="730"/>
      <c r="H772" s="731"/>
      <c r="I772" s="730">
        <v>150000</v>
      </c>
      <c r="J772" s="1151">
        <v>150000</v>
      </c>
      <c r="K772" s="730"/>
      <c r="L772" s="731"/>
      <c r="M772" s="730"/>
      <c r="N772" s="730"/>
      <c r="O772" s="732">
        <f t="shared" si="93"/>
        <v>0</v>
      </c>
      <c r="P772" s="731"/>
      <c r="Q772" s="731"/>
      <c r="R772" s="733">
        <f t="shared" si="96"/>
        <v>0</v>
      </c>
      <c r="S772" s="732">
        <f t="shared" si="97"/>
        <v>150000</v>
      </c>
      <c r="T772" s="733">
        <f t="shared" si="98"/>
        <v>150000</v>
      </c>
      <c r="U772" s="730"/>
      <c r="V772" s="731"/>
      <c r="W772" s="730"/>
      <c r="X772" s="730"/>
      <c r="Y772" s="732">
        <f t="shared" si="94"/>
        <v>0</v>
      </c>
      <c r="Z772" s="731"/>
      <c r="AA772" s="731"/>
      <c r="AB772" s="733">
        <f t="shared" si="95"/>
        <v>0</v>
      </c>
      <c r="AC772" s="730"/>
      <c r="AD772" s="731"/>
      <c r="AE772" s="730"/>
      <c r="AF772" s="730"/>
      <c r="AG772" s="731"/>
      <c r="AH772" s="731"/>
      <c r="AI772" s="732">
        <f t="shared" si="99"/>
        <v>150000</v>
      </c>
      <c r="AJ772" s="733">
        <f t="shared" si="100"/>
        <v>150000</v>
      </c>
    </row>
    <row r="773" spans="1:36">
      <c r="A773" s="846" t="s">
        <v>432</v>
      </c>
      <c r="B773" s="878" t="s">
        <v>78</v>
      </c>
      <c r="C773" s="870" t="s">
        <v>79</v>
      </c>
      <c r="D773" s="861" t="s">
        <v>1784</v>
      </c>
      <c r="E773" s="850">
        <v>157289</v>
      </c>
      <c r="F773" s="851">
        <v>1</v>
      </c>
      <c r="G773" s="730"/>
      <c r="H773" s="731"/>
      <c r="I773" s="730"/>
      <c r="J773" s="731"/>
      <c r="K773" s="730"/>
      <c r="L773" s="731"/>
      <c r="M773" s="730"/>
      <c r="N773" s="730"/>
      <c r="O773" s="732">
        <f t="shared" si="93"/>
        <v>0</v>
      </c>
      <c r="P773" s="731"/>
      <c r="Q773" s="731"/>
      <c r="R773" s="733">
        <f t="shared" si="96"/>
        <v>0</v>
      </c>
      <c r="S773" s="732">
        <f t="shared" si="97"/>
        <v>0</v>
      </c>
      <c r="T773" s="733">
        <f t="shared" si="98"/>
        <v>0</v>
      </c>
      <c r="U773" s="730"/>
      <c r="V773" s="731"/>
      <c r="W773" s="730"/>
      <c r="X773" s="730"/>
      <c r="Y773" s="732">
        <f t="shared" si="94"/>
        <v>0</v>
      </c>
      <c r="Z773" s="731"/>
      <c r="AA773" s="731"/>
      <c r="AB773" s="733">
        <f t="shared" si="95"/>
        <v>0</v>
      </c>
      <c r="AC773" s="730"/>
      <c r="AD773" s="731"/>
      <c r="AE773" s="730"/>
      <c r="AF773" s="730"/>
      <c r="AG773" s="731"/>
      <c r="AH773" s="731"/>
      <c r="AI773" s="732">
        <f t="shared" si="99"/>
        <v>0</v>
      </c>
      <c r="AJ773" s="733">
        <f t="shared" si="100"/>
        <v>0</v>
      </c>
    </row>
    <row r="774" spans="1:36">
      <c r="A774" s="846" t="s">
        <v>432</v>
      </c>
      <c r="B774" s="878" t="s">
        <v>62</v>
      </c>
      <c r="C774" s="878" t="s">
        <v>444</v>
      </c>
      <c r="D774" s="861" t="s">
        <v>1784</v>
      </c>
      <c r="E774" s="850">
        <v>156620</v>
      </c>
      <c r="F774" s="851">
        <v>3</v>
      </c>
      <c r="G774" s="730">
        <v>61681700</v>
      </c>
      <c r="H774" s="731">
        <v>60842300</v>
      </c>
      <c r="I774" s="730"/>
      <c r="J774" s="731"/>
      <c r="K774" s="730"/>
      <c r="L774" s="731"/>
      <c r="M774" s="730">
        <v>146911300</v>
      </c>
      <c r="N774" s="730">
        <v>3961800</v>
      </c>
      <c r="O774" s="732">
        <f t="shared" si="93"/>
        <v>150873100</v>
      </c>
      <c r="P774" s="731">
        <v>141793617.13999999</v>
      </c>
      <c r="Q774" s="731">
        <v>3849214</v>
      </c>
      <c r="R774" s="733">
        <f t="shared" si="96"/>
        <v>145642831.13999999</v>
      </c>
      <c r="S774" s="732">
        <f t="shared" si="97"/>
        <v>208593000</v>
      </c>
      <c r="T774" s="733">
        <f t="shared" si="98"/>
        <v>202635917.13999999</v>
      </c>
      <c r="U774" s="730"/>
      <c r="V774" s="731"/>
      <c r="W774" s="730"/>
      <c r="X774" s="730"/>
      <c r="Y774" s="732">
        <f t="shared" si="94"/>
        <v>0</v>
      </c>
      <c r="Z774" s="731"/>
      <c r="AA774" s="731"/>
      <c r="AB774" s="733">
        <f t="shared" si="95"/>
        <v>0</v>
      </c>
      <c r="AC774" s="730"/>
      <c r="AD774" s="731"/>
      <c r="AE774" s="730"/>
      <c r="AF774" s="730"/>
      <c r="AG774" s="731"/>
      <c r="AH774" s="731"/>
      <c r="AI774" s="732">
        <f t="shared" si="99"/>
        <v>208593000</v>
      </c>
      <c r="AJ774" s="733">
        <f t="shared" si="100"/>
        <v>202635917.13999999</v>
      </c>
    </row>
    <row r="775" spans="1:36">
      <c r="A775" s="846" t="s">
        <v>432</v>
      </c>
      <c r="B775" s="878" t="s">
        <v>69</v>
      </c>
      <c r="C775" s="875" t="s">
        <v>445</v>
      </c>
      <c r="D775" s="861" t="s">
        <v>1784</v>
      </c>
      <c r="E775" s="850">
        <v>156620</v>
      </c>
      <c r="F775" s="851">
        <v>3</v>
      </c>
      <c r="G775" s="730"/>
      <c r="H775" s="731"/>
      <c r="I775" s="730">
        <v>0</v>
      </c>
      <c r="J775" s="731">
        <v>0</v>
      </c>
      <c r="K775" s="730"/>
      <c r="L775" s="731"/>
      <c r="M775" s="730"/>
      <c r="N775" s="730"/>
      <c r="O775" s="732">
        <f t="shared" si="93"/>
        <v>0</v>
      </c>
      <c r="P775" s="731"/>
      <c r="Q775" s="731"/>
      <c r="R775" s="733">
        <f t="shared" si="96"/>
        <v>0</v>
      </c>
      <c r="S775" s="732">
        <f t="shared" si="97"/>
        <v>0</v>
      </c>
      <c r="T775" s="733">
        <f t="shared" si="98"/>
        <v>0</v>
      </c>
      <c r="U775" s="730"/>
      <c r="V775" s="731"/>
      <c r="W775" s="730"/>
      <c r="X775" s="730"/>
      <c r="Y775" s="732">
        <f t="shared" si="94"/>
        <v>0</v>
      </c>
      <c r="Z775" s="731"/>
      <c r="AA775" s="731"/>
      <c r="AB775" s="733">
        <f t="shared" si="95"/>
        <v>0</v>
      </c>
      <c r="AC775" s="730"/>
      <c r="AD775" s="731"/>
      <c r="AE775" s="730"/>
      <c r="AF775" s="730"/>
      <c r="AG775" s="731"/>
      <c r="AH775" s="731"/>
      <c r="AI775" s="732">
        <f t="shared" si="99"/>
        <v>0</v>
      </c>
      <c r="AJ775" s="733">
        <f t="shared" si="100"/>
        <v>0</v>
      </c>
    </row>
    <row r="776" spans="1:36">
      <c r="A776" s="846" t="s">
        <v>432</v>
      </c>
      <c r="B776" s="878" t="s">
        <v>69</v>
      </c>
      <c r="C776" s="875" t="s">
        <v>446</v>
      </c>
      <c r="D776" s="861" t="s">
        <v>1784</v>
      </c>
      <c r="E776" s="850">
        <v>156620</v>
      </c>
      <c r="F776" s="851">
        <v>3</v>
      </c>
      <c r="G776" s="730"/>
      <c r="H776" s="731"/>
      <c r="I776" s="730">
        <v>2071900</v>
      </c>
      <c r="J776" s="1151">
        <v>4571900</v>
      </c>
      <c r="K776" s="730"/>
      <c r="L776" s="731"/>
      <c r="M776" s="730"/>
      <c r="N776" s="730"/>
      <c r="O776" s="732">
        <f t="shared" si="93"/>
        <v>0</v>
      </c>
      <c r="P776" s="731"/>
      <c r="Q776" s="731"/>
      <c r="R776" s="733">
        <f t="shared" si="96"/>
        <v>0</v>
      </c>
      <c r="S776" s="732">
        <f t="shared" si="97"/>
        <v>2071900</v>
      </c>
      <c r="T776" s="733">
        <f t="shared" si="98"/>
        <v>4571900</v>
      </c>
      <c r="U776" s="730"/>
      <c r="V776" s="731"/>
      <c r="W776" s="730"/>
      <c r="X776" s="730"/>
      <c r="Y776" s="732">
        <f t="shared" si="94"/>
        <v>0</v>
      </c>
      <c r="Z776" s="731"/>
      <c r="AA776" s="731"/>
      <c r="AB776" s="733">
        <f t="shared" si="95"/>
        <v>0</v>
      </c>
      <c r="AC776" s="730"/>
      <c r="AD776" s="731"/>
      <c r="AE776" s="730"/>
      <c r="AF776" s="730"/>
      <c r="AG776" s="731"/>
      <c r="AH776" s="731"/>
      <c r="AI776" s="732">
        <f t="shared" si="99"/>
        <v>2071900</v>
      </c>
      <c r="AJ776" s="733">
        <f t="shared" si="100"/>
        <v>4571900</v>
      </c>
    </row>
    <row r="777" spans="1:36">
      <c r="A777" s="846" t="s">
        <v>432</v>
      </c>
      <c r="B777" s="878" t="s">
        <v>62</v>
      </c>
      <c r="C777" s="857" t="s">
        <v>447</v>
      </c>
      <c r="D777" s="861" t="s">
        <v>1784</v>
      </c>
      <c r="E777" s="850">
        <v>157386</v>
      </c>
      <c r="F777" s="851">
        <v>3</v>
      </c>
      <c r="G777" s="730">
        <v>35644400</v>
      </c>
      <c r="H777" s="731">
        <v>34931500</v>
      </c>
      <c r="I777" s="730"/>
      <c r="J777" s="731"/>
      <c r="K777" s="730"/>
      <c r="L777" s="731"/>
      <c r="M777" s="730">
        <v>65390800</v>
      </c>
      <c r="N777" s="730">
        <v>842200</v>
      </c>
      <c r="O777" s="732">
        <f t="shared" si="93"/>
        <v>66233000</v>
      </c>
      <c r="P777" s="731">
        <v>62198900</v>
      </c>
      <c r="Q777" s="731">
        <v>811400</v>
      </c>
      <c r="R777" s="733">
        <f t="shared" si="96"/>
        <v>63010300</v>
      </c>
      <c r="S777" s="732">
        <f t="shared" si="97"/>
        <v>101035200</v>
      </c>
      <c r="T777" s="733">
        <f t="shared" si="98"/>
        <v>97130400</v>
      </c>
      <c r="U777" s="730"/>
      <c r="V777" s="731"/>
      <c r="W777" s="730"/>
      <c r="X777" s="730"/>
      <c r="Y777" s="732">
        <f t="shared" si="94"/>
        <v>0</v>
      </c>
      <c r="Z777" s="731"/>
      <c r="AA777" s="731"/>
      <c r="AB777" s="733">
        <f t="shared" si="95"/>
        <v>0</v>
      </c>
      <c r="AC777" s="730"/>
      <c r="AD777" s="731"/>
      <c r="AE777" s="730"/>
      <c r="AF777" s="730"/>
      <c r="AG777" s="731"/>
      <c r="AH777" s="731"/>
      <c r="AI777" s="732">
        <f t="shared" si="99"/>
        <v>101035200</v>
      </c>
      <c r="AJ777" s="733">
        <f t="shared" si="100"/>
        <v>97130400</v>
      </c>
    </row>
    <row r="778" spans="1:36">
      <c r="A778" s="846" t="s">
        <v>432</v>
      </c>
      <c r="B778" s="878" t="s">
        <v>69</v>
      </c>
      <c r="C778" s="870" t="s">
        <v>371</v>
      </c>
      <c r="D778" s="861" t="s">
        <v>1784</v>
      </c>
      <c r="E778" s="850">
        <v>157386</v>
      </c>
      <c r="F778" s="851">
        <v>3</v>
      </c>
      <c r="G778" s="730"/>
      <c r="H778" s="731"/>
      <c r="I778" s="730"/>
      <c r="J778" s="731"/>
      <c r="K778" s="730"/>
      <c r="L778" s="731"/>
      <c r="M778" s="730"/>
      <c r="N778" s="730"/>
      <c r="O778" s="732">
        <f t="shared" ref="O778:O841" si="101">SUM(M778:N778)</f>
        <v>0</v>
      </c>
      <c r="P778" s="731"/>
      <c r="Q778" s="731"/>
      <c r="R778" s="733">
        <f t="shared" si="96"/>
        <v>0</v>
      </c>
      <c r="S778" s="732">
        <f t="shared" si="97"/>
        <v>0</v>
      </c>
      <c r="T778" s="733">
        <f t="shared" si="98"/>
        <v>0</v>
      </c>
      <c r="U778" s="730"/>
      <c r="V778" s="731"/>
      <c r="W778" s="730"/>
      <c r="X778" s="730"/>
      <c r="Y778" s="732">
        <f t="shared" ref="Y778:Y841" si="102">SUM(W778:X778)</f>
        <v>0</v>
      </c>
      <c r="Z778" s="731"/>
      <c r="AA778" s="731"/>
      <c r="AB778" s="733">
        <f t="shared" ref="AB778:AB841" si="103">SUM(Z778:AA778)</f>
        <v>0</v>
      </c>
      <c r="AC778" s="730"/>
      <c r="AD778" s="731"/>
      <c r="AE778" s="730"/>
      <c r="AF778" s="730"/>
      <c r="AG778" s="731"/>
      <c r="AH778" s="731"/>
      <c r="AI778" s="732">
        <f t="shared" si="99"/>
        <v>0</v>
      </c>
      <c r="AJ778" s="733">
        <f t="shared" si="100"/>
        <v>0</v>
      </c>
    </row>
    <row r="779" spans="1:36">
      <c r="A779" s="846" t="s">
        <v>432</v>
      </c>
      <c r="B779" s="878" t="s">
        <v>69</v>
      </c>
      <c r="C779" s="875" t="s">
        <v>448</v>
      </c>
      <c r="D779" s="861" t="s">
        <v>1784</v>
      </c>
      <c r="E779" s="850">
        <v>157386</v>
      </c>
      <c r="F779" s="851">
        <v>3</v>
      </c>
      <c r="G779" s="730"/>
      <c r="H779" s="731"/>
      <c r="I779" s="730">
        <v>0</v>
      </c>
      <c r="J779" s="731">
        <v>0</v>
      </c>
      <c r="K779" s="730"/>
      <c r="L779" s="731"/>
      <c r="M779" s="730"/>
      <c r="N779" s="730"/>
      <c r="O779" s="732">
        <f t="shared" si="101"/>
        <v>0</v>
      </c>
      <c r="P779" s="731"/>
      <c r="Q779" s="731"/>
      <c r="R779" s="733">
        <f t="shared" ref="R779:R842" si="104">SUM(P779:Q779)</f>
        <v>0</v>
      </c>
      <c r="S779" s="732">
        <f t="shared" ref="S779:S842" si="105">SUM(G779,I779,K779,M779)</f>
        <v>0</v>
      </c>
      <c r="T779" s="733">
        <f t="shared" ref="T779:T842" si="106">SUM(H779,J779,L779,P779)</f>
        <v>0</v>
      </c>
      <c r="U779" s="730"/>
      <c r="V779" s="731"/>
      <c r="W779" s="730"/>
      <c r="X779" s="730"/>
      <c r="Y779" s="732">
        <f t="shared" si="102"/>
        <v>0</v>
      </c>
      <c r="Z779" s="731"/>
      <c r="AA779" s="731"/>
      <c r="AB779" s="733">
        <f t="shared" si="103"/>
        <v>0</v>
      </c>
      <c r="AC779" s="730"/>
      <c r="AD779" s="731"/>
      <c r="AE779" s="730"/>
      <c r="AF779" s="730"/>
      <c r="AG779" s="731"/>
      <c r="AH779" s="731"/>
      <c r="AI779" s="732">
        <f t="shared" ref="AI779:AI842" si="107">SUM(S779,U779,W779,AC779,AE779)</f>
        <v>0</v>
      </c>
      <c r="AJ779" s="733">
        <f t="shared" ref="AJ779:AJ842" si="108">SUM(T779,V779,Z779,AD779,AG779)</f>
        <v>0</v>
      </c>
    </row>
    <row r="780" spans="1:36">
      <c r="A780" s="846" t="s">
        <v>432</v>
      </c>
      <c r="B780" s="878" t="s">
        <v>69</v>
      </c>
      <c r="C780" s="878" t="s">
        <v>449</v>
      </c>
      <c r="D780" s="861" t="s">
        <v>1784</v>
      </c>
      <c r="E780" s="850">
        <v>157386</v>
      </c>
      <c r="F780" s="851">
        <v>3</v>
      </c>
      <c r="G780" s="730"/>
      <c r="H780" s="731"/>
      <c r="I780" s="730">
        <v>2822400</v>
      </c>
      <c r="J780" s="731">
        <v>3151400</v>
      </c>
      <c r="K780" s="730"/>
      <c r="L780" s="731"/>
      <c r="M780" s="730"/>
      <c r="N780" s="730"/>
      <c r="O780" s="732">
        <f t="shared" si="101"/>
        <v>0</v>
      </c>
      <c r="P780" s="731"/>
      <c r="Q780" s="731"/>
      <c r="R780" s="733">
        <f t="shared" si="104"/>
        <v>0</v>
      </c>
      <c r="S780" s="732">
        <f t="shared" si="105"/>
        <v>2822400</v>
      </c>
      <c r="T780" s="733">
        <f t="shared" si="106"/>
        <v>3151400</v>
      </c>
      <c r="U780" s="730"/>
      <c r="V780" s="731"/>
      <c r="W780" s="730"/>
      <c r="X780" s="730"/>
      <c r="Y780" s="732">
        <f t="shared" si="102"/>
        <v>0</v>
      </c>
      <c r="Z780" s="731"/>
      <c r="AA780" s="731"/>
      <c r="AB780" s="733">
        <f t="shared" si="103"/>
        <v>0</v>
      </c>
      <c r="AC780" s="730"/>
      <c r="AD780" s="731"/>
      <c r="AE780" s="730"/>
      <c r="AF780" s="730"/>
      <c r="AG780" s="731"/>
      <c r="AH780" s="731"/>
      <c r="AI780" s="732">
        <f t="shared" si="107"/>
        <v>2822400</v>
      </c>
      <c r="AJ780" s="733">
        <f t="shared" si="108"/>
        <v>3151400</v>
      </c>
    </row>
    <row r="781" spans="1:36">
      <c r="A781" s="846" t="s">
        <v>432</v>
      </c>
      <c r="B781" s="878" t="s">
        <v>69</v>
      </c>
      <c r="C781" s="878" t="s">
        <v>1656</v>
      </c>
      <c r="D781" s="861"/>
      <c r="E781" s="850">
        <v>157386</v>
      </c>
      <c r="F781" s="836"/>
      <c r="G781" s="730"/>
      <c r="H781" s="731"/>
      <c r="I781" s="730">
        <v>0</v>
      </c>
      <c r="J781" s="1151">
        <v>250000</v>
      </c>
      <c r="K781" s="730"/>
      <c r="L781" s="731"/>
      <c r="M781" s="730"/>
      <c r="N781" s="730"/>
      <c r="O781" s="732">
        <f t="shared" si="101"/>
        <v>0</v>
      </c>
      <c r="P781" s="731"/>
      <c r="Q781" s="731"/>
      <c r="R781" s="733">
        <f t="shared" si="104"/>
        <v>0</v>
      </c>
      <c r="S781" s="732">
        <f t="shared" si="105"/>
        <v>0</v>
      </c>
      <c r="T781" s="733">
        <f t="shared" si="106"/>
        <v>250000</v>
      </c>
      <c r="U781" s="730"/>
      <c r="V781" s="731"/>
      <c r="W781" s="730"/>
      <c r="X781" s="730"/>
      <c r="Y781" s="732">
        <f t="shared" si="102"/>
        <v>0</v>
      </c>
      <c r="Z781" s="731"/>
      <c r="AA781" s="731"/>
      <c r="AB781" s="733">
        <f t="shared" si="103"/>
        <v>0</v>
      </c>
      <c r="AC781" s="730"/>
      <c r="AD781" s="731"/>
      <c r="AE781" s="730"/>
      <c r="AF781" s="730"/>
      <c r="AG781" s="731"/>
      <c r="AH781" s="731"/>
      <c r="AI781" s="732">
        <f t="shared" si="107"/>
        <v>0</v>
      </c>
      <c r="AJ781" s="733">
        <f t="shared" si="108"/>
        <v>250000</v>
      </c>
    </row>
    <row r="782" spans="1:36">
      <c r="A782" s="846" t="s">
        <v>432</v>
      </c>
      <c r="B782" s="878" t="s">
        <v>78</v>
      </c>
      <c r="C782" s="870" t="s">
        <v>79</v>
      </c>
      <c r="D782" s="861" t="s">
        <v>1784</v>
      </c>
      <c r="E782" s="850">
        <v>157386</v>
      </c>
      <c r="F782" s="851">
        <v>3</v>
      </c>
      <c r="G782" s="730"/>
      <c r="H782" s="731"/>
      <c r="I782" s="730"/>
      <c r="J782" s="731"/>
      <c r="K782" s="730"/>
      <c r="L782" s="731"/>
      <c r="M782" s="730"/>
      <c r="N782" s="730"/>
      <c r="O782" s="732">
        <f t="shared" si="101"/>
        <v>0</v>
      </c>
      <c r="P782" s="731"/>
      <c r="Q782" s="731"/>
      <c r="R782" s="733">
        <f t="shared" si="104"/>
        <v>0</v>
      </c>
      <c r="S782" s="732">
        <f t="shared" si="105"/>
        <v>0</v>
      </c>
      <c r="T782" s="733">
        <f t="shared" si="106"/>
        <v>0</v>
      </c>
      <c r="U782" s="730"/>
      <c r="V782" s="731"/>
      <c r="W782" s="730"/>
      <c r="X782" s="730"/>
      <c r="Y782" s="732">
        <f t="shared" si="102"/>
        <v>0</v>
      </c>
      <c r="Z782" s="731"/>
      <c r="AA782" s="731"/>
      <c r="AB782" s="733">
        <f t="shared" si="103"/>
        <v>0</v>
      </c>
      <c r="AC782" s="730"/>
      <c r="AD782" s="731"/>
      <c r="AE782" s="730"/>
      <c r="AF782" s="730"/>
      <c r="AG782" s="731"/>
      <c r="AH782" s="731"/>
      <c r="AI782" s="732">
        <f t="shared" si="107"/>
        <v>0</v>
      </c>
      <c r="AJ782" s="733">
        <f t="shared" si="108"/>
        <v>0</v>
      </c>
    </row>
    <row r="783" spans="1:36">
      <c r="A783" s="846" t="s">
        <v>432</v>
      </c>
      <c r="B783" s="878" t="s">
        <v>62</v>
      </c>
      <c r="C783" s="878" t="s">
        <v>450</v>
      </c>
      <c r="D783" s="861" t="s">
        <v>1784</v>
      </c>
      <c r="E783" s="850">
        <v>157401</v>
      </c>
      <c r="F783" s="851">
        <v>3</v>
      </c>
      <c r="G783" s="730">
        <v>41381400</v>
      </c>
      <c r="H783" s="731">
        <v>40553800</v>
      </c>
      <c r="I783" s="730"/>
      <c r="J783" s="731"/>
      <c r="K783" s="730"/>
      <c r="L783" s="731"/>
      <c r="M783" s="730">
        <v>101202100</v>
      </c>
      <c r="N783" s="730">
        <v>596500</v>
      </c>
      <c r="O783" s="732">
        <f t="shared" si="101"/>
        <v>101798600</v>
      </c>
      <c r="P783" s="731">
        <v>99770032</v>
      </c>
      <c r="Q783" s="731">
        <v>590568</v>
      </c>
      <c r="R783" s="733">
        <f t="shared" si="104"/>
        <v>100360600</v>
      </c>
      <c r="S783" s="732">
        <f t="shared" si="105"/>
        <v>142583500</v>
      </c>
      <c r="T783" s="733">
        <f t="shared" si="106"/>
        <v>140323832</v>
      </c>
      <c r="U783" s="730"/>
      <c r="V783" s="731"/>
      <c r="W783" s="730"/>
      <c r="X783" s="730"/>
      <c r="Y783" s="732">
        <f t="shared" si="102"/>
        <v>0</v>
      </c>
      <c r="Z783" s="731"/>
      <c r="AA783" s="731"/>
      <c r="AB783" s="733">
        <f t="shared" si="103"/>
        <v>0</v>
      </c>
      <c r="AC783" s="730"/>
      <c r="AD783" s="731"/>
      <c r="AE783" s="730"/>
      <c r="AF783" s="730"/>
      <c r="AG783" s="731"/>
      <c r="AH783" s="731"/>
      <c r="AI783" s="732">
        <f t="shared" si="107"/>
        <v>142583500</v>
      </c>
      <c r="AJ783" s="733">
        <f t="shared" si="108"/>
        <v>140323832</v>
      </c>
    </row>
    <row r="784" spans="1:36" customFormat="1" ht="15" customHeight="1">
      <c r="A784" s="846" t="s">
        <v>432</v>
      </c>
      <c r="B784" s="878" t="s">
        <v>69</v>
      </c>
      <c r="C784" s="870" t="s">
        <v>70</v>
      </c>
      <c r="D784" s="861" t="s">
        <v>1784</v>
      </c>
      <c r="E784" s="850">
        <v>157401</v>
      </c>
      <c r="F784" s="851">
        <v>3</v>
      </c>
      <c r="G784" s="730"/>
      <c r="H784" s="731"/>
      <c r="I784" s="730"/>
      <c r="J784" s="731"/>
      <c r="K784" s="730"/>
      <c r="L784" s="731"/>
      <c r="M784" s="730"/>
      <c r="N784" s="730"/>
      <c r="O784" s="732">
        <f t="shared" si="101"/>
        <v>0</v>
      </c>
      <c r="P784" s="731"/>
      <c r="Q784" s="731"/>
      <c r="R784" s="733">
        <f t="shared" si="104"/>
        <v>0</v>
      </c>
      <c r="S784" s="732">
        <f t="shared" si="105"/>
        <v>0</v>
      </c>
      <c r="T784" s="733">
        <f t="shared" si="106"/>
        <v>0</v>
      </c>
      <c r="U784" s="730"/>
      <c r="V784" s="731"/>
      <c r="W784" s="730"/>
      <c r="X784" s="730"/>
      <c r="Y784" s="732">
        <f t="shared" si="102"/>
        <v>0</v>
      </c>
      <c r="Z784" s="731"/>
      <c r="AA784" s="731"/>
      <c r="AB784" s="733">
        <f t="shared" si="103"/>
        <v>0</v>
      </c>
      <c r="AC784" s="730"/>
      <c r="AD784" s="731"/>
      <c r="AE784" s="730"/>
      <c r="AF784" s="730"/>
      <c r="AG784" s="731"/>
      <c r="AH784" s="731"/>
      <c r="AI784" s="732">
        <f t="shared" si="107"/>
        <v>0</v>
      </c>
      <c r="AJ784" s="733">
        <f t="shared" si="108"/>
        <v>0</v>
      </c>
    </row>
    <row r="785" spans="1:36">
      <c r="A785" s="846" t="s">
        <v>432</v>
      </c>
      <c r="B785" s="878" t="s">
        <v>69</v>
      </c>
      <c r="C785" s="875" t="s">
        <v>451</v>
      </c>
      <c r="D785" s="861" t="s">
        <v>1784</v>
      </c>
      <c r="E785" s="850">
        <v>157401</v>
      </c>
      <c r="F785" s="851">
        <v>3</v>
      </c>
      <c r="G785" s="730"/>
      <c r="H785" s="731"/>
      <c r="I785" s="730">
        <v>3200000</v>
      </c>
      <c r="J785" s="731">
        <v>3200000</v>
      </c>
      <c r="K785" s="730"/>
      <c r="L785" s="731"/>
      <c r="M785" s="730"/>
      <c r="N785" s="730"/>
      <c r="O785" s="732">
        <f t="shared" si="101"/>
        <v>0</v>
      </c>
      <c r="P785" s="731"/>
      <c r="Q785" s="731"/>
      <c r="R785" s="733">
        <f t="shared" si="104"/>
        <v>0</v>
      </c>
      <c r="S785" s="732">
        <f t="shared" si="105"/>
        <v>3200000</v>
      </c>
      <c r="T785" s="733">
        <f t="shared" si="106"/>
        <v>3200000</v>
      </c>
      <c r="U785" s="730"/>
      <c r="V785" s="731"/>
      <c r="W785" s="730"/>
      <c r="X785" s="730"/>
      <c r="Y785" s="732">
        <f t="shared" si="102"/>
        <v>0</v>
      </c>
      <c r="Z785" s="731"/>
      <c r="AA785" s="731"/>
      <c r="AB785" s="733">
        <f t="shared" si="103"/>
        <v>0</v>
      </c>
      <c r="AC785" s="730"/>
      <c r="AD785" s="731"/>
      <c r="AE785" s="730"/>
      <c r="AF785" s="730"/>
      <c r="AG785" s="731"/>
      <c r="AH785" s="731"/>
      <c r="AI785" s="732">
        <f t="shared" si="107"/>
        <v>3200000</v>
      </c>
      <c r="AJ785" s="733">
        <f t="shared" si="108"/>
        <v>3200000</v>
      </c>
    </row>
    <row r="786" spans="1:36">
      <c r="A786" s="846" t="s">
        <v>432</v>
      </c>
      <c r="B786" s="878" t="s">
        <v>62</v>
      </c>
      <c r="C786" s="878" t="s">
        <v>452</v>
      </c>
      <c r="D786" s="972" t="s">
        <v>1784</v>
      </c>
      <c r="E786" s="851">
        <v>157447</v>
      </c>
      <c r="F786" s="851">
        <v>3</v>
      </c>
      <c r="G786" s="730">
        <v>50976100</v>
      </c>
      <c r="H786" s="731">
        <v>50923600</v>
      </c>
      <c r="I786" s="730"/>
      <c r="J786" s="731"/>
      <c r="K786" s="730"/>
      <c r="L786" s="731"/>
      <c r="M786" s="730">
        <v>166447000</v>
      </c>
      <c r="N786" s="730">
        <v>4720500</v>
      </c>
      <c r="O786" s="732">
        <f t="shared" si="101"/>
        <v>171167500</v>
      </c>
      <c r="P786" s="731">
        <v>163773580</v>
      </c>
      <c r="Q786" s="731">
        <v>4737620</v>
      </c>
      <c r="R786" s="733">
        <f t="shared" si="104"/>
        <v>168511200</v>
      </c>
      <c r="S786" s="732">
        <f t="shared" si="105"/>
        <v>217423100</v>
      </c>
      <c r="T786" s="733">
        <f t="shared" si="106"/>
        <v>214697180</v>
      </c>
      <c r="U786" s="730"/>
      <c r="V786" s="731"/>
      <c r="W786" s="730"/>
      <c r="X786" s="730"/>
      <c r="Y786" s="732">
        <f t="shared" si="102"/>
        <v>0</v>
      </c>
      <c r="Z786" s="731"/>
      <c r="AA786" s="731"/>
      <c r="AB786" s="733">
        <f t="shared" si="103"/>
        <v>0</v>
      </c>
      <c r="AC786" s="730"/>
      <c r="AD786" s="731"/>
      <c r="AE786" s="730"/>
      <c r="AF786" s="730"/>
      <c r="AG786" s="731"/>
      <c r="AH786" s="731"/>
      <c r="AI786" s="732">
        <f t="shared" si="107"/>
        <v>217423100</v>
      </c>
      <c r="AJ786" s="733">
        <f t="shared" si="108"/>
        <v>214697180</v>
      </c>
    </row>
    <row r="787" spans="1:36">
      <c r="A787" s="846" t="s">
        <v>432</v>
      </c>
      <c r="B787" s="878" t="s">
        <v>69</v>
      </c>
      <c r="C787" s="870" t="s">
        <v>70</v>
      </c>
      <c r="D787" s="861" t="s">
        <v>1784</v>
      </c>
      <c r="E787" s="851">
        <v>157447</v>
      </c>
      <c r="F787" s="851">
        <v>3</v>
      </c>
      <c r="G787" s="730"/>
      <c r="H787" s="731"/>
      <c r="I787" s="730"/>
      <c r="J787" s="731"/>
      <c r="K787" s="730"/>
      <c r="L787" s="731"/>
      <c r="M787" s="730"/>
      <c r="N787" s="730"/>
      <c r="O787" s="732">
        <f t="shared" si="101"/>
        <v>0</v>
      </c>
      <c r="P787" s="731"/>
      <c r="Q787" s="731"/>
      <c r="R787" s="733">
        <f t="shared" si="104"/>
        <v>0</v>
      </c>
      <c r="S787" s="732">
        <f t="shared" si="105"/>
        <v>0</v>
      </c>
      <c r="T787" s="733">
        <f t="shared" si="106"/>
        <v>0</v>
      </c>
      <c r="U787" s="730"/>
      <c r="V787" s="731"/>
      <c r="W787" s="730"/>
      <c r="X787" s="730"/>
      <c r="Y787" s="732">
        <f t="shared" si="102"/>
        <v>0</v>
      </c>
      <c r="Z787" s="731"/>
      <c r="AA787" s="731"/>
      <c r="AB787" s="733">
        <f t="shared" si="103"/>
        <v>0</v>
      </c>
      <c r="AC787" s="730"/>
      <c r="AD787" s="731"/>
      <c r="AE787" s="730"/>
      <c r="AF787" s="730"/>
      <c r="AG787" s="731"/>
      <c r="AH787" s="731"/>
      <c r="AI787" s="732">
        <f t="shared" si="107"/>
        <v>0</v>
      </c>
      <c r="AJ787" s="733">
        <f t="shared" si="108"/>
        <v>0</v>
      </c>
    </row>
    <row r="788" spans="1:36">
      <c r="A788" s="846" t="s">
        <v>432</v>
      </c>
      <c r="B788" s="878" t="s">
        <v>69</v>
      </c>
      <c r="C788" s="875" t="s">
        <v>453</v>
      </c>
      <c r="D788" s="861" t="s">
        <v>1784</v>
      </c>
      <c r="E788" s="851">
        <v>157447</v>
      </c>
      <c r="F788" s="851">
        <v>3</v>
      </c>
      <c r="G788" s="730"/>
      <c r="H788" s="731"/>
      <c r="I788" s="730">
        <v>1323900</v>
      </c>
      <c r="J788" s="731">
        <v>1323900</v>
      </c>
      <c r="K788" s="730"/>
      <c r="L788" s="731"/>
      <c r="M788" s="730"/>
      <c r="N788" s="730"/>
      <c r="O788" s="732">
        <f t="shared" si="101"/>
        <v>0</v>
      </c>
      <c r="P788" s="731"/>
      <c r="Q788" s="731"/>
      <c r="R788" s="733">
        <f t="shared" si="104"/>
        <v>0</v>
      </c>
      <c r="S788" s="732">
        <f t="shared" si="105"/>
        <v>1323900</v>
      </c>
      <c r="T788" s="733">
        <f t="shared" si="106"/>
        <v>1323900</v>
      </c>
      <c r="U788" s="730"/>
      <c r="V788" s="731"/>
      <c r="W788" s="730"/>
      <c r="X788" s="730"/>
      <c r="Y788" s="732">
        <f t="shared" si="102"/>
        <v>0</v>
      </c>
      <c r="Z788" s="731"/>
      <c r="AA788" s="731"/>
      <c r="AB788" s="733">
        <f t="shared" si="103"/>
        <v>0</v>
      </c>
      <c r="AC788" s="730"/>
      <c r="AD788" s="731"/>
      <c r="AE788" s="730"/>
      <c r="AF788" s="730"/>
      <c r="AG788" s="731"/>
      <c r="AH788" s="731"/>
      <c r="AI788" s="732">
        <f t="shared" si="107"/>
        <v>1323900</v>
      </c>
      <c r="AJ788" s="733">
        <f t="shared" si="108"/>
        <v>1323900</v>
      </c>
    </row>
    <row r="789" spans="1:36">
      <c r="A789" s="846" t="s">
        <v>432</v>
      </c>
      <c r="B789" s="878" t="s">
        <v>62</v>
      </c>
      <c r="C789" s="878" t="s">
        <v>454</v>
      </c>
      <c r="D789" s="861" t="s">
        <v>1784</v>
      </c>
      <c r="E789" s="850">
        <v>157951</v>
      </c>
      <c r="F789" s="851">
        <v>3</v>
      </c>
      <c r="G789" s="730">
        <v>68225600</v>
      </c>
      <c r="H789" s="731">
        <v>67619000</v>
      </c>
      <c r="I789" s="730"/>
      <c r="J789" s="731"/>
      <c r="K789" s="730"/>
      <c r="L789" s="731"/>
      <c r="M789" s="730">
        <v>178795700</v>
      </c>
      <c r="N789" s="730">
        <v>724723</v>
      </c>
      <c r="O789" s="732">
        <f t="shared" si="101"/>
        <v>179520423</v>
      </c>
      <c r="P789" s="731">
        <v>177668213</v>
      </c>
      <c r="Q789" s="731">
        <v>720287</v>
      </c>
      <c r="R789" s="733">
        <f t="shared" si="104"/>
        <v>178388500</v>
      </c>
      <c r="S789" s="732">
        <f t="shared" si="105"/>
        <v>247021300</v>
      </c>
      <c r="T789" s="733">
        <f t="shared" si="106"/>
        <v>245287213</v>
      </c>
      <c r="U789" s="730"/>
      <c r="V789" s="731"/>
      <c r="W789" s="730"/>
      <c r="X789" s="730"/>
      <c r="Y789" s="732">
        <f t="shared" si="102"/>
        <v>0</v>
      </c>
      <c r="Z789" s="731"/>
      <c r="AA789" s="731"/>
      <c r="AB789" s="733">
        <f t="shared" si="103"/>
        <v>0</v>
      </c>
      <c r="AC789" s="730"/>
      <c r="AD789" s="731"/>
      <c r="AE789" s="730"/>
      <c r="AF789" s="730"/>
      <c r="AG789" s="731"/>
      <c r="AH789" s="731"/>
      <c r="AI789" s="732">
        <f t="shared" si="107"/>
        <v>247021300</v>
      </c>
      <c r="AJ789" s="733">
        <f t="shared" si="108"/>
        <v>245287213</v>
      </c>
    </row>
    <row r="790" spans="1:36">
      <c r="A790" s="846" t="s">
        <v>432</v>
      </c>
      <c r="B790" s="878" t="s">
        <v>69</v>
      </c>
      <c r="C790" s="870" t="s">
        <v>70</v>
      </c>
      <c r="D790" s="861" t="s">
        <v>1784</v>
      </c>
      <c r="E790" s="850">
        <v>157951</v>
      </c>
      <c r="F790" s="851">
        <v>3</v>
      </c>
      <c r="G790" s="730"/>
      <c r="H790" s="731"/>
      <c r="I790" s="730"/>
      <c r="J790" s="731"/>
      <c r="K790" s="730"/>
      <c r="L790" s="731"/>
      <c r="M790" s="730"/>
      <c r="N790" s="730"/>
      <c r="O790" s="732">
        <f t="shared" si="101"/>
        <v>0</v>
      </c>
      <c r="P790" s="731"/>
      <c r="Q790" s="731"/>
      <c r="R790" s="733">
        <f t="shared" si="104"/>
        <v>0</v>
      </c>
      <c r="S790" s="732">
        <f t="shared" si="105"/>
        <v>0</v>
      </c>
      <c r="T790" s="733">
        <f t="shared" si="106"/>
        <v>0</v>
      </c>
      <c r="U790" s="730"/>
      <c r="V790" s="731"/>
      <c r="W790" s="730"/>
      <c r="X790" s="730"/>
      <c r="Y790" s="732">
        <f t="shared" si="102"/>
        <v>0</v>
      </c>
      <c r="Z790" s="731"/>
      <c r="AA790" s="731"/>
      <c r="AB790" s="733">
        <f t="shared" si="103"/>
        <v>0</v>
      </c>
      <c r="AC790" s="730"/>
      <c r="AD790" s="731"/>
      <c r="AE790" s="730"/>
      <c r="AF790" s="730"/>
      <c r="AG790" s="731"/>
      <c r="AH790" s="731"/>
      <c r="AI790" s="732">
        <f t="shared" si="107"/>
        <v>0</v>
      </c>
      <c r="AJ790" s="733">
        <f t="shared" si="108"/>
        <v>0</v>
      </c>
    </row>
    <row r="791" spans="1:36">
      <c r="A791" s="846" t="s">
        <v>432</v>
      </c>
      <c r="B791" s="878" t="s">
        <v>69</v>
      </c>
      <c r="C791" s="875" t="s">
        <v>1657</v>
      </c>
      <c r="D791" s="861" t="s">
        <v>1784</v>
      </c>
      <c r="E791" s="850">
        <v>157951</v>
      </c>
      <c r="F791" s="851">
        <v>3</v>
      </c>
      <c r="G791" s="730"/>
      <c r="H791" s="731"/>
      <c r="I791" s="730">
        <v>4747700</v>
      </c>
      <c r="J791" s="731">
        <v>4985100</v>
      </c>
      <c r="K791" s="730"/>
      <c r="L791" s="731"/>
      <c r="M791" s="730"/>
      <c r="N791" s="730"/>
      <c r="O791" s="732">
        <f t="shared" si="101"/>
        <v>0</v>
      </c>
      <c r="P791" s="731"/>
      <c r="Q791" s="731"/>
      <c r="R791" s="733">
        <f t="shared" si="104"/>
        <v>0</v>
      </c>
      <c r="S791" s="732">
        <f t="shared" si="105"/>
        <v>4747700</v>
      </c>
      <c r="T791" s="733">
        <f t="shared" si="106"/>
        <v>4985100</v>
      </c>
      <c r="U791" s="730"/>
      <c r="V791" s="731"/>
      <c r="W791" s="730"/>
      <c r="X791" s="730"/>
      <c r="Y791" s="732">
        <f t="shared" si="102"/>
        <v>0</v>
      </c>
      <c r="Z791" s="731"/>
      <c r="AA791" s="731"/>
      <c r="AB791" s="733">
        <f t="shared" si="103"/>
        <v>0</v>
      </c>
      <c r="AC791" s="730"/>
      <c r="AD791" s="731"/>
      <c r="AE791" s="730"/>
      <c r="AF791" s="730"/>
      <c r="AG791" s="731"/>
      <c r="AH791" s="731"/>
      <c r="AI791" s="732">
        <f t="shared" si="107"/>
        <v>4747700</v>
      </c>
      <c r="AJ791" s="733">
        <f t="shared" si="108"/>
        <v>4985100</v>
      </c>
    </row>
    <row r="792" spans="1:36">
      <c r="A792" s="846" t="s">
        <v>432</v>
      </c>
      <c r="B792" s="878" t="s">
        <v>69</v>
      </c>
      <c r="C792" s="875" t="s">
        <v>455</v>
      </c>
      <c r="D792" s="861" t="s">
        <v>1784</v>
      </c>
      <c r="E792" s="850">
        <v>157951</v>
      </c>
      <c r="F792" s="851">
        <v>3</v>
      </c>
      <c r="G792" s="730"/>
      <c r="H792" s="731"/>
      <c r="I792" s="730">
        <v>750000</v>
      </c>
      <c r="J792" s="731">
        <v>750000</v>
      </c>
      <c r="K792" s="730"/>
      <c r="L792" s="731"/>
      <c r="M792" s="730"/>
      <c r="N792" s="730"/>
      <c r="O792" s="732">
        <f t="shared" si="101"/>
        <v>0</v>
      </c>
      <c r="P792" s="731"/>
      <c r="Q792" s="731"/>
      <c r="R792" s="733">
        <f t="shared" si="104"/>
        <v>0</v>
      </c>
      <c r="S792" s="732">
        <f t="shared" si="105"/>
        <v>750000</v>
      </c>
      <c r="T792" s="733">
        <f t="shared" si="106"/>
        <v>750000</v>
      </c>
      <c r="U792" s="730"/>
      <c r="V792" s="731"/>
      <c r="W792" s="730"/>
      <c r="X792" s="730"/>
      <c r="Y792" s="732">
        <f t="shared" si="102"/>
        <v>0</v>
      </c>
      <c r="Z792" s="731"/>
      <c r="AA792" s="731"/>
      <c r="AB792" s="733">
        <f t="shared" si="103"/>
        <v>0</v>
      </c>
      <c r="AC792" s="730"/>
      <c r="AD792" s="731"/>
      <c r="AE792" s="730"/>
      <c r="AF792" s="730"/>
      <c r="AG792" s="731"/>
      <c r="AH792" s="731"/>
      <c r="AI792" s="732">
        <f t="shared" si="107"/>
        <v>750000</v>
      </c>
      <c r="AJ792" s="733">
        <f t="shared" si="108"/>
        <v>750000</v>
      </c>
    </row>
    <row r="793" spans="1:36">
      <c r="A793" s="846" t="s">
        <v>432</v>
      </c>
      <c r="B793" s="878" t="s">
        <v>62</v>
      </c>
      <c r="C793" s="857" t="s">
        <v>456</v>
      </c>
      <c r="D793" s="856" t="s">
        <v>1799</v>
      </c>
      <c r="E793" s="850">
        <v>157058</v>
      </c>
      <c r="F793" s="851">
        <v>4</v>
      </c>
      <c r="G793" s="730">
        <v>18607700</v>
      </c>
      <c r="H793" s="731">
        <v>17173900</v>
      </c>
      <c r="I793" s="730"/>
      <c r="J793" s="731"/>
      <c r="K793" s="730"/>
      <c r="L793" s="731"/>
      <c r="M793" s="730">
        <v>13760022</v>
      </c>
      <c r="N793" s="730">
        <v>398500</v>
      </c>
      <c r="O793" s="732">
        <f t="shared" si="101"/>
        <v>14158522</v>
      </c>
      <c r="P793" s="731">
        <v>17770347</v>
      </c>
      <c r="Q793" s="731">
        <v>462865</v>
      </c>
      <c r="R793" s="733">
        <f t="shared" si="104"/>
        <v>18233212</v>
      </c>
      <c r="S793" s="732">
        <f t="shared" si="105"/>
        <v>32367722</v>
      </c>
      <c r="T793" s="733">
        <f t="shared" si="106"/>
        <v>34944247</v>
      </c>
      <c r="U793" s="730"/>
      <c r="V793" s="731"/>
      <c r="W793" s="730"/>
      <c r="X793" s="730"/>
      <c r="Y793" s="732">
        <f t="shared" si="102"/>
        <v>0</v>
      </c>
      <c r="Z793" s="731"/>
      <c r="AA793" s="731"/>
      <c r="AB793" s="733">
        <f t="shared" si="103"/>
        <v>0</v>
      </c>
      <c r="AC793" s="730"/>
      <c r="AD793" s="731"/>
      <c r="AE793" s="730"/>
      <c r="AF793" s="730"/>
      <c r="AG793" s="731"/>
      <c r="AH793" s="731"/>
      <c r="AI793" s="732">
        <f t="shared" si="107"/>
        <v>32367722</v>
      </c>
      <c r="AJ793" s="733">
        <f t="shared" si="108"/>
        <v>34944247</v>
      </c>
    </row>
    <row r="794" spans="1:36">
      <c r="A794" s="846" t="s">
        <v>432</v>
      </c>
      <c r="B794" s="878" t="s">
        <v>69</v>
      </c>
      <c r="C794" s="870" t="s">
        <v>371</v>
      </c>
      <c r="D794" s="861" t="s">
        <v>1784</v>
      </c>
      <c r="E794" s="850">
        <v>157058</v>
      </c>
      <c r="F794" s="851">
        <v>4</v>
      </c>
      <c r="G794" s="730"/>
      <c r="H794" s="731"/>
      <c r="I794" s="730">
        <v>3513564</v>
      </c>
      <c r="J794" s="731">
        <v>4375846</v>
      </c>
      <c r="K794" s="730"/>
      <c r="L794" s="731"/>
      <c r="M794" s="730"/>
      <c r="N794" s="730"/>
      <c r="O794" s="732">
        <f t="shared" si="101"/>
        <v>0</v>
      </c>
      <c r="P794" s="731"/>
      <c r="Q794" s="731"/>
      <c r="R794" s="733">
        <f t="shared" si="104"/>
        <v>0</v>
      </c>
      <c r="S794" s="732">
        <f t="shared" si="105"/>
        <v>3513564</v>
      </c>
      <c r="T794" s="733">
        <f t="shared" si="106"/>
        <v>4375846</v>
      </c>
      <c r="U794" s="730"/>
      <c r="V794" s="731"/>
      <c r="W794" s="730"/>
      <c r="X794" s="730"/>
      <c r="Y794" s="732">
        <f t="shared" si="102"/>
        <v>0</v>
      </c>
      <c r="Z794" s="731"/>
      <c r="AA794" s="731"/>
      <c r="AB794" s="733">
        <f t="shared" si="103"/>
        <v>0</v>
      </c>
      <c r="AC794" s="730"/>
      <c r="AD794" s="731"/>
      <c r="AE794" s="730"/>
      <c r="AF794" s="730"/>
      <c r="AG794" s="731"/>
      <c r="AH794" s="731"/>
      <c r="AI794" s="732">
        <f t="shared" si="107"/>
        <v>3513564</v>
      </c>
      <c r="AJ794" s="733">
        <f t="shared" si="108"/>
        <v>4375846</v>
      </c>
    </row>
    <row r="795" spans="1:36">
      <c r="A795" s="846" t="s">
        <v>432</v>
      </c>
      <c r="B795" s="878" t="s">
        <v>74</v>
      </c>
      <c r="C795" s="870" t="s">
        <v>75</v>
      </c>
      <c r="D795" s="861" t="s">
        <v>1784</v>
      </c>
      <c r="E795" s="850">
        <v>157058</v>
      </c>
      <c r="F795" s="851">
        <v>4</v>
      </c>
      <c r="G795" s="730"/>
      <c r="H795" s="731"/>
      <c r="I795" s="730">
        <v>3635236</v>
      </c>
      <c r="J795" s="731">
        <v>3834554</v>
      </c>
      <c r="K795" s="730"/>
      <c r="L795" s="731"/>
      <c r="M795" s="730"/>
      <c r="N795" s="730"/>
      <c r="O795" s="732">
        <f t="shared" si="101"/>
        <v>0</v>
      </c>
      <c r="P795" s="731"/>
      <c r="Q795" s="731"/>
      <c r="R795" s="733">
        <f t="shared" si="104"/>
        <v>0</v>
      </c>
      <c r="S795" s="732">
        <f t="shared" si="105"/>
        <v>3635236</v>
      </c>
      <c r="T795" s="733">
        <f t="shared" si="106"/>
        <v>3834554</v>
      </c>
      <c r="U795" s="730"/>
      <c r="V795" s="731"/>
      <c r="W795" s="730"/>
      <c r="X795" s="730"/>
      <c r="Y795" s="732">
        <f t="shared" si="102"/>
        <v>0</v>
      </c>
      <c r="Z795" s="731"/>
      <c r="AA795" s="731"/>
      <c r="AB795" s="733">
        <f t="shared" si="103"/>
        <v>0</v>
      </c>
      <c r="AC795" s="730"/>
      <c r="AD795" s="731"/>
      <c r="AE795" s="730"/>
      <c r="AF795" s="730"/>
      <c r="AG795" s="731"/>
      <c r="AH795" s="731"/>
      <c r="AI795" s="732">
        <f t="shared" si="107"/>
        <v>3635236</v>
      </c>
      <c r="AJ795" s="733">
        <f t="shared" si="108"/>
        <v>3834554</v>
      </c>
    </row>
    <row r="796" spans="1:36">
      <c r="A796" s="846" t="s">
        <v>432</v>
      </c>
      <c r="B796" s="878" t="s">
        <v>62</v>
      </c>
      <c r="C796" s="973" t="s">
        <v>457</v>
      </c>
      <c r="D796" s="856" t="s">
        <v>1658</v>
      </c>
      <c r="E796" s="974">
        <v>156392</v>
      </c>
      <c r="F796" s="851">
        <v>8</v>
      </c>
      <c r="G796" s="730">
        <v>14246500</v>
      </c>
      <c r="H796" s="731">
        <v>14076800</v>
      </c>
      <c r="I796" s="730"/>
      <c r="J796" s="731"/>
      <c r="K796" s="730"/>
      <c r="L796" s="731"/>
      <c r="M796" s="730">
        <v>36401100</v>
      </c>
      <c r="N796" s="730">
        <v>1624500</v>
      </c>
      <c r="O796" s="732">
        <f t="shared" si="101"/>
        <v>38025600</v>
      </c>
      <c r="P796" s="731">
        <v>38151000</v>
      </c>
      <c r="Q796" s="731">
        <v>1521000</v>
      </c>
      <c r="R796" s="733">
        <f t="shared" si="104"/>
        <v>39672000</v>
      </c>
      <c r="S796" s="732">
        <f t="shared" si="105"/>
        <v>50647600</v>
      </c>
      <c r="T796" s="733">
        <f t="shared" si="106"/>
        <v>52227800</v>
      </c>
      <c r="U796" s="730"/>
      <c r="V796" s="731"/>
      <c r="W796" s="730"/>
      <c r="X796" s="730"/>
      <c r="Y796" s="732">
        <f t="shared" si="102"/>
        <v>0</v>
      </c>
      <c r="Z796" s="731"/>
      <c r="AA796" s="731"/>
      <c r="AB796" s="733">
        <f t="shared" si="103"/>
        <v>0</v>
      </c>
      <c r="AC796" s="730"/>
      <c r="AD796" s="731"/>
      <c r="AE796" s="730"/>
      <c r="AF796" s="730"/>
      <c r="AG796" s="731"/>
      <c r="AH796" s="731"/>
      <c r="AI796" s="732">
        <f t="shared" si="107"/>
        <v>50647600</v>
      </c>
      <c r="AJ796" s="733">
        <f t="shared" si="108"/>
        <v>52227800</v>
      </c>
    </row>
    <row r="797" spans="1:36">
      <c r="A797" s="846" t="s">
        <v>432</v>
      </c>
      <c r="B797" s="878" t="s">
        <v>62</v>
      </c>
      <c r="C797" s="973" t="s">
        <v>458</v>
      </c>
      <c r="D797" s="861" t="s">
        <v>1784</v>
      </c>
      <c r="E797" s="850">
        <v>156921</v>
      </c>
      <c r="F797" s="851">
        <v>8</v>
      </c>
      <c r="G797" s="730">
        <v>17139000</v>
      </c>
      <c r="H797" s="731">
        <v>16704100</v>
      </c>
      <c r="I797" s="730"/>
      <c r="J797" s="731"/>
      <c r="K797" s="730"/>
      <c r="L797" s="731"/>
      <c r="M797" s="730">
        <v>34297400</v>
      </c>
      <c r="N797" s="730">
        <v>1595200</v>
      </c>
      <c r="O797" s="732">
        <f t="shared" si="101"/>
        <v>35892600</v>
      </c>
      <c r="P797" s="731">
        <v>34083000</v>
      </c>
      <c r="Q797" s="731">
        <v>1358800</v>
      </c>
      <c r="R797" s="733">
        <f t="shared" si="104"/>
        <v>35441800</v>
      </c>
      <c r="S797" s="732">
        <f t="shared" si="105"/>
        <v>51436400</v>
      </c>
      <c r="T797" s="733">
        <f t="shared" si="106"/>
        <v>50787100</v>
      </c>
      <c r="U797" s="730"/>
      <c r="V797" s="731"/>
      <c r="W797" s="730"/>
      <c r="X797" s="730"/>
      <c r="Y797" s="732">
        <f t="shared" si="102"/>
        <v>0</v>
      </c>
      <c r="Z797" s="731"/>
      <c r="AA797" s="731"/>
      <c r="AB797" s="733">
        <f t="shared" si="103"/>
        <v>0</v>
      </c>
      <c r="AC797" s="730"/>
      <c r="AD797" s="731"/>
      <c r="AE797" s="730"/>
      <c r="AF797" s="730"/>
      <c r="AG797" s="731"/>
      <c r="AH797" s="731"/>
      <c r="AI797" s="732">
        <f t="shared" si="107"/>
        <v>51436400</v>
      </c>
      <c r="AJ797" s="733">
        <f t="shared" si="108"/>
        <v>50787100</v>
      </c>
    </row>
    <row r="798" spans="1:36">
      <c r="A798" s="846" t="s">
        <v>432</v>
      </c>
      <c r="B798" s="878" t="s">
        <v>62</v>
      </c>
      <c r="C798" s="973" t="s">
        <v>460</v>
      </c>
      <c r="D798" s="856" t="s">
        <v>1800</v>
      </c>
      <c r="E798" s="850">
        <v>157553</v>
      </c>
      <c r="F798" s="851">
        <v>9</v>
      </c>
      <c r="G798" s="730">
        <v>8552600</v>
      </c>
      <c r="H798" s="731">
        <v>8121300</v>
      </c>
      <c r="I798" s="730"/>
      <c r="J798" s="731"/>
      <c r="K798" s="730"/>
      <c r="L798" s="731"/>
      <c r="M798" s="730">
        <v>10044500</v>
      </c>
      <c r="N798" s="730">
        <v>446800</v>
      </c>
      <c r="O798" s="732">
        <f t="shared" si="101"/>
        <v>10491300</v>
      </c>
      <c r="P798" s="731">
        <v>9509000</v>
      </c>
      <c r="Q798" s="731">
        <v>379100</v>
      </c>
      <c r="R798" s="733">
        <f t="shared" si="104"/>
        <v>9888100</v>
      </c>
      <c r="S798" s="732">
        <f t="shared" si="105"/>
        <v>18597100</v>
      </c>
      <c r="T798" s="733">
        <f t="shared" si="106"/>
        <v>17630300</v>
      </c>
      <c r="U798" s="730"/>
      <c r="V798" s="731"/>
      <c r="W798" s="730"/>
      <c r="X798" s="730"/>
      <c r="Y798" s="732">
        <f t="shared" si="102"/>
        <v>0</v>
      </c>
      <c r="Z798" s="731"/>
      <c r="AA798" s="731"/>
      <c r="AB798" s="733">
        <f t="shared" si="103"/>
        <v>0</v>
      </c>
      <c r="AC798" s="730"/>
      <c r="AD798" s="731"/>
      <c r="AE798" s="730"/>
      <c r="AF798" s="730"/>
      <c r="AG798" s="731"/>
      <c r="AH798" s="731"/>
      <c r="AI798" s="732">
        <f t="shared" si="107"/>
        <v>18597100</v>
      </c>
      <c r="AJ798" s="733">
        <f t="shared" si="108"/>
        <v>17630300</v>
      </c>
    </row>
    <row r="799" spans="1:36">
      <c r="A799" s="846" t="s">
        <v>432</v>
      </c>
      <c r="B799" s="878" t="s">
        <v>62</v>
      </c>
      <c r="C799" s="973" t="s">
        <v>461</v>
      </c>
      <c r="D799" s="861" t="s">
        <v>1784</v>
      </c>
      <c r="E799" s="850">
        <v>156648</v>
      </c>
      <c r="F799" s="851">
        <v>9</v>
      </c>
      <c r="G799" s="730">
        <v>9524000</v>
      </c>
      <c r="H799" s="731">
        <v>9339200</v>
      </c>
      <c r="I799" s="730"/>
      <c r="J799" s="731"/>
      <c r="K799" s="730"/>
      <c r="L799" s="731"/>
      <c r="M799" s="730">
        <v>18370500</v>
      </c>
      <c r="N799" s="730">
        <v>806500</v>
      </c>
      <c r="O799" s="732">
        <f t="shared" si="101"/>
        <v>19177000</v>
      </c>
      <c r="P799" s="731">
        <v>19164000</v>
      </c>
      <c r="Q799" s="731">
        <v>764000</v>
      </c>
      <c r="R799" s="733">
        <f t="shared" si="104"/>
        <v>19928000</v>
      </c>
      <c r="S799" s="732">
        <f t="shared" si="105"/>
        <v>27894500</v>
      </c>
      <c r="T799" s="733">
        <f t="shared" si="106"/>
        <v>28503200</v>
      </c>
      <c r="U799" s="730"/>
      <c r="V799" s="731"/>
      <c r="W799" s="730"/>
      <c r="X799" s="730"/>
      <c r="Y799" s="732">
        <f t="shared" si="102"/>
        <v>0</v>
      </c>
      <c r="Z799" s="731"/>
      <c r="AA799" s="731"/>
      <c r="AB799" s="733">
        <f t="shared" si="103"/>
        <v>0</v>
      </c>
      <c r="AC799" s="730"/>
      <c r="AD799" s="731"/>
      <c r="AE799" s="730"/>
      <c r="AF799" s="730"/>
      <c r="AG799" s="731"/>
      <c r="AH799" s="731"/>
      <c r="AI799" s="732">
        <f t="shared" si="107"/>
        <v>27894500</v>
      </c>
      <c r="AJ799" s="733">
        <f t="shared" si="108"/>
        <v>28503200</v>
      </c>
    </row>
    <row r="800" spans="1:36">
      <c r="A800" s="846" t="s">
        <v>432</v>
      </c>
      <c r="B800" s="878" t="s">
        <v>62</v>
      </c>
      <c r="C800" s="973" t="s">
        <v>464</v>
      </c>
      <c r="D800" s="861" t="s">
        <v>1784</v>
      </c>
      <c r="E800" s="850">
        <v>157331</v>
      </c>
      <c r="F800" s="851">
        <v>9</v>
      </c>
      <c r="G800" s="730">
        <v>6616800</v>
      </c>
      <c r="H800" s="731">
        <v>6534500</v>
      </c>
      <c r="I800" s="730"/>
      <c r="J800" s="731"/>
      <c r="K800" s="730"/>
      <c r="L800" s="731"/>
      <c r="M800" s="730">
        <v>11321200</v>
      </c>
      <c r="N800" s="730">
        <v>485400</v>
      </c>
      <c r="O800" s="732">
        <f t="shared" si="101"/>
        <v>11806600</v>
      </c>
      <c r="P800" s="731">
        <v>11126000</v>
      </c>
      <c r="Q800" s="731">
        <v>443600</v>
      </c>
      <c r="R800" s="733">
        <f t="shared" si="104"/>
        <v>11569600</v>
      </c>
      <c r="S800" s="732">
        <f t="shared" si="105"/>
        <v>17938000</v>
      </c>
      <c r="T800" s="733">
        <f t="shared" si="106"/>
        <v>17660500</v>
      </c>
      <c r="U800" s="730"/>
      <c r="V800" s="731"/>
      <c r="W800" s="730"/>
      <c r="X800" s="730"/>
      <c r="Y800" s="732">
        <f t="shared" si="102"/>
        <v>0</v>
      </c>
      <c r="Z800" s="731"/>
      <c r="AA800" s="731"/>
      <c r="AB800" s="733">
        <f t="shared" si="103"/>
        <v>0</v>
      </c>
      <c r="AC800" s="730"/>
      <c r="AD800" s="731"/>
      <c r="AE800" s="730"/>
      <c r="AF800" s="730"/>
      <c r="AG800" s="731"/>
      <c r="AH800" s="731"/>
      <c r="AI800" s="732">
        <f t="shared" si="107"/>
        <v>17938000</v>
      </c>
      <c r="AJ800" s="733">
        <f t="shared" si="108"/>
        <v>17660500</v>
      </c>
    </row>
    <row r="801" spans="1:36">
      <c r="A801" s="846" t="s">
        <v>432</v>
      </c>
      <c r="B801" s="878" t="s">
        <v>62</v>
      </c>
      <c r="C801" s="975" t="s">
        <v>465</v>
      </c>
      <c r="D801" s="861" t="s">
        <v>1784</v>
      </c>
      <c r="E801" s="850">
        <v>247940</v>
      </c>
      <c r="F801" s="976">
        <v>9</v>
      </c>
      <c r="G801" s="730">
        <v>6732200</v>
      </c>
      <c r="H801" s="731">
        <v>6659300</v>
      </c>
      <c r="I801" s="730"/>
      <c r="J801" s="731"/>
      <c r="K801" s="730"/>
      <c r="L801" s="731"/>
      <c r="M801" s="730">
        <v>12684200</v>
      </c>
      <c r="N801" s="730">
        <v>576700</v>
      </c>
      <c r="O801" s="732">
        <f t="shared" si="101"/>
        <v>13260900</v>
      </c>
      <c r="P801" s="731">
        <v>12639000</v>
      </c>
      <c r="Q801" s="731">
        <v>503900</v>
      </c>
      <c r="R801" s="733">
        <f t="shared" si="104"/>
        <v>13142900</v>
      </c>
      <c r="S801" s="732">
        <f t="shared" si="105"/>
        <v>19416400</v>
      </c>
      <c r="T801" s="733">
        <f t="shared" si="106"/>
        <v>19298300</v>
      </c>
      <c r="U801" s="730"/>
      <c r="V801" s="731"/>
      <c r="W801" s="730"/>
      <c r="X801" s="730"/>
      <c r="Y801" s="732">
        <f t="shared" si="102"/>
        <v>0</v>
      </c>
      <c r="Z801" s="731"/>
      <c r="AA801" s="731"/>
      <c r="AB801" s="733">
        <f t="shared" si="103"/>
        <v>0</v>
      </c>
      <c r="AC801" s="730"/>
      <c r="AD801" s="731"/>
      <c r="AE801" s="730"/>
      <c r="AF801" s="730"/>
      <c r="AG801" s="731"/>
      <c r="AH801" s="731"/>
      <c r="AI801" s="732">
        <f t="shared" si="107"/>
        <v>19416400</v>
      </c>
      <c r="AJ801" s="733">
        <f t="shared" si="108"/>
        <v>19298300</v>
      </c>
    </row>
    <row r="802" spans="1:36">
      <c r="A802" s="846" t="s">
        <v>432</v>
      </c>
      <c r="B802" s="878" t="s">
        <v>62</v>
      </c>
      <c r="C802" s="977" t="s">
        <v>466</v>
      </c>
      <c r="D802" s="861" t="s">
        <v>1784</v>
      </c>
      <c r="E802" s="850">
        <v>157711</v>
      </c>
      <c r="F802" s="976">
        <v>9</v>
      </c>
      <c r="G802" s="730">
        <v>10249400</v>
      </c>
      <c r="H802" s="731">
        <v>10034100</v>
      </c>
      <c r="I802" s="730"/>
      <c r="J802" s="731"/>
      <c r="K802" s="730"/>
      <c r="L802" s="731"/>
      <c r="M802" s="730">
        <v>18315300</v>
      </c>
      <c r="N802" s="730">
        <v>773000</v>
      </c>
      <c r="O802" s="732">
        <f t="shared" si="101"/>
        <v>19088300</v>
      </c>
      <c r="P802" s="731">
        <v>17424000</v>
      </c>
      <c r="Q802" s="731">
        <v>694700</v>
      </c>
      <c r="R802" s="733">
        <f t="shared" si="104"/>
        <v>18118700</v>
      </c>
      <c r="S802" s="732">
        <f t="shared" si="105"/>
        <v>28564700</v>
      </c>
      <c r="T802" s="733">
        <f t="shared" si="106"/>
        <v>27458100</v>
      </c>
      <c r="U802" s="730"/>
      <c r="V802" s="731"/>
      <c r="W802" s="730"/>
      <c r="X802" s="730"/>
      <c r="Y802" s="732">
        <f t="shared" si="102"/>
        <v>0</v>
      </c>
      <c r="Z802" s="731"/>
      <c r="AA802" s="731"/>
      <c r="AB802" s="733">
        <f t="shared" si="103"/>
        <v>0</v>
      </c>
      <c r="AC802" s="730"/>
      <c r="AD802" s="731"/>
      <c r="AE802" s="730"/>
      <c r="AF802" s="730"/>
      <c r="AG802" s="731"/>
      <c r="AH802" s="731"/>
      <c r="AI802" s="732">
        <f t="shared" si="107"/>
        <v>28564700</v>
      </c>
      <c r="AJ802" s="733">
        <f t="shared" si="108"/>
        <v>27458100</v>
      </c>
    </row>
    <row r="803" spans="1:36">
      <c r="A803" s="846" t="s">
        <v>432</v>
      </c>
      <c r="B803" s="878" t="s">
        <v>62</v>
      </c>
      <c r="C803" s="973" t="s">
        <v>468</v>
      </c>
      <c r="D803" s="861" t="s">
        <v>1784</v>
      </c>
      <c r="E803" s="850">
        <v>157483</v>
      </c>
      <c r="F803" s="851">
        <v>9</v>
      </c>
      <c r="G803" s="730">
        <v>9958800</v>
      </c>
      <c r="H803" s="731">
        <v>9705700</v>
      </c>
      <c r="I803" s="730"/>
      <c r="J803" s="731"/>
      <c r="K803" s="730"/>
      <c r="L803" s="731"/>
      <c r="M803" s="730">
        <v>15901100</v>
      </c>
      <c r="N803" s="730">
        <v>691300</v>
      </c>
      <c r="O803" s="732">
        <f t="shared" si="101"/>
        <v>16592400</v>
      </c>
      <c r="P803" s="731">
        <v>15459000</v>
      </c>
      <c r="Q803" s="731">
        <v>616300</v>
      </c>
      <c r="R803" s="733">
        <f t="shared" si="104"/>
        <v>16075300</v>
      </c>
      <c r="S803" s="732">
        <f t="shared" si="105"/>
        <v>25859900</v>
      </c>
      <c r="T803" s="733">
        <f t="shared" si="106"/>
        <v>25164700</v>
      </c>
      <c r="U803" s="730"/>
      <c r="V803" s="731"/>
      <c r="W803" s="730"/>
      <c r="X803" s="730"/>
      <c r="Y803" s="732">
        <f t="shared" si="102"/>
        <v>0</v>
      </c>
      <c r="Z803" s="731"/>
      <c r="AA803" s="731"/>
      <c r="AB803" s="733">
        <f t="shared" si="103"/>
        <v>0</v>
      </c>
      <c r="AC803" s="730"/>
      <c r="AD803" s="731"/>
      <c r="AE803" s="730"/>
      <c r="AF803" s="730"/>
      <c r="AG803" s="731"/>
      <c r="AH803" s="731"/>
      <c r="AI803" s="732">
        <f t="shared" si="107"/>
        <v>25859900</v>
      </c>
      <c r="AJ803" s="733">
        <f t="shared" si="108"/>
        <v>25164700</v>
      </c>
    </row>
    <row r="804" spans="1:36">
      <c r="A804" s="846" t="s">
        <v>432</v>
      </c>
      <c r="B804" s="878" t="s">
        <v>62</v>
      </c>
      <c r="C804" s="973" t="s">
        <v>459</v>
      </c>
      <c r="D804" s="978" t="s">
        <v>1440</v>
      </c>
      <c r="E804" s="850">
        <v>156231</v>
      </c>
      <c r="F804" s="862">
        <v>10</v>
      </c>
      <c r="G804" s="730">
        <v>7589900</v>
      </c>
      <c r="H804" s="731">
        <v>7207900</v>
      </c>
      <c r="I804" s="730"/>
      <c r="J804" s="731"/>
      <c r="K804" s="730"/>
      <c r="L804" s="731"/>
      <c r="M804" s="730">
        <v>9792500</v>
      </c>
      <c r="N804" s="730">
        <v>426100</v>
      </c>
      <c r="O804" s="732">
        <f t="shared" si="101"/>
        <v>10218600</v>
      </c>
      <c r="P804" s="731">
        <v>9700000</v>
      </c>
      <c r="Q804" s="731">
        <v>386700</v>
      </c>
      <c r="R804" s="733">
        <f t="shared" si="104"/>
        <v>10086700</v>
      </c>
      <c r="S804" s="732">
        <f t="shared" si="105"/>
        <v>17382400</v>
      </c>
      <c r="T804" s="733">
        <f t="shared" si="106"/>
        <v>16907900</v>
      </c>
      <c r="U804" s="730"/>
      <c r="V804" s="731"/>
      <c r="W804" s="730"/>
      <c r="X804" s="730"/>
      <c r="Y804" s="732">
        <f t="shared" si="102"/>
        <v>0</v>
      </c>
      <c r="Z804" s="731"/>
      <c r="AA804" s="731"/>
      <c r="AB804" s="733">
        <f t="shared" si="103"/>
        <v>0</v>
      </c>
      <c r="AC804" s="730"/>
      <c r="AD804" s="731"/>
      <c r="AE804" s="730"/>
      <c r="AF804" s="730"/>
      <c r="AG804" s="731"/>
      <c r="AH804" s="731"/>
      <c r="AI804" s="732">
        <f t="shared" si="107"/>
        <v>17382400</v>
      </c>
      <c r="AJ804" s="733">
        <f t="shared" si="108"/>
        <v>16907900</v>
      </c>
    </row>
    <row r="805" spans="1:36">
      <c r="A805" s="846" t="s">
        <v>432</v>
      </c>
      <c r="B805" s="878" t="s">
        <v>62</v>
      </c>
      <c r="C805" s="857" t="s">
        <v>469</v>
      </c>
      <c r="D805" s="972" t="s">
        <v>1784</v>
      </c>
      <c r="E805" s="851">
        <v>156790</v>
      </c>
      <c r="F805" s="851">
        <v>10</v>
      </c>
      <c r="G805" s="730">
        <v>10116000</v>
      </c>
      <c r="H805" s="731">
        <v>9627400</v>
      </c>
      <c r="I805" s="730"/>
      <c r="J805" s="731"/>
      <c r="K805" s="730"/>
      <c r="L805" s="731"/>
      <c r="M805" s="730">
        <v>10343100</v>
      </c>
      <c r="N805" s="730">
        <v>376100</v>
      </c>
      <c r="O805" s="732">
        <f t="shared" si="101"/>
        <v>10719200</v>
      </c>
      <c r="P805" s="731">
        <v>9678000</v>
      </c>
      <c r="Q805" s="731">
        <v>385800</v>
      </c>
      <c r="R805" s="733">
        <f t="shared" si="104"/>
        <v>10063800</v>
      </c>
      <c r="S805" s="732">
        <f t="shared" si="105"/>
        <v>20459100</v>
      </c>
      <c r="T805" s="733">
        <f t="shared" si="106"/>
        <v>19305400</v>
      </c>
      <c r="U805" s="730"/>
      <c r="V805" s="731"/>
      <c r="W805" s="730"/>
      <c r="X805" s="730"/>
      <c r="Y805" s="732">
        <f t="shared" si="102"/>
        <v>0</v>
      </c>
      <c r="Z805" s="731"/>
      <c r="AA805" s="731"/>
      <c r="AB805" s="733">
        <f t="shared" si="103"/>
        <v>0</v>
      </c>
      <c r="AC805" s="730"/>
      <c r="AD805" s="731"/>
      <c r="AE805" s="730"/>
      <c r="AF805" s="730"/>
      <c r="AG805" s="731"/>
      <c r="AH805" s="731"/>
      <c r="AI805" s="732">
        <f t="shared" si="107"/>
        <v>20459100</v>
      </c>
      <c r="AJ805" s="733">
        <f t="shared" si="108"/>
        <v>19305400</v>
      </c>
    </row>
    <row r="806" spans="1:36">
      <c r="A806" s="846" t="s">
        <v>432</v>
      </c>
      <c r="B806" s="878" t="s">
        <v>62</v>
      </c>
      <c r="C806" s="878" t="s">
        <v>470</v>
      </c>
      <c r="D806" s="861" t="s">
        <v>1784</v>
      </c>
      <c r="E806" s="850">
        <v>156851</v>
      </c>
      <c r="F806" s="976">
        <v>10</v>
      </c>
      <c r="G806" s="730">
        <v>3697100</v>
      </c>
      <c r="H806" s="731">
        <v>3504800</v>
      </c>
      <c r="I806" s="730"/>
      <c r="J806" s="731"/>
      <c r="K806" s="730"/>
      <c r="L806" s="731"/>
      <c r="M806" s="730">
        <v>4197400</v>
      </c>
      <c r="N806" s="730">
        <v>187000</v>
      </c>
      <c r="O806" s="732">
        <f t="shared" si="101"/>
        <v>4384400</v>
      </c>
      <c r="P806" s="731">
        <v>4285000</v>
      </c>
      <c r="Q806" s="731">
        <v>170800</v>
      </c>
      <c r="R806" s="733">
        <f t="shared" si="104"/>
        <v>4455800</v>
      </c>
      <c r="S806" s="732">
        <f t="shared" si="105"/>
        <v>7894500</v>
      </c>
      <c r="T806" s="733">
        <f t="shared" si="106"/>
        <v>7789800</v>
      </c>
      <c r="U806" s="730"/>
      <c r="V806" s="731"/>
      <c r="W806" s="730"/>
      <c r="X806" s="730"/>
      <c r="Y806" s="732">
        <f t="shared" si="102"/>
        <v>0</v>
      </c>
      <c r="Z806" s="731"/>
      <c r="AA806" s="731"/>
      <c r="AB806" s="733">
        <f t="shared" si="103"/>
        <v>0</v>
      </c>
      <c r="AC806" s="730"/>
      <c r="AD806" s="731"/>
      <c r="AE806" s="730"/>
      <c r="AF806" s="730"/>
      <c r="AG806" s="731"/>
      <c r="AH806" s="731"/>
      <c r="AI806" s="732">
        <f t="shared" si="107"/>
        <v>7894500</v>
      </c>
      <c r="AJ806" s="733">
        <f t="shared" si="108"/>
        <v>7789800</v>
      </c>
    </row>
    <row r="807" spans="1:36">
      <c r="A807" s="846" t="s">
        <v>432</v>
      </c>
      <c r="B807" s="878" t="s">
        <v>62</v>
      </c>
      <c r="C807" s="857" t="s">
        <v>462</v>
      </c>
      <c r="D807" s="972" t="s">
        <v>1784</v>
      </c>
      <c r="E807" s="850">
        <v>156860</v>
      </c>
      <c r="F807" s="976">
        <v>10</v>
      </c>
      <c r="G807" s="730">
        <v>4784200</v>
      </c>
      <c r="H807" s="731">
        <v>4720700</v>
      </c>
      <c r="I807" s="730"/>
      <c r="J807" s="731"/>
      <c r="K807" s="730"/>
      <c r="L807" s="731"/>
      <c r="M807" s="730">
        <v>7990400</v>
      </c>
      <c r="N807" s="730">
        <v>379600</v>
      </c>
      <c r="O807" s="732">
        <f t="shared" si="101"/>
        <v>8370000</v>
      </c>
      <c r="P807" s="731">
        <v>7275000</v>
      </c>
      <c r="Q807" s="731">
        <v>290000</v>
      </c>
      <c r="R807" s="733">
        <f t="shared" si="104"/>
        <v>7565000</v>
      </c>
      <c r="S807" s="732">
        <f t="shared" si="105"/>
        <v>12774600</v>
      </c>
      <c r="T807" s="733">
        <f t="shared" si="106"/>
        <v>11995700</v>
      </c>
      <c r="U807" s="730"/>
      <c r="V807" s="731"/>
      <c r="W807" s="730"/>
      <c r="X807" s="730"/>
      <c r="Y807" s="732">
        <f t="shared" si="102"/>
        <v>0</v>
      </c>
      <c r="Z807" s="731"/>
      <c r="AA807" s="731"/>
      <c r="AB807" s="733">
        <f t="shared" si="103"/>
        <v>0</v>
      </c>
      <c r="AC807" s="730"/>
      <c r="AD807" s="731"/>
      <c r="AE807" s="730"/>
      <c r="AF807" s="730"/>
      <c r="AG807" s="731"/>
      <c r="AH807" s="731"/>
      <c r="AI807" s="732">
        <f t="shared" si="107"/>
        <v>12774600</v>
      </c>
      <c r="AJ807" s="733">
        <f t="shared" si="108"/>
        <v>11995700</v>
      </c>
    </row>
    <row r="808" spans="1:36">
      <c r="A808" s="846" t="s">
        <v>432</v>
      </c>
      <c r="B808" s="878" t="s">
        <v>62</v>
      </c>
      <c r="C808" s="975" t="s">
        <v>463</v>
      </c>
      <c r="D808" s="972" t="s">
        <v>1784</v>
      </c>
      <c r="E808" s="850">
        <v>157304</v>
      </c>
      <c r="F808" s="976">
        <v>10</v>
      </c>
      <c r="G808" s="730">
        <v>7011300</v>
      </c>
      <c r="H808" s="731">
        <v>6659800</v>
      </c>
      <c r="I808" s="730"/>
      <c r="J808" s="731"/>
      <c r="K808" s="730"/>
      <c r="L808" s="731"/>
      <c r="M808" s="730">
        <v>9267200</v>
      </c>
      <c r="N808" s="730">
        <v>392600</v>
      </c>
      <c r="O808" s="732">
        <f t="shared" si="101"/>
        <v>9659800</v>
      </c>
      <c r="P808" s="731">
        <v>10349000</v>
      </c>
      <c r="Q808" s="731">
        <v>412600</v>
      </c>
      <c r="R808" s="733">
        <f t="shared" si="104"/>
        <v>10761600</v>
      </c>
      <c r="S808" s="732">
        <f t="shared" si="105"/>
        <v>16278500</v>
      </c>
      <c r="T808" s="733">
        <f t="shared" si="106"/>
        <v>17008800</v>
      </c>
      <c r="U808" s="730"/>
      <c r="V808" s="731"/>
      <c r="W808" s="730"/>
      <c r="X808" s="730"/>
      <c r="Y808" s="732">
        <f t="shared" si="102"/>
        <v>0</v>
      </c>
      <c r="Z808" s="731"/>
      <c r="AA808" s="731"/>
      <c r="AB808" s="733">
        <f t="shared" si="103"/>
        <v>0</v>
      </c>
      <c r="AC808" s="730"/>
      <c r="AD808" s="731"/>
      <c r="AE808" s="730"/>
      <c r="AF808" s="730"/>
      <c r="AG808" s="731"/>
      <c r="AH808" s="731"/>
      <c r="AI808" s="732">
        <f t="shared" si="107"/>
        <v>16278500</v>
      </c>
      <c r="AJ808" s="733">
        <f t="shared" si="108"/>
        <v>17008800</v>
      </c>
    </row>
    <row r="809" spans="1:36">
      <c r="A809" s="846" t="s">
        <v>432</v>
      </c>
      <c r="B809" s="878" t="s">
        <v>62</v>
      </c>
      <c r="C809" s="857" t="s">
        <v>467</v>
      </c>
      <c r="D809" s="972" t="s">
        <v>1784</v>
      </c>
      <c r="E809" s="850">
        <v>157739</v>
      </c>
      <c r="F809" s="976">
        <v>10</v>
      </c>
      <c r="G809" s="730">
        <v>8314300</v>
      </c>
      <c r="H809" s="731">
        <v>7904100</v>
      </c>
      <c r="I809" s="730"/>
      <c r="J809" s="731"/>
      <c r="K809" s="730"/>
      <c r="L809" s="731"/>
      <c r="M809" s="730">
        <v>9540100</v>
      </c>
      <c r="N809" s="730">
        <v>399300</v>
      </c>
      <c r="O809" s="732">
        <f t="shared" si="101"/>
        <v>9939400</v>
      </c>
      <c r="P809" s="731">
        <v>8517000</v>
      </c>
      <c r="Q809" s="731">
        <v>339600</v>
      </c>
      <c r="R809" s="733">
        <f t="shared" si="104"/>
        <v>8856600</v>
      </c>
      <c r="S809" s="732">
        <f t="shared" si="105"/>
        <v>17854400</v>
      </c>
      <c r="T809" s="733">
        <f t="shared" si="106"/>
        <v>16421100</v>
      </c>
      <c r="U809" s="730"/>
      <c r="V809" s="731"/>
      <c r="W809" s="730"/>
      <c r="X809" s="730"/>
      <c r="Y809" s="732">
        <f t="shared" si="102"/>
        <v>0</v>
      </c>
      <c r="Z809" s="731"/>
      <c r="AA809" s="731"/>
      <c r="AB809" s="733">
        <f t="shared" si="103"/>
        <v>0</v>
      </c>
      <c r="AC809" s="730"/>
      <c r="AD809" s="731"/>
      <c r="AE809" s="730"/>
      <c r="AF809" s="730"/>
      <c r="AG809" s="731"/>
      <c r="AH809" s="731"/>
      <c r="AI809" s="732">
        <f t="shared" si="107"/>
        <v>17854400</v>
      </c>
      <c r="AJ809" s="733">
        <f t="shared" si="108"/>
        <v>16421100</v>
      </c>
    </row>
    <row r="810" spans="1:36">
      <c r="A810" s="846" t="s">
        <v>432</v>
      </c>
      <c r="B810" s="878" t="s">
        <v>62</v>
      </c>
      <c r="C810" s="864" t="s">
        <v>471</v>
      </c>
      <c r="D810" s="861" t="s">
        <v>1784</v>
      </c>
      <c r="E810" s="850">
        <v>157438</v>
      </c>
      <c r="F810" s="976">
        <v>12</v>
      </c>
      <c r="G810" s="730">
        <v>7462800</v>
      </c>
      <c r="H810" s="731">
        <v>7357800</v>
      </c>
      <c r="I810" s="730"/>
      <c r="J810" s="731"/>
      <c r="K810" s="730"/>
      <c r="L810" s="731"/>
      <c r="M810" s="730">
        <v>13007000</v>
      </c>
      <c r="N810" s="730">
        <v>598100</v>
      </c>
      <c r="O810" s="732">
        <f t="shared" si="101"/>
        <v>13605100</v>
      </c>
      <c r="P810" s="731">
        <v>15142000</v>
      </c>
      <c r="Q810" s="731">
        <v>603700</v>
      </c>
      <c r="R810" s="733">
        <f t="shared" si="104"/>
        <v>15745700</v>
      </c>
      <c r="S810" s="732">
        <f t="shared" si="105"/>
        <v>20469800</v>
      </c>
      <c r="T810" s="733">
        <f t="shared" si="106"/>
        <v>22499800</v>
      </c>
      <c r="U810" s="730"/>
      <c r="V810" s="731"/>
      <c r="W810" s="730"/>
      <c r="X810" s="730"/>
      <c r="Y810" s="732">
        <f t="shared" si="102"/>
        <v>0</v>
      </c>
      <c r="Z810" s="731"/>
      <c r="AA810" s="731"/>
      <c r="AB810" s="733">
        <f t="shared" si="103"/>
        <v>0</v>
      </c>
      <c r="AC810" s="730"/>
      <c r="AD810" s="731"/>
      <c r="AE810" s="730"/>
      <c r="AF810" s="730"/>
      <c r="AG810" s="731"/>
      <c r="AH810" s="731"/>
      <c r="AI810" s="732">
        <f t="shared" si="107"/>
        <v>20469800</v>
      </c>
      <c r="AJ810" s="733">
        <f t="shared" si="108"/>
        <v>22499800</v>
      </c>
    </row>
    <row r="811" spans="1:36">
      <c r="A811" s="846" t="s">
        <v>432</v>
      </c>
      <c r="B811" s="878" t="s">
        <v>62</v>
      </c>
      <c r="C811" s="857" t="s">
        <v>472</v>
      </c>
      <c r="D811" s="861" t="s">
        <v>1784</v>
      </c>
      <c r="E811" s="850">
        <v>156338</v>
      </c>
      <c r="F811" s="851">
        <v>12</v>
      </c>
      <c r="G811" s="730">
        <v>7755300</v>
      </c>
      <c r="H811" s="731">
        <v>7642600</v>
      </c>
      <c r="I811" s="730"/>
      <c r="J811" s="731"/>
      <c r="K811" s="730"/>
      <c r="L811" s="731"/>
      <c r="M811" s="730">
        <v>14160700</v>
      </c>
      <c r="N811" s="730">
        <v>614400</v>
      </c>
      <c r="O811" s="732">
        <f t="shared" si="101"/>
        <v>14775100</v>
      </c>
      <c r="P811" s="731">
        <v>14754000</v>
      </c>
      <c r="Q811" s="731">
        <v>588200</v>
      </c>
      <c r="R811" s="733">
        <f t="shared" si="104"/>
        <v>15342200</v>
      </c>
      <c r="S811" s="732">
        <f t="shared" si="105"/>
        <v>21916000</v>
      </c>
      <c r="T811" s="733">
        <f t="shared" si="106"/>
        <v>22396600</v>
      </c>
      <c r="U811" s="730"/>
      <c r="V811" s="731"/>
      <c r="W811" s="730"/>
      <c r="X811" s="730"/>
      <c r="Y811" s="732">
        <f t="shared" si="102"/>
        <v>0</v>
      </c>
      <c r="Z811" s="731"/>
      <c r="AA811" s="731"/>
      <c r="AB811" s="733">
        <f t="shared" si="103"/>
        <v>0</v>
      </c>
      <c r="AC811" s="730"/>
      <c r="AD811" s="731"/>
      <c r="AE811" s="730"/>
      <c r="AF811" s="730"/>
      <c r="AG811" s="731"/>
      <c r="AH811" s="731"/>
      <c r="AI811" s="732">
        <f t="shared" si="107"/>
        <v>21916000</v>
      </c>
      <c r="AJ811" s="733">
        <f t="shared" si="108"/>
        <v>22396600</v>
      </c>
    </row>
    <row r="812" spans="1:36">
      <c r="A812" s="846" t="s">
        <v>432</v>
      </c>
      <c r="B812" s="878" t="s">
        <v>336</v>
      </c>
      <c r="C812" s="979" t="s">
        <v>431</v>
      </c>
      <c r="D812" s="861" t="s">
        <v>1784</v>
      </c>
      <c r="E812" s="868"/>
      <c r="F812" s="869">
        <v>99</v>
      </c>
      <c r="G812" s="730"/>
      <c r="H812" s="731"/>
      <c r="I812" s="730"/>
      <c r="J812" s="731"/>
      <c r="K812" s="730"/>
      <c r="L812" s="731"/>
      <c r="M812" s="730"/>
      <c r="N812" s="730"/>
      <c r="O812" s="732">
        <f t="shared" si="101"/>
        <v>0</v>
      </c>
      <c r="P812" s="731"/>
      <c r="Q812" s="731"/>
      <c r="R812" s="733">
        <f t="shared" si="104"/>
        <v>0</v>
      </c>
      <c r="S812" s="732">
        <f t="shared" si="105"/>
        <v>0</v>
      </c>
      <c r="T812" s="733">
        <f t="shared" si="106"/>
        <v>0</v>
      </c>
      <c r="U812" s="730"/>
      <c r="V812" s="731"/>
      <c r="W812" s="730"/>
      <c r="X812" s="730"/>
      <c r="Y812" s="732">
        <f t="shared" si="102"/>
        <v>0</v>
      </c>
      <c r="Z812" s="731"/>
      <c r="AA812" s="731"/>
      <c r="AB812" s="733">
        <f t="shared" si="103"/>
        <v>0</v>
      </c>
      <c r="AC812" s="730"/>
      <c r="AD812" s="731"/>
      <c r="AE812" s="730"/>
      <c r="AF812" s="730"/>
      <c r="AG812" s="731"/>
      <c r="AH812" s="731"/>
      <c r="AI812" s="732">
        <f t="shared" si="107"/>
        <v>0</v>
      </c>
      <c r="AJ812" s="733">
        <f t="shared" si="108"/>
        <v>0</v>
      </c>
    </row>
    <row r="813" spans="1:36">
      <c r="A813" s="846" t="s">
        <v>432</v>
      </c>
      <c r="B813" s="878" t="s">
        <v>336</v>
      </c>
      <c r="C813" s="870" t="s">
        <v>371</v>
      </c>
      <c r="D813" s="861" t="s">
        <v>1784</v>
      </c>
      <c r="E813" s="868"/>
      <c r="F813" s="869">
        <v>99</v>
      </c>
      <c r="G813" s="730"/>
      <c r="H813" s="731"/>
      <c r="I813" s="730"/>
      <c r="J813" s="731"/>
      <c r="K813" s="730"/>
      <c r="L813" s="731"/>
      <c r="M813" s="730"/>
      <c r="N813" s="730"/>
      <c r="O813" s="732">
        <f t="shared" si="101"/>
        <v>0</v>
      </c>
      <c r="P813" s="731"/>
      <c r="Q813" s="731"/>
      <c r="R813" s="733">
        <f t="shared" si="104"/>
        <v>0</v>
      </c>
      <c r="S813" s="732">
        <f t="shared" si="105"/>
        <v>0</v>
      </c>
      <c r="T813" s="733">
        <f t="shared" si="106"/>
        <v>0</v>
      </c>
      <c r="U813" s="730"/>
      <c r="V813" s="731"/>
      <c r="W813" s="730"/>
      <c r="X813" s="730"/>
      <c r="Y813" s="732">
        <f t="shared" si="102"/>
        <v>0</v>
      </c>
      <c r="Z813" s="731"/>
      <c r="AA813" s="731"/>
      <c r="AB813" s="733">
        <f t="shared" si="103"/>
        <v>0</v>
      </c>
      <c r="AC813" s="730"/>
      <c r="AD813" s="731"/>
      <c r="AE813" s="730"/>
      <c r="AF813" s="730"/>
      <c r="AG813" s="731"/>
      <c r="AH813" s="731"/>
      <c r="AI813" s="732">
        <f t="shared" si="107"/>
        <v>0</v>
      </c>
      <c r="AJ813" s="733">
        <f t="shared" si="108"/>
        <v>0</v>
      </c>
    </row>
    <row r="814" spans="1:36">
      <c r="A814" s="846" t="s">
        <v>432</v>
      </c>
      <c r="B814" s="878" t="s">
        <v>336</v>
      </c>
      <c r="C814" s="875" t="s">
        <v>1659</v>
      </c>
      <c r="D814" s="861" t="s">
        <v>1784</v>
      </c>
      <c r="E814" s="868"/>
      <c r="F814" s="869">
        <v>99</v>
      </c>
      <c r="G814" s="730"/>
      <c r="H814" s="731"/>
      <c r="I814" s="730">
        <v>4149800</v>
      </c>
      <c r="J814" s="731">
        <v>4149700</v>
      </c>
      <c r="K814" s="730"/>
      <c r="L814" s="731"/>
      <c r="M814" s="730"/>
      <c r="N814" s="730"/>
      <c r="O814" s="732">
        <f t="shared" si="101"/>
        <v>0</v>
      </c>
      <c r="P814" s="731"/>
      <c r="Q814" s="731"/>
      <c r="R814" s="733">
        <f t="shared" si="104"/>
        <v>0</v>
      </c>
      <c r="S814" s="732">
        <f t="shared" si="105"/>
        <v>4149800</v>
      </c>
      <c r="T814" s="733">
        <f t="shared" si="106"/>
        <v>4149700</v>
      </c>
      <c r="U814" s="730"/>
      <c r="V814" s="731"/>
      <c r="W814" s="730"/>
      <c r="X814" s="730"/>
      <c r="Y814" s="732">
        <f t="shared" si="102"/>
        <v>0</v>
      </c>
      <c r="Z814" s="731"/>
      <c r="AA814" s="731"/>
      <c r="AB814" s="733">
        <f t="shared" si="103"/>
        <v>0</v>
      </c>
      <c r="AC814" s="730"/>
      <c r="AD814" s="731"/>
      <c r="AE814" s="730"/>
      <c r="AF814" s="730"/>
      <c r="AG814" s="731"/>
      <c r="AH814" s="731"/>
      <c r="AI814" s="732">
        <f t="shared" si="107"/>
        <v>4149800</v>
      </c>
      <c r="AJ814" s="733">
        <f t="shared" si="108"/>
        <v>4149700</v>
      </c>
    </row>
    <row r="815" spans="1:36">
      <c r="A815" s="846" t="s">
        <v>432</v>
      </c>
      <c r="B815" s="878" t="s">
        <v>336</v>
      </c>
      <c r="C815" s="875" t="s">
        <v>473</v>
      </c>
      <c r="D815" s="861" t="s">
        <v>1784</v>
      </c>
      <c r="E815" s="868"/>
      <c r="F815" s="869">
        <v>99</v>
      </c>
      <c r="G815" s="730"/>
      <c r="H815" s="731"/>
      <c r="I815" s="730">
        <v>750800</v>
      </c>
      <c r="J815" s="1150">
        <v>0</v>
      </c>
      <c r="K815" s="730"/>
      <c r="L815" s="731"/>
      <c r="M815" s="730"/>
      <c r="N815" s="730"/>
      <c r="O815" s="732">
        <f t="shared" si="101"/>
        <v>0</v>
      </c>
      <c r="P815" s="731"/>
      <c r="Q815" s="731"/>
      <c r="R815" s="733">
        <f t="shared" si="104"/>
        <v>0</v>
      </c>
      <c r="S815" s="732">
        <f t="shared" si="105"/>
        <v>750800</v>
      </c>
      <c r="T815" s="733">
        <f t="shared" si="106"/>
        <v>0</v>
      </c>
      <c r="U815" s="730"/>
      <c r="V815" s="731"/>
      <c r="W815" s="730"/>
      <c r="X815" s="730"/>
      <c r="Y815" s="732">
        <f t="shared" si="102"/>
        <v>0</v>
      </c>
      <c r="Z815" s="731"/>
      <c r="AA815" s="731"/>
      <c r="AB815" s="733">
        <f t="shared" si="103"/>
        <v>0</v>
      </c>
      <c r="AC815" s="730"/>
      <c r="AD815" s="731"/>
      <c r="AE815" s="730"/>
      <c r="AF815" s="730"/>
      <c r="AG815" s="731"/>
      <c r="AH815" s="731"/>
      <c r="AI815" s="732">
        <f t="shared" si="107"/>
        <v>750800</v>
      </c>
      <c r="AJ815" s="733">
        <f t="shared" si="108"/>
        <v>0</v>
      </c>
    </row>
    <row r="816" spans="1:36">
      <c r="A816" s="846" t="s">
        <v>432</v>
      </c>
      <c r="B816" s="878" t="s">
        <v>336</v>
      </c>
      <c r="C816" s="875" t="s">
        <v>474</v>
      </c>
      <c r="D816" s="861" t="s">
        <v>1784</v>
      </c>
      <c r="E816" s="868"/>
      <c r="F816" s="869">
        <v>99</v>
      </c>
      <c r="G816" s="730"/>
      <c r="H816" s="731"/>
      <c r="I816" s="730">
        <v>1799700</v>
      </c>
      <c r="J816" s="731">
        <v>1758100</v>
      </c>
      <c r="K816" s="730"/>
      <c r="L816" s="731"/>
      <c r="M816" s="730"/>
      <c r="N816" s="730"/>
      <c r="O816" s="732">
        <f t="shared" si="101"/>
        <v>0</v>
      </c>
      <c r="P816" s="731"/>
      <c r="Q816" s="731"/>
      <c r="R816" s="733">
        <f t="shared" si="104"/>
        <v>0</v>
      </c>
      <c r="S816" s="732">
        <f t="shared" si="105"/>
        <v>1799700</v>
      </c>
      <c r="T816" s="733">
        <f t="shared" si="106"/>
        <v>1758100</v>
      </c>
      <c r="U816" s="730"/>
      <c r="V816" s="731"/>
      <c r="W816" s="730"/>
      <c r="X816" s="730"/>
      <c r="Y816" s="732">
        <f t="shared" si="102"/>
        <v>0</v>
      </c>
      <c r="Z816" s="731"/>
      <c r="AA816" s="731"/>
      <c r="AB816" s="733">
        <f t="shared" si="103"/>
        <v>0</v>
      </c>
      <c r="AC816" s="730"/>
      <c r="AD816" s="731"/>
      <c r="AE816" s="730"/>
      <c r="AF816" s="730"/>
      <c r="AG816" s="731"/>
      <c r="AH816" s="731"/>
      <c r="AI816" s="732">
        <f t="shared" si="107"/>
        <v>1799700</v>
      </c>
      <c r="AJ816" s="733">
        <f t="shared" si="108"/>
        <v>1758100</v>
      </c>
    </row>
    <row r="817" spans="1:36">
      <c r="A817" s="846" t="s">
        <v>432</v>
      </c>
      <c r="B817" s="878" t="s">
        <v>336</v>
      </c>
      <c r="C817" s="875" t="s">
        <v>475</v>
      </c>
      <c r="D817" s="861" t="s">
        <v>1784</v>
      </c>
      <c r="E817" s="868"/>
      <c r="F817" s="869">
        <v>99</v>
      </c>
      <c r="G817" s="730"/>
      <c r="H817" s="731"/>
      <c r="I817" s="730">
        <v>1869900</v>
      </c>
      <c r="J817" s="731">
        <v>1826700</v>
      </c>
      <c r="K817" s="730"/>
      <c r="L817" s="731"/>
      <c r="M817" s="730"/>
      <c r="N817" s="730"/>
      <c r="O817" s="732">
        <f t="shared" si="101"/>
        <v>0</v>
      </c>
      <c r="P817" s="731"/>
      <c r="Q817" s="731"/>
      <c r="R817" s="733">
        <f t="shared" si="104"/>
        <v>0</v>
      </c>
      <c r="S817" s="732">
        <f t="shared" si="105"/>
        <v>1869900</v>
      </c>
      <c r="T817" s="733">
        <f t="shared" si="106"/>
        <v>1826700</v>
      </c>
      <c r="U817" s="730"/>
      <c r="V817" s="731"/>
      <c r="W817" s="730"/>
      <c r="X817" s="730"/>
      <c r="Y817" s="732">
        <f t="shared" si="102"/>
        <v>0</v>
      </c>
      <c r="Z817" s="731"/>
      <c r="AA817" s="731"/>
      <c r="AB817" s="733">
        <f t="shared" si="103"/>
        <v>0</v>
      </c>
      <c r="AC817" s="730"/>
      <c r="AD817" s="731"/>
      <c r="AE817" s="730"/>
      <c r="AF817" s="730"/>
      <c r="AG817" s="731"/>
      <c r="AH817" s="731"/>
      <c r="AI817" s="732">
        <f t="shared" si="107"/>
        <v>1869900</v>
      </c>
      <c r="AJ817" s="733">
        <f t="shared" si="108"/>
        <v>1826700</v>
      </c>
    </row>
    <row r="818" spans="1:36">
      <c r="A818" s="846" t="s">
        <v>432</v>
      </c>
      <c r="B818" s="878" t="s">
        <v>336</v>
      </c>
      <c r="C818" s="875" t="s">
        <v>1660</v>
      </c>
      <c r="D818" s="861" t="s">
        <v>1784</v>
      </c>
      <c r="E818" s="868"/>
      <c r="F818" s="869">
        <v>99</v>
      </c>
      <c r="G818" s="730"/>
      <c r="H818" s="731"/>
      <c r="I818" s="730">
        <v>1000000</v>
      </c>
      <c r="J818" s="1151">
        <v>1000000</v>
      </c>
      <c r="K818" s="730"/>
      <c r="L818" s="731"/>
      <c r="M818" s="730"/>
      <c r="N818" s="730"/>
      <c r="O818" s="732">
        <f t="shared" si="101"/>
        <v>0</v>
      </c>
      <c r="P818" s="731"/>
      <c r="Q818" s="731"/>
      <c r="R818" s="733">
        <f t="shared" si="104"/>
        <v>0</v>
      </c>
      <c r="S818" s="732">
        <f t="shared" si="105"/>
        <v>1000000</v>
      </c>
      <c r="T818" s="733">
        <f t="shared" si="106"/>
        <v>1000000</v>
      </c>
      <c r="U818" s="730"/>
      <c r="V818" s="731"/>
      <c r="W818" s="730"/>
      <c r="X818" s="730"/>
      <c r="Y818" s="732">
        <f t="shared" si="102"/>
        <v>0</v>
      </c>
      <c r="Z818" s="731"/>
      <c r="AA818" s="731"/>
      <c r="AB818" s="733">
        <f t="shared" si="103"/>
        <v>0</v>
      </c>
      <c r="AC818" s="730"/>
      <c r="AD818" s="731"/>
      <c r="AE818" s="730"/>
      <c r="AF818" s="730"/>
      <c r="AG818" s="731"/>
      <c r="AH818" s="731"/>
      <c r="AI818" s="732">
        <f t="shared" si="107"/>
        <v>1000000</v>
      </c>
      <c r="AJ818" s="733">
        <f t="shared" si="108"/>
        <v>1000000</v>
      </c>
    </row>
    <row r="819" spans="1:36">
      <c r="A819" s="846" t="s">
        <v>432</v>
      </c>
      <c r="B819" s="878" t="s">
        <v>132</v>
      </c>
      <c r="C819" s="979" t="s">
        <v>476</v>
      </c>
      <c r="D819" s="861" t="s">
        <v>1784</v>
      </c>
      <c r="E819" s="868"/>
      <c r="F819" s="869">
        <v>99</v>
      </c>
      <c r="G819" s="730"/>
      <c r="H819" s="731"/>
      <c r="I819" s="730"/>
      <c r="J819" s="731"/>
      <c r="K819" s="730"/>
      <c r="L819" s="731"/>
      <c r="M819" s="730"/>
      <c r="N819" s="730"/>
      <c r="O819" s="732">
        <f t="shared" si="101"/>
        <v>0</v>
      </c>
      <c r="P819" s="731"/>
      <c r="Q819" s="731"/>
      <c r="R819" s="733">
        <f t="shared" si="104"/>
        <v>0</v>
      </c>
      <c r="S819" s="732">
        <f t="shared" si="105"/>
        <v>0</v>
      </c>
      <c r="T819" s="733">
        <f t="shared" si="106"/>
        <v>0</v>
      </c>
      <c r="U819" s="730"/>
      <c r="V819" s="731"/>
      <c r="W819" s="730"/>
      <c r="X819" s="730"/>
      <c r="Y819" s="732">
        <f t="shared" si="102"/>
        <v>0</v>
      </c>
      <c r="Z819" s="731"/>
      <c r="AA819" s="731"/>
      <c r="AB819" s="733">
        <f t="shared" si="103"/>
        <v>0</v>
      </c>
      <c r="AC819" s="730"/>
      <c r="AD819" s="731"/>
      <c r="AE819" s="730"/>
      <c r="AF819" s="730"/>
      <c r="AG819" s="731"/>
      <c r="AH819" s="731"/>
      <c r="AI819" s="732">
        <f t="shared" si="107"/>
        <v>0</v>
      </c>
      <c r="AJ819" s="733">
        <f t="shared" si="108"/>
        <v>0</v>
      </c>
    </row>
    <row r="820" spans="1:36">
      <c r="A820" s="846" t="s">
        <v>432</v>
      </c>
      <c r="B820" s="878" t="s">
        <v>132</v>
      </c>
      <c r="C820" s="875" t="s">
        <v>1661</v>
      </c>
      <c r="D820" s="861" t="s">
        <v>1784</v>
      </c>
      <c r="E820" s="868"/>
      <c r="F820" s="869">
        <v>99</v>
      </c>
      <c r="G820" s="730"/>
      <c r="H820" s="731"/>
      <c r="I820" s="730">
        <v>6132800</v>
      </c>
      <c r="J820" s="731">
        <v>6876100</v>
      </c>
      <c r="K820" s="730"/>
      <c r="L820" s="731"/>
      <c r="M820" s="730"/>
      <c r="N820" s="730"/>
      <c r="O820" s="732">
        <f t="shared" si="101"/>
        <v>0</v>
      </c>
      <c r="P820" s="731"/>
      <c r="Q820" s="731"/>
      <c r="R820" s="733">
        <f t="shared" si="104"/>
        <v>0</v>
      </c>
      <c r="S820" s="732">
        <f t="shared" si="105"/>
        <v>6132800</v>
      </c>
      <c r="T820" s="733">
        <f t="shared" si="106"/>
        <v>6876100</v>
      </c>
      <c r="U820" s="730"/>
      <c r="V820" s="731"/>
      <c r="W820" s="730"/>
      <c r="X820" s="730"/>
      <c r="Y820" s="732">
        <f t="shared" si="102"/>
        <v>0</v>
      </c>
      <c r="Z820" s="731"/>
      <c r="AA820" s="731"/>
      <c r="AB820" s="733">
        <f t="shared" si="103"/>
        <v>0</v>
      </c>
      <c r="AC820" s="730"/>
      <c r="AD820" s="731"/>
      <c r="AE820" s="730"/>
      <c r="AF820" s="730"/>
      <c r="AG820" s="731"/>
      <c r="AH820" s="731"/>
      <c r="AI820" s="732">
        <f t="shared" si="107"/>
        <v>6132800</v>
      </c>
      <c r="AJ820" s="733">
        <f t="shared" si="108"/>
        <v>6876100</v>
      </c>
    </row>
    <row r="821" spans="1:36">
      <c r="A821" s="846" t="s">
        <v>432</v>
      </c>
      <c r="B821" s="878" t="s">
        <v>132</v>
      </c>
      <c r="C821" s="875" t="s">
        <v>477</v>
      </c>
      <c r="D821" s="861" t="s">
        <v>1784</v>
      </c>
      <c r="E821" s="868"/>
      <c r="F821" s="869">
        <v>99</v>
      </c>
      <c r="G821" s="730"/>
      <c r="H821" s="731"/>
      <c r="I821" s="730">
        <v>1724000</v>
      </c>
      <c r="J821" s="1150">
        <v>773700</v>
      </c>
      <c r="K821" s="730"/>
      <c r="L821" s="731"/>
      <c r="M821" s="730"/>
      <c r="N821" s="730"/>
      <c r="O821" s="732">
        <f t="shared" si="101"/>
        <v>0</v>
      </c>
      <c r="P821" s="731"/>
      <c r="Q821" s="731"/>
      <c r="R821" s="733">
        <f t="shared" si="104"/>
        <v>0</v>
      </c>
      <c r="S821" s="732">
        <f t="shared" si="105"/>
        <v>1724000</v>
      </c>
      <c r="T821" s="733">
        <f t="shared" si="106"/>
        <v>773700</v>
      </c>
      <c r="U821" s="730"/>
      <c r="V821" s="731"/>
      <c r="W821" s="730"/>
      <c r="X821" s="730"/>
      <c r="Y821" s="732">
        <f t="shared" si="102"/>
        <v>0</v>
      </c>
      <c r="Z821" s="731"/>
      <c r="AA821" s="731"/>
      <c r="AB821" s="733">
        <f t="shared" si="103"/>
        <v>0</v>
      </c>
      <c r="AC821" s="730"/>
      <c r="AD821" s="731"/>
      <c r="AE821" s="730"/>
      <c r="AF821" s="730"/>
      <c r="AG821" s="731"/>
      <c r="AH821" s="731"/>
      <c r="AI821" s="732">
        <f t="shared" si="107"/>
        <v>1724000</v>
      </c>
      <c r="AJ821" s="733">
        <f t="shared" si="108"/>
        <v>773700</v>
      </c>
    </row>
    <row r="822" spans="1:36">
      <c r="A822" s="846" t="s">
        <v>432</v>
      </c>
      <c r="B822" s="878" t="s">
        <v>132</v>
      </c>
      <c r="C822" s="875" t="s">
        <v>1662</v>
      </c>
      <c r="D822" s="861" t="s">
        <v>1784</v>
      </c>
      <c r="E822" s="868"/>
      <c r="F822" s="869">
        <v>99</v>
      </c>
      <c r="G822" s="730"/>
      <c r="H822" s="731"/>
      <c r="I822" s="730">
        <v>381800</v>
      </c>
      <c r="J822" s="1150">
        <v>171300</v>
      </c>
      <c r="K822" s="730"/>
      <c r="L822" s="731"/>
      <c r="M822" s="730"/>
      <c r="N822" s="730"/>
      <c r="O822" s="732">
        <f t="shared" si="101"/>
        <v>0</v>
      </c>
      <c r="P822" s="731"/>
      <c r="Q822" s="731"/>
      <c r="R822" s="733">
        <f t="shared" si="104"/>
        <v>0</v>
      </c>
      <c r="S822" s="732">
        <f t="shared" si="105"/>
        <v>381800</v>
      </c>
      <c r="T822" s="733">
        <f t="shared" si="106"/>
        <v>171300</v>
      </c>
      <c r="U822" s="730"/>
      <c r="V822" s="731"/>
      <c r="W822" s="730"/>
      <c r="X822" s="730"/>
      <c r="Y822" s="732">
        <f t="shared" si="102"/>
        <v>0</v>
      </c>
      <c r="Z822" s="731"/>
      <c r="AA822" s="731"/>
      <c r="AB822" s="733">
        <f t="shared" si="103"/>
        <v>0</v>
      </c>
      <c r="AC822" s="730"/>
      <c r="AD822" s="731"/>
      <c r="AE822" s="730"/>
      <c r="AF822" s="730"/>
      <c r="AG822" s="731"/>
      <c r="AH822" s="731"/>
      <c r="AI822" s="732">
        <f t="shared" si="107"/>
        <v>381800</v>
      </c>
      <c r="AJ822" s="733">
        <f t="shared" si="108"/>
        <v>171300</v>
      </c>
    </row>
    <row r="823" spans="1:36">
      <c r="A823" s="846" t="s">
        <v>432</v>
      </c>
      <c r="B823" s="878" t="s">
        <v>132</v>
      </c>
      <c r="C823" s="875" t="s">
        <v>478</v>
      </c>
      <c r="D823" s="861" t="s">
        <v>1784</v>
      </c>
      <c r="E823" s="868"/>
      <c r="F823" s="869">
        <v>99</v>
      </c>
      <c r="G823" s="730"/>
      <c r="H823" s="731"/>
      <c r="I823" s="730">
        <v>856200</v>
      </c>
      <c r="J823" s="1150">
        <v>856200</v>
      </c>
      <c r="K823" s="730"/>
      <c r="L823" s="731"/>
      <c r="M823" s="730"/>
      <c r="N823" s="730"/>
      <c r="O823" s="732">
        <f t="shared" si="101"/>
        <v>0</v>
      </c>
      <c r="P823" s="731"/>
      <c r="Q823" s="731"/>
      <c r="R823" s="733">
        <f t="shared" si="104"/>
        <v>0</v>
      </c>
      <c r="S823" s="732">
        <f t="shared" si="105"/>
        <v>856200</v>
      </c>
      <c r="T823" s="733">
        <f t="shared" si="106"/>
        <v>856200</v>
      </c>
      <c r="U823" s="730"/>
      <c r="V823" s="731"/>
      <c r="W823" s="730"/>
      <c r="X823" s="730"/>
      <c r="Y823" s="732">
        <f t="shared" si="102"/>
        <v>0</v>
      </c>
      <c r="Z823" s="731"/>
      <c r="AA823" s="731"/>
      <c r="AB823" s="733">
        <f t="shared" si="103"/>
        <v>0</v>
      </c>
      <c r="AC823" s="730"/>
      <c r="AD823" s="731"/>
      <c r="AE823" s="730"/>
      <c r="AF823" s="730"/>
      <c r="AG823" s="731"/>
      <c r="AH823" s="731"/>
      <c r="AI823" s="732">
        <f t="shared" si="107"/>
        <v>856200</v>
      </c>
      <c r="AJ823" s="733">
        <f t="shared" si="108"/>
        <v>856200</v>
      </c>
    </row>
    <row r="824" spans="1:36">
      <c r="A824" s="846" t="s">
        <v>432</v>
      </c>
      <c r="B824" s="878" t="s">
        <v>132</v>
      </c>
      <c r="C824" s="875" t="s">
        <v>1786</v>
      </c>
      <c r="D824" s="861" t="s">
        <v>1784</v>
      </c>
      <c r="E824" s="868"/>
      <c r="F824" s="869">
        <v>99</v>
      </c>
      <c r="G824" s="730"/>
      <c r="H824" s="731"/>
      <c r="I824" s="730">
        <v>17551200</v>
      </c>
      <c r="J824" s="1150">
        <v>17551200</v>
      </c>
      <c r="K824" s="730"/>
      <c r="L824" s="731"/>
      <c r="M824" s="730"/>
      <c r="N824" s="730"/>
      <c r="O824" s="732">
        <f t="shared" si="101"/>
        <v>0</v>
      </c>
      <c r="P824" s="731"/>
      <c r="Q824" s="731"/>
      <c r="R824" s="733">
        <f t="shared" si="104"/>
        <v>0</v>
      </c>
      <c r="S824" s="732">
        <f t="shared" si="105"/>
        <v>17551200</v>
      </c>
      <c r="T824" s="733">
        <f t="shared" si="106"/>
        <v>17551200</v>
      </c>
      <c r="U824" s="730"/>
      <c r="V824" s="731"/>
      <c r="W824" s="730"/>
      <c r="X824" s="730"/>
      <c r="Y824" s="732">
        <f t="shared" si="102"/>
        <v>0</v>
      </c>
      <c r="Z824" s="731"/>
      <c r="AA824" s="731"/>
      <c r="AB824" s="733">
        <f t="shared" si="103"/>
        <v>0</v>
      </c>
      <c r="AC824" s="730"/>
      <c r="AD824" s="731"/>
      <c r="AE824" s="730"/>
      <c r="AF824" s="730"/>
      <c r="AG824" s="731"/>
      <c r="AH824" s="731"/>
      <c r="AI824" s="732">
        <f t="shared" si="107"/>
        <v>17551200</v>
      </c>
      <c r="AJ824" s="733">
        <f t="shared" si="108"/>
        <v>17551200</v>
      </c>
    </row>
    <row r="825" spans="1:36">
      <c r="A825" s="846" t="s">
        <v>432</v>
      </c>
      <c r="B825" s="878" t="s">
        <v>132</v>
      </c>
      <c r="C825" s="875" t="s">
        <v>479</v>
      </c>
      <c r="D825" s="861" t="s">
        <v>1784</v>
      </c>
      <c r="E825" s="868"/>
      <c r="F825" s="869">
        <v>99</v>
      </c>
      <c r="G825" s="730"/>
      <c r="H825" s="731"/>
      <c r="I825" s="730">
        <v>0</v>
      </c>
      <c r="J825" s="731">
        <v>0</v>
      </c>
      <c r="K825" s="730"/>
      <c r="L825" s="731"/>
      <c r="M825" s="730"/>
      <c r="N825" s="730"/>
      <c r="O825" s="732">
        <f t="shared" si="101"/>
        <v>0</v>
      </c>
      <c r="P825" s="731"/>
      <c r="Q825" s="731"/>
      <c r="R825" s="733">
        <f t="shared" si="104"/>
        <v>0</v>
      </c>
      <c r="S825" s="732">
        <f t="shared" si="105"/>
        <v>0</v>
      </c>
      <c r="T825" s="733">
        <f t="shared" si="106"/>
        <v>0</v>
      </c>
      <c r="U825" s="730"/>
      <c r="V825" s="731"/>
      <c r="W825" s="730"/>
      <c r="X825" s="730"/>
      <c r="Y825" s="732">
        <f t="shared" si="102"/>
        <v>0</v>
      </c>
      <c r="Z825" s="731"/>
      <c r="AA825" s="731"/>
      <c r="AB825" s="733">
        <f t="shared" si="103"/>
        <v>0</v>
      </c>
      <c r="AC825" s="730"/>
      <c r="AD825" s="731"/>
      <c r="AE825" s="730"/>
      <c r="AF825" s="730"/>
      <c r="AG825" s="731"/>
      <c r="AH825" s="731"/>
      <c r="AI825" s="732">
        <f t="shared" si="107"/>
        <v>0</v>
      </c>
      <c r="AJ825" s="733">
        <f t="shared" si="108"/>
        <v>0</v>
      </c>
    </row>
    <row r="826" spans="1:36">
      <c r="A826" s="846" t="s">
        <v>432</v>
      </c>
      <c r="B826" s="878" t="s">
        <v>138</v>
      </c>
      <c r="C826" s="979" t="s">
        <v>139</v>
      </c>
      <c r="D826" s="861" t="s">
        <v>1784</v>
      </c>
      <c r="E826" s="868"/>
      <c r="F826" s="869">
        <v>99</v>
      </c>
      <c r="G826" s="730"/>
      <c r="H826" s="731"/>
      <c r="I826" s="730"/>
      <c r="J826" s="731"/>
      <c r="K826" s="730"/>
      <c r="L826" s="731"/>
      <c r="M826" s="730"/>
      <c r="N826" s="730"/>
      <c r="O826" s="732">
        <f t="shared" si="101"/>
        <v>0</v>
      </c>
      <c r="P826" s="731"/>
      <c r="Q826" s="731"/>
      <c r="R826" s="733">
        <f t="shared" si="104"/>
        <v>0</v>
      </c>
      <c r="S826" s="732">
        <f t="shared" si="105"/>
        <v>0</v>
      </c>
      <c r="T826" s="733">
        <f t="shared" si="106"/>
        <v>0</v>
      </c>
      <c r="U826" s="730"/>
      <c r="V826" s="731"/>
      <c r="W826" s="730"/>
      <c r="X826" s="730"/>
      <c r="Y826" s="732">
        <f t="shared" si="102"/>
        <v>0</v>
      </c>
      <c r="Z826" s="731"/>
      <c r="AA826" s="731"/>
      <c r="AB826" s="733">
        <f t="shared" si="103"/>
        <v>0</v>
      </c>
      <c r="AC826" s="730"/>
      <c r="AD826" s="731"/>
      <c r="AE826" s="730"/>
      <c r="AF826" s="730"/>
      <c r="AG826" s="731"/>
      <c r="AH826" s="731"/>
      <c r="AI826" s="732">
        <f t="shared" si="107"/>
        <v>0</v>
      </c>
      <c r="AJ826" s="733">
        <f t="shared" si="108"/>
        <v>0</v>
      </c>
    </row>
    <row r="827" spans="1:36">
      <c r="A827" s="846" t="s">
        <v>432</v>
      </c>
      <c r="B827" s="878" t="s">
        <v>140</v>
      </c>
      <c r="C827" s="870" t="s">
        <v>141</v>
      </c>
      <c r="D827" s="861" t="s">
        <v>1784</v>
      </c>
      <c r="E827" s="868"/>
      <c r="F827" s="869">
        <v>99</v>
      </c>
      <c r="G827" s="730"/>
      <c r="H827" s="731"/>
      <c r="I827" s="730"/>
      <c r="J827" s="731"/>
      <c r="K827" s="730"/>
      <c r="L827" s="731"/>
      <c r="M827" s="730"/>
      <c r="N827" s="730"/>
      <c r="O827" s="732">
        <f t="shared" si="101"/>
        <v>0</v>
      </c>
      <c r="P827" s="731"/>
      <c r="Q827" s="731"/>
      <c r="R827" s="733">
        <f t="shared" si="104"/>
        <v>0</v>
      </c>
      <c r="S827" s="732">
        <f t="shared" si="105"/>
        <v>0</v>
      </c>
      <c r="T827" s="733">
        <f t="shared" si="106"/>
        <v>0</v>
      </c>
      <c r="U827" s="730"/>
      <c r="V827" s="731"/>
      <c r="W827" s="730"/>
      <c r="X827" s="730"/>
      <c r="Y827" s="732">
        <f t="shared" si="102"/>
        <v>0</v>
      </c>
      <c r="Z827" s="731"/>
      <c r="AA827" s="731"/>
      <c r="AB827" s="733">
        <f t="shared" si="103"/>
        <v>0</v>
      </c>
      <c r="AC827" s="730"/>
      <c r="AD827" s="731"/>
      <c r="AE827" s="730"/>
      <c r="AF827" s="730"/>
      <c r="AG827" s="731"/>
      <c r="AH827" s="731"/>
      <c r="AI827" s="732">
        <f t="shared" si="107"/>
        <v>0</v>
      </c>
      <c r="AJ827" s="733">
        <f t="shared" si="108"/>
        <v>0</v>
      </c>
    </row>
    <row r="828" spans="1:36">
      <c r="A828" s="846" t="s">
        <v>432</v>
      </c>
      <c r="B828" s="878" t="s">
        <v>140</v>
      </c>
      <c r="C828" s="875" t="s">
        <v>1787</v>
      </c>
      <c r="D828" s="861" t="s">
        <v>1784</v>
      </c>
      <c r="E828" s="868"/>
      <c r="F828" s="869">
        <v>99</v>
      </c>
      <c r="G828" s="730"/>
      <c r="H828" s="731"/>
      <c r="I828" s="730"/>
      <c r="J828" s="731"/>
      <c r="K828" s="730"/>
      <c r="L828" s="731"/>
      <c r="M828" s="730"/>
      <c r="N828" s="730"/>
      <c r="O828" s="732">
        <f t="shared" si="101"/>
        <v>0</v>
      </c>
      <c r="P828" s="731"/>
      <c r="Q828" s="731"/>
      <c r="R828" s="733">
        <f t="shared" si="104"/>
        <v>0</v>
      </c>
      <c r="S828" s="732">
        <f t="shared" si="105"/>
        <v>0</v>
      </c>
      <c r="T828" s="733">
        <f t="shared" si="106"/>
        <v>0</v>
      </c>
      <c r="U828" s="730">
        <v>5830700</v>
      </c>
      <c r="V828" s="731">
        <v>4341100</v>
      </c>
      <c r="W828" s="730"/>
      <c r="X828" s="730"/>
      <c r="Y828" s="732">
        <f t="shared" si="102"/>
        <v>0</v>
      </c>
      <c r="Z828" s="731"/>
      <c r="AA828" s="731"/>
      <c r="AB828" s="733">
        <f t="shared" si="103"/>
        <v>0</v>
      </c>
      <c r="AC828" s="730"/>
      <c r="AD828" s="731"/>
      <c r="AE828" s="730"/>
      <c r="AF828" s="730"/>
      <c r="AG828" s="731"/>
      <c r="AH828" s="731"/>
      <c r="AI828" s="732">
        <f t="shared" si="107"/>
        <v>5830700</v>
      </c>
      <c r="AJ828" s="733">
        <f t="shared" si="108"/>
        <v>4341100</v>
      </c>
    </row>
    <row r="829" spans="1:36">
      <c r="A829" s="846" t="s">
        <v>432</v>
      </c>
      <c r="B829" s="878" t="s">
        <v>142</v>
      </c>
      <c r="C829" s="870" t="s">
        <v>143</v>
      </c>
      <c r="D829" s="861" t="s">
        <v>1784</v>
      </c>
      <c r="E829" s="868"/>
      <c r="F829" s="869">
        <v>99</v>
      </c>
      <c r="G829" s="730"/>
      <c r="H829" s="731"/>
      <c r="I829" s="730"/>
      <c r="J829" s="731"/>
      <c r="K829" s="730"/>
      <c r="L829" s="731"/>
      <c r="M829" s="730"/>
      <c r="N829" s="730"/>
      <c r="O829" s="732">
        <f t="shared" si="101"/>
        <v>0</v>
      </c>
      <c r="P829" s="731"/>
      <c r="Q829" s="731"/>
      <c r="R829" s="733">
        <f t="shared" si="104"/>
        <v>0</v>
      </c>
      <c r="S829" s="732">
        <f t="shared" si="105"/>
        <v>0</v>
      </c>
      <c r="T829" s="733">
        <f t="shared" si="106"/>
        <v>0</v>
      </c>
      <c r="U829" s="730"/>
      <c r="V829" s="731"/>
      <c r="W829" s="730"/>
      <c r="X829" s="730"/>
      <c r="Y829" s="732">
        <f t="shared" si="102"/>
        <v>0</v>
      </c>
      <c r="Z829" s="731"/>
      <c r="AA829" s="731"/>
      <c r="AB829" s="733">
        <f t="shared" si="103"/>
        <v>0</v>
      </c>
      <c r="AC829" s="730"/>
      <c r="AD829" s="731"/>
      <c r="AE829" s="730"/>
      <c r="AF829" s="730"/>
      <c r="AG829" s="731"/>
      <c r="AH829" s="731"/>
      <c r="AI829" s="732">
        <f t="shared" si="107"/>
        <v>0</v>
      </c>
      <c r="AJ829" s="733">
        <f t="shared" si="108"/>
        <v>0</v>
      </c>
    </row>
    <row r="830" spans="1:36">
      <c r="A830" s="846" t="s">
        <v>432</v>
      </c>
      <c r="B830" s="878" t="s">
        <v>142</v>
      </c>
      <c r="C830" s="878" t="s">
        <v>480</v>
      </c>
      <c r="D830" s="861" t="s">
        <v>1784</v>
      </c>
      <c r="E830" s="868"/>
      <c r="F830" s="869">
        <v>99</v>
      </c>
      <c r="G830" s="730"/>
      <c r="H830" s="731"/>
      <c r="I830" s="730"/>
      <c r="J830" s="731"/>
      <c r="K830" s="730"/>
      <c r="L830" s="731"/>
      <c r="M830" s="730"/>
      <c r="N830" s="730"/>
      <c r="O830" s="732">
        <f t="shared" si="101"/>
        <v>0</v>
      </c>
      <c r="P830" s="731"/>
      <c r="Q830" s="731"/>
      <c r="R830" s="733">
        <f t="shared" si="104"/>
        <v>0</v>
      </c>
      <c r="S830" s="732">
        <f t="shared" si="105"/>
        <v>0</v>
      </c>
      <c r="T830" s="733">
        <f t="shared" si="106"/>
        <v>0</v>
      </c>
      <c r="U830" s="730">
        <v>25423800</v>
      </c>
      <c r="V830" s="731">
        <v>26011500</v>
      </c>
      <c r="W830" s="730"/>
      <c r="X830" s="730"/>
      <c r="Y830" s="732">
        <f t="shared" si="102"/>
        <v>0</v>
      </c>
      <c r="Z830" s="731"/>
      <c r="AA830" s="731"/>
      <c r="AB830" s="733">
        <f t="shared" si="103"/>
        <v>0</v>
      </c>
      <c r="AC830" s="730"/>
      <c r="AD830" s="731"/>
      <c r="AE830" s="730"/>
      <c r="AF830" s="730"/>
      <c r="AG830" s="731"/>
      <c r="AH830" s="731"/>
      <c r="AI830" s="732">
        <f t="shared" si="107"/>
        <v>25423800</v>
      </c>
      <c r="AJ830" s="733">
        <f t="shared" si="108"/>
        <v>26011500</v>
      </c>
    </row>
    <row r="831" spans="1:36">
      <c r="A831" s="846" t="s">
        <v>432</v>
      </c>
      <c r="B831" s="878" t="s">
        <v>145</v>
      </c>
      <c r="C831" s="880" t="s">
        <v>146</v>
      </c>
      <c r="D831" s="861" t="s">
        <v>1784</v>
      </c>
      <c r="E831" s="868"/>
      <c r="F831" s="869">
        <v>99</v>
      </c>
      <c r="G831" s="730"/>
      <c r="H831" s="731"/>
      <c r="I831" s="730"/>
      <c r="J831" s="731"/>
      <c r="K831" s="730"/>
      <c r="L831" s="731"/>
      <c r="M831" s="730"/>
      <c r="N831" s="730"/>
      <c r="O831" s="732">
        <f t="shared" si="101"/>
        <v>0</v>
      </c>
      <c r="P831" s="731"/>
      <c r="Q831" s="731"/>
      <c r="R831" s="733">
        <f t="shared" si="104"/>
        <v>0</v>
      </c>
      <c r="S831" s="732">
        <f t="shared" si="105"/>
        <v>0</v>
      </c>
      <c r="T831" s="733">
        <f t="shared" si="106"/>
        <v>0</v>
      </c>
      <c r="U831" s="730"/>
      <c r="V831" s="731"/>
      <c r="W831" s="730"/>
      <c r="X831" s="730"/>
      <c r="Y831" s="732">
        <f t="shared" si="102"/>
        <v>0</v>
      </c>
      <c r="Z831" s="731"/>
      <c r="AA831" s="731"/>
      <c r="AB831" s="733">
        <f t="shared" si="103"/>
        <v>0</v>
      </c>
      <c r="AC831" s="730"/>
      <c r="AD831" s="731"/>
      <c r="AE831" s="730"/>
      <c r="AF831" s="730"/>
      <c r="AG831" s="731"/>
      <c r="AH831" s="731"/>
      <c r="AI831" s="732">
        <f t="shared" si="107"/>
        <v>0</v>
      </c>
      <c r="AJ831" s="733">
        <f t="shared" si="108"/>
        <v>0</v>
      </c>
    </row>
    <row r="832" spans="1:36">
      <c r="A832" s="846" t="s">
        <v>432</v>
      </c>
      <c r="B832" s="878" t="s">
        <v>145</v>
      </c>
      <c r="C832" s="875" t="s">
        <v>481</v>
      </c>
      <c r="D832" s="861" t="s">
        <v>1784</v>
      </c>
      <c r="E832" s="868"/>
      <c r="F832" s="869">
        <v>99</v>
      </c>
      <c r="G832" s="730"/>
      <c r="H832" s="731"/>
      <c r="I832" s="730"/>
      <c r="J832" s="731"/>
      <c r="K832" s="730"/>
      <c r="L832" s="731"/>
      <c r="M832" s="730"/>
      <c r="N832" s="730"/>
      <c r="O832" s="732">
        <f t="shared" si="101"/>
        <v>0</v>
      </c>
      <c r="P832" s="731"/>
      <c r="Q832" s="731"/>
      <c r="R832" s="733">
        <f t="shared" si="104"/>
        <v>0</v>
      </c>
      <c r="S832" s="732">
        <f t="shared" si="105"/>
        <v>0</v>
      </c>
      <c r="T832" s="733">
        <f t="shared" si="106"/>
        <v>0</v>
      </c>
      <c r="U832" s="730">
        <v>200000</v>
      </c>
      <c r="V832" s="731">
        <v>211600</v>
      </c>
      <c r="W832" s="730"/>
      <c r="X832" s="730"/>
      <c r="Y832" s="732">
        <f t="shared" si="102"/>
        <v>0</v>
      </c>
      <c r="Z832" s="731"/>
      <c r="AA832" s="731"/>
      <c r="AB832" s="733">
        <f t="shared" si="103"/>
        <v>0</v>
      </c>
      <c r="AC832" s="730"/>
      <c r="AD832" s="731"/>
      <c r="AE832" s="730"/>
      <c r="AF832" s="730"/>
      <c r="AG832" s="731"/>
      <c r="AH832" s="731"/>
      <c r="AI832" s="732">
        <f t="shared" si="107"/>
        <v>200000</v>
      </c>
      <c r="AJ832" s="733">
        <f t="shared" si="108"/>
        <v>211600</v>
      </c>
    </row>
    <row r="833" spans="1:36">
      <c r="A833" s="846" t="s">
        <v>432</v>
      </c>
      <c r="B833" s="878" t="s">
        <v>132</v>
      </c>
      <c r="C833" s="875" t="s">
        <v>482</v>
      </c>
      <c r="D833" s="861" t="s">
        <v>1784</v>
      </c>
      <c r="E833" s="868"/>
      <c r="F833" s="869">
        <v>99</v>
      </c>
      <c r="G833" s="730"/>
      <c r="H833" s="731"/>
      <c r="I833" s="730">
        <v>0</v>
      </c>
      <c r="J833" s="1151">
        <v>50000</v>
      </c>
      <c r="K833" s="730"/>
      <c r="L833" s="731"/>
      <c r="M833" s="730"/>
      <c r="N833" s="730"/>
      <c r="O833" s="732">
        <f t="shared" si="101"/>
        <v>0</v>
      </c>
      <c r="P833" s="731"/>
      <c r="Q833" s="731"/>
      <c r="R833" s="733">
        <f t="shared" si="104"/>
        <v>0</v>
      </c>
      <c r="S833" s="732">
        <f t="shared" si="105"/>
        <v>0</v>
      </c>
      <c r="T833" s="733">
        <f t="shared" si="106"/>
        <v>50000</v>
      </c>
      <c r="U833" s="730"/>
      <c r="V833" s="731"/>
      <c r="W833" s="730"/>
      <c r="X833" s="730"/>
      <c r="Y833" s="732">
        <f t="shared" si="102"/>
        <v>0</v>
      </c>
      <c r="Z833" s="731"/>
      <c r="AA833" s="731"/>
      <c r="AB833" s="733">
        <f t="shared" si="103"/>
        <v>0</v>
      </c>
      <c r="AC833" s="730"/>
      <c r="AD833" s="731"/>
      <c r="AE833" s="730"/>
      <c r="AF833" s="730"/>
      <c r="AG833" s="731"/>
      <c r="AH833" s="731"/>
      <c r="AI833" s="732">
        <f t="shared" si="107"/>
        <v>0</v>
      </c>
      <c r="AJ833" s="733">
        <f t="shared" si="108"/>
        <v>50000</v>
      </c>
    </row>
    <row r="834" spans="1:36">
      <c r="A834" s="846" t="s">
        <v>432</v>
      </c>
      <c r="B834" s="878" t="s">
        <v>149</v>
      </c>
      <c r="C834" s="870" t="s">
        <v>150</v>
      </c>
      <c r="D834" s="861" t="s">
        <v>1784</v>
      </c>
      <c r="E834" s="868"/>
      <c r="F834" s="869">
        <v>99</v>
      </c>
      <c r="G834" s="730"/>
      <c r="H834" s="731"/>
      <c r="I834" s="730"/>
      <c r="J834" s="731"/>
      <c r="K834" s="730"/>
      <c r="L834" s="731"/>
      <c r="M834" s="730"/>
      <c r="N834" s="730"/>
      <c r="O834" s="732">
        <f t="shared" si="101"/>
        <v>0</v>
      </c>
      <c r="P834" s="731"/>
      <c r="Q834" s="731"/>
      <c r="R834" s="733">
        <f t="shared" si="104"/>
        <v>0</v>
      </c>
      <c r="S834" s="732">
        <f t="shared" si="105"/>
        <v>0</v>
      </c>
      <c r="T834" s="733">
        <f t="shared" si="106"/>
        <v>0</v>
      </c>
      <c r="U834" s="730"/>
      <c r="V834" s="731"/>
      <c r="W834" s="730"/>
      <c r="X834" s="730"/>
      <c r="Y834" s="732">
        <f t="shared" si="102"/>
        <v>0</v>
      </c>
      <c r="Z834" s="731"/>
      <c r="AA834" s="731"/>
      <c r="AB834" s="733">
        <f t="shared" si="103"/>
        <v>0</v>
      </c>
      <c r="AC834" s="730"/>
      <c r="AD834" s="731"/>
      <c r="AE834" s="730"/>
      <c r="AF834" s="730"/>
      <c r="AG834" s="731"/>
      <c r="AH834" s="731"/>
      <c r="AI834" s="732">
        <f t="shared" si="107"/>
        <v>0</v>
      </c>
      <c r="AJ834" s="733">
        <f t="shared" si="108"/>
        <v>0</v>
      </c>
    </row>
    <row r="835" spans="1:36">
      <c r="A835" s="846" t="s">
        <v>432</v>
      </c>
      <c r="B835" s="878" t="s">
        <v>149</v>
      </c>
      <c r="C835" s="875" t="s">
        <v>1663</v>
      </c>
      <c r="D835" s="861" t="s">
        <v>1784</v>
      </c>
      <c r="E835" s="877"/>
      <c r="F835" s="869">
        <v>99</v>
      </c>
      <c r="G835" s="730"/>
      <c r="H835" s="731"/>
      <c r="I835" s="730"/>
      <c r="J835" s="731"/>
      <c r="K835" s="730"/>
      <c r="L835" s="731"/>
      <c r="M835" s="730"/>
      <c r="N835" s="730"/>
      <c r="O835" s="732">
        <f t="shared" si="101"/>
        <v>0</v>
      </c>
      <c r="P835" s="731"/>
      <c r="Q835" s="731"/>
      <c r="R835" s="733">
        <f t="shared" si="104"/>
        <v>0</v>
      </c>
      <c r="S835" s="732">
        <f t="shared" si="105"/>
        <v>0</v>
      </c>
      <c r="T835" s="733">
        <f t="shared" si="106"/>
        <v>0</v>
      </c>
      <c r="U835" s="730"/>
      <c r="V835" s="731"/>
      <c r="W835" s="730"/>
      <c r="X835" s="730"/>
      <c r="Y835" s="732">
        <f t="shared" si="102"/>
        <v>0</v>
      </c>
      <c r="Z835" s="731"/>
      <c r="AA835" s="731"/>
      <c r="AB835" s="733">
        <f t="shared" si="103"/>
        <v>0</v>
      </c>
      <c r="AC835" s="730"/>
      <c r="AD835" s="731"/>
      <c r="AE835" s="730"/>
      <c r="AF835" s="730"/>
      <c r="AG835" s="731"/>
      <c r="AH835" s="731"/>
      <c r="AI835" s="732">
        <f t="shared" si="107"/>
        <v>0</v>
      </c>
      <c r="AJ835" s="733">
        <f t="shared" si="108"/>
        <v>0</v>
      </c>
    </row>
    <row r="836" spans="1:36">
      <c r="A836" s="846" t="s">
        <v>432</v>
      </c>
      <c r="B836" s="878" t="s">
        <v>151</v>
      </c>
      <c r="C836" s="979" t="s">
        <v>152</v>
      </c>
      <c r="D836" s="861" t="s">
        <v>1784</v>
      </c>
      <c r="E836" s="868"/>
      <c r="F836" s="869">
        <v>99</v>
      </c>
      <c r="G836" s="730"/>
      <c r="H836" s="731"/>
      <c r="I836" s="730"/>
      <c r="J836" s="731"/>
      <c r="K836" s="730"/>
      <c r="L836" s="731"/>
      <c r="M836" s="730"/>
      <c r="N836" s="730"/>
      <c r="O836" s="732">
        <f t="shared" si="101"/>
        <v>0</v>
      </c>
      <c r="P836" s="731"/>
      <c r="Q836" s="731"/>
      <c r="R836" s="733">
        <f t="shared" si="104"/>
        <v>0</v>
      </c>
      <c r="S836" s="732">
        <f t="shared" si="105"/>
        <v>0</v>
      </c>
      <c r="T836" s="733">
        <f t="shared" si="106"/>
        <v>0</v>
      </c>
      <c r="U836" s="730"/>
      <c r="V836" s="731"/>
      <c r="W836" s="730"/>
      <c r="X836" s="730"/>
      <c r="Y836" s="732">
        <f t="shared" si="102"/>
        <v>0</v>
      </c>
      <c r="Z836" s="731"/>
      <c r="AA836" s="731"/>
      <c r="AB836" s="733">
        <f t="shared" si="103"/>
        <v>0</v>
      </c>
      <c r="AC836" s="730"/>
      <c r="AD836" s="731"/>
      <c r="AE836" s="730"/>
      <c r="AF836" s="730"/>
      <c r="AG836" s="731"/>
      <c r="AH836" s="731"/>
      <c r="AI836" s="732">
        <f t="shared" si="107"/>
        <v>0</v>
      </c>
      <c r="AJ836" s="733">
        <f t="shared" si="108"/>
        <v>0</v>
      </c>
    </row>
    <row r="837" spans="1:36">
      <c r="A837" s="846" t="s">
        <v>432</v>
      </c>
      <c r="B837" s="878" t="s">
        <v>248</v>
      </c>
      <c r="C837" s="979" t="s">
        <v>249</v>
      </c>
      <c r="D837" s="861" t="s">
        <v>1784</v>
      </c>
      <c r="E837" s="868"/>
      <c r="F837" s="869">
        <v>99</v>
      </c>
      <c r="G837" s="730"/>
      <c r="H837" s="731"/>
      <c r="I837" s="730"/>
      <c r="J837" s="731"/>
      <c r="K837" s="730"/>
      <c r="L837" s="731"/>
      <c r="M837" s="730"/>
      <c r="N837" s="730"/>
      <c r="O837" s="732">
        <f t="shared" si="101"/>
        <v>0</v>
      </c>
      <c r="P837" s="731"/>
      <c r="Q837" s="731"/>
      <c r="R837" s="733">
        <f t="shared" si="104"/>
        <v>0</v>
      </c>
      <c r="S837" s="732">
        <f t="shared" si="105"/>
        <v>0</v>
      </c>
      <c r="T837" s="733">
        <f t="shared" si="106"/>
        <v>0</v>
      </c>
      <c r="U837" s="730"/>
      <c r="V837" s="731"/>
      <c r="W837" s="730"/>
      <c r="X837" s="730"/>
      <c r="Y837" s="732">
        <f t="shared" si="102"/>
        <v>0</v>
      </c>
      <c r="Z837" s="731"/>
      <c r="AA837" s="731"/>
      <c r="AB837" s="733">
        <f t="shared" si="103"/>
        <v>0</v>
      </c>
      <c r="AC837" s="730"/>
      <c r="AD837" s="731"/>
      <c r="AE837" s="730"/>
      <c r="AF837" s="730"/>
      <c r="AG837" s="731"/>
      <c r="AH837" s="731"/>
      <c r="AI837" s="732">
        <f t="shared" si="107"/>
        <v>0</v>
      </c>
      <c r="AJ837" s="733">
        <f t="shared" si="108"/>
        <v>0</v>
      </c>
    </row>
    <row r="838" spans="1:36">
      <c r="A838" s="846" t="s">
        <v>432</v>
      </c>
      <c r="B838" s="878" t="s">
        <v>250</v>
      </c>
      <c r="C838" s="870" t="s">
        <v>251</v>
      </c>
      <c r="D838" s="861" t="s">
        <v>1784</v>
      </c>
      <c r="E838" s="868"/>
      <c r="F838" s="869">
        <v>99</v>
      </c>
      <c r="G838" s="730"/>
      <c r="H838" s="731"/>
      <c r="I838" s="730"/>
      <c r="J838" s="731"/>
      <c r="K838" s="730"/>
      <c r="L838" s="731"/>
      <c r="M838" s="730"/>
      <c r="N838" s="730"/>
      <c r="O838" s="732">
        <f t="shared" si="101"/>
        <v>0</v>
      </c>
      <c r="P838" s="731"/>
      <c r="Q838" s="731"/>
      <c r="R838" s="733">
        <f t="shared" si="104"/>
        <v>0</v>
      </c>
      <c r="S838" s="732">
        <f t="shared" si="105"/>
        <v>0</v>
      </c>
      <c r="T838" s="733">
        <f t="shared" si="106"/>
        <v>0</v>
      </c>
      <c r="U838" s="730"/>
      <c r="V838" s="731"/>
      <c r="W838" s="730"/>
      <c r="X838" s="730"/>
      <c r="Y838" s="732">
        <f t="shared" si="102"/>
        <v>0</v>
      </c>
      <c r="Z838" s="731"/>
      <c r="AA838" s="731"/>
      <c r="AB838" s="733">
        <f t="shared" si="103"/>
        <v>0</v>
      </c>
      <c r="AC838" s="730"/>
      <c r="AD838" s="731"/>
      <c r="AE838" s="730"/>
      <c r="AF838" s="730"/>
      <c r="AG838" s="731"/>
      <c r="AH838" s="731"/>
      <c r="AI838" s="732">
        <f t="shared" si="107"/>
        <v>0</v>
      </c>
      <c r="AJ838" s="733">
        <f t="shared" si="108"/>
        <v>0</v>
      </c>
    </row>
    <row r="839" spans="1:36">
      <c r="A839" s="846" t="s">
        <v>432</v>
      </c>
      <c r="B839" s="878" t="s">
        <v>250</v>
      </c>
      <c r="C839" s="875" t="s">
        <v>483</v>
      </c>
      <c r="D839" s="861" t="s">
        <v>1784</v>
      </c>
      <c r="E839" s="868"/>
      <c r="F839" s="869">
        <v>99</v>
      </c>
      <c r="G839" s="730"/>
      <c r="H839" s="731"/>
      <c r="I839" s="730"/>
      <c r="J839" s="731"/>
      <c r="K839" s="730"/>
      <c r="L839" s="731"/>
      <c r="M839" s="730"/>
      <c r="N839" s="730"/>
      <c r="O839" s="732">
        <f t="shared" si="101"/>
        <v>0</v>
      </c>
      <c r="P839" s="731"/>
      <c r="Q839" s="731"/>
      <c r="R839" s="733">
        <f t="shared" si="104"/>
        <v>0</v>
      </c>
      <c r="S839" s="732">
        <f t="shared" si="105"/>
        <v>0</v>
      </c>
      <c r="T839" s="733">
        <f t="shared" si="106"/>
        <v>0</v>
      </c>
      <c r="U839" s="730">
        <v>372000</v>
      </c>
      <c r="V839" s="731">
        <v>320000</v>
      </c>
      <c r="W839" s="730"/>
      <c r="X839" s="730"/>
      <c r="Y839" s="732">
        <f t="shared" si="102"/>
        <v>0</v>
      </c>
      <c r="Z839" s="731"/>
      <c r="AA839" s="731"/>
      <c r="AB839" s="733">
        <f t="shared" si="103"/>
        <v>0</v>
      </c>
      <c r="AC839" s="730"/>
      <c r="AD839" s="731"/>
      <c r="AE839" s="730"/>
      <c r="AF839" s="730"/>
      <c r="AG839" s="731"/>
      <c r="AH839" s="731"/>
      <c r="AI839" s="732">
        <f t="shared" si="107"/>
        <v>372000</v>
      </c>
      <c r="AJ839" s="733">
        <f t="shared" si="108"/>
        <v>320000</v>
      </c>
    </row>
    <row r="840" spans="1:36">
      <c r="A840" s="846" t="s">
        <v>432</v>
      </c>
      <c r="B840" s="878" t="s">
        <v>250</v>
      </c>
      <c r="C840" s="875" t="s">
        <v>255</v>
      </c>
      <c r="D840" s="861" t="s">
        <v>1784</v>
      </c>
      <c r="E840" s="868"/>
      <c r="F840" s="869">
        <v>99</v>
      </c>
      <c r="G840" s="730"/>
      <c r="H840" s="731"/>
      <c r="I840" s="730"/>
      <c r="J840" s="731"/>
      <c r="K840" s="730"/>
      <c r="L840" s="731"/>
      <c r="M840" s="730"/>
      <c r="N840" s="730"/>
      <c r="O840" s="732">
        <f t="shared" si="101"/>
        <v>0</v>
      </c>
      <c r="P840" s="731"/>
      <c r="Q840" s="731"/>
      <c r="R840" s="733">
        <f t="shared" si="104"/>
        <v>0</v>
      </c>
      <c r="S840" s="732">
        <f t="shared" si="105"/>
        <v>0</v>
      </c>
      <c r="T840" s="733">
        <f t="shared" si="106"/>
        <v>0</v>
      </c>
      <c r="U840" s="730">
        <v>249600</v>
      </c>
      <c r="V840" s="731">
        <v>249600</v>
      </c>
      <c r="W840" s="730"/>
      <c r="X840" s="730"/>
      <c r="Y840" s="732">
        <f t="shared" si="102"/>
        <v>0</v>
      </c>
      <c r="Z840" s="731"/>
      <c r="AA840" s="731"/>
      <c r="AB840" s="733">
        <f t="shared" si="103"/>
        <v>0</v>
      </c>
      <c r="AC840" s="730"/>
      <c r="AD840" s="731"/>
      <c r="AE840" s="730"/>
      <c r="AF840" s="730"/>
      <c r="AG840" s="731"/>
      <c r="AH840" s="731"/>
      <c r="AI840" s="732">
        <f t="shared" si="107"/>
        <v>249600</v>
      </c>
      <c r="AJ840" s="733">
        <f t="shared" si="108"/>
        <v>249600</v>
      </c>
    </row>
    <row r="841" spans="1:36">
      <c r="A841" s="846" t="s">
        <v>432</v>
      </c>
      <c r="B841" s="878" t="s">
        <v>258</v>
      </c>
      <c r="C841" s="870" t="s">
        <v>259</v>
      </c>
      <c r="D841" s="861" t="s">
        <v>1784</v>
      </c>
      <c r="E841" s="868"/>
      <c r="F841" s="869">
        <v>99</v>
      </c>
      <c r="G841" s="730"/>
      <c r="H841" s="731"/>
      <c r="I841" s="730"/>
      <c r="J841" s="731"/>
      <c r="K841" s="730"/>
      <c r="L841" s="731"/>
      <c r="M841" s="730"/>
      <c r="N841" s="730"/>
      <c r="O841" s="732">
        <f t="shared" si="101"/>
        <v>0</v>
      </c>
      <c r="P841" s="731"/>
      <c r="Q841" s="731"/>
      <c r="R841" s="733">
        <f t="shared" si="104"/>
        <v>0</v>
      </c>
      <c r="S841" s="732">
        <f t="shared" si="105"/>
        <v>0</v>
      </c>
      <c r="T841" s="733">
        <f t="shared" si="106"/>
        <v>0</v>
      </c>
      <c r="U841" s="730"/>
      <c r="V841" s="731"/>
      <c r="W841" s="730"/>
      <c r="X841" s="730"/>
      <c r="Y841" s="732">
        <f t="shared" si="102"/>
        <v>0</v>
      </c>
      <c r="Z841" s="731"/>
      <c r="AA841" s="731"/>
      <c r="AB841" s="733">
        <f t="shared" si="103"/>
        <v>0</v>
      </c>
      <c r="AC841" s="730"/>
      <c r="AD841" s="731"/>
      <c r="AE841" s="730"/>
      <c r="AF841" s="730"/>
      <c r="AG841" s="731"/>
      <c r="AH841" s="731"/>
      <c r="AI841" s="732">
        <f t="shared" si="107"/>
        <v>0</v>
      </c>
      <c r="AJ841" s="733">
        <f t="shared" si="108"/>
        <v>0</v>
      </c>
    </row>
    <row r="842" spans="1:36">
      <c r="A842" s="846" t="s">
        <v>432</v>
      </c>
      <c r="B842" s="878" t="s">
        <v>258</v>
      </c>
      <c r="C842" s="875" t="s">
        <v>484</v>
      </c>
      <c r="D842" s="861" t="s">
        <v>1784</v>
      </c>
      <c r="E842" s="868"/>
      <c r="F842" s="869">
        <v>99</v>
      </c>
      <c r="G842" s="730"/>
      <c r="H842" s="731"/>
      <c r="I842" s="730"/>
      <c r="J842" s="731"/>
      <c r="K842" s="730"/>
      <c r="L842" s="731"/>
      <c r="M842" s="730"/>
      <c r="N842" s="730"/>
      <c r="O842" s="732">
        <f t="shared" ref="O842:O905" si="109">SUM(M842:N842)</f>
        <v>0</v>
      </c>
      <c r="P842" s="731"/>
      <c r="Q842" s="731"/>
      <c r="R842" s="733">
        <f t="shared" si="104"/>
        <v>0</v>
      </c>
      <c r="S842" s="732">
        <f t="shared" si="105"/>
        <v>0</v>
      </c>
      <c r="T842" s="733">
        <f t="shared" si="106"/>
        <v>0</v>
      </c>
      <c r="U842" s="730">
        <v>4712000</v>
      </c>
      <c r="V842" s="731">
        <v>4832000</v>
      </c>
      <c r="W842" s="730"/>
      <c r="X842" s="730"/>
      <c r="Y842" s="732">
        <f t="shared" ref="Y842:Y905" si="110">SUM(W842:X842)</f>
        <v>0</v>
      </c>
      <c r="Z842" s="731"/>
      <c r="AA842" s="731"/>
      <c r="AB842" s="733">
        <f t="shared" ref="AB842:AB905" si="111">SUM(Z842:AA842)</f>
        <v>0</v>
      </c>
      <c r="AC842" s="730"/>
      <c r="AD842" s="731"/>
      <c r="AE842" s="730"/>
      <c r="AF842" s="730"/>
      <c r="AG842" s="731"/>
      <c r="AH842" s="731"/>
      <c r="AI842" s="732">
        <f t="shared" si="107"/>
        <v>4712000</v>
      </c>
      <c r="AJ842" s="733">
        <f t="shared" si="108"/>
        <v>4832000</v>
      </c>
    </row>
    <row r="843" spans="1:36">
      <c r="A843" s="846" t="s">
        <v>432</v>
      </c>
      <c r="B843" s="878" t="s">
        <v>258</v>
      </c>
      <c r="C843" s="878" t="s">
        <v>485</v>
      </c>
      <c r="D843" s="861" t="s">
        <v>1784</v>
      </c>
      <c r="E843" s="868"/>
      <c r="F843" s="869">
        <v>99</v>
      </c>
      <c r="G843" s="730"/>
      <c r="H843" s="731"/>
      <c r="I843" s="730"/>
      <c r="J843" s="731"/>
      <c r="K843" s="730"/>
      <c r="L843" s="731"/>
      <c r="M843" s="730"/>
      <c r="N843" s="730"/>
      <c r="O843" s="732">
        <f t="shared" si="109"/>
        <v>0</v>
      </c>
      <c r="P843" s="731"/>
      <c r="Q843" s="731"/>
      <c r="R843" s="733">
        <f t="shared" ref="R843:R906" si="112">SUM(P843:Q843)</f>
        <v>0</v>
      </c>
      <c r="S843" s="732">
        <f t="shared" ref="S843:S906" si="113">SUM(G843,I843,K843,M843)</f>
        <v>0</v>
      </c>
      <c r="T843" s="733">
        <f t="shared" ref="T843:T906" si="114">SUM(H843,J843,L843,P843)</f>
        <v>0</v>
      </c>
      <c r="U843" s="730">
        <v>96000</v>
      </c>
      <c r="V843" s="731">
        <v>76800</v>
      </c>
      <c r="W843" s="730"/>
      <c r="X843" s="730"/>
      <c r="Y843" s="732">
        <f t="shared" si="110"/>
        <v>0</v>
      </c>
      <c r="Z843" s="731"/>
      <c r="AA843" s="731"/>
      <c r="AB843" s="733">
        <f t="shared" si="111"/>
        <v>0</v>
      </c>
      <c r="AC843" s="730"/>
      <c r="AD843" s="731"/>
      <c r="AE843" s="730"/>
      <c r="AF843" s="730"/>
      <c r="AG843" s="731"/>
      <c r="AH843" s="731"/>
      <c r="AI843" s="732">
        <f t="shared" ref="AI843:AI906" si="115">SUM(S843,U843,W843,AC843,AE843)</f>
        <v>96000</v>
      </c>
      <c r="AJ843" s="733">
        <f t="shared" ref="AJ843:AJ906" si="116">SUM(T843,V843,Z843,AD843,AG843)</f>
        <v>76800</v>
      </c>
    </row>
    <row r="844" spans="1:36">
      <c r="A844" s="846" t="s">
        <v>432</v>
      </c>
      <c r="B844" s="878" t="s">
        <v>157</v>
      </c>
      <c r="C844" s="880" t="s">
        <v>486</v>
      </c>
      <c r="D844" s="861" t="s">
        <v>1784</v>
      </c>
      <c r="E844" s="868"/>
      <c r="F844" s="869">
        <v>99</v>
      </c>
      <c r="G844" s="730"/>
      <c r="H844" s="731"/>
      <c r="I844" s="730"/>
      <c r="J844" s="731"/>
      <c r="K844" s="730"/>
      <c r="L844" s="731"/>
      <c r="M844" s="730"/>
      <c r="N844" s="730"/>
      <c r="O844" s="732">
        <f t="shared" si="109"/>
        <v>0</v>
      </c>
      <c r="P844" s="731"/>
      <c r="Q844" s="731"/>
      <c r="R844" s="733">
        <f t="shared" si="112"/>
        <v>0</v>
      </c>
      <c r="S844" s="732">
        <f t="shared" si="113"/>
        <v>0</v>
      </c>
      <c r="T844" s="733">
        <f t="shared" si="114"/>
        <v>0</v>
      </c>
      <c r="U844" s="730">
        <v>288000</v>
      </c>
      <c r="V844" s="731">
        <v>288000</v>
      </c>
      <c r="W844" s="730"/>
      <c r="X844" s="730"/>
      <c r="Y844" s="732">
        <f t="shared" si="110"/>
        <v>0</v>
      </c>
      <c r="Z844" s="731"/>
      <c r="AA844" s="731"/>
      <c r="AB844" s="733">
        <f t="shared" si="111"/>
        <v>0</v>
      </c>
      <c r="AC844" s="730"/>
      <c r="AD844" s="731"/>
      <c r="AE844" s="730"/>
      <c r="AF844" s="730"/>
      <c r="AG844" s="731"/>
      <c r="AH844" s="731"/>
      <c r="AI844" s="732">
        <f t="shared" si="115"/>
        <v>288000</v>
      </c>
      <c r="AJ844" s="733">
        <f t="shared" si="116"/>
        <v>288000</v>
      </c>
    </row>
    <row r="845" spans="1:36">
      <c r="A845" s="846" t="s">
        <v>432</v>
      </c>
      <c r="B845" s="878" t="s">
        <v>157</v>
      </c>
      <c r="C845" s="870" t="s">
        <v>487</v>
      </c>
      <c r="D845" s="861" t="s">
        <v>1784</v>
      </c>
      <c r="E845" s="868"/>
      <c r="F845" s="869">
        <v>99</v>
      </c>
      <c r="G845" s="730"/>
      <c r="H845" s="731"/>
      <c r="I845" s="730"/>
      <c r="J845" s="731"/>
      <c r="K845" s="730"/>
      <c r="L845" s="731"/>
      <c r="M845" s="730"/>
      <c r="N845" s="730"/>
      <c r="O845" s="732">
        <f t="shared" si="109"/>
        <v>0</v>
      </c>
      <c r="P845" s="731"/>
      <c r="Q845" s="731"/>
      <c r="R845" s="733">
        <f t="shared" si="112"/>
        <v>0</v>
      </c>
      <c r="S845" s="732">
        <f t="shared" si="113"/>
        <v>0</v>
      </c>
      <c r="T845" s="733">
        <f t="shared" si="114"/>
        <v>0</v>
      </c>
      <c r="U845" s="730">
        <v>143000</v>
      </c>
      <c r="V845" s="731">
        <v>150424</v>
      </c>
      <c r="W845" s="730"/>
      <c r="X845" s="730"/>
      <c r="Y845" s="732">
        <f t="shared" si="110"/>
        <v>0</v>
      </c>
      <c r="Z845" s="731"/>
      <c r="AA845" s="731"/>
      <c r="AB845" s="733">
        <f t="shared" si="111"/>
        <v>0</v>
      </c>
      <c r="AC845" s="730"/>
      <c r="AD845" s="731"/>
      <c r="AE845" s="730"/>
      <c r="AF845" s="730"/>
      <c r="AG845" s="731"/>
      <c r="AH845" s="731"/>
      <c r="AI845" s="732">
        <f t="shared" si="115"/>
        <v>143000</v>
      </c>
      <c r="AJ845" s="733">
        <f t="shared" si="116"/>
        <v>150424</v>
      </c>
    </row>
    <row r="846" spans="1:36">
      <c r="A846" s="846" t="s">
        <v>432</v>
      </c>
      <c r="B846" s="878" t="s">
        <v>159</v>
      </c>
      <c r="C846" s="979" t="s">
        <v>160</v>
      </c>
      <c r="D846" s="861" t="s">
        <v>1784</v>
      </c>
      <c r="E846" s="868"/>
      <c r="F846" s="869">
        <v>99</v>
      </c>
      <c r="G846" s="730"/>
      <c r="H846" s="731"/>
      <c r="I846" s="730"/>
      <c r="J846" s="731"/>
      <c r="K846" s="730"/>
      <c r="L846" s="731"/>
      <c r="M846" s="730"/>
      <c r="N846" s="730"/>
      <c r="O846" s="732">
        <f t="shared" si="109"/>
        <v>0</v>
      </c>
      <c r="P846" s="731"/>
      <c r="Q846" s="731"/>
      <c r="R846" s="733">
        <f t="shared" si="112"/>
        <v>0</v>
      </c>
      <c r="S846" s="732">
        <f t="shared" si="113"/>
        <v>0</v>
      </c>
      <c r="T846" s="733">
        <f t="shared" si="114"/>
        <v>0</v>
      </c>
      <c r="U846" s="730"/>
      <c r="V846" s="731"/>
      <c r="W846" s="730"/>
      <c r="X846" s="730"/>
      <c r="Y846" s="732">
        <f t="shared" si="110"/>
        <v>0</v>
      </c>
      <c r="Z846" s="731"/>
      <c r="AA846" s="731"/>
      <c r="AB846" s="733">
        <f t="shared" si="111"/>
        <v>0</v>
      </c>
      <c r="AC846" s="730"/>
      <c r="AD846" s="731"/>
      <c r="AE846" s="730"/>
      <c r="AF846" s="730"/>
      <c r="AG846" s="731"/>
      <c r="AH846" s="731"/>
      <c r="AI846" s="732">
        <f t="shared" si="115"/>
        <v>0</v>
      </c>
      <c r="AJ846" s="733">
        <f t="shared" si="116"/>
        <v>0</v>
      </c>
    </row>
    <row r="847" spans="1:36">
      <c r="A847" s="846" t="s">
        <v>432</v>
      </c>
      <c r="B847" s="878" t="s">
        <v>161</v>
      </c>
      <c r="C847" s="880" t="s">
        <v>162</v>
      </c>
      <c r="D847" s="861" t="s">
        <v>1784</v>
      </c>
      <c r="E847" s="868"/>
      <c r="F847" s="869">
        <v>99</v>
      </c>
      <c r="G847" s="730"/>
      <c r="H847" s="731"/>
      <c r="I847" s="730"/>
      <c r="J847" s="731"/>
      <c r="K847" s="730"/>
      <c r="L847" s="731"/>
      <c r="M847" s="730"/>
      <c r="N847" s="730"/>
      <c r="O847" s="732">
        <f t="shared" si="109"/>
        <v>0</v>
      </c>
      <c r="P847" s="731"/>
      <c r="Q847" s="731"/>
      <c r="R847" s="733">
        <f t="shared" si="112"/>
        <v>0</v>
      </c>
      <c r="S847" s="732">
        <f t="shared" si="113"/>
        <v>0</v>
      </c>
      <c r="T847" s="733">
        <f t="shared" si="114"/>
        <v>0</v>
      </c>
      <c r="U847" s="730"/>
      <c r="V847" s="731"/>
      <c r="W847" s="730"/>
      <c r="X847" s="730"/>
      <c r="Y847" s="732">
        <f t="shared" si="110"/>
        <v>0</v>
      </c>
      <c r="Z847" s="731"/>
      <c r="AA847" s="731"/>
      <c r="AB847" s="733">
        <f t="shared" si="111"/>
        <v>0</v>
      </c>
      <c r="AC847" s="730"/>
      <c r="AD847" s="731"/>
      <c r="AE847" s="730"/>
      <c r="AF847" s="730"/>
      <c r="AG847" s="731"/>
      <c r="AH847" s="731"/>
      <c r="AI847" s="732">
        <f t="shared" si="115"/>
        <v>0</v>
      </c>
      <c r="AJ847" s="733">
        <f t="shared" si="116"/>
        <v>0</v>
      </c>
    </row>
    <row r="848" spans="1:36">
      <c r="A848" s="846" t="s">
        <v>432</v>
      </c>
      <c r="B848" s="980" t="s">
        <v>170</v>
      </c>
      <c r="C848" s="981" t="s">
        <v>488</v>
      </c>
      <c r="D848" s="861" t="s">
        <v>1784</v>
      </c>
      <c r="E848" s="982"/>
      <c r="F848" s="869">
        <v>99</v>
      </c>
      <c r="G848" s="730"/>
      <c r="H848" s="731"/>
      <c r="I848" s="730"/>
      <c r="J848" s="731"/>
      <c r="K848" s="730"/>
      <c r="L848" s="731"/>
      <c r="M848" s="730"/>
      <c r="N848" s="730"/>
      <c r="O848" s="732">
        <f t="shared" si="109"/>
        <v>0</v>
      </c>
      <c r="P848" s="731"/>
      <c r="Q848" s="731"/>
      <c r="R848" s="733">
        <f t="shared" si="112"/>
        <v>0</v>
      </c>
      <c r="S848" s="732">
        <f t="shared" si="113"/>
        <v>0</v>
      </c>
      <c r="T848" s="733">
        <f t="shared" si="114"/>
        <v>0</v>
      </c>
      <c r="U848" s="730"/>
      <c r="V848" s="731"/>
      <c r="W848" s="730"/>
      <c r="X848" s="730"/>
      <c r="Y848" s="732">
        <f t="shared" si="110"/>
        <v>0</v>
      </c>
      <c r="Z848" s="731"/>
      <c r="AA848" s="731"/>
      <c r="AB848" s="733">
        <f t="shared" si="111"/>
        <v>0</v>
      </c>
      <c r="AC848" s="730"/>
      <c r="AD848" s="731"/>
      <c r="AE848" s="730"/>
      <c r="AF848" s="730"/>
      <c r="AG848" s="731"/>
      <c r="AH848" s="731"/>
      <c r="AI848" s="732">
        <f t="shared" si="115"/>
        <v>0</v>
      </c>
      <c r="AJ848" s="733">
        <f t="shared" si="116"/>
        <v>0</v>
      </c>
    </row>
    <row r="849" spans="1:36">
      <c r="A849" s="846" t="s">
        <v>432</v>
      </c>
      <c r="B849" s="980" t="s">
        <v>170</v>
      </c>
      <c r="C849" s="875" t="s">
        <v>171</v>
      </c>
      <c r="D849" s="861" t="s">
        <v>1784</v>
      </c>
      <c r="E849" s="982"/>
      <c r="F849" s="869">
        <v>99</v>
      </c>
      <c r="G849" s="730"/>
      <c r="H849" s="731"/>
      <c r="I849" s="730"/>
      <c r="J849" s="731"/>
      <c r="K849" s="730"/>
      <c r="L849" s="731"/>
      <c r="M849" s="730"/>
      <c r="N849" s="730"/>
      <c r="O849" s="732">
        <f t="shared" si="109"/>
        <v>0</v>
      </c>
      <c r="P849" s="731"/>
      <c r="Q849" s="731"/>
      <c r="R849" s="733">
        <f t="shared" si="112"/>
        <v>0</v>
      </c>
      <c r="S849" s="732">
        <f t="shared" si="113"/>
        <v>0</v>
      </c>
      <c r="T849" s="733">
        <f t="shared" si="114"/>
        <v>0</v>
      </c>
      <c r="U849" s="730"/>
      <c r="V849" s="731"/>
      <c r="W849" s="730"/>
      <c r="X849" s="730"/>
      <c r="Y849" s="732">
        <f t="shared" si="110"/>
        <v>0</v>
      </c>
      <c r="Z849" s="731"/>
      <c r="AA849" s="731"/>
      <c r="AB849" s="733">
        <f t="shared" si="111"/>
        <v>0</v>
      </c>
      <c r="AC849" s="730"/>
      <c r="AD849" s="731"/>
      <c r="AE849" s="730"/>
      <c r="AF849" s="730"/>
      <c r="AG849" s="731"/>
      <c r="AH849" s="731"/>
      <c r="AI849" s="732">
        <f t="shared" si="115"/>
        <v>0</v>
      </c>
      <c r="AJ849" s="733">
        <f t="shared" si="116"/>
        <v>0</v>
      </c>
    </row>
    <row r="850" spans="1:36">
      <c r="A850" s="846" t="s">
        <v>432</v>
      </c>
      <c r="B850" s="980" t="s">
        <v>172</v>
      </c>
      <c r="C850" s="875" t="s">
        <v>165</v>
      </c>
      <c r="D850" s="861" t="s">
        <v>1784</v>
      </c>
      <c r="E850" s="982"/>
      <c r="F850" s="869">
        <v>99</v>
      </c>
      <c r="G850" s="730"/>
      <c r="H850" s="731"/>
      <c r="I850" s="730"/>
      <c r="J850" s="731"/>
      <c r="K850" s="730"/>
      <c r="L850" s="731"/>
      <c r="M850" s="730"/>
      <c r="N850" s="730"/>
      <c r="O850" s="732">
        <f t="shared" si="109"/>
        <v>0</v>
      </c>
      <c r="P850" s="731"/>
      <c r="Q850" s="731"/>
      <c r="R850" s="733">
        <f t="shared" si="112"/>
        <v>0</v>
      </c>
      <c r="S850" s="732">
        <f t="shared" si="113"/>
        <v>0</v>
      </c>
      <c r="T850" s="733">
        <f t="shared" si="114"/>
        <v>0</v>
      </c>
      <c r="U850" s="730"/>
      <c r="V850" s="731"/>
      <c r="W850" s="730"/>
      <c r="X850" s="730"/>
      <c r="Y850" s="732">
        <f t="shared" si="110"/>
        <v>0</v>
      </c>
      <c r="Z850" s="731"/>
      <c r="AA850" s="731"/>
      <c r="AB850" s="733">
        <f t="shared" si="111"/>
        <v>0</v>
      </c>
      <c r="AC850" s="730"/>
      <c r="AD850" s="731"/>
      <c r="AE850" s="730"/>
      <c r="AF850" s="730"/>
      <c r="AG850" s="731"/>
      <c r="AH850" s="731"/>
      <c r="AI850" s="732">
        <f t="shared" si="115"/>
        <v>0</v>
      </c>
      <c r="AJ850" s="733">
        <f t="shared" si="116"/>
        <v>0</v>
      </c>
    </row>
    <row r="851" spans="1:36">
      <c r="A851" s="846" t="s">
        <v>432</v>
      </c>
      <c r="B851" s="980" t="s">
        <v>173</v>
      </c>
      <c r="C851" s="875" t="s">
        <v>167</v>
      </c>
      <c r="D851" s="861" t="s">
        <v>1784</v>
      </c>
      <c r="E851" s="982"/>
      <c r="F851" s="869">
        <v>99</v>
      </c>
      <c r="G851" s="730"/>
      <c r="H851" s="731"/>
      <c r="I851" s="730"/>
      <c r="J851" s="731"/>
      <c r="K851" s="730"/>
      <c r="L851" s="731"/>
      <c r="M851" s="730"/>
      <c r="N851" s="730"/>
      <c r="O851" s="732">
        <f t="shared" si="109"/>
        <v>0</v>
      </c>
      <c r="P851" s="731"/>
      <c r="Q851" s="731"/>
      <c r="R851" s="733">
        <f t="shared" si="112"/>
        <v>0</v>
      </c>
      <c r="S851" s="732">
        <f t="shared" si="113"/>
        <v>0</v>
      </c>
      <c r="T851" s="733">
        <f t="shared" si="114"/>
        <v>0</v>
      </c>
      <c r="U851" s="730">
        <v>97452700</v>
      </c>
      <c r="V851" s="731">
        <v>96905400</v>
      </c>
      <c r="W851" s="730"/>
      <c r="X851" s="730"/>
      <c r="Y851" s="732">
        <f t="shared" si="110"/>
        <v>0</v>
      </c>
      <c r="Z851" s="731"/>
      <c r="AA851" s="731"/>
      <c r="AB851" s="733">
        <f t="shared" si="111"/>
        <v>0</v>
      </c>
      <c r="AC851" s="730"/>
      <c r="AD851" s="731"/>
      <c r="AE851" s="730"/>
      <c r="AF851" s="730"/>
      <c r="AG851" s="731"/>
      <c r="AH851" s="731"/>
      <c r="AI851" s="732">
        <f t="shared" si="115"/>
        <v>97452700</v>
      </c>
      <c r="AJ851" s="733">
        <f t="shared" si="116"/>
        <v>96905400</v>
      </c>
    </row>
    <row r="852" spans="1:36">
      <c r="A852" s="846" t="s">
        <v>432</v>
      </c>
      <c r="B852" s="980" t="s">
        <v>176</v>
      </c>
      <c r="C852" s="875" t="s">
        <v>177</v>
      </c>
      <c r="D852" s="861" t="s">
        <v>1784</v>
      </c>
      <c r="E852" s="982"/>
      <c r="F852" s="869">
        <v>99</v>
      </c>
      <c r="G852" s="730"/>
      <c r="H852" s="731"/>
      <c r="I852" s="730"/>
      <c r="J852" s="731"/>
      <c r="K852" s="730"/>
      <c r="L852" s="731"/>
      <c r="M852" s="730"/>
      <c r="N852" s="730"/>
      <c r="O852" s="732">
        <f t="shared" si="109"/>
        <v>0</v>
      </c>
      <c r="P852" s="731"/>
      <c r="Q852" s="731"/>
      <c r="R852" s="733">
        <f t="shared" si="112"/>
        <v>0</v>
      </c>
      <c r="S852" s="732">
        <f t="shared" si="113"/>
        <v>0</v>
      </c>
      <c r="T852" s="733">
        <f t="shared" si="114"/>
        <v>0</v>
      </c>
      <c r="U852" s="730"/>
      <c r="V852" s="731"/>
      <c r="W852" s="730"/>
      <c r="X852" s="730"/>
      <c r="Y852" s="732">
        <f t="shared" si="110"/>
        <v>0</v>
      </c>
      <c r="Z852" s="731"/>
      <c r="AA852" s="731"/>
      <c r="AB852" s="733">
        <f t="shared" si="111"/>
        <v>0</v>
      </c>
      <c r="AC852" s="730"/>
      <c r="AD852" s="731"/>
      <c r="AE852" s="730"/>
      <c r="AF852" s="730"/>
      <c r="AG852" s="731"/>
      <c r="AH852" s="731"/>
      <c r="AI852" s="732">
        <f t="shared" si="115"/>
        <v>0</v>
      </c>
      <c r="AJ852" s="733">
        <f t="shared" si="116"/>
        <v>0</v>
      </c>
    </row>
    <row r="853" spans="1:36">
      <c r="A853" s="846" t="s">
        <v>432</v>
      </c>
      <c r="B853" s="980" t="s">
        <v>180</v>
      </c>
      <c r="C853" s="875" t="s">
        <v>165</v>
      </c>
      <c r="D853" s="861" t="s">
        <v>1784</v>
      </c>
      <c r="E853" s="982"/>
      <c r="F853" s="869">
        <v>99</v>
      </c>
      <c r="G853" s="730"/>
      <c r="H853" s="731"/>
      <c r="I853" s="730"/>
      <c r="J853" s="731"/>
      <c r="K853" s="730"/>
      <c r="L853" s="731"/>
      <c r="M853" s="730"/>
      <c r="N853" s="730"/>
      <c r="O853" s="732">
        <f t="shared" si="109"/>
        <v>0</v>
      </c>
      <c r="P853" s="731"/>
      <c r="Q853" s="731"/>
      <c r="R853" s="733">
        <f t="shared" si="112"/>
        <v>0</v>
      </c>
      <c r="S853" s="732">
        <f t="shared" si="113"/>
        <v>0</v>
      </c>
      <c r="T853" s="733">
        <f t="shared" si="114"/>
        <v>0</v>
      </c>
      <c r="U853" s="730"/>
      <c r="V853" s="731"/>
      <c r="W853" s="730"/>
      <c r="X853" s="730"/>
      <c r="Y853" s="732">
        <f t="shared" si="110"/>
        <v>0</v>
      </c>
      <c r="Z853" s="731"/>
      <c r="AA853" s="731"/>
      <c r="AB853" s="733">
        <f t="shared" si="111"/>
        <v>0</v>
      </c>
      <c r="AC853" s="730"/>
      <c r="AD853" s="731"/>
      <c r="AE853" s="730"/>
      <c r="AF853" s="730"/>
      <c r="AG853" s="731"/>
      <c r="AH853" s="731"/>
      <c r="AI853" s="732">
        <f t="shared" si="115"/>
        <v>0</v>
      </c>
      <c r="AJ853" s="733">
        <f t="shared" si="116"/>
        <v>0</v>
      </c>
    </row>
    <row r="854" spans="1:36">
      <c r="A854" s="846" t="s">
        <v>432</v>
      </c>
      <c r="B854" s="980" t="s">
        <v>178</v>
      </c>
      <c r="C854" s="875" t="s">
        <v>167</v>
      </c>
      <c r="D854" s="861" t="s">
        <v>1784</v>
      </c>
      <c r="E854" s="982"/>
      <c r="F854" s="869">
        <v>99</v>
      </c>
      <c r="G854" s="730"/>
      <c r="H854" s="731"/>
      <c r="I854" s="730"/>
      <c r="J854" s="731"/>
      <c r="K854" s="730"/>
      <c r="L854" s="731"/>
      <c r="M854" s="730"/>
      <c r="N854" s="730"/>
      <c r="O854" s="732">
        <f t="shared" si="109"/>
        <v>0</v>
      </c>
      <c r="P854" s="731"/>
      <c r="Q854" s="731"/>
      <c r="R854" s="733">
        <f t="shared" si="112"/>
        <v>0</v>
      </c>
      <c r="S854" s="732">
        <f t="shared" si="113"/>
        <v>0</v>
      </c>
      <c r="T854" s="733">
        <f t="shared" si="114"/>
        <v>0</v>
      </c>
      <c r="U854" s="730">
        <v>21261900</v>
      </c>
      <c r="V854" s="731">
        <v>21850000</v>
      </c>
      <c r="W854" s="730"/>
      <c r="X854" s="730"/>
      <c r="Y854" s="732">
        <f t="shared" si="110"/>
        <v>0</v>
      </c>
      <c r="Z854" s="731"/>
      <c r="AA854" s="731"/>
      <c r="AB854" s="733">
        <f t="shared" si="111"/>
        <v>0</v>
      </c>
      <c r="AC854" s="730"/>
      <c r="AD854" s="731"/>
      <c r="AE854" s="730"/>
      <c r="AF854" s="730"/>
      <c r="AG854" s="731"/>
      <c r="AH854" s="731"/>
      <c r="AI854" s="732">
        <f t="shared" si="115"/>
        <v>21261900</v>
      </c>
      <c r="AJ854" s="733">
        <f t="shared" si="116"/>
        <v>21850000</v>
      </c>
    </row>
    <row r="855" spans="1:36">
      <c r="A855" s="846" t="s">
        <v>432</v>
      </c>
      <c r="B855" s="878" t="s">
        <v>161</v>
      </c>
      <c r="C855" s="981" t="s">
        <v>489</v>
      </c>
      <c r="D855" s="861" t="s">
        <v>1784</v>
      </c>
      <c r="E855" s="868"/>
      <c r="F855" s="869">
        <v>99</v>
      </c>
      <c r="G855" s="730"/>
      <c r="H855" s="731"/>
      <c r="I855" s="730"/>
      <c r="J855" s="731"/>
      <c r="K855" s="730"/>
      <c r="L855" s="731"/>
      <c r="M855" s="730"/>
      <c r="N855" s="730"/>
      <c r="O855" s="732">
        <f t="shared" si="109"/>
        <v>0</v>
      </c>
      <c r="P855" s="731"/>
      <c r="Q855" s="731"/>
      <c r="R855" s="733">
        <f t="shared" si="112"/>
        <v>0</v>
      </c>
      <c r="S855" s="732">
        <f t="shared" si="113"/>
        <v>0</v>
      </c>
      <c r="T855" s="733">
        <f t="shared" si="114"/>
        <v>0</v>
      </c>
      <c r="U855" s="730"/>
      <c r="V855" s="731"/>
      <c r="W855" s="730"/>
      <c r="X855" s="730"/>
      <c r="Y855" s="732">
        <f t="shared" si="110"/>
        <v>0</v>
      </c>
      <c r="Z855" s="731"/>
      <c r="AA855" s="731"/>
      <c r="AB855" s="733">
        <f t="shared" si="111"/>
        <v>0</v>
      </c>
      <c r="AC855" s="730"/>
      <c r="AD855" s="731"/>
      <c r="AE855" s="730"/>
      <c r="AF855" s="730"/>
      <c r="AG855" s="731"/>
      <c r="AH855" s="731"/>
      <c r="AI855" s="732">
        <f t="shared" si="115"/>
        <v>0</v>
      </c>
      <c r="AJ855" s="733">
        <f t="shared" si="116"/>
        <v>0</v>
      </c>
    </row>
    <row r="856" spans="1:36">
      <c r="A856" s="846" t="s">
        <v>432</v>
      </c>
      <c r="B856" s="980" t="s">
        <v>170</v>
      </c>
      <c r="C856" s="875" t="s">
        <v>171</v>
      </c>
      <c r="D856" s="861" t="s">
        <v>1784</v>
      </c>
      <c r="E856" s="982"/>
      <c r="F856" s="869">
        <v>99</v>
      </c>
      <c r="G856" s="730"/>
      <c r="H856" s="731"/>
      <c r="I856" s="730"/>
      <c r="J856" s="731"/>
      <c r="K856" s="730"/>
      <c r="L856" s="731"/>
      <c r="M856" s="730"/>
      <c r="N856" s="730"/>
      <c r="O856" s="732">
        <f t="shared" si="109"/>
        <v>0</v>
      </c>
      <c r="P856" s="731"/>
      <c r="Q856" s="731"/>
      <c r="R856" s="733">
        <f t="shared" si="112"/>
        <v>0</v>
      </c>
      <c r="S856" s="732">
        <f t="shared" si="113"/>
        <v>0</v>
      </c>
      <c r="T856" s="733">
        <f t="shared" si="114"/>
        <v>0</v>
      </c>
      <c r="U856" s="730"/>
      <c r="V856" s="731"/>
      <c r="W856" s="730"/>
      <c r="X856" s="730"/>
      <c r="Y856" s="732">
        <f t="shared" si="110"/>
        <v>0</v>
      </c>
      <c r="Z856" s="731"/>
      <c r="AA856" s="731"/>
      <c r="AB856" s="733">
        <f t="shared" si="111"/>
        <v>0</v>
      </c>
      <c r="AC856" s="730"/>
      <c r="AD856" s="731"/>
      <c r="AE856" s="730"/>
      <c r="AF856" s="730"/>
      <c r="AG856" s="731"/>
      <c r="AH856" s="731"/>
      <c r="AI856" s="732">
        <f t="shared" si="115"/>
        <v>0</v>
      </c>
      <c r="AJ856" s="733">
        <f t="shared" si="116"/>
        <v>0</v>
      </c>
    </row>
    <row r="857" spans="1:36">
      <c r="A857" s="846" t="s">
        <v>432</v>
      </c>
      <c r="B857" s="980" t="s">
        <v>172</v>
      </c>
      <c r="C857" s="875" t="s">
        <v>165</v>
      </c>
      <c r="D857" s="861" t="s">
        <v>1784</v>
      </c>
      <c r="E857" s="982"/>
      <c r="F857" s="869">
        <v>99</v>
      </c>
      <c r="G857" s="730"/>
      <c r="H857" s="731"/>
      <c r="I857" s="730"/>
      <c r="J857" s="731"/>
      <c r="K857" s="730"/>
      <c r="L857" s="731"/>
      <c r="M857" s="730"/>
      <c r="N857" s="730"/>
      <c r="O857" s="732">
        <f t="shared" si="109"/>
        <v>0</v>
      </c>
      <c r="P857" s="731"/>
      <c r="Q857" s="731"/>
      <c r="R857" s="733">
        <f t="shared" si="112"/>
        <v>0</v>
      </c>
      <c r="S857" s="732">
        <f t="shared" si="113"/>
        <v>0</v>
      </c>
      <c r="T857" s="733">
        <f t="shared" si="114"/>
        <v>0</v>
      </c>
      <c r="U857" s="730">
        <v>73030000</v>
      </c>
      <c r="V857" s="731">
        <v>69257700</v>
      </c>
      <c r="W857" s="730"/>
      <c r="X857" s="730"/>
      <c r="Y857" s="732">
        <f t="shared" si="110"/>
        <v>0</v>
      </c>
      <c r="Z857" s="731"/>
      <c r="AA857" s="731"/>
      <c r="AB857" s="733">
        <f t="shared" si="111"/>
        <v>0</v>
      </c>
      <c r="AC857" s="730"/>
      <c r="AD857" s="731"/>
      <c r="AE857" s="730"/>
      <c r="AF857" s="730"/>
      <c r="AG857" s="731"/>
      <c r="AH857" s="731"/>
      <c r="AI857" s="732">
        <f t="shared" si="115"/>
        <v>73030000</v>
      </c>
      <c r="AJ857" s="733">
        <f t="shared" si="116"/>
        <v>69257700</v>
      </c>
    </row>
    <row r="858" spans="1:36">
      <c r="A858" s="846" t="s">
        <v>432</v>
      </c>
      <c r="B858" s="980" t="s">
        <v>173</v>
      </c>
      <c r="C858" s="875" t="s">
        <v>167</v>
      </c>
      <c r="D858" s="861" t="s">
        <v>1784</v>
      </c>
      <c r="E858" s="982"/>
      <c r="F858" s="869">
        <v>99</v>
      </c>
      <c r="G858" s="730"/>
      <c r="H858" s="731"/>
      <c r="I858" s="730"/>
      <c r="J858" s="731"/>
      <c r="K858" s="730"/>
      <c r="L858" s="731"/>
      <c r="M858" s="730"/>
      <c r="N858" s="730"/>
      <c r="O858" s="732">
        <f t="shared" si="109"/>
        <v>0</v>
      </c>
      <c r="P858" s="731"/>
      <c r="Q858" s="731"/>
      <c r="R858" s="733">
        <f t="shared" si="112"/>
        <v>0</v>
      </c>
      <c r="S858" s="732">
        <f t="shared" si="113"/>
        <v>0</v>
      </c>
      <c r="T858" s="733">
        <f t="shared" si="114"/>
        <v>0</v>
      </c>
      <c r="U858" s="730"/>
      <c r="V858" s="731"/>
      <c r="W858" s="730"/>
      <c r="X858" s="730"/>
      <c r="Y858" s="732">
        <f t="shared" si="110"/>
        <v>0</v>
      </c>
      <c r="Z858" s="731"/>
      <c r="AA858" s="731"/>
      <c r="AB858" s="733">
        <f t="shared" si="111"/>
        <v>0</v>
      </c>
      <c r="AC858" s="730"/>
      <c r="AD858" s="731"/>
      <c r="AE858" s="730"/>
      <c r="AF858" s="730"/>
      <c r="AG858" s="731"/>
      <c r="AH858" s="731"/>
      <c r="AI858" s="732">
        <f t="shared" si="115"/>
        <v>0</v>
      </c>
      <c r="AJ858" s="733">
        <f t="shared" si="116"/>
        <v>0</v>
      </c>
    </row>
    <row r="859" spans="1:36">
      <c r="A859" s="846" t="s">
        <v>432</v>
      </c>
      <c r="B859" s="980" t="s">
        <v>176</v>
      </c>
      <c r="C859" s="875" t="s">
        <v>177</v>
      </c>
      <c r="D859" s="861" t="s">
        <v>1784</v>
      </c>
      <c r="E859" s="982"/>
      <c r="F859" s="869">
        <v>99</v>
      </c>
      <c r="G859" s="730"/>
      <c r="H859" s="731"/>
      <c r="I859" s="730"/>
      <c r="J859" s="731"/>
      <c r="K859" s="730"/>
      <c r="L859" s="731"/>
      <c r="M859" s="730"/>
      <c r="N859" s="730"/>
      <c r="O859" s="732">
        <f t="shared" si="109"/>
        <v>0</v>
      </c>
      <c r="P859" s="731"/>
      <c r="Q859" s="731"/>
      <c r="R859" s="733">
        <f t="shared" si="112"/>
        <v>0</v>
      </c>
      <c r="S859" s="732">
        <f t="shared" si="113"/>
        <v>0</v>
      </c>
      <c r="T859" s="733">
        <f t="shared" si="114"/>
        <v>0</v>
      </c>
      <c r="U859" s="730"/>
      <c r="V859" s="731"/>
      <c r="W859" s="730"/>
      <c r="X859" s="730"/>
      <c r="Y859" s="732">
        <f t="shared" si="110"/>
        <v>0</v>
      </c>
      <c r="Z859" s="731"/>
      <c r="AA859" s="731"/>
      <c r="AB859" s="733">
        <f t="shared" si="111"/>
        <v>0</v>
      </c>
      <c r="AC859" s="730"/>
      <c r="AD859" s="731"/>
      <c r="AE859" s="730"/>
      <c r="AF859" s="730"/>
      <c r="AG859" s="731"/>
      <c r="AH859" s="731"/>
      <c r="AI859" s="732">
        <f t="shared" si="115"/>
        <v>0</v>
      </c>
      <c r="AJ859" s="733">
        <f t="shared" si="116"/>
        <v>0</v>
      </c>
    </row>
    <row r="860" spans="1:36">
      <c r="A860" s="846" t="s">
        <v>432</v>
      </c>
      <c r="B860" s="980" t="s">
        <v>180</v>
      </c>
      <c r="C860" s="875" t="s">
        <v>165</v>
      </c>
      <c r="D860" s="861" t="s">
        <v>1784</v>
      </c>
      <c r="E860" s="982"/>
      <c r="F860" s="869">
        <v>99</v>
      </c>
      <c r="G860" s="730"/>
      <c r="H860" s="731"/>
      <c r="I860" s="730"/>
      <c r="J860" s="731"/>
      <c r="K860" s="730"/>
      <c r="L860" s="731"/>
      <c r="M860" s="730"/>
      <c r="N860" s="730"/>
      <c r="O860" s="732">
        <f t="shared" si="109"/>
        <v>0</v>
      </c>
      <c r="P860" s="731"/>
      <c r="Q860" s="731"/>
      <c r="R860" s="733">
        <f t="shared" si="112"/>
        <v>0</v>
      </c>
      <c r="S860" s="732">
        <f t="shared" si="113"/>
        <v>0</v>
      </c>
      <c r="T860" s="733">
        <f t="shared" si="114"/>
        <v>0</v>
      </c>
      <c r="U860" s="730">
        <v>18516400</v>
      </c>
      <c r="V860" s="731">
        <v>20541500</v>
      </c>
      <c r="W860" s="730"/>
      <c r="X860" s="730"/>
      <c r="Y860" s="732">
        <f t="shared" si="110"/>
        <v>0</v>
      </c>
      <c r="Z860" s="731"/>
      <c r="AA860" s="731"/>
      <c r="AB860" s="733">
        <f t="shared" si="111"/>
        <v>0</v>
      </c>
      <c r="AC860" s="730"/>
      <c r="AD860" s="731"/>
      <c r="AE860" s="730"/>
      <c r="AF860" s="730"/>
      <c r="AG860" s="731"/>
      <c r="AH860" s="731"/>
      <c r="AI860" s="732">
        <f t="shared" si="115"/>
        <v>18516400</v>
      </c>
      <c r="AJ860" s="733">
        <f t="shared" si="116"/>
        <v>20541500</v>
      </c>
    </row>
    <row r="861" spans="1:36">
      <c r="A861" s="846" t="s">
        <v>432</v>
      </c>
      <c r="B861" s="980" t="s">
        <v>178</v>
      </c>
      <c r="C861" s="875" t="s">
        <v>167</v>
      </c>
      <c r="D861" s="861" t="s">
        <v>1784</v>
      </c>
      <c r="E861" s="982"/>
      <c r="F861" s="869">
        <v>99</v>
      </c>
      <c r="G861" s="730"/>
      <c r="H861" s="731"/>
      <c r="I861" s="730"/>
      <c r="J861" s="731"/>
      <c r="K861" s="730"/>
      <c r="L861" s="731"/>
      <c r="M861" s="730"/>
      <c r="N861" s="730"/>
      <c r="O861" s="732">
        <f t="shared" si="109"/>
        <v>0</v>
      </c>
      <c r="P861" s="731"/>
      <c r="Q861" s="731"/>
      <c r="R861" s="733">
        <f t="shared" si="112"/>
        <v>0</v>
      </c>
      <c r="S861" s="732">
        <f t="shared" si="113"/>
        <v>0</v>
      </c>
      <c r="T861" s="733">
        <f t="shared" si="114"/>
        <v>0</v>
      </c>
      <c r="U861" s="730"/>
      <c r="V861" s="731"/>
      <c r="W861" s="730"/>
      <c r="X861" s="730"/>
      <c r="Y861" s="732">
        <f t="shared" si="110"/>
        <v>0</v>
      </c>
      <c r="Z861" s="731"/>
      <c r="AA861" s="731"/>
      <c r="AB861" s="733">
        <f t="shared" si="111"/>
        <v>0</v>
      </c>
      <c r="AC861" s="730"/>
      <c r="AD861" s="731"/>
      <c r="AE861" s="730"/>
      <c r="AF861" s="730"/>
      <c r="AG861" s="731"/>
      <c r="AH861" s="731"/>
      <c r="AI861" s="732">
        <f t="shared" si="115"/>
        <v>0</v>
      </c>
      <c r="AJ861" s="733">
        <f t="shared" si="116"/>
        <v>0</v>
      </c>
    </row>
    <row r="862" spans="1:36">
      <c r="A862" s="846" t="s">
        <v>432</v>
      </c>
      <c r="B862" s="980" t="s">
        <v>187</v>
      </c>
      <c r="C862" s="880" t="s">
        <v>188</v>
      </c>
      <c r="D862" s="861" t="s">
        <v>1784</v>
      </c>
      <c r="E862" s="982"/>
      <c r="F862" s="869">
        <v>99</v>
      </c>
      <c r="G862" s="730"/>
      <c r="H862" s="731"/>
      <c r="I862" s="730"/>
      <c r="J862" s="731"/>
      <c r="K862" s="730"/>
      <c r="L862" s="731"/>
      <c r="M862" s="730"/>
      <c r="N862" s="730"/>
      <c r="O862" s="732">
        <f t="shared" si="109"/>
        <v>0</v>
      </c>
      <c r="P862" s="731"/>
      <c r="Q862" s="731"/>
      <c r="R862" s="733">
        <f t="shared" si="112"/>
        <v>0</v>
      </c>
      <c r="S862" s="732">
        <f t="shared" si="113"/>
        <v>0</v>
      </c>
      <c r="T862" s="733">
        <f t="shared" si="114"/>
        <v>0</v>
      </c>
      <c r="U862" s="730"/>
      <c r="V862" s="731"/>
      <c r="W862" s="730"/>
      <c r="X862" s="730"/>
      <c r="Y862" s="732">
        <f t="shared" si="110"/>
        <v>0</v>
      </c>
      <c r="Z862" s="731"/>
      <c r="AA862" s="731"/>
      <c r="AB862" s="733">
        <f t="shared" si="111"/>
        <v>0</v>
      </c>
      <c r="AC862" s="730"/>
      <c r="AD862" s="731"/>
      <c r="AE862" s="730"/>
      <c r="AF862" s="730"/>
      <c r="AG862" s="731"/>
      <c r="AH862" s="731"/>
      <c r="AI862" s="732">
        <f t="shared" si="115"/>
        <v>0</v>
      </c>
      <c r="AJ862" s="733">
        <f t="shared" si="116"/>
        <v>0</v>
      </c>
    </row>
    <row r="863" spans="1:36">
      <c r="A863" s="846" t="s">
        <v>432</v>
      </c>
      <c r="B863" s="878" t="s">
        <v>192</v>
      </c>
      <c r="C863" s="880" t="s">
        <v>332</v>
      </c>
      <c r="D863" s="861" t="s">
        <v>1784</v>
      </c>
      <c r="E863" s="868"/>
      <c r="F863" s="869">
        <v>99</v>
      </c>
      <c r="G863" s="730"/>
      <c r="H863" s="731"/>
      <c r="I863" s="730"/>
      <c r="J863" s="731"/>
      <c r="K863" s="730"/>
      <c r="L863" s="731"/>
      <c r="M863" s="730"/>
      <c r="N863" s="730"/>
      <c r="O863" s="732">
        <f t="shared" si="109"/>
        <v>0</v>
      </c>
      <c r="P863" s="731"/>
      <c r="Q863" s="731"/>
      <c r="R863" s="733">
        <f t="shared" si="112"/>
        <v>0</v>
      </c>
      <c r="S863" s="732">
        <f t="shared" si="113"/>
        <v>0</v>
      </c>
      <c r="T863" s="733">
        <f t="shared" si="114"/>
        <v>0</v>
      </c>
      <c r="U863" s="730"/>
      <c r="V863" s="731"/>
      <c r="W863" s="730"/>
      <c r="X863" s="730"/>
      <c r="Y863" s="732">
        <f t="shared" si="110"/>
        <v>0</v>
      </c>
      <c r="Z863" s="731"/>
      <c r="AA863" s="731"/>
      <c r="AB863" s="733">
        <f t="shared" si="111"/>
        <v>0</v>
      </c>
      <c r="AC863" s="730"/>
      <c r="AD863" s="731"/>
      <c r="AE863" s="730"/>
      <c r="AF863" s="730"/>
      <c r="AG863" s="731"/>
      <c r="AH863" s="731"/>
      <c r="AI863" s="732">
        <f t="shared" si="115"/>
        <v>0</v>
      </c>
      <c r="AJ863" s="733">
        <f t="shared" si="116"/>
        <v>0</v>
      </c>
    </row>
    <row r="864" spans="1:36">
      <c r="A864" s="846" t="s">
        <v>432</v>
      </c>
      <c r="B864" s="878" t="s">
        <v>192</v>
      </c>
      <c r="C864" s="981" t="s">
        <v>490</v>
      </c>
      <c r="D864" s="861" t="s">
        <v>1784</v>
      </c>
      <c r="E864" s="982"/>
      <c r="F864" s="869">
        <v>99</v>
      </c>
      <c r="G864" s="730"/>
      <c r="H864" s="731"/>
      <c r="I864" s="730"/>
      <c r="J864" s="731"/>
      <c r="K864" s="730"/>
      <c r="L864" s="731"/>
      <c r="M864" s="730"/>
      <c r="N864" s="730"/>
      <c r="O864" s="732">
        <f t="shared" si="109"/>
        <v>0</v>
      </c>
      <c r="P864" s="731"/>
      <c r="Q864" s="731"/>
      <c r="R864" s="733">
        <f t="shared" si="112"/>
        <v>0</v>
      </c>
      <c r="S864" s="732">
        <f t="shared" si="113"/>
        <v>0</v>
      </c>
      <c r="T864" s="733">
        <f t="shared" si="114"/>
        <v>0</v>
      </c>
      <c r="U864" s="730"/>
      <c r="V864" s="731"/>
      <c r="W864" s="730"/>
      <c r="X864" s="730"/>
      <c r="Y864" s="732">
        <f t="shared" si="110"/>
        <v>0</v>
      </c>
      <c r="Z864" s="731"/>
      <c r="AA864" s="731"/>
      <c r="AB864" s="733">
        <f t="shared" si="111"/>
        <v>0</v>
      </c>
      <c r="AC864" s="730"/>
      <c r="AD864" s="731"/>
      <c r="AE864" s="730"/>
      <c r="AF864" s="730"/>
      <c r="AG864" s="731"/>
      <c r="AH864" s="731"/>
      <c r="AI864" s="732">
        <f t="shared" si="115"/>
        <v>0</v>
      </c>
      <c r="AJ864" s="733">
        <f t="shared" si="116"/>
        <v>0</v>
      </c>
    </row>
    <row r="865" spans="1:36">
      <c r="A865" s="846" t="s">
        <v>432</v>
      </c>
      <c r="B865" s="878" t="s">
        <v>195</v>
      </c>
      <c r="C865" s="875" t="s">
        <v>165</v>
      </c>
      <c r="D865" s="861" t="s">
        <v>1784</v>
      </c>
      <c r="E865" s="982"/>
      <c r="F865" s="869">
        <v>99</v>
      </c>
      <c r="G865" s="730"/>
      <c r="H865" s="731"/>
      <c r="I865" s="730"/>
      <c r="J865" s="731"/>
      <c r="K865" s="730"/>
      <c r="L865" s="731"/>
      <c r="M865" s="730"/>
      <c r="N865" s="730"/>
      <c r="O865" s="732">
        <f t="shared" si="109"/>
        <v>0</v>
      </c>
      <c r="P865" s="731"/>
      <c r="Q865" s="731"/>
      <c r="R865" s="733">
        <f t="shared" si="112"/>
        <v>0</v>
      </c>
      <c r="S865" s="732">
        <f t="shared" si="113"/>
        <v>0</v>
      </c>
      <c r="T865" s="733">
        <f t="shared" si="114"/>
        <v>0</v>
      </c>
      <c r="U865" s="730">
        <v>35685100</v>
      </c>
      <c r="V865" s="731">
        <f>ROUND(35510987,-2)</f>
        <v>35511000</v>
      </c>
      <c r="W865" s="730"/>
      <c r="X865" s="730"/>
      <c r="Y865" s="732">
        <f t="shared" si="110"/>
        <v>0</v>
      </c>
      <c r="Z865" s="731"/>
      <c r="AA865" s="731"/>
      <c r="AB865" s="733">
        <f t="shared" si="111"/>
        <v>0</v>
      </c>
      <c r="AC865" s="730"/>
      <c r="AD865" s="731"/>
      <c r="AE865" s="730"/>
      <c r="AF865" s="730"/>
      <c r="AG865" s="731"/>
      <c r="AH865" s="731"/>
      <c r="AI865" s="732">
        <f t="shared" si="115"/>
        <v>35685100</v>
      </c>
      <c r="AJ865" s="733">
        <f t="shared" si="116"/>
        <v>35511000</v>
      </c>
    </row>
    <row r="866" spans="1:36">
      <c r="A866" s="846" t="s">
        <v>432</v>
      </c>
      <c r="B866" s="878" t="s">
        <v>196</v>
      </c>
      <c r="C866" s="875" t="s">
        <v>167</v>
      </c>
      <c r="D866" s="861" t="s">
        <v>1784</v>
      </c>
      <c r="E866" s="982"/>
      <c r="F866" s="869">
        <v>99</v>
      </c>
      <c r="G866" s="730"/>
      <c r="H866" s="731"/>
      <c r="I866" s="730"/>
      <c r="J866" s="731"/>
      <c r="K866" s="730"/>
      <c r="L866" s="731"/>
      <c r="M866" s="730"/>
      <c r="N866" s="730"/>
      <c r="O866" s="732">
        <f t="shared" si="109"/>
        <v>0</v>
      </c>
      <c r="P866" s="731"/>
      <c r="Q866" s="731"/>
      <c r="R866" s="733">
        <f t="shared" si="112"/>
        <v>0</v>
      </c>
      <c r="S866" s="732">
        <f t="shared" si="113"/>
        <v>0</v>
      </c>
      <c r="T866" s="733">
        <f t="shared" si="114"/>
        <v>0</v>
      </c>
      <c r="U866" s="730"/>
      <c r="V866" s="731"/>
      <c r="W866" s="730"/>
      <c r="X866" s="730"/>
      <c r="Y866" s="732">
        <f t="shared" si="110"/>
        <v>0</v>
      </c>
      <c r="Z866" s="731"/>
      <c r="AA866" s="731"/>
      <c r="AB866" s="733">
        <f t="shared" si="111"/>
        <v>0</v>
      </c>
      <c r="AC866" s="730"/>
      <c r="AD866" s="731"/>
      <c r="AE866" s="730"/>
      <c r="AF866" s="730"/>
      <c r="AG866" s="731"/>
      <c r="AH866" s="731"/>
      <c r="AI866" s="732">
        <f t="shared" si="115"/>
        <v>0</v>
      </c>
      <c r="AJ866" s="733">
        <f t="shared" si="116"/>
        <v>0</v>
      </c>
    </row>
    <row r="867" spans="1:36">
      <c r="A867" s="846" t="s">
        <v>432</v>
      </c>
      <c r="B867" s="878" t="s">
        <v>192</v>
      </c>
      <c r="C867" s="981" t="s">
        <v>491</v>
      </c>
      <c r="D867" s="861" t="s">
        <v>1784</v>
      </c>
      <c r="E867" s="982"/>
      <c r="F867" s="869">
        <v>99</v>
      </c>
      <c r="G867" s="730"/>
      <c r="H867" s="731"/>
      <c r="I867" s="730"/>
      <c r="J867" s="731"/>
      <c r="K867" s="730"/>
      <c r="L867" s="731"/>
      <c r="M867" s="730"/>
      <c r="N867" s="730"/>
      <c r="O867" s="732">
        <f t="shared" si="109"/>
        <v>0</v>
      </c>
      <c r="P867" s="731"/>
      <c r="Q867" s="731"/>
      <c r="R867" s="733">
        <f t="shared" si="112"/>
        <v>0</v>
      </c>
      <c r="S867" s="732">
        <f t="shared" si="113"/>
        <v>0</v>
      </c>
      <c r="T867" s="733">
        <f t="shared" si="114"/>
        <v>0</v>
      </c>
      <c r="U867" s="730"/>
      <c r="V867" s="731"/>
      <c r="W867" s="730"/>
      <c r="X867" s="730"/>
      <c r="Y867" s="732">
        <f t="shared" si="110"/>
        <v>0</v>
      </c>
      <c r="Z867" s="731"/>
      <c r="AA867" s="731"/>
      <c r="AB867" s="733">
        <f t="shared" si="111"/>
        <v>0</v>
      </c>
      <c r="AC867" s="730"/>
      <c r="AD867" s="731"/>
      <c r="AE867" s="730"/>
      <c r="AF867" s="730"/>
      <c r="AG867" s="731"/>
      <c r="AH867" s="731"/>
      <c r="AI867" s="732">
        <f t="shared" si="115"/>
        <v>0</v>
      </c>
      <c r="AJ867" s="733">
        <f t="shared" si="116"/>
        <v>0</v>
      </c>
    </row>
    <row r="868" spans="1:36">
      <c r="A868" s="846" t="s">
        <v>432</v>
      </c>
      <c r="B868" s="878" t="s">
        <v>195</v>
      </c>
      <c r="C868" s="875" t="s">
        <v>165</v>
      </c>
      <c r="D868" s="861" t="s">
        <v>1784</v>
      </c>
      <c r="E868" s="982"/>
      <c r="F868" s="869">
        <v>99</v>
      </c>
      <c r="G868" s="730"/>
      <c r="H868" s="731"/>
      <c r="I868" s="730"/>
      <c r="J868" s="731"/>
      <c r="K868" s="730"/>
      <c r="L868" s="731"/>
      <c r="M868" s="730"/>
      <c r="N868" s="730"/>
      <c r="O868" s="732">
        <f t="shared" si="109"/>
        <v>0</v>
      </c>
      <c r="P868" s="731"/>
      <c r="Q868" s="731"/>
      <c r="R868" s="733">
        <f t="shared" si="112"/>
        <v>0</v>
      </c>
      <c r="S868" s="732">
        <f t="shared" si="113"/>
        <v>0</v>
      </c>
      <c r="T868" s="733">
        <f t="shared" si="114"/>
        <v>0</v>
      </c>
      <c r="U868" s="730"/>
      <c r="V868" s="731"/>
      <c r="W868" s="730"/>
      <c r="X868" s="730"/>
      <c r="Y868" s="732">
        <f t="shared" si="110"/>
        <v>0</v>
      </c>
      <c r="Z868" s="731"/>
      <c r="AA868" s="731"/>
      <c r="AB868" s="733">
        <f t="shared" si="111"/>
        <v>0</v>
      </c>
      <c r="AC868" s="730"/>
      <c r="AD868" s="731"/>
      <c r="AE868" s="730"/>
      <c r="AF868" s="730"/>
      <c r="AG868" s="731"/>
      <c r="AH868" s="731"/>
      <c r="AI868" s="732">
        <f t="shared" si="115"/>
        <v>0</v>
      </c>
      <c r="AJ868" s="733">
        <f t="shared" si="116"/>
        <v>0</v>
      </c>
    </row>
    <row r="869" spans="1:36">
      <c r="A869" s="846" t="s">
        <v>432</v>
      </c>
      <c r="B869" s="878" t="s">
        <v>196</v>
      </c>
      <c r="C869" s="875" t="s">
        <v>167</v>
      </c>
      <c r="D869" s="861" t="s">
        <v>1784</v>
      </c>
      <c r="E869" s="982"/>
      <c r="F869" s="869">
        <v>99</v>
      </c>
      <c r="G869" s="730"/>
      <c r="H869" s="731"/>
      <c r="I869" s="730"/>
      <c r="J869" s="731"/>
      <c r="K869" s="730"/>
      <c r="L869" s="731"/>
      <c r="M869" s="730"/>
      <c r="N869" s="730"/>
      <c r="O869" s="732">
        <f t="shared" si="109"/>
        <v>0</v>
      </c>
      <c r="P869" s="731"/>
      <c r="Q869" s="731"/>
      <c r="R869" s="733">
        <f t="shared" si="112"/>
        <v>0</v>
      </c>
      <c r="S869" s="732">
        <f t="shared" si="113"/>
        <v>0</v>
      </c>
      <c r="T869" s="733">
        <f t="shared" si="114"/>
        <v>0</v>
      </c>
      <c r="U869" s="730">
        <v>210265</v>
      </c>
      <c r="V869" s="731">
        <v>219404</v>
      </c>
      <c r="W869" s="730"/>
      <c r="X869" s="730"/>
      <c r="Y869" s="732">
        <f t="shared" si="110"/>
        <v>0</v>
      </c>
      <c r="Z869" s="731"/>
      <c r="AA869" s="731"/>
      <c r="AB869" s="733">
        <f t="shared" si="111"/>
        <v>0</v>
      </c>
      <c r="AC869" s="730"/>
      <c r="AD869" s="731"/>
      <c r="AE869" s="730"/>
      <c r="AF869" s="730"/>
      <c r="AG869" s="731"/>
      <c r="AH869" s="731"/>
      <c r="AI869" s="732">
        <f t="shared" si="115"/>
        <v>210265</v>
      </c>
      <c r="AJ869" s="733">
        <f t="shared" si="116"/>
        <v>219404</v>
      </c>
    </row>
    <row r="870" spans="1:36">
      <c r="A870" s="983" t="s">
        <v>492</v>
      </c>
      <c r="B870" s="984" t="s">
        <v>62</v>
      </c>
      <c r="C870" s="985" t="s">
        <v>493</v>
      </c>
      <c r="D870" s="986"/>
      <c r="E870" s="987">
        <v>159391</v>
      </c>
      <c r="F870" s="988">
        <v>1</v>
      </c>
      <c r="G870" s="1152">
        <v>125224723</v>
      </c>
      <c r="H870" s="1153">
        <v>115694350</v>
      </c>
      <c r="I870" s="1152"/>
      <c r="J870" s="1153"/>
      <c r="K870" s="1152"/>
      <c r="L870" s="1153"/>
      <c r="M870" s="1152">
        <v>401082711</v>
      </c>
      <c r="N870" s="1152"/>
      <c r="O870" s="732">
        <f t="shared" si="109"/>
        <v>401082711</v>
      </c>
      <c r="P870" s="1153">
        <v>413220777</v>
      </c>
      <c r="Q870" s="1153"/>
      <c r="R870" s="733">
        <f t="shared" si="112"/>
        <v>413220777</v>
      </c>
      <c r="S870" s="732">
        <f t="shared" si="113"/>
        <v>526307434</v>
      </c>
      <c r="T870" s="733">
        <f t="shared" si="114"/>
        <v>528915127</v>
      </c>
      <c r="U870" s="1152"/>
      <c r="V870" s="1153"/>
      <c r="W870" s="1152"/>
      <c r="X870" s="1152"/>
      <c r="Y870" s="732">
        <f t="shared" si="110"/>
        <v>0</v>
      </c>
      <c r="Z870" s="1153"/>
      <c r="AA870" s="1153"/>
      <c r="AB870" s="733">
        <f t="shared" si="111"/>
        <v>0</v>
      </c>
      <c r="AC870" s="1152"/>
      <c r="AD870" s="1153"/>
      <c r="AE870" s="1152"/>
      <c r="AF870" s="1152"/>
      <c r="AG870" s="1153"/>
      <c r="AH870" s="1153"/>
      <c r="AI870" s="732">
        <f t="shared" si="115"/>
        <v>526307434</v>
      </c>
      <c r="AJ870" s="733">
        <f t="shared" si="116"/>
        <v>528915127</v>
      </c>
    </row>
    <row r="871" spans="1:36">
      <c r="A871" s="983" t="s">
        <v>492</v>
      </c>
      <c r="B871" s="984" t="s">
        <v>123</v>
      </c>
      <c r="C871" s="989" t="s">
        <v>100</v>
      </c>
      <c r="D871" s="990"/>
      <c r="E871" s="987">
        <v>159391</v>
      </c>
      <c r="F871" s="988">
        <v>1</v>
      </c>
      <c r="G871" s="1152"/>
      <c r="H871" s="1153"/>
      <c r="I871" s="1152"/>
      <c r="J871" s="1153"/>
      <c r="K871" s="1152"/>
      <c r="L871" s="1153"/>
      <c r="M871" s="1152"/>
      <c r="N871" s="1152"/>
      <c r="O871" s="732">
        <f t="shared" si="109"/>
        <v>0</v>
      </c>
      <c r="P871" s="1153"/>
      <c r="Q871" s="1153"/>
      <c r="R871" s="733">
        <f t="shared" si="112"/>
        <v>0</v>
      </c>
      <c r="S871" s="732">
        <f t="shared" si="113"/>
        <v>0</v>
      </c>
      <c r="T871" s="733">
        <f t="shared" si="114"/>
        <v>0</v>
      </c>
      <c r="U871" s="1152"/>
      <c r="V871" s="1153"/>
      <c r="W871" s="1152"/>
      <c r="X871" s="1152"/>
      <c r="Y871" s="732">
        <f t="shared" si="110"/>
        <v>0</v>
      </c>
      <c r="Z871" s="1153"/>
      <c r="AA871" s="1153"/>
      <c r="AB871" s="733">
        <f t="shared" si="111"/>
        <v>0</v>
      </c>
      <c r="AC871" s="1152"/>
      <c r="AD871" s="1153"/>
      <c r="AE871" s="1152"/>
      <c r="AF871" s="1152"/>
      <c r="AG871" s="1153"/>
      <c r="AH871" s="1153"/>
      <c r="AI871" s="732">
        <f t="shared" si="115"/>
        <v>0</v>
      </c>
      <c r="AJ871" s="733">
        <f t="shared" si="116"/>
        <v>0</v>
      </c>
    </row>
    <row r="872" spans="1:36">
      <c r="A872" s="983" t="s">
        <v>492</v>
      </c>
      <c r="B872" s="984" t="s">
        <v>123</v>
      </c>
      <c r="C872" s="991" t="s">
        <v>494</v>
      </c>
      <c r="D872" s="990"/>
      <c r="E872" s="987">
        <v>159391</v>
      </c>
      <c r="F872" s="988">
        <v>1</v>
      </c>
      <c r="G872" s="1152"/>
      <c r="H872" s="1153"/>
      <c r="I872" s="1152"/>
      <c r="J872" s="1153"/>
      <c r="K872" s="1152"/>
      <c r="L872" s="1153"/>
      <c r="M872" s="1152"/>
      <c r="N872" s="1152"/>
      <c r="O872" s="732">
        <f t="shared" si="109"/>
        <v>0</v>
      </c>
      <c r="P872" s="1153"/>
      <c r="Q872" s="1153"/>
      <c r="R872" s="733">
        <f t="shared" si="112"/>
        <v>0</v>
      </c>
      <c r="S872" s="732">
        <f t="shared" si="113"/>
        <v>0</v>
      </c>
      <c r="T872" s="733">
        <f t="shared" si="114"/>
        <v>0</v>
      </c>
      <c r="U872" s="1152"/>
      <c r="V872" s="1153"/>
      <c r="W872" s="1152"/>
      <c r="X872" s="1152"/>
      <c r="Y872" s="732">
        <f t="shared" si="110"/>
        <v>0</v>
      </c>
      <c r="Z872" s="1153"/>
      <c r="AA872" s="1153"/>
      <c r="AB872" s="733">
        <f t="shared" si="111"/>
        <v>0</v>
      </c>
      <c r="AC872" s="1152"/>
      <c r="AD872" s="1153"/>
      <c r="AE872" s="1152"/>
      <c r="AF872" s="1152"/>
      <c r="AG872" s="1153"/>
      <c r="AH872" s="1153"/>
      <c r="AI872" s="732">
        <f t="shared" si="115"/>
        <v>0</v>
      </c>
      <c r="AJ872" s="733">
        <f t="shared" si="116"/>
        <v>0</v>
      </c>
    </row>
    <row r="873" spans="1:36">
      <c r="A873" s="983" t="s">
        <v>492</v>
      </c>
      <c r="B873" s="984" t="s">
        <v>64</v>
      </c>
      <c r="C873" s="989" t="s">
        <v>495</v>
      </c>
      <c r="D873" s="990"/>
      <c r="E873" s="987">
        <v>159391</v>
      </c>
      <c r="F873" s="988">
        <v>1</v>
      </c>
      <c r="G873" s="1152"/>
      <c r="H873" s="1153"/>
      <c r="I873" s="1152"/>
      <c r="J873" s="1153"/>
      <c r="K873" s="1152"/>
      <c r="L873" s="1153"/>
      <c r="M873" s="1152"/>
      <c r="N873" s="1152"/>
      <c r="O873" s="732">
        <f t="shared" si="109"/>
        <v>0</v>
      </c>
      <c r="P873" s="1153"/>
      <c r="Q873" s="1153"/>
      <c r="R873" s="733">
        <f t="shared" si="112"/>
        <v>0</v>
      </c>
      <c r="S873" s="732">
        <f t="shared" si="113"/>
        <v>0</v>
      </c>
      <c r="T873" s="733">
        <f t="shared" si="114"/>
        <v>0</v>
      </c>
      <c r="U873" s="1152"/>
      <c r="V873" s="1153"/>
      <c r="W873" s="1152"/>
      <c r="X873" s="1152"/>
      <c r="Y873" s="732">
        <f t="shared" si="110"/>
        <v>0</v>
      </c>
      <c r="Z873" s="1153"/>
      <c r="AA873" s="1153"/>
      <c r="AB873" s="733">
        <f t="shared" si="111"/>
        <v>0</v>
      </c>
      <c r="AC873" s="1152"/>
      <c r="AD873" s="1153"/>
      <c r="AE873" s="1152"/>
      <c r="AF873" s="1152"/>
      <c r="AG873" s="1153"/>
      <c r="AH873" s="1153"/>
      <c r="AI873" s="732">
        <f t="shared" si="115"/>
        <v>0</v>
      </c>
      <c r="AJ873" s="733">
        <f t="shared" si="116"/>
        <v>0</v>
      </c>
    </row>
    <row r="874" spans="1:36">
      <c r="A874" s="983" t="s">
        <v>492</v>
      </c>
      <c r="B874" s="984" t="s">
        <v>64</v>
      </c>
      <c r="C874" s="991" t="s">
        <v>496</v>
      </c>
      <c r="D874" s="990"/>
      <c r="E874" s="987">
        <v>159391</v>
      </c>
      <c r="F874" s="988">
        <v>1</v>
      </c>
      <c r="G874" s="1152"/>
      <c r="H874" s="1153"/>
      <c r="I874" s="1152"/>
      <c r="J874" s="1153"/>
      <c r="K874" s="1152"/>
      <c r="L874" s="1153"/>
      <c r="M874" s="1152"/>
      <c r="N874" s="1152"/>
      <c r="O874" s="732">
        <f t="shared" si="109"/>
        <v>0</v>
      </c>
      <c r="P874" s="1153"/>
      <c r="Q874" s="1153"/>
      <c r="R874" s="733">
        <f t="shared" si="112"/>
        <v>0</v>
      </c>
      <c r="S874" s="732">
        <f t="shared" si="113"/>
        <v>0</v>
      </c>
      <c r="T874" s="733">
        <f t="shared" si="114"/>
        <v>0</v>
      </c>
      <c r="U874" s="1152"/>
      <c r="V874" s="1153"/>
      <c r="W874" s="1152"/>
      <c r="X874" s="1152"/>
      <c r="Y874" s="732">
        <f t="shared" si="110"/>
        <v>0</v>
      </c>
      <c r="Z874" s="1153"/>
      <c r="AA874" s="1153"/>
      <c r="AB874" s="733">
        <f t="shared" si="111"/>
        <v>0</v>
      </c>
      <c r="AC874" s="1152"/>
      <c r="AD874" s="1153"/>
      <c r="AE874" s="1152"/>
      <c r="AF874" s="1152"/>
      <c r="AG874" s="1153"/>
      <c r="AH874" s="1153"/>
      <c r="AI874" s="732">
        <f t="shared" si="115"/>
        <v>0</v>
      </c>
      <c r="AJ874" s="733">
        <f t="shared" si="116"/>
        <v>0</v>
      </c>
    </row>
    <row r="875" spans="1:36">
      <c r="A875" s="983" t="s">
        <v>492</v>
      </c>
      <c r="B875" s="984" t="s">
        <v>74</v>
      </c>
      <c r="C875" s="989" t="s">
        <v>497</v>
      </c>
      <c r="D875" s="990"/>
      <c r="E875" s="987">
        <v>159391</v>
      </c>
      <c r="F875" s="988">
        <v>1</v>
      </c>
      <c r="G875" s="1152"/>
      <c r="H875" s="1153"/>
      <c r="I875" s="1152"/>
      <c r="J875" s="1153"/>
      <c r="K875" s="1152"/>
      <c r="L875" s="1153"/>
      <c r="M875" s="1152"/>
      <c r="N875" s="1152"/>
      <c r="O875" s="732">
        <f t="shared" si="109"/>
        <v>0</v>
      </c>
      <c r="P875" s="1153"/>
      <c r="Q875" s="1153"/>
      <c r="R875" s="733">
        <f t="shared" si="112"/>
        <v>0</v>
      </c>
      <c r="S875" s="732">
        <f t="shared" si="113"/>
        <v>0</v>
      </c>
      <c r="T875" s="733">
        <f t="shared" si="114"/>
        <v>0</v>
      </c>
      <c r="U875" s="1152"/>
      <c r="V875" s="1153"/>
      <c r="W875" s="1152"/>
      <c r="X875" s="1152"/>
      <c r="Y875" s="732">
        <f t="shared" si="110"/>
        <v>0</v>
      </c>
      <c r="Z875" s="1153"/>
      <c r="AA875" s="1153"/>
      <c r="AB875" s="733">
        <f t="shared" si="111"/>
        <v>0</v>
      </c>
      <c r="AC875" s="1152"/>
      <c r="AD875" s="1153"/>
      <c r="AE875" s="1152"/>
      <c r="AF875" s="1152"/>
      <c r="AG875" s="1153"/>
      <c r="AH875" s="1153"/>
      <c r="AI875" s="732">
        <f t="shared" si="115"/>
        <v>0</v>
      </c>
      <c r="AJ875" s="733">
        <f t="shared" si="116"/>
        <v>0</v>
      </c>
    </row>
    <row r="876" spans="1:36">
      <c r="A876" s="983" t="s">
        <v>492</v>
      </c>
      <c r="B876" s="984" t="s">
        <v>74</v>
      </c>
      <c r="C876" s="991" t="s">
        <v>75</v>
      </c>
      <c r="D876" s="990"/>
      <c r="E876" s="987">
        <v>159391</v>
      </c>
      <c r="F876" s="988">
        <v>1</v>
      </c>
      <c r="G876" s="1152"/>
      <c r="H876" s="1153"/>
      <c r="I876" s="1152">
        <v>26140323</v>
      </c>
      <c r="J876" s="1153">
        <v>26996954</v>
      </c>
      <c r="K876" s="1152"/>
      <c r="L876" s="1153"/>
      <c r="M876" s="1152"/>
      <c r="N876" s="1152"/>
      <c r="O876" s="732">
        <f t="shared" si="109"/>
        <v>0</v>
      </c>
      <c r="P876" s="1153"/>
      <c r="Q876" s="1153"/>
      <c r="R876" s="733">
        <f t="shared" si="112"/>
        <v>0</v>
      </c>
      <c r="S876" s="732">
        <f t="shared" si="113"/>
        <v>26140323</v>
      </c>
      <c r="T876" s="733">
        <f t="shared" si="114"/>
        <v>26996954</v>
      </c>
      <c r="U876" s="1152"/>
      <c r="V876" s="1153"/>
      <c r="W876" s="1152"/>
      <c r="X876" s="1152"/>
      <c r="Y876" s="732">
        <f t="shared" si="110"/>
        <v>0</v>
      </c>
      <c r="Z876" s="1153"/>
      <c r="AA876" s="1153"/>
      <c r="AB876" s="733">
        <f t="shared" si="111"/>
        <v>0</v>
      </c>
      <c r="AC876" s="1152"/>
      <c r="AD876" s="1153"/>
      <c r="AE876" s="1152"/>
      <c r="AF876" s="1152"/>
      <c r="AG876" s="1153"/>
      <c r="AH876" s="1153"/>
      <c r="AI876" s="732">
        <f t="shared" si="115"/>
        <v>26140323</v>
      </c>
      <c r="AJ876" s="733">
        <f t="shared" si="116"/>
        <v>26996954</v>
      </c>
    </row>
    <row r="877" spans="1:36">
      <c r="A877" s="983" t="s">
        <v>492</v>
      </c>
      <c r="B877" s="984" t="s">
        <v>76</v>
      </c>
      <c r="C877" s="991" t="s">
        <v>77</v>
      </c>
      <c r="D877" s="990"/>
      <c r="E877" s="987">
        <v>159391</v>
      </c>
      <c r="F877" s="988">
        <v>1</v>
      </c>
      <c r="G877" s="1152"/>
      <c r="H877" s="1153"/>
      <c r="I877" s="1152">
        <v>32826906</v>
      </c>
      <c r="J877" s="1153">
        <v>37860100</v>
      </c>
      <c r="K877" s="1152"/>
      <c r="L877" s="1153"/>
      <c r="M877" s="1152"/>
      <c r="N877" s="1152"/>
      <c r="O877" s="732">
        <f t="shared" si="109"/>
        <v>0</v>
      </c>
      <c r="P877" s="1153"/>
      <c r="Q877" s="1153"/>
      <c r="R877" s="733">
        <f t="shared" si="112"/>
        <v>0</v>
      </c>
      <c r="S877" s="732">
        <f t="shared" si="113"/>
        <v>32826906</v>
      </c>
      <c r="T877" s="733">
        <f t="shared" si="114"/>
        <v>37860100</v>
      </c>
      <c r="U877" s="1152"/>
      <c r="V877" s="1153"/>
      <c r="W877" s="1152"/>
      <c r="X877" s="1152"/>
      <c r="Y877" s="732">
        <f t="shared" si="110"/>
        <v>0</v>
      </c>
      <c r="Z877" s="1153"/>
      <c r="AA877" s="1153"/>
      <c r="AB877" s="733">
        <f t="shared" si="111"/>
        <v>0</v>
      </c>
      <c r="AC877" s="1152"/>
      <c r="AD877" s="1153"/>
      <c r="AE877" s="1152"/>
      <c r="AF877" s="1152"/>
      <c r="AG877" s="1153"/>
      <c r="AH877" s="1153"/>
      <c r="AI877" s="732">
        <f t="shared" si="115"/>
        <v>32826906</v>
      </c>
      <c r="AJ877" s="733">
        <f t="shared" si="116"/>
        <v>37860100</v>
      </c>
    </row>
    <row r="878" spans="1:36">
      <c r="A878" s="983" t="s">
        <v>492</v>
      </c>
      <c r="B878" s="984" t="s">
        <v>74</v>
      </c>
      <c r="C878" s="991" t="s">
        <v>498</v>
      </c>
      <c r="D878" s="990"/>
      <c r="E878" s="987">
        <v>159391</v>
      </c>
      <c r="F878" s="988">
        <v>1</v>
      </c>
      <c r="G878" s="1152"/>
      <c r="H878" s="1153"/>
      <c r="I878" s="1152">
        <v>11996081</v>
      </c>
      <c r="J878" s="1153">
        <v>13559310</v>
      </c>
      <c r="K878" s="1152"/>
      <c r="L878" s="1153"/>
      <c r="M878" s="1152"/>
      <c r="N878" s="1152"/>
      <c r="O878" s="732">
        <f t="shared" si="109"/>
        <v>0</v>
      </c>
      <c r="P878" s="1153"/>
      <c r="Q878" s="1153"/>
      <c r="R878" s="733">
        <f t="shared" si="112"/>
        <v>0</v>
      </c>
      <c r="S878" s="732">
        <f t="shared" si="113"/>
        <v>11996081</v>
      </c>
      <c r="T878" s="733">
        <f t="shared" si="114"/>
        <v>13559310</v>
      </c>
      <c r="U878" s="1152"/>
      <c r="V878" s="1153"/>
      <c r="W878" s="1152"/>
      <c r="X878" s="1152"/>
      <c r="Y878" s="732">
        <f t="shared" si="110"/>
        <v>0</v>
      </c>
      <c r="Z878" s="1153"/>
      <c r="AA878" s="1153"/>
      <c r="AB878" s="733">
        <f t="shared" si="111"/>
        <v>0</v>
      </c>
      <c r="AC878" s="1152"/>
      <c r="AD878" s="1153"/>
      <c r="AE878" s="1152"/>
      <c r="AF878" s="1152"/>
      <c r="AG878" s="1153"/>
      <c r="AH878" s="1153"/>
      <c r="AI878" s="732">
        <f t="shared" si="115"/>
        <v>11996081</v>
      </c>
      <c r="AJ878" s="733">
        <f t="shared" si="116"/>
        <v>13559310</v>
      </c>
    </row>
    <row r="879" spans="1:36">
      <c r="A879" s="983" t="s">
        <v>492</v>
      </c>
      <c r="B879" s="984" t="s">
        <v>62</v>
      </c>
      <c r="C879" s="992" t="s">
        <v>499</v>
      </c>
      <c r="D879" s="993"/>
      <c r="E879" s="987">
        <v>159647</v>
      </c>
      <c r="F879" s="988">
        <v>2</v>
      </c>
      <c r="G879" s="1152">
        <v>29557479</v>
      </c>
      <c r="H879" s="1153">
        <v>22314221</v>
      </c>
      <c r="I879" s="1152"/>
      <c r="J879" s="1153"/>
      <c r="K879" s="1152"/>
      <c r="L879" s="1153"/>
      <c r="M879" s="1152">
        <v>95728100</v>
      </c>
      <c r="N879" s="1152"/>
      <c r="O879" s="732">
        <f t="shared" si="109"/>
        <v>95728100</v>
      </c>
      <c r="P879" s="1153">
        <v>92054000</v>
      </c>
      <c r="Q879" s="1153"/>
      <c r="R879" s="733">
        <f t="shared" si="112"/>
        <v>92054000</v>
      </c>
      <c r="S879" s="732">
        <f t="shared" si="113"/>
        <v>125285579</v>
      </c>
      <c r="T879" s="733">
        <f t="shared" si="114"/>
        <v>114368221</v>
      </c>
      <c r="U879" s="1152"/>
      <c r="V879" s="1153"/>
      <c r="W879" s="1152"/>
      <c r="X879" s="1152"/>
      <c r="Y879" s="732">
        <f t="shared" si="110"/>
        <v>0</v>
      </c>
      <c r="Z879" s="1153"/>
      <c r="AA879" s="1153"/>
      <c r="AB879" s="733">
        <f t="shared" si="111"/>
        <v>0</v>
      </c>
      <c r="AC879" s="1152"/>
      <c r="AD879" s="1153"/>
      <c r="AE879" s="1152"/>
      <c r="AF879" s="1152"/>
      <c r="AG879" s="1153"/>
      <c r="AH879" s="1153"/>
      <c r="AI879" s="732">
        <f t="shared" si="115"/>
        <v>125285579</v>
      </c>
      <c r="AJ879" s="733">
        <f t="shared" si="116"/>
        <v>114368221</v>
      </c>
    </row>
    <row r="880" spans="1:36">
      <c r="A880" s="983" t="s">
        <v>492</v>
      </c>
      <c r="B880" s="984" t="s">
        <v>62</v>
      </c>
      <c r="C880" s="985" t="s">
        <v>500</v>
      </c>
      <c r="D880" s="986"/>
      <c r="E880" s="987">
        <v>160658</v>
      </c>
      <c r="F880" s="988">
        <v>2</v>
      </c>
      <c r="G880" s="1152">
        <v>50026162</v>
      </c>
      <c r="H880" s="1153">
        <v>40902381</v>
      </c>
      <c r="I880" s="1152"/>
      <c r="J880" s="1153"/>
      <c r="K880" s="1152"/>
      <c r="L880" s="1153"/>
      <c r="M880" s="1152">
        <v>129741536</v>
      </c>
      <c r="N880" s="1152"/>
      <c r="O880" s="732">
        <f t="shared" si="109"/>
        <v>129741536</v>
      </c>
      <c r="P880" s="1153">
        <v>127922425</v>
      </c>
      <c r="Q880" s="1153"/>
      <c r="R880" s="733">
        <f t="shared" si="112"/>
        <v>127922425</v>
      </c>
      <c r="S880" s="732">
        <f t="shared" si="113"/>
        <v>179767698</v>
      </c>
      <c r="T880" s="733">
        <f t="shared" si="114"/>
        <v>168824806</v>
      </c>
      <c r="U880" s="1152"/>
      <c r="V880" s="1153"/>
      <c r="W880" s="1152"/>
      <c r="X880" s="1152"/>
      <c r="Y880" s="732">
        <f t="shared" si="110"/>
        <v>0</v>
      </c>
      <c r="Z880" s="1153"/>
      <c r="AA880" s="1153"/>
      <c r="AB880" s="733">
        <f t="shared" si="111"/>
        <v>0</v>
      </c>
      <c r="AC880" s="1152"/>
      <c r="AD880" s="1153"/>
      <c r="AE880" s="1152"/>
      <c r="AF880" s="1152"/>
      <c r="AG880" s="1153"/>
      <c r="AH880" s="1153"/>
      <c r="AI880" s="732">
        <f t="shared" si="115"/>
        <v>179767698</v>
      </c>
      <c r="AJ880" s="733">
        <f t="shared" si="116"/>
        <v>168824806</v>
      </c>
    </row>
    <row r="881" spans="1:36">
      <c r="A881" s="983" t="s">
        <v>492</v>
      </c>
      <c r="B881" s="984" t="s">
        <v>62</v>
      </c>
      <c r="C881" s="985" t="s">
        <v>501</v>
      </c>
      <c r="D881" s="986"/>
      <c r="E881" s="987">
        <v>159939</v>
      </c>
      <c r="F881" s="988">
        <v>2</v>
      </c>
      <c r="G881" s="1152">
        <v>27547758</v>
      </c>
      <c r="H881" s="1153">
        <v>18240668</v>
      </c>
      <c r="I881" s="1152"/>
      <c r="J881" s="1153"/>
      <c r="K881" s="1152"/>
      <c r="L881" s="1153"/>
      <c r="M881" s="1152">
        <v>62522445</v>
      </c>
      <c r="N881" s="1152"/>
      <c r="O881" s="732">
        <f t="shared" si="109"/>
        <v>62522445</v>
      </c>
      <c r="P881" s="1153">
        <v>60979257</v>
      </c>
      <c r="Q881" s="1153"/>
      <c r="R881" s="733">
        <f t="shared" si="112"/>
        <v>60979257</v>
      </c>
      <c r="S881" s="732">
        <f t="shared" si="113"/>
        <v>90070203</v>
      </c>
      <c r="T881" s="733">
        <f t="shared" si="114"/>
        <v>79219925</v>
      </c>
      <c r="U881" s="1152"/>
      <c r="V881" s="1153"/>
      <c r="W881" s="1152"/>
      <c r="X881" s="1152"/>
      <c r="Y881" s="732">
        <f t="shared" si="110"/>
        <v>0</v>
      </c>
      <c r="Z881" s="1153"/>
      <c r="AA881" s="1153"/>
      <c r="AB881" s="733">
        <f t="shared" si="111"/>
        <v>0</v>
      </c>
      <c r="AC881" s="1152"/>
      <c r="AD881" s="1153"/>
      <c r="AE881" s="1152"/>
      <c r="AF881" s="1152"/>
      <c r="AG881" s="1153"/>
      <c r="AH881" s="1153"/>
      <c r="AI881" s="732">
        <f t="shared" si="115"/>
        <v>90070203</v>
      </c>
      <c r="AJ881" s="733">
        <f t="shared" si="116"/>
        <v>79219925</v>
      </c>
    </row>
    <row r="882" spans="1:36">
      <c r="A882" s="983" t="s">
        <v>492</v>
      </c>
      <c r="B882" s="984" t="s">
        <v>62</v>
      </c>
      <c r="C882" s="985" t="s">
        <v>508</v>
      </c>
      <c r="D882" s="994"/>
      <c r="E882" s="988">
        <v>159717</v>
      </c>
      <c r="F882" s="988">
        <v>3</v>
      </c>
      <c r="G882" s="1152">
        <v>19959570</v>
      </c>
      <c r="H882" s="1153">
        <v>14642745</v>
      </c>
      <c r="I882" s="1152"/>
      <c r="J882" s="1153"/>
      <c r="K882" s="1152"/>
      <c r="L882" s="1153"/>
      <c r="M882" s="1152">
        <v>50778710</v>
      </c>
      <c r="N882" s="1152"/>
      <c r="O882" s="732">
        <f t="shared" si="109"/>
        <v>50778710</v>
      </c>
      <c r="P882" s="1153">
        <v>52203706</v>
      </c>
      <c r="Q882" s="1153"/>
      <c r="R882" s="733">
        <f t="shared" si="112"/>
        <v>52203706</v>
      </c>
      <c r="S882" s="732">
        <f t="shared" si="113"/>
        <v>70738280</v>
      </c>
      <c r="T882" s="733">
        <f t="shared" si="114"/>
        <v>66846451</v>
      </c>
      <c r="U882" s="1152"/>
      <c r="V882" s="1153"/>
      <c r="W882" s="1152"/>
      <c r="X882" s="1152"/>
      <c r="Y882" s="732">
        <f t="shared" si="110"/>
        <v>0</v>
      </c>
      <c r="Z882" s="1153"/>
      <c r="AA882" s="1153"/>
      <c r="AB882" s="733">
        <f t="shared" si="111"/>
        <v>0</v>
      </c>
      <c r="AC882" s="1152"/>
      <c r="AD882" s="1153"/>
      <c r="AE882" s="1152"/>
      <c r="AF882" s="1152"/>
      <c r="AG882" s="1153"/>
      <c r="AH882" s="1153"/>
      <c r="AI882" s="732">
        <f t="shared" si="115"/>
        <v>70738280</v>
      </c>
      <c r="AJ882" s="733">
        <f t="shared" si="116"/>
        <v>66846451</v>
      </c>
    </row>
    <row r="883" spans="1:36">
      <c r="A883" s="983" t="s">
        <v>492</v>
      </c>
      <c r="B883" s="984" t="s">
        <v>62</v>
      </c>
      <c r="C883" s="992" t="s">
        <v>502</v>
      </c>
      <c r="D883" s="993"/>
      <c r="E883" s="987">
        <v>160612</v>
      </c>
      <c r="F883" s="988">
        <v>3</v>
      </c>
      <c r="G883" s="1152">
        <v>29811449</v>
      </c>
      <c r="H883" s="1153">
        <v>23826675</v>
      </c>
      <c r="I883" s="1152"/>
      <c r="J883" s="1153"/>
      <c r="K883" s="1152"/>
      <c r="L883" s="1153"/>
      <c r="M883" s="1152">
        <v>91170055</v>
      </c>
      <c r="N883" s="1152"/>
      <c r="O883" s="732">
        <f t="shared" si="109"/>
        <v>91170055</v>
      </c>
      <c r="P883" s="1153">
        <v>92594788</v>
      </c>
      <c r="Q883" s="1153"/>
      <c r="R883" s="733">
        <f t="shared" si="112"/>
        <v>92594788</v>
      </c>
      <c r="S883" s="732">
        <f t="shared" si="113"/>
        <v>120981504</v>
      </c>
      <c r="T883" s="733">
        <f t="shared" si="114"/>
        <v>116421463</v>
      </c>
      <c r="U883" s="1152"/>
      <c r="V883" s="1153"/>
      <c r="W883" s="1152"/>
      <c r="X883" s="1152"/>
      <c r="Y883" s="732">
        <f t="shared" si="110"/>
        <v>0</v>
      </c>
      <c r="Z883" s="1153"/>
      <c r="AA883" s="1153"/>
      <c r="AB883" s="733">
        <f t="shared" si="111"/>
        <v>0</v>
      </c>
      <c r="AC883" s="1152"/>
      <c r="AD883" s="1153"/>
      <c r="AE883" s="1152"/>
      <c r="AF883" s="1152"/>
      <c r="AG883" s="1153"/>
      <c r="AH883" s="1153"/>
      <c r="AI883" s="732">
        <f t="shared" si="115"/>
        <v>120981504</v>
      </c>
      <c r="AJ883" s="733">
        <f t="shared" si="116"/>
        <v>116421463</v>
      </c>
    </row>
    <row r="884" spans="1:36">
      <c r="A884" s="983" t="s">
        <v>492</v>
      </c>
      <c r="B884" s="984" t="s">
        <v>62</v>
      </c>
      <c r="C884" s="985" t="s">
        <v>503</v>
      </c>
      <c r="D884" s="995"/>
      <c r="E884" s="987">
        <v>160621</v>
      </c>
      <c r="F884" s="988">
        <v>3</v>
      </c>
      <c r="G884" s="1152">
        <v>21291565</v>
      </c>
      <c r="H884" s="1153">
        <v>18868973</v>
      </c>
      <c r="I884" s="1152"/>
      <c r="J884" s="1153"/>
      <c r="K884" s="1152"/>
      <c r="L884" s="1153"/>
      <c r="M884" s="1152">
        <v>54410802</v>
      </c>
      <c r="N884" s="1152"/>
      <c r="O884" s="732">
        <f t="shared" si="109"/>
        <v>54410802</v>
      </c>
      <c r="P884" s="1153">
        <v>59971734</v>
      </c>
      <c r="Q884" s="1153"/>
      <c r="R884" s="733">
        <f t="shared" si="112"/>
        <v>59971734</v>
      </c>
      <c r="S884" s="732">
        <f t="shared" si="113"/>
        <v>75702367</v>
      </c>
      <c r="T884" s="733">
        <f t="shared" si="114"/>
        <v>78840707</v>
      </c>
      <c r="U884" s="1152"/>
      <c r="V884" s="1153"/>
      <c r="W884" s="1152"/>
      <c r="X884" s="1152"/>
      <c r="Y884" s="732">
        <f t="shared" si="110"/>
        <v>0</v>
      </c>
      <c r="Z884" s="1153"/>
      <c r="AA884" s="1153"/>
      <c r="AB884" s="733">
        <f t="shared" si="111"/>
        <v>0</v>
      </c>
      <c r="AC884" s="1152"/>
      <c r="AD884" s="1153"/>
      <c r="AE884" s="1152"/>
      <c r="AF884" s="1152"/>
      <c r="AG884" s="1153"/>
      <c r="AH884" s="1153"/>
      <c r="AI884" s="732">
        <f t="shared" si="115"/>
        <v>75702367</v>
      </c>
      <c r="AJ884" s="733">
        <f t="shared" si="116"/>
        <v>78840707</v>
      </c>
    </row>
    <row r="885" spans="1:36">
      <c r="A885" s="983" t="s">
        <v>492</v>
      </c>
      <c r="B885" s="984" t="s">
        <v>74</v>
      </c>
      <c r="C885" s="989" t="s">
        <v>497</v>
      </c>
      <c r="D885" s="990"/>
      <c r="E885" s="987">
        <v>160621</v>
      </c>
      <c r="F885" s="988">
        <v>3</v>
      </c>
      <c r="G885" s="1152"/>
      <c r="H885" s="1153"/>
      <c r="I885" s="1152"/>
      <c r="J885" s="1153"/>
      <c r="K885" s="1152"/>
      <c r="L885" s="1153"/>
      <c r="M885" s="1152"/>
      <c r="N885" s="1152"/>
      <c r="O885" s="732">
        <f t="shared" si="109"/>
        <v>0</v>
      </c>
      <c r="P885" s="1153"/>
      <c r="Q885" s="1153"/>
      <c r="R885" s="733">
        <f t="shared" si="112"/>
        <v>0</v>
      </c>
      <c r="S885" s="732">
        <f t="shared" si="113"/>
        <v>0</v>
      </c>
      <c r="T885" s="733">
        <f t="shared" si="114"/>
        <v>0</v>
      </c>
      <c r="U885" s="1152"/>
      <c r="V885" s="1153"/>
      <c r="W885" s="1152"/>
      <c r="X885" s="1152"/>
      <c r="Y885" s="732">
        <f t="shared" si="110"/>
        <v>0</v>
      </c>
      <c r="Z885" s="1153"/>
      <c r="AA885" s="1153"/>
      <c r="AB885" s="733">
        <f t="shared" si="111"/>
        <v>0</v>
      </c>
      <c r="AC885" s="1152"/>
      <c r="AD885" s="1153"/>
      <c r="AE885" s="1152"/>
      <c r="AF885" s="1152"/>
      <c r="AG885" s="1153"/>
      <c r="AH885" s="1153"/>
      <c r="AI885" s="732">
        <f t="shared" si="115"/>
        <v>0</v>
      </c>
      <c r="AJ885" s="733">
        <f t="shared" si="116"/>
        <v>0</v>
      </c>
    </row>
    <row r="886" spans="1:36">
      <c r="A886" s="983" t="s">
        <v>492</v>
      </c>
      <c r="B886" s="984" t="s">
        <v>74</v>
      </c>
      <c r="C886" s="991" t="s">
        <v>504</v>
      </c>
      <c r="D886" s="990"/>
      <c r="E886" s="987">
        <v>160621</v>
      </c>
      <c r="F886" s="988">
        <v>3</v>
      </c>
      <c r="G886" s="1152"/>
      <c r="H886" s="1153"/>
      <c r="I886" s="1152">
        <v>5797292</v>
      </c>
      <c r="J886" s="1153">
        <v>6711927</v>
      </c>
      <c r="K886" s="1152"/>
      <c r="L886" s="1153"/>
      <c r="M886" s="1152"/>
      <c r="N886" s="1152"/>
      <c r="O886" s="732">
        <f t="shared" si="109"/>
        <v>0</v>
      </c>
      <c r="P886" s="1153"/>
      <c r="Q886" s="1153"/>
      <c r="R886" s="733">
        <f t="shared" si="112"/>
        <v>0</v>
      </c>
      <c r="S886" s="732">
        <f t="shared" si="113"/>
        <v>5797292</v>
      </c>
      <c r="T886" s="733">
        <f t="shared" si="114"/>
        <v>6711927</v>
      </c>
      <c r="U886" s="1152"/>
      <c r="V886" s="1153"/>
      <c r="W886" s="1152"/>
      <c r="X886" s="1152"/>
      <c r="Y886" s="732">
        <f t="shared" si="110"/>
        <v>0</v>
      </c>
      <c r="Z886" s="1153"/>
      <c r="AA886" s="1153"/>
      <c r="AB886" s="733">
        <f t="shared" si="111"/>
        <v>0</v>
      </c>
      <c r="AC886" s="1152"/>
      <c r="AD886" s="1153"/>
      <c r="AE886" s="1152"/>
      <c r="AF886" s="1152"/>
      <c r="AG886" s="1153"/>
      <c r="AH886" s="1153"/>
      <c r="AI886" s="732">
        <f t="shared" si="115"/>
        <v>5797292</v>
      </c>
      <c r="AJ886" s="733">
        <f t="shared" si="116"/>
        <v>6711927</v>
      </c>
    </row>
    <row r="887" spans="1:36">
      <c r="A887" s="983" t="s">
        <v>492</v>
      </c>
      <c r="B887" s="984" t="s">
        <v>62</v>
      </c>
      <c r="C887" s="985" t="s">
        <v>505</v>
      </c>
      <c r="D887" s="986"/>
      <c r="E887" s="987">
        <v>159993</v>
      </c>
      <c r="F887" s="988">
        <v>3</v>
      </c>
      <c r="G887" s="1152">
        <v>31592781</v>
      </c>
      <c r="H887" s="1153">
        <v>23466990</v>
      </c>
      <c r="I887" s="1152"/>
      <c r="J887" s="1153"/>
      <c r="K887" s="1152"/>
      <c r="L887" s="1153"/>
      <c r="M887" s="1152">
        <v>66490910</v>
      </c>
      <c r="N887" s="1152"/>
      <c r="O887" s="732">
        <f t="shared" si="109"/>
        <v>66490910</v>
      </c>
      <c r="P887" s="1153">
        <v>65888844</v>
      </c>
      <c r="Q887" s="1153"/>
      <c r="R887" s="733">
        <f t="shared" si="112"/>
        <v>65888844</v>
      </c>
      <c r="S887" s="732">
        <f t="shared" si="113"/>
        <v>98083691</v>
      </c>
      <c r="T887" s="733">
        <f t="shared" si="114"/>
        <v>89355834</v>
      </c>
      <c r="U887" s="1152"/>
      <c r="V887" s="1153"/>
      <c r="W887" s="1152"/>
      <c r="X887" s="1152"/>
      <c r="Y887" s="732">
        <f t="shared" si="110"/>
        <v>0</v>
      </c>
      <c r="Z887" s="1153"/>
      <c r="AA887" s="1153"/>
      <c r="AB887" s="733">
        <f t="shared" si="111"/>
        <v>0</v>
      </c>
      <c r="AC887" s="1152"/>
      <c r="AD887" s="1153"/>
      <c r="AE887" s="1152"/>
      <c r="AF887" s="1152"/>
      <c r="AG887" s="1153"/>
      <c r="AH887" s="1153"/>
      <c r="AI887" s="732">
        <f t="shared" si="115"/>
        <v>98083691</v>
      </c>
      <c r="AJ887" s="733">
        <f t="shared" si="116"/>
        <v>89355834</v>
      </c>
    </row>
    <row r="888" spans="1:36">
      <c r="A888" s="983" t="s">
        <v>492</v>
      </c>
      <c r="B888" s="984" t="s">
        <v>62</v>
      </c>
      <c r="C888" s="985" t="s">
        <v>506</v>
      </c>
      <c r="D888" s="995"/>
      <c r="E888" s="988">
        <v>159009</v>
      </c>
      <c r="F888" s="988">
        <v>4</v>
      </c>
      <c r="G888" s="1152">
        <v>15092911</v>
      </c>
      <c r="H888" s="1153">
        <v>11536171</v>
      </c>
      <c r="I888" s="1152"/>
      <c r="J888" s="1153"/>
      <c r="K888" s="1152"/>
      <c r="L888" s="1153"/>
      <c r="M888" s="1152">
        <v>35057011</v>
      </c>
      <c r="N888" s="1152"/>
      <c r="O888" s="732">
        <f t="shared" si="109"/>
        <v>35057011</v>
      </c>
      <c r="P888" s="1153">
        <v>35105511</v>
      </c>
      <c r="Q888" s="1153"/>
      <c r="R888" s="733">
        <f t="shared" si="112"/>
        <v>35105511</v>
      </c>
      <c r="S888" s="732">
        <f t="shared" si="113"/>
        <v>50149922</v>
      </c>
      <c r="T888" s="733">
        <f t="shared" si="114"/>
        <v>46641682</v>
      </c>
      <c r="U888" s="1152"/>
      <c r="V888" s="1153"/>
      <c r="W888" s="1152"/>
      <c r="X888" s="1152"/>
      <c r="Y888" s="732">
        <f t="shared" si="110"/>
        <v>0</v>
      </c>
      <c r="Z888" s="1153"/>
      <c r="AA888" s="1153"/>
      <c r="AB888" s="733">
        <f t="shared" si="111"/>
        <v>0</v>
      </c>
      <c r="AC888" s="1152"/>
      <c r="AD888" s="1153"/>
      <c r="AE888" s="1152"/>
      <c r="AF888" s="1152"/>
      <c r="AG888" s="1153"/>
      <c r="AH888" s="1153"/>
      <c r="AI888" s="732">
        <f t="shared" si="115"/>
        <v>50149922</v>
      </c>
      <c r="AJ888" s="733">
        <f t="shared" si="116"/>
        <v>46641682</v>
      </c>
    </row>
    <row r="889" spans="1:36">
      <c r="A889" s="983" t="s">
        <v>492</v>
      </c>
      <c r="B889" s="984" t="s">
        <v>62</v>
      </c>
      <c r="C889" s="985" t="s">
        <v>507</v>
      </c>
      <c r="D889" s="995"/>
      <c r="E889" s="988">
        <v>159416</v>
      </c>
      <c r="F889" s="988">
        <v>4</v>
      </c>
      <c r="G889" s="1152">
        <v>9660395</v>
      </c>
      <c r="H889" s="1153">
        <v>8562308</v>
      </c>
      <c r="I889" s="1152"/>
      <c r="J889" s="1153"/>
      <c r="K889" s="1152"/>
      <c r="L889" s="1153"/>
      <c r="M889" s="1152">
        <v>50384747</v>
      </c>
      <c r="N889" s="1152"/>
      <c r="O889" s="732">
        <f t="shared" si="109"/>
        <v>50384747</v>
      </c>
      <c r="P889" s="1153">
        <v>52594397</v>
      </c>
      <c r="Q889" s="1153"/>
      <c r="R889" s="733">
        <f t="shared" si="112"/>
        <v>52594397</v>
      </c>
      <c r="S889" s="732">
        <f t="shared" si="113"/>
        <v>60045142</v>
      </c>
      <c r="T889" s="733">
        <f t="shared" si="114"/>
        <v>61156705</v>
      </c>
      <c r="U889" s="1152"/>
      <c r="V889" s="1153"/>
      <c r="W889" s="1152"/>
      <c r="X889" s="1152"/>
      <c r="Y889" s="732">
        <f t="shared" si="110"/>
        <v>0</v>
      </c>
      <c r="Z889" s="1153"/>
      <c r="AA889" s="1153"/>
      <c r="AB889" s="733">
        <f t="shared" si="111"/>
        <v>0</v>
      </c>
      <c r="AC889" s="1152"/>
      <c r="AD889" s="1153"/>
      <c r="AE889" s="1152"/>
      <c r="AF889" s="1152"/>
      <c r="AG889" s="1153"/>
      <c r="AH889" s="1153"/>
      <c r="AI889" s="732">
        <f t="shared" si="115"/>
        <v>60045142</v>
      </c>
      <c r="AJ889" s="733">
        <f t="shared" si="116"/>
        <v>61156705</v>
      </c>
    </row>
    <row r="890" spans="1:36">
      <c r="A890" s="983" t="s">
        <v>492</v>
      </c>
      <c r="B890" s="984" t="s">
        <v>62</v>
      </c>
      <c r="C890" s="992" t="s">
        <v>509</v>
      </c>
      <c r="D890" s="995"/>
      <c r="E890" s="988">
        <v>159966</v>
      </c>
      <c r="F890" s="988">
        <v>4</v>
      </c>
      <c r="G890" s="1152">
        <v>15355859</v>
      </c>
      <c r="H890" s="1153">
        <v>11900620</v>
      </c>
      <c r="I890" s="1152"/>
      <c r="J890" s="1153"/>
      <c r="K890" s="1152"/>
      <c r="L890" s="1153"/>
      <c r="M890" s="1152">
        <v>41262700</v>
      </c>
      <c r="N890" s="1152"/>
      <c r="O890" s="732">
        <f t="shared" si="109"/>
        <v>41262700</v>
      </c>
      <c r="P890" s="1153">
        <v>41529761</v>
      </c>
      <c r="Q890" s="1153"/>
      <c r="R890" s="733">
        <f t="shared" si="112"/>
        <v>41529761</v>
      </c>
      <c r="S890" s="732">
        <f t="shared" si="113"/>
        <v>56618559</v>
      </c>
      <c r="T890" s="733">
        <f t="shared" si="114"/>
        <v>53430381</v>
      </c>
      <c r="U890" s="1152"/>
      <c r="V890" s="1153"/>
      <c r="W890" s="1152"/>
      <c r="X890" s="1152"/>
      <c r="Y890" s="732">
        <f t="shared" si="110"/>
        <v>0</v>
      </c>
      <c r="Z890" s="1153"/>
      <c r="AA890" s="1153"/>
      <c r="AB890" s="733">
        <f t="shared" si="111"/>
        <v>0</v>
      </c>
      <c r="AC890" s="1152"/>
      <c r="AD890" s="1153"/>
      <c r="AE890" s="1152"/>
      <c r="AF890" s="1152"/>
      <c r="AG890" s="1153"/>
      <c r="AH890" s="1153"/>
      <c r="AI890" s="732">
        <f t="shared" si="115"/>
        <v>56618559</v>
      </c>
      <c r="AJ890" s="733">
        <f t="shared" si="116"/>
        <v>53430381</v>
      </c>
    </row>
    <row r="891" spans="1:36">
      <c r="A891" s="983" t="s">
        <v>492</v>
      </c>
      <c r="B891" s="984" t="s">
        <v>62</v>
      </c>
      <c r="C891" s="985" t="s">
        <v>510</v>
      </c>
      <c r="D891" s="995"/>
      <c r="E891" s="988">
        <v>160038</v>
      </c>
      <c r="F891" s="988">
        <v>4</v>
      </c>
      <c r="G891" s="1152">
        <v>21891835</v>
      </c>
      <c r="H891" s="1153">
        <v>17595530</v>
      </c>
      <c r="I891" s="1152"/>
      <c r="J891" s="1153"/>
      <c r="K891" s="1152"/>
      <c r="L891" s="1153"/>
      <c r="M891" s="1152">
        <v>60936131</v>
      </c>
      <c r="N891" s="1152"/>
      <c r="O891" s="732">
        <f t="shared" si="109"/>
        <v>60936131</v>
      </c>
      <c r="P891" s="1153">
        <v>61007813</v>
      </c>
      <c r="Q891" s="1153"/>
      <c r="R891" s="733">
        <f t="shared" si="112"/>
        <v>61007813</v>
      </c>
      <c r="S891" s="732">
        <f t="shared" si="113"/>
        <v>82827966</v>
      </c>
      <c r="T891" s="733">
        <f t="shared" si="114"/>
        <v>78603343</v>
      </c>
      <c r="U891" s="1152"/>
      <c r="V891" s="1153"/>
      <c r="W891" s="1152"/>
      <c r="X891" s="1152"/>
      <c r="Y891" s="732">
        <f t="shared" si="110"/>
        <v>0</v>
      </c>
      <c r="Z891" s="1153"/>
      <c r="AA891" s="1153"/>
      <c r="AB891" s="733">
        <f t="shared" si="111"/>
        <v>0</v>
      </c>
      <c r="AC891" s="1152"/>
      <c r="AD891" s="1153"/>
      <c r="AE891" s="1152"/>
      <c r="AF891" s="1152"/>
      <c r="AG891" s="1153"/>
      <c r="AH891" s="1153"/>
      <c r="AI891" s="732">
        <f t="shared" si="115"/>
        <v>82827966</v>
      </c>
      <c r="AJ891" s="733">
        <f t="shared" si="116"/>
        <v>78603343</v>
      </c>
    </row>
    <row r="892" spans="1:36">
      <c r="A892" s="983" t="s">
        <v>492</v>
      </c>
      <c r="B892" s="984" t="s">
        <v>62</v>
      </c>
      <c r="C892" s="996" t="s">
        <v>511</v>
      </c>
      <c r="D892" s="994"/>
      <c r="E892" s="988">
        <v>160630</v>
      </c>
      <c r="F892" s="988">
        <v>5</v>
      </c>
      <c r="G892" s="1152">
        <v>9718803</v>
      </c>
      <c r="H892" s="1153">
        <v>8661520</v>
      </c>
      <c r="I892" s="1152"/>
      <c r="J892" s="1153"/>
      <c r="K892" s="1152"/>
      <c r="L892" s="1153"/>
      <c r="M892" s="1152">
        <v>14936578</v>
      </c>
      <c r="N892" s="1152"/>
      <c r="O892" s="732">
        <f t="shared" si="109"/>
        <v>14936578</v>
      </c>
      <c r="P892" s="1153">
        <v>14947545.43</v>
      </c>
      <c r="Q892" s="1153"/>
      <c r="R892" s="733">
        <f t="shared" si="112"/>
        <v>14947545.43</v>
      </c>
      <c r="S892" s="732">
        <f t="shared" si="113"/>
        <v>24655381</v>
      </c>
      <c r="T892" s="733">
        <f t="shared" si="114"/>
        <v>23609065.43</v>
      </c>
      <c r="U892" s="1152"/>
      <c r="V892" s="1153"/>
      <c r="W892" s="1152"/>
      <c r="X892" s="1152"/>
      <c r="Y892" s="732">
        <f t="shared" si="110"/>
        <v>0</v>
      </c>
      <c r="Z892" s="1153"/>
      <c r="AA892" s="1153"/>
      <c r="AB892" s="733">
        <f t="shared" si="111"/>
        <v>0</v>
      </c>
      <c r="AC892" s="1152"/>
      <c r="AD892" s="1153"/>
      <c r="AE892" s="1152"/>
      <c r="AF892" s="1152"/>
      <c r="AG892" s="1153"/>
      <c r="AH892" s="1153"/>
      <c r="AI892" s="732">
        <f t="shared" si="115"/>
        <v>24655381</v>
      </c>
      <c r="AJ892" s="733">
        <f t="shared" si="116"/>
        <v>23609065.43</v>
      </c>
    </row>
    <row r="893" spans="1:36">
      <c r="A893" s="983" t="s">
        <v>492</v>
      </c>
      <c r="B893" s="984" t="s">
        <v>62</v>
      </c>
      <c r="C893" s="996" t="s">
        <v>512</v>
      </c>
      <c r="D893" s="994"/>
      <c r="E893" s="988">
        <v>159382</v>
      </c>
      <c r="F893" s="988">
        <v>6</v>
      </c>
      <c r="G893" s="1152">
        <v>5367560</v>
      </c>
      <c r="H893" s="1153">
        <v>2693020</v>
      </c>
      <c r="I893" s="1152"/>
      <c r="J893" s="1153"/>
      <c r="K893" s="1152"/>
      <c r="L893" s="1153"/>
      <c r="M893" s="1152">
        <v>18374127</v>
      </c>
      <c r="N893" s="1152"/>
      <c r="O893" s="732">
        <f t="shared" si="109"/>
        <v>18374127</v>
      </c>
      <c r="P893" s="1153">
        <v>17224127</v>
      </c>
      <c r="Q893" s="1153"/>
      <c r="R893" s="733">
        <f t="shared" si="112"/>
        <v>17224127</v>
      </c>
      <c r="S893" s="732">
        <f t="shared" si="113"/>
        <v>23741687</v>
      </c>
      <c r="T893" s="733">
        <f t="shared" si="114"/>
        <v>19917147</v>
      </c>
      <c r="U893" s="1152"/>
      <c r="V893" s="1153"/>
      <c r="W893" s="1152"/>
      <c r="X893" s="1152"/>
      <c r="Y893" s="732">
        <f t="shared" si="110"/>
        <v>0</v>
      </c>
      <c r="Z893" s="1153"/>
      <c r="AA893" s="1153"/>
      <c r="AB893" s="733">
        <f t="shared" si="111"/>
        <v>0</v>
      </c>
      <c r="AC893" s="1152"/>
      <c r="AD893" s="1153"/>
      <c r="AE893" s="1152"/>
      <c r="AF893" s="1152"/>
      <c r="AG893" s="1153"/>
      <c r="AH893" s="1153"/>
      <c r="AI893" s="732">
        <f t="shared" si="115"/>
        <v>23741687</v>
      </c>
      <c r="AJ893" s="733">
        <f t="shared" si="116"/>
        <v>19917147</v>
      </c>
    </row>
    <row r="894" spans="1:36">
      <c r="A894" s="983" t="s">
        <v>492</v>
      </c>
      <c r="B894" s="984" t="s">
        <v>62</v>
      </c>
      <c r="C894" s="997" t="s">
        <v>513</v>
      </c>
      <c r="D894" s="998"/>
      <c r="E894" s="988">
        <v>437103</v>
      </c>
      <c r="F894" s="999">
        <v>8</v>
      </c>
      <c r="G894" s="1152">
        <v>15301614</v>
      </c>
      <c r="H894" s="1153">
        <v>13191699</v>
      </c>
      <c r="I894" s="1152"/>
      <c r="J894" s="1153"/>
      <c r="K894" s="1152"/>
      <c r="L894" s="1153"/>
      <c r="M894" s="1152">
        <v>22281875</v>
      </c>
      <c r="N894" s="1152"/>
      <c r="O894" s="732">
        <f t="shared" si="109"/>
        <v>22281875</v>
      </c>
      <c r="P894" s="1153">
        <v>22281875</v>
      </c>
      <c r="Q894" s="1153"/>
      <c r="R894" s="733">
        <f t="shared" si="112"/>
        <v>22281875</v>
      </c>
      <c r="S894" s="732">
        <f t="shared" si="113"/>
        <v>37583489</v>
      </c>
      <c r="T894" s="733">
        <f t="shared" si="114"/>
        <v>35473574</v>
      </c>
      <c r="U894" s="1152"/>
      <c r="V894" s="1153"/>
      <c r="W894" s="1152"/>
      <c r="X894" s="1152"/>
      <c r="Y894" s="732">
        <f t="shared" si="110"/>
        <v>0</v>
      </c>
      <c r="Z894" s="1153"/>
      <c r="AA894" s="1153"/>
      <c r="AB894" s="733">
        <f t="shared" si="111"/>
        <v>0</v>
      </c>
      <c r="AC894" s="1152"/>
      <c r="AD894" s="1153"/>
      <c r="AE894" s="1152"/>
      <c r="AF894" s="1152"/>
      <c r="AG894" s="1153"/>
      <c r="AH894" s="1153"/>
      <c r="AI894" s="732">
        <f t="shared" si="115"/>
        <v>37583489</v>
      </c>
      <c r="AJ894" s="733">
        <f t="shared" si="116"/>
        <v>35473574</v>
      </c>
    </row>
    <row r="895" spans="1:36">
      <c r="A895" s="983" t="s">
        <v>492</v>
      </c>
      <c r="B895" s="984" t="s">
        <v>62</v>
      </c>
      <c r="C895" s="997" t="s">
        <v>515</v>
      </c>
      <c r="D895" s="998"/>
      <c r="E895" s="988">
        <v>158662</v>
      </c>
      <c r="F895" s="1000">
        <v>8</v>
      </c>
      <c r="G895" s="1152">
        <v>27227169</v>
      </c>
      <c r="H895" s="1153">
        <v>22146903</v>
      </c>
      <c r="I895" s="1152"/>
      <c r="J895" s="1153"/>
      <c r="K895" s="1152"/>
      <c r="L895" s="1153"/>
      <c r="M895" s="1152">
        <v>48964679.710000001</v>
      </c>
      <c r="N895" s="1152"/>
      <c r="O895" s="732">
        <f t="shared" si="109"/>
        <v>48964679.710000001</v>
      </c>
      <c r="P895" s="1153">
        <v>48975033</v>
      </c>
      <c r="Q895" s="1153"/>
      <c r="R895" s="733">
        <f t="shared" si="112"/>
        <v>48975033</v>
      </c>
      <c r="S895" s="732">
        <f t="shared" si="113"/>
        <v>76191848.710000008</v>
      </c>
      <c r="T895" s="733">
        <f t="shared" si="114"/>
        <v>71121936</v>
      </c>
      <c r="U895" s="1152"/>
      <c r="V895" s="1153"/>
      <c r="W895" s="1152"/>
      <c r="X895" s="1152"/>
      <c r="Y895" s="732">
        <f t="shared" si="110"/>
        <v>0</v>
      </c>
      <c r="Z895" s="1153"/>
      <c r="AA895" s="1153"/>
      <c r="AB895" s="733">
        <f t="shared" si="111"/>
        <v>0</v>
      </c>
      <c r="AC895" s="1152"/>
      <c r="AD895" s="1153"/>
      <c r="AE895" s="1152"/>
      <c r="AF895" s="1152"/>
      <c r="AG895" s="1153"/>
      <c r="AH895" s="1153"/>
      <c r="AI895" s="732">
        <f t="shared" si="115"/>
        <v>76191848.710000008</v>
      </c>
      <c r="AJ895" s="733">
        <f t="shared" si="116"/>
        <v>71121936</v>
      </c>
    </row>
    <row r="896" spans="1:36">
      <c r="A896" s="983" t="s">
        <v>492</v>
      </c>
      <c r="B896" s="984" t="s">
        <v>62</v>
      </c>
      <c r="C896" s="996" t="s">
        <v>514</v>
      </c>
      <c r="D896" s="995" t="s">
        <v>1442</v>
      </c>
      <c r="E896" s="988">
        <v>158431</v>
      </c>
      <c r="F896" s="1001">
        <v>9</v>
      </c>
      <c r="G896" s="1152">
        <v>11503866</v>
      </c>
      <c r="H896" s="1153">
        <v>8946865</v>
      </c>
      <c r="I896" s="1152"/>
      <c r="J896" s="1153"/>
      <c r="K896" s="1152"/>
      <c r="L896" s="1153"/>
      <c r="M896" s="1152">
        <v>21500000</v>
      </c>
      <c r="N896" s="1152"/>
      <c r="O896" s="732">
        <f t="shared" si="109"/>
        <v>21500000</v>
      </c>
      <c r="P896" s="1153">
        <v>21500000</v>
      </c>
      <c r="Q896" s="1153"/>
      <c r="R896" s="733">
        <f t="shared" si="112"/>
        <v>21500000</v>
      </c>
      <c r="S896" s="732">
        <f t="shared" si="113"/>
        <v>33003866</v>
      </c>
      <c r="T896" s="733">
        <f t="shared" si="114"/>
        <v>30446865</v>
      </c>
      <c r="U896" s="1152"/>
      <c r="V896" s="1153"/>
      <c r="W896" s="1152"/>
      <c r="X896" s="1152"/>
      <c r="Y896" s="732">
        <f t="shared" si="110"/>
        <v>0</v>
      </c>
      <c r="Z896" s="1153"/>
      <c r="AA896" s="1153"/>
      <c r="AB896" s="733">
        <f t="shared" si="111"/>
        <v>0</v>
      </c>
      <c r="AC896" s="1152"/>
      <c r="AD896" s="1153"/>
      <c r="AE896" s="1152"/>
      <c r="AF896" s="1152"/>
      <c r="AG896" s="1153"/>
      <c r="AH896" s="1153"/>
      <c r="AI896" s="732">
        <f t="shared" si="115"/>
        <v>33003866</v>
      </c>
      <c r="AJ896" s="733">
        <f t="shared" si="116"/>
        <v>30446865</v>
      </c>
    </row>
    <row r="897" spans="1:36">
      <c r="A897" s="983" t="s">
        <v>492</v>
      </c>
      <c r="B897" s="984" t="s">
        <v>62</v>
      </c>
      <c r="C897" s="985" t="s">
        <v>516</v>
      </c>
      <c r="D897" s="994"/>
      <c r="E897" s="988">
        <v>483212</v>
      </c>
      <c r="F897" s="988">
        <v>9</v>
      </c>
      <c r="G897" s="1152">
        <v>8517834</v>
      </c>
      <c r="H897" s="1153">
        <v>6931931</v>
      </c>
      <c r="I897" s="1152"/>
      <c r="J897" s="1153"/>
      <c r="K897" s="1152"/>
      <c r="L897" s="1153"/>
      <c r="M897" s="1152">
        <v>10348082</v>
      </c>
      <c r="N897" s="1152"/>
      <c r="O897" s="732">
        <f t="shared" si="109"/>
        <v>10348082</v>
      </c>
      <c r="P897" s="1153">
        <v>10555999.800000001</v>
      </c>
      <c r="Q897" s="1153"/>
      <c r="R897" s="733">
        <f t="shared" si="112"/>
        <v>10555999.800000001</v>
      </c>
      <c r="S897" s="732">
        <f t="shared" si="113"/>
        <v>18865916</v>
      </c>
      <c r="T897" s="733">
        <f t="shared" si="114"/>
        <v>17487930.800000001</v>
      </c>
      <c r="U897" s="1152"/>
      <c r="V897" s="1153"/>
      <c r="W897" s="1152"/>
      <c r="X897" s="1152"/>
      <c r="Y897" s="732">
        <f t="shared" si="110"/>
        <v>0</v>
      </c>
      <c r="Z897" s="1153"/>
      <c r="AA897" s="1153"/>
      <c r="AB897" s="733">
        <f t="shared" si="111"/>
        <v>0</v>
      </c>
      <c r="AC897" s="1152"/>
      <c r="AD897" s="1153"/>
      <c r="AE897" s="1152"/>
      <c r="AF897" s="1152"/>
      <c r="AG897" s="1153"/>
      <c r="AH897" s="1153"/>
      <c r="AI897" s="732">
        <f t="shared" si="115"/>
        <v>18865916</v>
      </c>
      <c r="AJ897" s="733">
        <f t="shared" si="116"/>
        <v>17487930.800000001</v>
      </c>
    </row>
    <row r="898" spans="1:36">
      <c r="A898" s="983" t="s">
        <v>492</v>
      </c>
      <c r="B898" s="984" t="s">
        <v>62</v>
      </c>
      <c r="C898" s="985" t="s">
        <v>517</v>
      </c>
      <c r="D898" s="998"/>
      <c r="E898" s="988">
        <v>434061</v>
      </c>
      <c r="F898" s="999">
        <v>9</v>
      </c>
      <c r="G898" s="1152">
        <v>14704142</v>
      </c>
      <c r="H898" s="1153">
        <v>12198491</v>
      </c>
      <c r="I898" s="1152"/>
      <c r="J898" s="1153"/>
      <c r="K898" s="1152"/>
      <c r="L898" s="1153"/>
      <c r="M898" s="1152">
        <v>18250000</v>
      </c>
      <c r="N898" s="1152"/>
      <c r="O898" s="732">
        <f t="shared" si="109"/>
        <v>18250000</v>
      </c>
      <c r="P898" s="1153">
        <v>18250000</v>
      </c>
      <c r="Q898" s="1153"/>
      <c r="R898" s="733">
        <f t="shared" si="112"/>
        <v>18250000</v>
      </c>
      <c r="S898" s="732">
        <f t="shared" si="113"/>
        <v>32954142</v>
      </c>
      <c r="T898" s="733">
        <f t="shared" si="114"/>
        <v>30448491</v>
      </c>
      <c r="U898" s="1152"/>
      <c r="V898" s="1153"/>
      <c r="W898" s="1152"/>
      <c r="X898" s="1152"/>
      <c r="Y898" s="732">
        <f t="shared" si="110"/>
        <v>0</v>
      </c>
      <c r="Z898" s="1153"/>
      <c r="AA898" s="1153"/>
      <c r="AB898" s="733">
        <f t="shared" si="111"/>
        <v>0</v>
      </c>
      <c r="AC898" s="1152"/>
      <c r="AD898" s="1153"/>
      <c r="AE898" s="1152"/>
      <c r="AF898" s="1152"/>
      <c r="AG898" s="1153"/>
      <c r="AH898" s="1153"/>
      <c r="AI898" s="732">
        <f t="shared" si="115"/>
        <v>32954142</v>
      </c>
      <c r="AJ898" s="733">
        <f t="shared" si="116"/>
        <v>30448491</v>
      </c>
    </row>
    <row r="899" spans="1:36">
      <c r="A899" s="983" t="s">
        <v>492</v>
      </c>
      <c r="B899" s="984" t="s">
        <v>62</v>
      </c>
      <c r="C899" s="996" t="s">
        <v>518</v>
      </c>
      <c r="D899" s="994"/>
      <c r="E899" s="988">
        <v>160649</v>
      </c>
      <c r="F899" s="988">
        <v>9</v>
      </c>
      <c r="G899" s="1152">
        <v>5881656</v>
      </c>
      <c r="H899" s="1153">
        <v>5120557</v>
      </c>
      <c r="I899" s="1152"/>
      <c r="J899" s="1153"/>
      <c r="K899" s="1152"/>
      <c r="L899" s="1153"/>
      <c r="M899" s="1152">
        <v>9202076</v>
      </c>
      <c r="N899" s="1152"/>
      <c r="O899" s="732">
        <f t="shared" si="109"/>
        <v>9202076</v>
      </c>
      <c r="P899" s="1153">
        <v>9202076</v>
      </c>
      <c r="Q899" s="1153"/>
      <c r="R899" s="733">
        <f t="shared" si="112"/>
        <v>9202076</v>
      </c>
      <c r="S899" s="732">
        <f t="shared" si="113"/>
        <v>15083732</v>
      </c>
      <c r="T899" s="733">
        <f t="shared" si="114"/>
        <v>14322633</v>
      </c>
      <c r="U899" s="1152"/>
      <c r="V899" s="1153"/>
      <c r="W899" s="1152"/>
      <c r="X899" s="1152"/>
      <c r="Y899" s="732">
        <f t="shared" si="110"/>
        <v>0</v>
      </c>
      <c r="Z899" s="1153"/>
      <c r="AA899" s="1153"/>
      <c r="AB899" s="733">
        <f t="shared" si="111"/>
        <v>0</v>
      </c>
      <c r="AC899" s="1152"/>
      <c r="AD899" s="1153"/>
      <c r="AE899" s="1152"/>
      <c r="AF899" s="1152"/>
      <c r="AG899" s="1153"/>
      <c r="AH899" s="1153"/>
      <c r="AI899" s="732">
        <f t="shared" si="115"/>
        <v>15083732</v>
      </c>
      <c r="AJ899" s="733">
        <f t="shared" si="116"/>
        <v>14322633</v>
      </c>
    </row>
    <row r="900" spans="1:36">
      <c r="A900" s="983" t="s">
        <v>492</v>
      </c>
      <c r="B900" s="984" t="s">
        <v>62</v>
      </c>
      <c r="C900" s="985" t="s">
        <v>519</v>
      </c>
      <c r="D900" s="994" t="s">
        <v>1788</v>
      </c>
      <c r="E900" s="988">
        <v>159407</v>
      </c>
      <c r="F900" s="1002">
        <v>9</v>
      </c>
      <c r="G900" s="1152">
        <v>5063368</v>
      </c>
      <c r="H900" s="1154">
        <v>1915114</v>
      </c>
      <c r="I900" s="1152"/>
      <c r="J900" s="1153"/>
      <c r="K900" s="1152"/>
      <c r="L900" s="1153"/>
      <c r="M900" s="1152">
        <v>10567383</v>
      </c>
      <c r="N900" s="1152"/>
      <c r="O900" s="732">
        <f t="shared" si="109"/>
        <v>10567383</v>
      </c>
      <c r="P900" s="1153">
        <v>10567383</v>
      </c>
      <c r="Q900" s="1153"/>
      <c r="R900" s="733">
        <f t="shared" si="112"/>
        <v>10567383</v>
      </c>
      <c r="S900" s="732">
        <f t="shared" si="113"/>
        <v>15630751</v>
      </c>
      <c r="T900" s="733">
        <f t="shared" si="114"/>
        <v>12482497</v>
      </c>
      <c r="U900" s="1152"/>
      <c r="V900" s="1153"/>
      <c r="W900" s="1152"/>
      <c r="X900" s="1152"/>
      <c r="Y900" s="732">
        <f t="shared" si="110"/>
        <v>0</v>
      </c>
      <c r="Z900" s="1153"/>
      <c r="AA900" s="1153"/>
      <c r="AB900" s="733">
        <f t="shared" si="111"/>
        <v>0</v>
      </c>
      <c r="AC900" s="1152"/>
      <c r="AD900" s="1153"/>
      <c r="AE900" s="1152"/>
      <c r="AF900" s="1152"/>
      <c r="AG900" s="1153"/>
      <c r="AH900" s="1153"/>
      <c r="AI900" s="732">
        <f t="shared" si="115"/>
        <v>15630751</v>
      </c>
      <c r="AJ900" s="733">
        <f t="shared" si="116"/>
        <v>12482497</v>
      </c>
    </row>
    <row r="901" spans="1:36">
      <c r="A901" s="983" t="s">
        <v>492</v>
      </c>
      <c r="B901" s="984" t="s">
        <v>62</v>
      </c>
      <c r="C901" s="985" t="s">
        <v>520</v>
      </c>
      <c r="D901" s="995"/>
      <c r="E901" s="988">
        <v>158884</v>
      </c>
      <c r="F901" s="988">
        <v>10</v>
      </c>
      <c r="G901" s="1152">
        <v>4237970</v>
      </c>
      <c r="H901" s="1153">
        <v>3478591</v>
      </c>
      <c r="I901" s="1152"/>
      <c r="J901" s="1153"/>
      <c r="K901" s="1152"/>
      <c r="L901" s="1153"/>
      <c r="M901" s="1152">
        <v>6095000</v>
      </c>
      <c r="N901" s="1152"/>
      <c r="O901" s="732">
        <f t="shared" si="109"/>
        <v>6095000</v>
      </c>
      <c r="P901" s="1153">
        <v>6135050</v>
      </c>
      <c r="Q901" s="1153"/>
      <c r="R901" s="733">
        <f t="shared" si="112"/>
        <v>6135050</v>
      </c>
      <c r="S901" s="732">
        <f t="shared" si="113"/>
        <v>10332970</v>
      </c>
      <c r="T901" s="733">
        <f t="shared" si="114"/>
        <v>9613641</v>
      </c>
      <c r="U901" s="1152"/>
      <c r="V901" s="1153"/>
      <c r="W901" s="1152"/>
      <c r="X901" s="1152"/>
      <c r="Y901" s="732">
        <f t="shared" si="110"/>
        <v>0</v>
      </c>
      <c r="Z901" s="1153"/>
      <c r="AA901" s="1153"/>
      <c r="AB901" s="733">
        <f t="shared" si="111"/>
        <v>0</v>
      </c>
      <c r="AC901" s="1152"/>
      <c r="AD901" s="1153"/>
      <c r="AE901" s="1152"/>
      <c r="AF901" s="1152"/>
      <c r="AG901" s="1153"/>
      <c r="AH901" s="1153"/>
      <c r="AI901" s="732">
        <f t="shared" si="115"/>
        <v>10332970</v>
      </c>
      <c r="AJ901" s="733">
        <f t="shared" si="116"/>
        <v>9613641</v>
      </c>
    </row>
    <row r="902" spans="1:36" customFormat="1" ht="15" customHeight="1">
      <c r="A902" s="983" t="s">
        <v>492</v>
      </c>
      <c r="B902" s="984" t="s">
        <v>62</v>
      </c>
      <c r="C902" s="997" t="s">
        <v>521</v>
      </c>
      <c r="D902" s="995" t="s">
        <v>1425</v>
      </c>
      <c r="E902" s="988">
        <v>436304</v>
      </c>
      <c r="F902" s="1000">
        <v>10</v>
      </c>
      <c r="G902" s="1152">
        <v>6140111</v>
      </c>
      <c r="H902" s="1153">
        <v>5069902</v>
      </c>
      <c r="I902" s="1152"/>
      <c r="J902" s="1153"/>
      <c r="K902" s="1152"/>
      <c r="L902" s="1153"/>
      <c r="M902" s="1152">
        <v>8455000</v>
      </c>
      <c r="N902" s="1152"/>
      <c r="O902" s="732">
        <f t="shared" si="109"/>
        <v>8455000</v>
      </c>
      <c r="P902" s="1153">
        <v>9363000</v>
      </c>
      <c r="Q902" s="1153"/>
      <c r="R902" s="733">
        <f t="shared" si="112"/>
        <v>9363000</v>
      </c>
      <c r="S902" s="732">
        <f t="shared" si="113"/>
        <v>14595111</v>
      </c>
      <c r="T902" s="733">
        <f t="shared" si="114"/>
        <v>14432902</v>
      </c>
      <c r="U902" s="1152"/>
      <c r="V902" s="1153"/>
      <c r="W902" s="1152"/>
      <c r="X902" s="1152"/>
      <c r="Y902" s="732">
        <f t="shared" si="110"/>
        <v>0</v>
      </c>
      <c r="Z902" s="1153"/>
      <c r="AA902" s="1153"/>
      <c r="AB902" s="733">
        <f t="shared" si="111"/>
        <v>0</v>
      </c>
      <c r="AC902" s="1152"/>
      <c r="AD902" s="1153"/>
      <c r="AE902" s="1152"/>
      <c r="AF902" s="1152"/>
      <c r="AG902" s="1153"/>
      <c r="AH902" s="1153"/>
      <c r="AI902" s="732">
        <f t="shared" si="115"/>
        <v>14595111</v>
      </c>
      <c r="AJ902" s="733">
        <f t="shared" si="116"/>
        <v>14432902</v>
      </c>
    </row>
    <row r="903" spans="1:36">
      <c r="A903" s="983" t="s">
        <v>492</v>
      </c>
      <c r="B903" s="984" t="s">
        <v>62</v>
      </c>
      <c r="C903" s="1003" t="s">
        <v>1066</v>
      </c>
      <c r="D903" s="1004"/>
      <c r="E903" s="988">
        <v>158088</v>
      </c>
      <c r="F903" s="988">
        <v>12</v>
      </c>
      <c r="G903" s="1152">
        <v>5740437</v>
      </c>
      <c r="H903" s="1153">
        <v>5101469</v>
      </c>
      <c r="I903" s="1152"/>
      <c r="J903" s="1153"/>
      <c r="K903" s="1152"/>
      <c r="L903" s="1153"/>
      <c r="M903" s="1152">
        <v>5344000</v>
      </c>
      <c r="N903" s="1152"/>
      <c r="O903" s="732">
        <f t="shared" si="109"/>
        <v>5344000</v>
      </c>
      <c r="P903" s="1153">
        <v>5344000</v>
      </c>
      <c r="Q903" s="1153"/>
      <c r="R903" s="733">
        <f t="shared" si="112"/>
        <v>5344000</v>
      </c>
      <c r="S903" s="732">
        <f t="shared" si="113"/>
        <v>11084437</v>
      </c>
      <c r="T903" s="733">
        <f t="shared" si="114"/>
        <v>10445469</v>
      </c>
      <c r="U903" s="1152"/>
      <c r="V903" s="1153"/>
      <c r="W903" s="1152"/>
      <c r="X903" s="1152"/>
      <c r="Y903" s="732">
        <f t="shared" si="110"/>
        <v>0</v>
      </c>
      <c r="Z903" s="1153"/>
      <c r="AA903" s="1153"/>
      <c r="AB903" s="733">
        <f t="shared" si="111"/>
        <v>0</v>
      </c>
      <c r="AC903" s="1152"/>
      <c r="AD903" s="1153"/>
      <c r="AE903" s="1152"/>
      <c r="AF903" s="1152"/>
      <c r="AG903" s="1153"/>
      <c r="AH903" s="1153"/>
      <c r="AI903" s="732">
        <f t="shared" si="115"/>
        <v>11084437</v>
      </c>
      <c r="AJ903" s="733">
        <f t="shared" si="116"/>
        <v>10445469</v>
      </c>
    </row>
    <row r="904" spans="1:36">
      <c r="A904" s="983" t="s">
        <v>492</v>
      </c>
      <c r="B904" s="984" t="s">
        <v>62</v>
      </c>
      <c r="C904" s="996" t="s">
        <v>522</v>
      </c>
      <c r="D904" s="994"/>
      <c r="E904" s="988">
        <v>160481</v>
      </c>
      <c r="F904" s="988">
        <v>12</v>
      </c>
      <c r="G904" s="1152">
        <v>4875963</v>
      </c>
      <c r="H904" s="1153">
        <v>4076775</v>
      </c>
      <c r="I904" s="1152"/>
      <c r="J904" s="1153"/>
      <c r="K904" s="1152"/>
      <c r="L904" s="1153"/>
      <c r="M904" s="1152">
        <v>6732000</v>
      </c>
      <c r="N904" s="1152"/>
      <c r="O904" s="732">
        <f t="shared" si="109"/>
        <v>6732000</v>
      </c>
      <c r="P904" s="1153">
        <v>7415000</v>
      </c>
      <c r="Q904" s="1153"/>
      <c r="R904" s="733">
        <f t="shared" si="112"/>
        <v>7415000</v>
      </c>
      <c r="S904" s="732">
        <f t="shared" si="113"/>
        <v>11607963</v>
      </c>
      <c r="T904" s="733">
        <f t="shared" si="114"/>
        <v>11491775</v>
      </c>
      <c r="U904" s="1152"/>
      <c r="V904" s="1153"/>
      <c r="W904" s="1152"/>
      <c r="X904" s="1152"/>
      <c r="Y904" s="732">
        <f t="shared" si="110"/>
        <v>0</v>
      </c>
      <c r="Z904" s="1153"/>
      <c r="AA904" s="1153"/>
      <c r="AB904" s="733">
        <f t="shared" si="111"/>
        <v>0</v>
      </c>
      <c r="AC904" s="1152"/>
      <c r="AD904" s="1153"/>
      <c r="AE904" s="1152"/>
      <c r="AF904" s="1152"/>
      <c r="AG904" s="1153"/>
      <c r="AH904" s="1153"/>
      <c r="AI904" s="732">
        <f t="shared" si="115"/>
        <v>11607963</v>
      </c>
      <c r="AJ904" s="733">
        <f t="shared" si="116"/>
        <v>11491775</v>
      </c>
    </row>
    <row r="905" spans="1:36">
      <c r="A905" s="983" t="s">
        <v>492</v>
      </c>
      <c r="B905" s="984" t="s">
        <v>62</v>
      </c>
      <c r="C905" s="1003" t="s">
        <v>523</v>
      </c>
      <c r="D905" s="1004"/>
      <c r="E905" s="988">
        <v>160667</v>
      </c>
      <c r="F905" s="988">
        <v>12</v>
      </c>
      <c r="G905" s="1152">
        <v>6539299</v>
      </c>
      <c r="H905" s="1153">
        <v>5478256</v>
      </c>
      <c r="I905" s="1152"/>
      <c r="J905" s="1153"/>
      <c r="K905" s="1152"/>
      <c r="L905" s="1153"/>
      <c r="M905" s="1152">
        <v>9789984</v>
      </c>
      <c r="N905" s="1152"/>
      <c r="O905" s="732">
        <f t="shared" si="109"/>
        <v>9789984</v>
      </c>
      <c r="P905" s="1153">
        <v>9790000</v>
      </c>
      <c r="Q905" s="1153"/>
      <c r="R905" s="733">
        <f t="shared" si="112"/>
        <v>9790000</v>
      </c>
      <c r="S905" s="732">
        <f t="shared" si="113"/>
        <v>16329283</v>
      </c>
      <c r="T905" s="733">
        <f t="shared" si="114"/>
        <v>15268256</v>
      </c>
      <c r="U905" s="1152"/>
      <c r="V905" s="1153"/>
      <c r="W905" s="1152"/>
      <c r="X905" s="1152"/>
      <c r="Y905" s="732">
        <f t="shared" si="110"/>
        <v>0</v>
      </c>
      <c r="Z905" s="1153"/>
      <c r="AA905" s="1153"/>
      <c r="AB905" s="733">
        <f t="shared" si="111"/>
        <v>0</v>
      </c>
      <c r="AC905" s="1152"/>
      <c r="AD905" s="1153"/>
      <c r="AE905" s="1152"/>
      <c r="AF905" s="1152"/>
      <c r="AG905" s="1153"/>
      <c r="AH905" s="1153"/>
      <c r="AI905" s="732">
        <f t="shared" si="115"/>
        <v>16329283</v>
      </c>
      <c r="AJ905" s="733">
        <f t="shared" si="116"/>
        <v>15268256</v>
      </c>
    </row>
    <row r="906" spans="1:36">
      <c r="A906" s="983" t="s">
        <v>492</v>
      </c>
      <c r="B906" s="984" t="s">
        <v>62</v>
      </c>
      <c r="C906" s="992" t="s">
        <v>525</v>
      </c>
      <c r="D906" s="995"/>
      <c r="E906" s="988">
        <v>160579</v>
      </c>
      <c r="F906" s="988">
        <v>12</v>
      </c>
      <c r="G906" s="1152">
        <v>10120975</v>
      </c>
      <c r="H906" s="1153">
        <v>8884204</v>
      </c>
      <c r="I906" s="1152"/>
      <c r="J906" s="1153"/>
      <c r="K906" s="1152"/>
      <c r="L906" s="1153"/>
      <c r="M906" s="1152">
        <v>10246000</v>
      </c>
      <c r="N906" s="1152"/>
      <c r="O906" s="732">
        <f t="shared" ref="O906:O969" si="117">SUM(M906:N906)</f>
        <v>10246000</v>
      </c>
      <c r="P906" s="1153">
        <v>10324000</v>
      </c>
      <c r="Q906" s="1153"/>
      <c r="R906" s="733">
        <f t="shared" si="112"/>
        <v>10324000</v>
      </c>
      <c r="S906" s="732">
        <f t="shared" si="113"/>
        <v>20366975</v>
      </c>
      <c r="T906" s="733">
        <f t="shared" si="114"/>
        <v>19208204</v>
      </c>
      <c r="U906" s="1152"/>
      <c r="V906" s="1153"/>
      <c r="W906" s="1152"/>
      <c r="X906" s="1152"/>
      <c r="Y906" s="732">
        <f t="shared" ref="Y906:Y969" si="118">SUM(W906:X906)</f>
        <v>0</v>
      </c>
      <c r="Z906" s="1153"/>
      <c r="AA906" s="1153"/>
      <c r="AB906" s="733">
        <f t="shared" ref="AB906:AB969" si="119">SUM(Z906:AA906)</f>
        <v>0</v>
      </c>
      <c r="AC906" s="1152"/>
      <c r="AD906" s="1153"/>
      <c r="AE906" s="1152"/>
      <c r="AF906" s="1152"/>
      <c r="AG906" s="1153"/>
      <c r="AH906" s="1153"/>
      <c r="AI906" s="732">
        <f t="shared" si="115"/>
        <v>20366975</v>
      </c>
      <c r="AJ906" s="733">
        <f t="shared" si="116"/>
        <v>19208204</v>
      </c>
    </row>
    <row r="907" spans="1:36">
      <c r="A907" s="983" t="s">
        <v>492</v>
      </c>
      <c r="B907" s="984" t="s">
        <v>62</v>
      </c>
      <c r="C907" s="1003" t="s">
        <v>524</v>
      </c>
      <c r="D907" s="995" t="s">
        <v>1443</v>
      </c>
      <c r="E907" s="988">
        <v>160010</v>
      </c>
      <c r="F907" s="1001">
        <v>13</v>
      </c>
      <c r="G907" s="1152">
        <v>4488076</v>
      </c>
      <c r="H907" s="1153">
        <v>3512971</v>
      </c>
      <c r="I907" s="1152"/>
      <c r="J907" s="1153"/>
      <c r="K907" s="1152"/>
      <c r="L907" s="1153"/>
      <c r="M907" s="1152">
        <v>2680000</v>
      </c>
      <c r="N907" s="1152"/>
      <c r="O907" s="732">
        <f t="shared" si="117"/>
        <v>2680000</v>
      </c>
      <c r="P907" s="1153">
        <v>2793000</v>
      </c>
      <c r="Q907" s="1153"/>
      <c r="R907" s="733">
        <f t="shared" ref="R907:R970" si="120">SUM(P907:Q907)</f>
        <v>2793000</v>
      </c>
      <c r="S907" s="732">
        <f t="shared" ref="S907:S970" si="121">SUM(G907,I907,K907,M907)</f>
        <v>7168076</v>
      </c>
      <c r="T907" s="733">
        <f t="shared" ref="T907:T970" si="122">SUM(H907,J907,L907,P907)</f>
        <v>6305971</v>
      </c>
      <c r="U907" s="1152"/>
      <c r="V907" s="1153"/>
      <c r="W907" s="1152"/>
      <c r="X907" s="1152"/>
      <c r="Y907" s="732">
        <f t="shared" si="118"/>
        <v>0</v>
      </c>
      <c r="Z907" s="1153"/>
      <c r="AA907" s="1153"/>
      <c r="AB907" s="733">
        <f t="shared" si="119"/>
        <v>0</v>
      </c>
      <c r="AC907" s="1152"/>
      <c r="AD907" s="1153"/>
      <c r="AE907" s="1152"/>
      <c r="AF907" s="1152"/>
      <c r="AG907" s="1153"/>
      <c r="AH907" s="1153"/>
      <c r="AI907" s="732">
        <f t="shared" ref="AI907:AI970" si="123">SUM(S907,U907,W907,AC907,AE907)</f>
        <v>7168076</v>
      </c>
      <c r="AJ907" s="733">
        <f t="shared" ref="AJ907:AJ970" si="124">SUM(T907,V907,Z907,AD907,AG907)</f>
        <v>6305971</v>
      </c>
    </row>
    <row r="908" spans="1:36">
      <c r="A908" s="983" t="s">
        <v>492</v>
      </c>
      <c r="B908" s="984" t="s">
        <v>238</v>
      </c>
      <c r="C908" s="985" t="s">
        <v>526</v>
      </c>
      <c r="D908" s="995"/>
      <c r="E908" s="988">
        <v>159373</v>
      </c>
      <c r="F908" s="988">
        <v>15</v>
      </c>
      <c r="G908" s="1152"/>
      <c r="H908" s="1153"/>
      <c r="I908" s="1152"/>
      <c r="J908" s="1153"/>
      <c r="K908" s="1152"/>
      <c r="L908" s="1153"/>
      <c r="M908" s="1152"/>
      <c r="N908" s="1152"/>
      <c r="O908" s="732">
        <f t="shared" si="117"/>
        <v>0</v>
      </c>
      <c r="P908" s="1153"/>
      <c r="Q908" s="1153"/>
      <c r="R908" s="733">
        <f t="shared" si="120"/>
        <v>0</v>
      </c>
      <c r="S908" s="732">
        <f t="shared" si="121"/>
        <v>0</v>
      </c>
      <c r="T908" s="733">
        <f t="shared" si="122"/>
        <v>0</v>
      </c>
      <c r="U908" s="1152"/>
      <c r="V908" s="1153"/>
      <c r="W908" s="1152"/>
      <c r="X908" s="1152"/>
      <c r="Y908" s="732">
        <f t="shared" si="118"/>
        <v>0</v>
      </c>
      <c r="Z908" s="1153"/>
      <c r="AA908" s="1153"/>
      <c r="AB908" s="733">
        <f t="shared" si="119"/>
        <v>0</v>
      </c>
      <c r="AC908" s="1152">
        <v>83130919</v>
      </c>
      <c r="AD908" s="1153">
        <v>74839417</v>
      </c>
      <c r="AE908" s="1152">
        <v>63096782</v>
      </c>
      <c r="AF908" s="1152"/>
      <c r="AG908" s="1153">
        <v>65582993</v>
      </c>
      <c r="AH908" s="1153"/>
      <c r="AI908" s="732">
        <f t="shared" si="123"/>
        <v>146227701</v>
      </c>
      <c r="AJ908" s="733">
        <f t="shared" si="124"/>
        <v>140422410</v>
      </c>
    </row>
    <row r="909" spans="1:36">
      <c r="A909" s="983" t="s">
        <v>492</v>
      </c>
      <c r="B909" s="984" t="s">
        <v>238</v>
      </c>
      <c r="C909" s="992" t="s">
        <v>527</v>
      </c>
      <c r="D909" s="995"/>
      <c r="E909" s="988">
        <v>435000</v>
      </c>
      <c r="F909" s="988">
        <v>15</v>
      </c>
      <c r="G909" s="1152"/>
      <c r="H909" s="1153"/>
      <c r="I909" s="1152"/>
      <c r="J909" s="1153"/>
      <c r="K909" s="1152"/>
      <c r="L909" s="1153"/>
      <c r="M909" s="1152"/>
      <c r="N909" s="1152"/>
      <c r="O909" s="732">
        <f t="shared" si="117"/>
        <v>0</v>
      </c>
      <c r="P909" s="1153"/>
      <c r="Q909" s="1153"/>
      <c r="R909" s="733">
        <f t="shared" si="120"/>
        <v>0</v>
      </c>
      <c r="S909" s="732">
        <f t="shared" si="121"/>
        <v>0</v>
      </c>
      <c r="T909" s="733">
        <f t="shared" si="122"/>
        <v>0</v>
      </c>
      <c r="U909" s="1152"/>
      <c r="V909" s="1153"/>
      <c r="W909" s="1152"/>
      <c r="X909" s="1152"/>
      <c r="Y909" s="732">
        <f t="shared" si="118"/>
        <v>0</v>
      </c>
      <c r="Z909" s="1153"/>
      <c r="AA909" s="1153"/>
      <c r="AB909" s="733">
        <f t="shared" si="119"/>
        <v>0</v>
      </c>
      <c r="AC909" s="1152">
        <v>65674647</v>
      </c>
      <c r="AD909" s="1153">
        <v>58159811</v>
      </c>
      <c r="AE909" s="1152">
        <v>22659079</v>
      </c>
      <c r="AF909" s="1152"/>
      <c r="AG909" s="1153">
        <v>23636590</v>
      </c>
      <c r="AH909" s="1153"/>
      <c r="AI909" s="732">
        <f t="shared" si="123"/>
        <v>88333726</v>
      </c>
      <c r="AJ909" s="733">
        <f t="shared" si="124"/>
        <v>81796401</v>
      </c>
    </row>
    <row r="910" spans="1:36">
      <c r="A910" s="983" t="s">
        <v>492</v>
      </c>
      <c r="B910" s="984" t="s">
        <v>62</v>
      </c>
      <c r="C910" s="992" t="s">
        <v>1441</v>
      </c>
      <c r="D910" s="990"/>
      <c r="E910" s="1005">
        <v>440916</v>
      </c>
      <c r="F910" s="988">
        <v>15</v>
      </c>
      <c r="G910" s="1152">
        <v>4477653</v>
      </c>
      <c r="H910" s="1153">
        <v>3908258</v>
      </c>
      <c r="I910" s="1152"/>
      <c r="J910" s="1153"/>
      <c r="K910" s="1152"/>
      <c r="L910" s="1153"/>
      <c r="M910" s="1152">
        <v>13529672</v>
      </c>
      <c r="N910" s="1152"/>
      <c r="O910" s="732">
        <f t="shared" si="117"/>
        <v>13529672</v>
      </c>
      <c r="P910" s="1153">
        <v>13967744</v>
      </c>
      <c r="Q910" s="1153"/>
      <c r="R910" s="733">
        <f t="shared" si="120"/>
        <v>13967744</v>
      </c>
      <c r="S910" s="732">
        <f t="shared" si="121"/>
        <v>18007325</v>
      </c>
      <c r="T910" s="733">
        <f t="shared" si="122"/>
        <v>17876002</v>
      </c>
      <c r="U910" s="1152"/>
      <c r="V910" s="1153"/>
      <c r="W910" s="1152"/>
      <c r="X910" s="1152"/>
      <c r="Y910" s="732">
        <f t="shared" si="118"/>
        <v>0</v>
      </c>
      <c r="Z910" s="1153"/>
      <c r="AA910" s="1153"/>
      <c r="AB910" s="733">
        <f t="shared" si="119"/>
        <v>0</v>
      </c>
      <c r="AC910" s="1152"/>
      <c r="AD910" s="1153"/>
      <c r="AE910" s="1152"/>
      <c r="AF910" s="1152"/>
      <c r="AG910" s="1153"/>
      <c r="AH910" s="1153"/>
      <c r="AI910" s="732">
        <f t="shared" si="123"/>
        <v>18007325</v>
      </c>
      <c r="AJ910" s="733">
        <f t="shared" si="124"/>
        <v>17876002</v>
      </c>
    </row>
    <row r="911" spans="1:36">
      <c r="A911" s="983" t="s">
        <v>492</v>
      </c>
      <c r="B911" s="984" t="s">
        <v>118</v>
      </c>
      <c r="C911" s="986" t="s">
        <v>406</v>
      </c>
      <c r="D911" s="986"/>
      <c r="E911" s="1006"/>
      <c r="F911" s="1007">
        <v>99</v>
      </c>
      <c r="G911" s="1152"/>
      <c r="H911" s="1153"/>
      <c r="I911" s="1152"/>
      <c r="J911" s="1153"/>
      <c r="K911" s="1152"/>
      <c r="L911" s="1153"/>
      <c r="M911" s="1152"/>
      <c r="N911" s="1152"/>
      <c r="O911" s="732">
        <f t="shared" si="117"/>
        <v>0</v>
      </c>
      <c r="P911" s="1153"/>
      <c r="Q911" s="1153"/>
      <c r="R911" s="733">
        <f t="shared" si="120"/>
        <v>0</v>
      </c>
      <c r="S911" s="732">
        <f t="shared" si="121"/>
        <v>0</v>
      </c>
      <c r="T911" s="733">
        <f t="shared" si="122"/>
        <v>0</v>
      </c>
      <c r="U911" s="1152"/>
      <c r="V911" s="1153"/>
      <c r="W911" s="1152"/>
      <c r="X911" s="1152"/>
      <c r="Y911" s="732">
        <f t="shared" si="118"/>
        <v>0</v>
      </c>
      <c r="Z911" s="1153"/>
      <c r="AA911" s="1153"/>
      <c r="AB911" s="733">
        <f t="shared" si="119"/>
        <v>0</v>
      </c>
      <c r="AC911" s="1152"/>
      <c r="AD911" s="1153"/>
      <c r="AE911" s="1152"/>
      <c r="AF911" s="1152"/>
      <c r="AG911" s="1153"/>
      <c r="AH911" s="1153"/>
      <c r="AI911" s="732">
        <f t="shared" si="123"/>
        <v>0</v>
      </c>
      <c r="AJ911" s="733">
        <f t="shared" si="124"/>
        <v>0</v>
      </c>
    </row>
    <row r="912" spans="1:36">
      <c r="A912" s="983" t="s">
        <v>492</v>
      </c>
      <c r="B912" s="984" t="s">
        <v>336</v>
      </c>
      <c r="C912" s="989" t="s">
        <v>70</v>
      </c>
      <c r="D912" s="990"/>
      <c r="E912" s="1006"/>
      <c r="F912" s="1007">
        <v>99</v>
      </c>
      <c r="G912" s="1152"/>
      <c r="H912" s="1153"/>
      <c r="I912" s="1152"/>
      <c r="J912" s="1153"/>
      <c r="K912" s="1152"/>
      <c r="L912" s="1153"/>
      <c r="M912" s="1152"/>
      <c r="N912" s="1152"/>
      <c r="O912" s="732">
        <f t="shared" si="117"/>
        <v>0</v>
      </c>
      <c r="P912" s="1153"/>
      <c r="Q912" s="1153"/>
      <c r="R912" s="733">
        <f t="shared" si="120"/>
        <v>0</v>
      </c>
      <c r="S912" s="732">
        <f t="shared" si="121"/>
        <v>0</v>
      </c>
      <c r="T912" s="733">
        <f t="shared" si="122"/>
        <v>0</v>
      </c>
      <c r="U912" s="1152"/>
      <c r="V912" s="1153"/>
      <c r="W912" s="1152"/>
      <c r="X912" s="1152"/>
      <c r="Y912" s="732">
        <f t="shared" si="118"/>
        <v>0</v>
      </c>
      <c r="Z912" s="1153"/>
      <c r="AA912" s="1153"/>
      <c r="AB912" s="733">
        <f t="shared" si="119"/>
        <v>0</v>
      </c>
      <c r="AC912" s="1152"/>
      <c r="AD912" s="1153"/>
      <c r="AE912" s="1152"/>
      <c r="AF912" s="1152"/>
      <c r="AG912" s="1153"/>
      <c r="AH912" s="1153"/>
      <c r="AI912" s="732">
        <f t="shared" si="123"/>
        <v>0</v>
      </c>
      <c r="AJ912" s="733">
        <f t="shared" si="124"/>
        <v>0</v>
      </c>
    </row>
    <row r="913" spans="1:36">
      <c r="A913" s="983" t="s">
        <v>492</v>
      </c>
      <c r="B913" s="984" t="s">
        <v>336</v>
      </c>
      <c r="C913" s="991" t="s">
        <v>528</v>
      </c>
      <c r="D913" s="990"/>
      <c r="E913" s="1006"/>
      <c r="F913" s="1007">
        <v>99</v>
      </c>
      <c r="G913" s="1152"/>
      <c r="H913" s="1153"/>
      <c r="I913" s="1152">
        <v>532721</v>
      </c>
      <c r="J913" s="1154">
        <v>216362</v>
      </c>
      <c r="K913" s="1152"/>
      <c r="L913" s="1153"/>
      <c r="M913" s="1152"/>
      <c r="N913" s="1152"/>
      <c r="O913" s="732">
        <f t="shared" si="117"/>
        <v>0</v>
      </c>
      <c r="P913" s="1153"/>
      <c r="Q913" s="1153"/>
      <c r="R913" s="733">
        <f t="shared" si="120"/>
        <v>0</v>
      </c>
      <c r="S913" s="732">
        <f t="shared" si="121"/>
        <v>532721</v>
      </c>
      <c r="T913" s="733">
        <f t="shared" si="122"/>
        <v>216362</v>
      </c>
      <c r="U913" s="1152"/>
      <c r="V913" s="1153"/>
      <c r="W913" s="1152"/>
      <c r="X913" s="1152"/>
      <c r="Y913" s="732">
        <f t="shared" si="118"/>
        <v>0</v>
      </c>
      <c r="Z913" s="1153"/>
      <c r="AA913" s="1153"/>
      <c r="AB913" s="733">
        <f t="shared" si="119"/>
        <v>0</v>
      </c>
      <c r="AC913" s="1152"/>
      <c r="AD913" s="1153"/>
      <c r="AE913" s="1152"/>
      <c r="AF913" s="1152"/>
      <c r="AG913" s="1153"/>
      <c r="AH913" s="1153"/>
      <c r="AI913" s="732">
        <f t="shared" si="123"/>
        <v>532721</v>
      </c>
      <c r="AJ913" s="733">
        <f t="shared" si="124"/>
        <v>216362</v>
      </c>
    </row>
    <row r="914" spans="1:36">
      <c r="A914" s="983" t="s">
        <v>492</v>
      </c>
      <c r="B914" s="984" t="s">
        <v>120</v>
      </c>
      <c r="C914" s="991" t="s">
        <v>529</v>
      </c>
      <c r="D914" s="990"/>
      <c r="E914" s="1008"/>
      <c r="F914" s="1007">
        <v>99</v>
      </c>
      <c r="G914" s="1152"/>
      <c r="H914" s="1153"/>
      <c r="I914" s="1152">
        <v>2316528</v>
      </c>
      <c r="J914" s="1154">
        <v>3963279</v>
      </c>
      <c r="K914" s="1152"/>
      <c r="L914" s="1153"/>
      <c r="M914" s="1152"/>
      <c r="N914" s="1152"/>
      <c r="O914" s="732">
        <f t="shared" si="117"/>
        <v>0</v>
      </c>
      <c r="P914" s="1153"/>
      <c r="Q914" s="1153"/>
      <c r="R914" s="733">
        <f t="shared" si="120"/>
        <v>0</v>
      </c>
      <c r="S914" s="732">
        <f t="shared" si="121"/>
        <v>2316528</v>
      </c>
      <c r="T914" s="733">
        <f t="shared" si="122"/>
        <v>3963279</v>
      </c>
      <c r="U914" s="1152"/>
      <c r="V914" s="1153"/>
      <c r="W914" s="1152"/>
      <c r="X914" s="1152"/>
      <c r="Y914" s="732">
        <f t="shared" si="118"/>
        <v>0</v>
      </c>
      <c r="Z914" s="1153"/>
      <c r="AA914" s="1153"/>
      <c r="AB914" s="733">
        <f t="shared" si="119"/>
        <v>0</v>
      </c>
      <c r="AC914" s="1152"/>
      <c r="AD914" s="1153"/>
      <c r="AE914" s="1152"/>
      <c r="AF914" s="1152"/>
      <c r="AG914" s="1153"/>
      <c r="AH914" s="1153"/>
      <c r="AI914" s="732">
        <f t="shared" si="123"/>
        <v>2316528</v>
      </c>
      <c r="AJ914" s="733">
        <f t="shared" si="124"/>
        <v>3963279</v>
      </c>
    </row>
    <row r="915" spans="1:36">
      <c r="A915" s="983" t="s">
        <v>492</v>
      </c>
      <c r="B915" s="984" t="s">
        <v>120</v>
      </c>
      <c r="C915" s="991" t="s">
        <v>530</v>
      </c>
      <c r="D915" s="990"/>
      <c r="E915" s="1008"/>
      <c r="F915" s="1007">
        <v>99</v>
      </c>
      <c r="G915" s="1152"/>
      <c r="H915" s="1153"/>
      <c r="I915" s="1152">
        <v>17409495</v>
      </c>
      <c r="J915" s="1153">
        <v>17891205</v>
      </c>
      <c r="K915" s="1152"/>
      <c r="L915" s="1153"/>
      <c r="M915" s="1152"/>
      <c r="N915" s="1152"/>
      <c r="O915" s="732">
        <f t="shared" si="117"/>
        <v>0</v>
      </c>
      <c r="P915" s="1153"/>
      <c r="Q915" s="1153"/>
      <c r="R915" s="733">
        <f t="shared" si="120"/>
        <v>0</v>
      </c>
      <c r="S915" s="732">
        <f t="shared" si="121"/>
        <v>17409495</v>
      </c>
      <c r="T915" s="733">
        <f t="shared" si="122"/>
        <v>17891205</v>
      </c>
      <c r="U915" s="1152"/>
      <c r="V915" s="1153"/>
      <c r="W915" s="1152"/>
      <c r="X915" s="1152"/>
      <c r="Y915" s="732">
        <f t="shared" si="118"/>
        <v>0</v>
      </c>
      <c r="Z915" s="1153"/>
      <c r="AA915" s="1153"/>
      <c r="AB915" s="733">
        <f t="shared" si="119"/>
        <v>0</v>
      </c>
      <c r="AC915" s="1152"/>
      <c r="AD915" s="1153"/>
      <c r="AE915" s="1152"/>
      <c r="AF915" s="1152"/>
      <c r="AG915" s="1153"/>
      <c r="AH915" s="1153"/>
      <c r="AI915" s="732">
        <f t="shared" si="123"/>
        <v>17409495</v>
      </c>
      <c r="AJ915" s="733">
        <f t="shared" si="124"/>
        <v>17891205</v>
      </c>
    </row>
    <row r="916" spans="1:36">
      <c r="A916" s="983" t="s">
        <v>492</v>
      </c>
      <c r="B916" s="984" t="s">
        <v>132</v>
      </c>
      <c r="C916" s="986" t="s">
        <v>476</v>
      </c>
      <c r="D916" s="986"/>
      <c r="E916" s="1006"/>
      <c r="F916" s="1007">
        <v>99</v>
      </c>
      <c r="G916" s="1152"/>
      <c r="H916" s="1153"/>
      <c r="I916" s="1152"/>
      <c r="J916" s="1153"/>
      <c r="K916" s="1152"/>
      <c r="L916" s="1153"/>
      <c r="M916" s="1152"/>
      <c r="N916" s="1152"/>
      <c r="O916" s="732">
        <f t="shared" si="117"/>
        <v>0</v>
      </c>
      <c r="P916" s="1153"/>
      <c r="Q916" s="1153"/>
      <c r="R916" s="733">
        <f t="shared" si="120"/>
        <v>0</v>
      </c>
      <c r="S916" s="732">
        <f t="shared" si="121"/>
        <v>0</v>
      </c>
      <c r="T916" s="733">
        <f t="shared" si="122"/>
        <v>0</v>
      </c>
      <c r="U916" s="1152"/>
      <c r="V916" s="1153"/>
      <c r="W916" s="1152"/>
      <c r="X916" s="1152"/>
      <c r="Y916" s="732">
        <f t="shared" si="118"/>
        <v>0</v>
      </c>
      <c r="Z916" s="1153"/>
      <c r="AA916" s="1153"/>
      <c r="AB916" s="733">
        <f t="shared" si="119"/>
        <v>0</v>
      </c>
      <c r="AC916" s="1152"/>
      <c r="AD916" s="1153"/>
      <c r="AE916" s="1152"/>
      <c r="AF916" s="1152"/>
      <c r="AG916" s="1153"/>
      <c r="AH916" s="1153"/>
      <c r="AI916" s="732">
        <f t="shared" si="123"/>
        <v>0</v>
      </c>
      <c r="AJ916" s="733">
        <f t="shared" si="124"/>
        <v>0</v>
      </c>
    </row>
    <row r="917" spans="1:36">
      <c r="A917" s="983" t="s">
        <v>492</v>
      </c>
      <c r="B917" s="984" t="s">
        <v>132</v>
      </c>
      <c r="C917" s="991" t="s">
        <v>531</v>
      </c>
      <c r="D917" s="990"/>
      <c r="E917" s="1006"/>
      <c r="F917" s="1007">
        <v>99</v>
      </c>
      <c r="G917" s="1152"/>
      <c r="H917" s="1153"/>
      <c r="I917" s="1152">
        <v>2600000</v>
      </c>
      <c r="J917" s="1154">
        <v>100000</v>
      </c>
      <c r="K917" s="1152"/>
      <c r="L917" s="1153"/>
      <c r="M917" s="1152"/>
      <c r="N917" s="1152"/>
      <c r="O917" s="732">
        <f t="shared" si="117"/>
        <v>0</v>
      </c>
      <c r="P917" s="1153"/>
      <c r="Q917" s="1153"/>
      <c r="R917" s="733">
        <f t="shared" si="120"/>
        <v>0</v>
      </c>
      <c r="S917" s="732">
        <f t="shared" si="121"/>
        <v>2600000</v>
      </c>
      <c r="T917" s="733">
        <f t="shared" si="122"/>
        <v>100000</v>
      </c>
      <c r="U917" s="1152"/>
      <c r="V917" s="1153"/>
      <c r="W917" s="1152"/>
      <c r="X917" s="1152"/>
      <c r="Y917" s="732">
        <f t="shared" si="118"/>
        <v>0</v>
      </c>
      <c r="Z917" s="1153"/>
      <c r="AA917" s="1153"/>
      <c r="AB917" s="733">
        <f t="shared" si="119"/>
        <v>0</v>
      </c>
      <c r="AC917" s="1152"/>
      <c r="AD917" s="1153"/>
      <c r="AE917" s="1152"/>
      <c r="AF917" s="1152"/>
      <c r="AG917" s="1153"/>
      <c r="AH917" s="1153"/>
      <c r="AI917" s="732">
        <f t="shared" si="123"/>
        <v>2600000</v>
      </c>
      <c r="AJ917" s="733">
        <f t="shared" si="124"/>
        <v>100000</v>
      </c>
    </row>
    <row r="918" spans="1:36">
      <c r="A918" s="983" t="s">
        <v>492</v>
      </c>
      <c r="B918" s="984" t="s">
        <v>132</v>
      </c>
      <c r="C918" s="991" t="s">
        <v>532</v>
      </c>
      <c r="D918" s="990"/>
      <c r="E918" s="1006"/>
      <c r="F918" s="1007">
        <v>99</v>
      </c>
      <c r="G918" s="1152"/>
      <c r="H918" s="1153"/>
      <c r="I918" s="1152">
        <v>93470</v>
      </c>
      <c r="J918" s="1154">
        <v>0</v>
      </c>
      <c r="K918" s="1152"/>
      <c r="L918" s="1153"/>
      <c r="M918" s="1152"/>
      <c r="N918" s="1152"/>
      <c r="O918" s="732">
        <f t="shared" si="117"/>
        <v>0</v>
      </c>
      <c r="P918" s="1153"/>
      <c r="Q918" s="1153"/>
      <c r="R918" s="733">
        <f t="shared" si="120"/>
        <v>0</v>
      </c>
      <c r="S918" s="732">
        <f t="shared" si="121"/>
        <v>93470</v>
      </c>
      <c r="T918" s="733">
        <f t="shared" si="122"/>
        <v>0</v>
      </c>
      <c r="U918" s="1152"/>
      <c r="V918" s="1153"/>
      <c r="W918" s="1152"/>
      <c r="X918" s="1152"/>
      <c r="Y918" s="732">
        <f t="shared" si="118"/>
        <v>0</v>
      </c>
      <c r="Z918" s="1153"/>
      <c r="AA918" s="1153"/>
      <c r="AB918" s="733">
        <f t="shared" si="119"/>
        <v>0</v>
      </c>
      <c r="AC918" s="1152"/>
      <c r="AD918" s="1153"/>
      <c r="AE918" s="1152"/>
      <c r="AF918" s="1152"/>
      <c r="AG918" s="1153"/>
      <c r="AH918" s="1153"/>
      <c r="AI918" s="732">
        <f t="shared" si="123"/>
        <v>93470</v>
      </c>
      <c r="AJ918" s="733">
        <f t="shared" si="124"/>
        <v>0</v>
      </c>
    </row>
    <row r="919" spans="1:36">
      <c r="A919" s="983" t="s">
        <v>492</v>
      </c>
      <c r="B919" s="984" t="s">
        <v>132</v>
      </c>
      <c r="C919" s="991" t="s">
        <v>533</v>
      </c>
      <c r="D919" s="990"/>
      <c r="E919" s="1006"/>
      <c r="F919" s="1007">
        <v>99</v>
      </c>
      <c r="G919" s="1152"/>
      <c r="H919" s="1153"/>
      <c r="I919" s="1152">
        <v>750000</v>
      </c>
      <c r="J919" s="1154">
        <v>0</v>
      </c>
      <c r="K919" s="1152"/>
      <c r="L919" s="1153"/>
      <c r="M919" s="1152"/>
      <c r="N919" s="1152"/>
      <c r="O919" s="732">
        <f t="shared" si="117"/>
        <v>0</v>
      </c>
      <c r="P919" s="1153"/>
      <c r="Q919" s="1153"/>
      <c r="R919" s="733">
        <f t="shared" si="120"/>
        <v>0</v>
      </c>
      <c r="S919" s="732">
        <f t="shared" si="121"/>
        <v>750000</v>
      </c>
      <c r="T919" s="733">
        <f t="shared" si="122"/>
        <v>0</v>
      </c>
      <c r="U919" s="1152"/>
      <c r="V919" s="1153"/>
      <c r="W919" s="1152"/>
      <c r="X919" s="1152"/>
      <c r="Y919" s="732">
        <f t="shared" si="118"/>
        <v>0</v>
      </c>
      <c r="Z919" s="1153"/>
      <c r="AA919" s="1153"/>
      <c r="AB919" s="733">
        <f t="shared" si="119"/>
        <v>0</v>
      </c>
      <c r="AC919" s="1152"/>
      <c r="AD919" s="1153"/>
      <c r="AE919" s="1152"/>
      <c r="AF919" s="1152"/>
      <c r="AG919" s="1153"/>
      <c r="AH919" s="1153"/>
      <c r="AI919" s="732">
        <f t="shared" si="123"/>
        <v>750000</v>
      </c>
      <c r="AJ919" s="733">
        <f t="shared" si="124"/>
        <v>0</v>
      </c>
    </row>
    <row r="920" spans="1:36">
      <c r="A920" s="983" t="s">
        <v>492</v>
      </c>
      <c r="B920" s="984" t="s">
        <v>132</v>
      </c>
      <c r="C920" s="991" t="s">
        <v>534</v>
      </c>
      <c r="D920" s="990"/>
      <c r="E920" s="1006"/>
      <c r="F920" s="1007">
        <v>99</v>
      </c>
      <c r="G920" s="1152"/>
      <c r="H920" s="1153"/>
      <c r="I920" s="1152"/>
      <c r="J920" s="1153"/>
      <c r="K920" s="1152"/>
      <c r="L920" s="1153"/>
      <c r="M920" s="1152"/>
      <c r="N920" s="1152"/>
      <c r="O920" s="732">
        <f t="shared" si="117"/>
        <v>0</v>
      </c>
      <c r="P920" s="1153"/>
      <c r="Q920" s="1153"/>
      <c r="R920" s="733">
        <f t="shared" si="120"/>
        <v>0</v>
      </c>
      <c r="S920" s="732">
        <f t="shared" si="121"/>
        <v>0</v>
      </c>
      <c r="T920" s="733">
        <f t="shared" si="122"/>
        <v>0</v>
      </c>
      <c r="U920" s="1152"/>
      <c r="V920" s="1153"/>
      <c r="W920" s="1152"/>
      <c r="X920" s="1152"/>
      <c r="Y920" s="732">
        <f t="shared" si="118"/>
        <v>0</v>
      </c>
      <c r="Z920" s="1153"/>
      <c r="AA920" s="1153"/>
      <c r="AB920" s="733">
        <f t="shared" si="119"/>
        <v>0</v>
      </c>
      <c r="AC920" s="1152"/>
      <c r="AD920" s="1153"/>
      <c r="AE920" s="1152"/>
      <c r="AF920" s="1152"/>
      <c r="AG920" s="1153"/>
      <c r="AH920" s="1153"/>
      <c r="AI920" s="732">
        <f t="shared" si="123"/>
        <v>0</v>
      </c>
      <c r="AJ920" s="733">
        <f t="shared" si="124"/>
        <v>0</v>
      </c>
    </row>
    <row r="921" spans="1:36">
      <c r="A921" s="983" t="s">
        <v>492</v>
      </c>
      <c r="B921" s="984" t="s">
        <v>132</v>
      </c>
      <c r="C921" s="991" t="s">
        <v>535</v>
      </c>
      <c r="D921" s="990"/>
      <c r="E921" s="1006"/>
      <c r="F921" s="1007">
        <v>99</v>
      </c>
      <c r="G921" s="1152"/>
      <c r="H921" s="1153"/>
      <c r="I921" s="1152">
        <v>3200000</v>
      </c>
      <c r="J921" s="1153">
        <v>4000000</v>
      </c>
      <c r="K921" s="1152"/>
      <c r="L921" s="1153"/>
      <c r="M921" s="1152"/>
      <c r="N921" s="1152"/>
      <c r="O921" s="732">
        <f t="shared" si="117"/>
        <v>0</v>
      </c>
      <c r="P921" s="1153"/>
      <c r="Q921" s="1153"/>
      <c r="R921" s="733">
        <f t="shared" si="120"/>
        <v>0</v>
      </c>
      <c r="S921" s="732">
        <f t="shared" si="121"/>
        <v>3200000</v>
      </c>
      <c r="T921" s="733">
        <f t="shared" si="122"/>
        <v>4000000</v>
      </c>
      <c r="U921" s="1152"/>
      <c r="V921" s="1153"/>
      <c r="W921" s="1152"/>
      <c r="X921" s="1152"/>
      <c r="Y921" s="732">
        <f t="shared" si="118"/>
        <v>0</v>
      </c>
      <c r="Z921" s="1153"/>
      <c r="AA921" s="1153"/>
      <c r="AB921" s="733">
        <f t="shared" si="119"/>
        <v>0</v>
      </c>
      <c r="AC921" s="1152"/>
      <c r="AD921" s="1153"/>
      <c r="AE921" s="1152"/>
      <c r="AF921" s="1152"/>
      <c r="AG921" s="1153"/>
      <c r="AH921" s="1153"/>
      <c r="AI921" s="732">
        <f t="shared" si="123"/>
        <v>3200000</v>
      </c>
      <c r="AJ921" s="733">
        <f t="shared" si="124"/>
        <v>4000000</v>
      </c>
    </row>
    <row r="922" spans="1:36">
      <c r="A922" s="983" t="s">
        <v>492</v>
      </c>
      <c r="B922" s="984" t="s">
        <v>132</v>
      </c>
      <c r="C922" s="991" t="s">
        <v>536</v>
      </c>
      <c r="D922" s="990"/>
      <c r="E922" s="1006"/>
      <c r="F922" s="1007">
        <v>99</v>
      </c>
      <c r="G922" s="1152"/>
      <c r="H922" s="1153"/>
      <c r="I922" s="1152">
        <v>1920000</v>
      </c>
      <c r="J922" s="1153">
        <v>1780000</v>
      </c>
      <c r="K922" s="1152"/>
      <c r="L922" s="1153"/>
      <c r="M922" s="1152"/>
      <c r="N922" s="1152"/>
      <c r="O922" s="732">
        <f t="shared" si="117"/>
        <v>0</v>
      </c>
      <c r="P922" s="1153"/>
      <c r="Q922" s="1153"/>
      <c r="R922" s="733">
        <f t="shared" si="120"/>
        <v>0</v>
      </c>
      <c r="S922" s="732">
        <f t="shared" si="121"/>
        <v>1920000</v>
      </c>
      <c r="T922" s="733">
        <f t="shared" si="122"/>
        <v>1780000</v>
      </c>
      <c r="U922" s="1152"/>
      <c r="V922" s="1153"/>
      <c r="W922" s="1152"/>
      <c r="X922" s="1152"/>
      <c r="Y922" s="732">
        <f t="shared" si="118"/>
        <v>0</v>
      </c>
      <c r="Z922" s="1153"/>
      <c r="AA922" s="1153"/>
      <c r="AB922" s="733">
        <f t="shared" si="119"/>
        <v>0</v>
      </c>
      <c r="AC922" s="1152"/>
      <c r="AD922" s="1153"/>
      <c r="AE922" s="1152"/>
      <c r="AF922" s="1152"/>
      <c r="AG922" s="1153"/>
      <c r="AH922" s="1153"/>
      <c r="AI922" s="732">
        <f t="shared" si="123"/>
        <v>1920000</v>
      </c>
      <c r="AJ922" s="733">
        <f t="shared" si="124"/>
        <v>1780000</v>
      </c>
    </row>
    <row r="923" spans="1:36">
      <c r="A923" s="983" t="s">
        <v>492</v>
      </c>
      <c r="B923" s="984" t="s">
        <v>132</v>
      </c>
      <c r="C923" s="991" t="s">
        <v>537</v>
      </c>
      <c r="D923" s="990"/>
      <c r="E923" s="1006"/>
      <c r="F923" s="1007">
        <v>99</v>
      </c>
      <c r="G923" s="1152"/>
      <c r="H923" s="1153"/>
      <c r="I923" s="1152">
        <v>3151171</v>
      </c>
      <c r="J923" s="1153">
        <v>3201673</v>
      </c>
      <c r="K923" s="1152"/>
      <c r="L923" s="1153"/>
      <c r="M923" s="1152"/>
      <c r="N923" s="1152"/>
      <c r="O923" s="732">
        <f t="shared" si="117"/>
        <v>0</v>
      </c>
      <c r="P923" s="1153"/>
      <c r="Q923" s="1153"/>
      <c r="R923" s="733">
        <f t="shared" si="120"/>
        <v>0</v>
      </c>
      <c r="S923" s="732">
        <f t="shared" si="121"/>
        <v>3151171</v>
      </c>
      <c r="T923" s="733">
        <f t="shared" si="122"/>
        <v>3201673</v>
      </c>
      <c r="U923" s="1152"/>
      <c r="V923" s="1153"/>
      <c r="W923" s="1152"/>
      <c r="X923" s="1152"/>
      <c r="Y923" s="732">
        <f t="shared" si="118"/>
        <v>0</v>
      </c>
      <c r="Z923" s="1153"/>
      <c r="AA923" s="1153"/>
      <c r="AB923" s="733">
        <f t="shared" si="119"/>
        <v>0</v>
      </c>
      <c r="AC923" s="1152"/>
      <c r="AD923" s="1153"/>
      <c r="AE923" s="1152"/>
      <c r="AF923" s="1152"/>
      <c r="AG923" s="1153"/>
      <c r="AH923" s="1153"/>
      <c r="AI923" s="732">
        <f t="shared" si="123"/>
        <v>3151171</v>
      </c>
      <c r="AJ923" s="733">
        <f t="shared" si="124"/>
        <v>3201673</v>
      </c>
    </row>
    <row r="924" spans="1:36">
      <c r="A924" s="983" t="s">
        <v>492</v>
      </c>
      <c r="B924" s="984" t="s">
        <v>132</v>
      </c>
      <c r="C924" s="991" t="s">
        <v>538</v>
      </c>
      <c r="D924" s="990"/>
      <c r="E924" s="1006"/>
      <c r="F924" s="1007">
        <v>99</v>
      </c>
      <c r="G924" s="1152"/>
      <c r="H924" s="1153"/>
      <c r="I924" s="1152"/>
      <c r="J924" s="1155">
        <v>1000000</v>
      </c>
      <c r="K924" s="1152"/>
      <c r="L924" s="1153"/>
      <c r="M924" s="1152"/>
      <c r="N924" s="1152"/>
      <c r="O924" s="732">
        <f t="shared" si="117"/>
        <v>0</v>
      </c>
      <c r="P924" s="1153"/>
      <c r="Q924" s="1153"/>
      <c r="R924" s="733">
        <f t="shared" si="120"/>
        <v>0</v>
      </c>
      <c r="S924" s="732">
        <f t="shared" si="121"/>
        <v>0</v>
      </c>
      <c r="T924" s="733">
        <f t="shared" si="122"/>
        <v>1000000</v>
      </c>
      <c r="U924" s="1152"/>
      <c r="V924" s="1153"/>
      <c r="W924" s="1152"/>
      <c r="X924" s="1152"/>
      <c r="Y924" s="732">
        <f t="shared" si="118"/>
        <v>0</v>
      </c>
      <c r="Z924" s="1153"/>
      <c r="AA924" s="1153"/>
      <c r="AB924" s="733">
        <f t="shared" si="119"/>
        <v>0</v>
      </c>
      <c r="AC924" s="1152"/>
      <c r="AD924" s="1153"/>
      <c r="AE924" s="1152"/>
      <c r="AF924" s="1152"/>
      <c r="AG924" s="1153"/>
      <c r="AH924" s="1153"/>
      <c r="AI924" s="732">
        <f t="shared" si="123"/>
        <v>0</v>
      </c>
      <c r="AJ924" s="733">
        <f t="shared" si="124"/>
        <v>1000000</v>
      </c>
    </row>
    <row r="925" spans="1:36">
      <c r="A925" s="983" t="s">
        <v>492</v>
      </c>
      <c r="B925" s="984" t="s">
        <v>132</v>
      </c>
      <c r="C925" s="991" t="s">
        <v>539</v>
      </c>
      <c r="D925" s="990"/>
      <c r="E925" s="1006"/>
      <c r="F925" s="1007">
        <v>99</v>
      </c>
      <c r="G925" s="1152"/>
      <c r="H925" s="1153"/>
      <c r="I925" s="1152">
        <v>150000</v>
      </c>
      <c r="J925" s="1153">
        <v>150000</v>
      </c>
      <c r="K925" s="1152"/>
      <c r="L925" s="1153"/>
      <c r="M925" s="1152"/>
      <c r="N925" s="1152"/>
      <c r="O925" s="732">
        <f t="shared" si="117"/>
        <v>0</v>
      </c>
      <c r="P925" s="1153"/>
      <c r="Q925" s="1153"/>
      <c r="R925" s="733">
        <f t="shared" si="120"/>
        <v>0</v>
      </c>
      <c r="S925" s="732">
        <f t="shared" si="121"/>
        <v>150000</v>
      </c>
      <c r="T925" s="733">
        <f t="shared" si="122"/>
        <v>150000</v>
      </c>
      <c r="U925" s="1152"/>
      <c r="V925" s="1153"/>
      <c r="W925" s="1152"/>
      <c r="X925" s="1152"/>
      <c r="Y925" s="732">
        <f t="shared" si="118"/>
        <v>0</v>
      </c>
      <c r="Z925" s="1153"/>
      <c r="AA925" s="1153"/>
      <c r="AB925" s="733">
        <f t="shared" si="119"/>
        <v>0</v>
      </c>
      <c r="AC925" s="1152"/>
      <c r="AD925" s="1153"/>
      <c r="AE925" s="1152"/>
      <c r="AF925" s="1152"/>
      <c r="AG925" s="1153"/>
      <c r="AH925" s="1153"/>
      <c r="AI925" s="732">
        <f t="shared" si="123"/>
        <v>150000</v>
      </c>
      <c r="AJ925" s="733">
        <f t="shared" si="124"/>
        <v>150000</v>
      </c>
    </row>
    <row r="926" spans="1:36">
      <c r="A926" s="983" t="s">
        <v>492</v>
      </c>
      <c r="B926" s="984" t="s">
        <v>138</v>
      </c>
      <c r="C926" s="986" t="s">
        <v>139</v>
      </c>
      <c r="D926" s="986"/>
      <c r="E926" s="1006"/>
      <c r="F926" s="1007">
        <v>99</v>
      </c>
      <c r="G926" s="1152"/>
      <c r="H926" s="1153"/>
      <c r="I926" s="1152"/>
      <c r="J926" s="1153"/>
      <c r="K926" s="1152"/>
      <c r="L926" s="1153"/>
      <c r="M926" s="1152"/>
      <c r="N926" s="1152"/>
      <c r="O926" s="732">
        <f t="shared" si="117"/>
        <v>0</v>
      </c>
      <c r="P926" s="1153"/>
      <c r="Q926" s="1153"/>
      <c r="R926" s="733">
        <f t="shared" si="120"/>
        <v>0</v>
      </c>
      <c r="S926" s="732">
        <f t="shared" si="121"/>
        <v>0</v>
      </c>
      <c r="T926" s="733">
        <f t="shared" si="122"/>
        <v>0</v>
      </c>
      <c r="U926" s="1152"/>
      <c r="V926" s="1153"/>
      <c r="W926" s="1152"/>
      <c r="X926" s="1152"/>
      <c r="Y926" s="732">
        <f t="shared" si="118"/>
        <v>0</v>
      </c>
      <c r="Z926" s="1153"/>
      <c r="AA926" s="1153"/>
      <c r="AB926" s="733">
        <f t="shared" si="119"/>
        <v>0</v>
      </c>
      <c r="AC926" s="1152"/>
      <c r="AD926" s="1153"/>
      <c r="AE926" s="1152"/>
      <c r="AF926" s="1152"/>
      <c r="AG926" s="1153"/>
      <c r="AH926" s="1153"/>
      <c r="AI926" s="732">
        <f t="shared" si="123"/>
        <v>0</v>
      </c>
      <c r="AJ926" s="733">
        <f t="shared" si="124"/>
        <v>0</v>
      </c>
    </row>
    <row r="927" spans="1:36">
      <c r="A927" s="983" t="s">
        <v>492</v>
      </c>
      <c r="B927" s="984" t="s">
        <v>140</v>
      </c>
      <c r="C927" s="989" t="s">
        <v>141</v>
      </c>
      <c r="D927" s="990"/>
      <c r="E927" s="1006"/>
      <c r="F927" s="1007">
        <v>99</v>
      </c>
      <c r="G927" s="1152"/>
      <c r="H927" s="1153"/>
      <c r="I927" s="1152"/>
      <c r="J927" s="1153"/>
      <c r="K927" s="1152"/>
      <c r="L927" s="1153"/>
      <c r="M927" s="1152"/>
      <c r="N927" s="1152"/>
      <c r="O927" s="732">
        <f t="shared" si="117"/>
        <v>0</v>
      </c>
      <c r="P927" s="1153"/>
      <c r="Q927" s="1153"/>
      <c r="R927" s="733">
        <f t="shared" si="120"/>
        <v>0</v>
      </c>
      <c r="S927" s="732">
        <f t="shared" si="121"/>
        <v>0</v>
      </c>
      <c r="T927" s="733">
        <f t="shared" si="122"/>
        <v>0</v>
      </c>
      <c r="U927" s="1152"/>
      <c r="V927" s="1153"/>
      <c r="W927" s="1152"/>
      <c r="X927" s="1152"/>
      <c r="Y927" s="732">
        <f t="shared" si="118"/>
        <v>0</v>
      </c>
      <c r="Z927" s="1153"/>
      <c r="AA927" s="1153"/>
      <c r="AB927" s="733">
        <f t="shared" si="119"/>
        <v>0</v>
      </c>
      <c r="AC927" s="1152"/>
      <c r="AD927" s="1153"/>
      <c r="AE927" s="1152"/>
      <c r="AF927" s="1152"/>
      <c r="AG927" s="1153"/>
      <c r="AH927" s="1153"/>
      <c r="AI927" s="732">
        <f t="shared" si="123"/>
        <v>0</v>
      </c>
      <c r="AJ927" s="733">
        <f t="shared" si="124"/>
        <v>0</v>
      </c>
    </row>
    <row r="928" spans="1:36">
      <c r="A928" s="983" t="s">
        <v>492</v>
      </c>
      <c r="B928" s="984" t="s">
        <v>140</v>
      </c>
      <c r="C928" s="991" t="s">
        <v>540</v>
      </c>
      <c r="D928" s="990"/>
      <c r="E928" s="1006"/>
      <c r="F928" s="1007">
        <v>99</v>
      </c>
      <c r="G928" s="1152"/>
      <c r="H928" s="1153"/>
      <c r="I928" s="1152"/>
      <c r="J928" s="1153"/>
      <c r="K928" s="1152"/>
      <c r="L928" s="1153"/>
      <c r="M928" s="1152"/>
      <c r="N928" s="1152"/>
      <c r="O928" s="732">
        <f t="shared" si="117"/>
        <v>0</v>
      </c>
      <c r="P928" s="1153"/>
      <c r="Q928" s="1153"/>
      <c r="R928" s="733">
        <f t="shared" si="120"/>
        <v>0</v>
      </c>
      <c r="S928" s="732">
        <f t="shared" si="121"/>
        <v>0</v>
      </c>
      <c r="T928" s="733">
        <f t="shared" si="122"/>
        <v>0</v>
      </c>
      <c r="U928" s="1152">
        <v>7318136</v>
      </c>
      <c r="V928" s="1153">
        <v>7284145</v>
      </c>
      <c r="W928" s="1152"/>
      <c r="X928" s="1152"/>
      <c r="Y928" s="732">
        <f t="shared" si="118"/>
        <v>0</v>
      </c>
      <c r="Z928" s="1153"/>
      <c r="AA928" s="1153"/>
      <c r="AB928" s="733">
        <f t="shared" si="119"/>
        <v>0</v>
      </c>
      <c r="AC928" s="1152"/>
      <c r="AD928" s="1153"/>
      <c r="AE928" s="1152"/>
      <c r="AF928" s="1152"/>
      <c r="AG928" s="1153"/>
      <c r="AH928" s="1153"/>
      <c r="AI928" s="732">
        <f t="shared" si="123"/>
        <v>7318136</v>
      </c>
      <c r="AJ928" s="733">
        <f t="shared" si="124"/>
        <v>7284145</v>
      </c>
    </row>
    <row r="929" spans="1:36">
      <c r="A929" s="983" t="s">
        <v>492</v>
      </c>
      <c r="B929" s="984" t="s">
        <v>140</v>
      </c>
      <c r="C929" s="991" t="s">
        <v>541</v>
      </c>
      <c r="D929" s="990"/>
      <c r="E929" s="1006"/>
      <c r="F929" s="1007">
        <v>99</v>
      </c>
      <c r="G929" s="1152"/>
      <c r="H929" s="1153"/>
      <c r="I929" s="1152"/>
      <c r="J929" s="1153"/>
      <c r="K929" s="1152"/>
      <c r="L929" s="1153"/>
      <c r="M929" s="1152"/>
      <c r="N929" s="1152"/>
      <c r="O929" s="732">
        <f t="shared" si="117"/>
        <v>0</v>
      </c>
      <c r="P929" s="1153"/>
      <c r="Q929" s="1153"/>
      <c r="R929" s="733">
        <f t="shared" si="120"/>
        <v>0</v>
      </c>
      <c r="S929" s="732">
        <f t="shared" si="121"/>
        <v>0</v>
      </c>
      <c r="T929" s="733">
        <f t="shared" si="122"/>
        <v>0</v>
      </c>
      <c r="U929" s="1152">
        <v>3305062</v>
      </c>
      <c r="V929" s="1153">
        <v>4399565</v>
      </c>
      <c r="W929" s="1152"/>
      <c r="X929" s="1152"/>
      <c r="Y929" s="732">
        <f t="shared" si="118"/>
        <v>0</v>
      </c>
      <c r="Z929" s="1153"/>
      <c r="AA929" s="1153"/>
      <c r="AB929" s="733">
        <f t="shared" si="119"/>
        <v>0</v>
      </c>
      <c r="AC929" s="1152"/>
      <c r="AD929" s="1153"/>
      <c r="AE929" s="1152"/>
      <c r="AF929" s="1152"/>
      <c r="AG929" s="1153"/>
      <c r="AH929" s="1153"/>
      <c r="AI929" s="732">
        <f t="shared" si="123"/>
        <v>3305062</v>
      </c>
      <c r="AJ929" s="733">
        <f t="shared" si="124"/>
        <v>4399565</v>
      </c>
    </row>
    <row r="930" spans="1:36">
      <c r="A930" s="983" t="s">
        <v>492</v>
      </c>
      <c r="B930" s="984" t="s">
        <v>140</v>
      </c>
      <c r="C930" s="991" t="s">
        <v>542</v>
      </c>
      <c r="D930" s="990"/>
      <c r="E930" s="1006"/>
      <c r="F930" s="1007">
        <v>99</v>
      </c>
      <c r="G930" s="1152"/>
      <c r="H930" s="1153"/>
      <c r="I930" s="1152"/>
      <c r="J930" s="1153"/>
      <c r="K930" s="1152"/>
      <c r="L930" s="1153"/>
      <c r="M930" s="1152"/>
      <c r="N930" s="1152"/>
      <c r="O930" s="732">
        <f t="shared" si="117"/>
        <v>0</v>
      </c>
      <c r="P930" s="1153"/>
      <c r="Q930" s="1153"/>
      <c r="R930" s="733">
        <f t="shared" si="120"/>
        <v>0</v>
      </c>
      <c r="S930" s="732">
        <f t="shared" si="121"/>
        <v>0</v>
      </c>
      <c r="T930" s="733">
        <f t="shared" si="122"/>
        <v>0</v>
      </c>
      <c r="U930" s="1152"/>
      <c r="V930" s="1153"/>
      <c r="W930" s="1152"/>
      <c r="X930" s="1152"/>
      <c r="Y930" s="732">
        <f t="shared" si="118"/>
        <v>0</v>
      </c>
      <c r="Z930" s="1153"/>
      <c r="AA930" s="1153"/>
      <c r="AB930" s="733">
        <f t="shared" si="119"/>
        <v>0</v>
      </c>
      <c r="AC930" s="1152"/>
      <c r="AD930" s="1153"/>
      <c r="AE930" s="1152"/>
      <c r="AF930" s="1152"/>
      <c r="AG930" s="1153"/>
      <c r="AH930" s="1153"/>
      <c r="AI930" s="732">
        <f t="shared" si="123"/>
        <v>0</v>
      </c>
      <c r="AJ930" s="733">
        <f t="shared" si="124"/>
        <v>0</v>
      </c>
    </row>
    <row r="931" spans="1:36">
      <c r="A931" s="983" t="s">
        <v>492</v>
      </c>
      <c r="B931" s="984" t="s">
        <v>140</v>
      </c>
      <c r="C931" s="991" t="s">
        <v>543</v>
      </c>
      <c r="D931" s="990"/>
      <c r="E931" s="1006"/>
      <c r="F931" s="1007">
        <v>99</v>
      </c>
      <c r="G931" s="1152"/>
      <c r="H931" s="1153"/>
      <c r="I931" s="1152"/>
      <c r="J931" s="1153"/>
      <c r="K931" s="1152"/>
      <c r="L931" s="1153"/>
      <c r="M931" s="1152"/>
      <c r="N931" s="1152"/>
      <c r="O931" s="732">
        <f t="shared" si="117"/>
        <v>0</v>
      </c>
      <c r="P931" s="1153"/>
      <c r="Q931" s="1153"/>
      <c r="R931" s="733">
        <f t="shared" si="120"/>
        <v>0</v>
      </c>
      <c r="S931" s="732">
        <f t="shared" si="121"/>
        <v>0</v>
      </c>
      <c r="T931" s="733">
        <f t="shared" si="122"/>
        <v>0</v>
      </c>
      <c r="U931" s="1152">
        <v>1035004</v>
      </c>
      <c r="V931" s="1153">
        <v>1001967</v>
      </c>
      <c r="W931" s="1152"/>
      <c r="X931" s="1152"/>
      <c r="Y931" s="732">
        <f t="shared" si="118"/>
        <v>0</v>
      </c>
      <c r="Z931" s="1153"/>
      <c r="AA931" s="1153"/>
      <c r="AB931" s="733">
        <f t="shared" si="119"/>
        <v>0</v>
      </c>
      <c r="AC931" s="1152"/>
      <c r="AD931" s="1153"/>
      <c r="AE931" s="1152"/>
      <c r="AF931" s="1152"/>
      <c r="AG931" s="1153"/>
      <c r="AH931" s="1153"/>
      <c r="AI931" s="732">
        <f t="shared" si="123"/>
        <v>1035004</v>
      </c>
      <c r="AJ931" s="733">
        <f t="shared" si="124"/>
        <v>1001967</v>
      </c>
    </row>
    <row r="932" spans="1:36">
      <c r="A932" s="983" t="s">
        <v>492</v>
      </c>
      <c r="B932" s="984" t="s">
        <v>142</v>
      </c>
      <c r="C932" s="989" t="s">
        <v>143</v>
      </c>
      <c r="D932" s="990"/>
      <c r="E932" s="1006"/>
      <c r="F932" s="1007">
        <v>99</v>
      </c>
      <c r="G932" s="1152"/>
      <c r="H932" s="1153"/>
      <c r="I932" s="1152"/>
      <c r="J932" s="1153"/>
      <c r="K932" s="1152"/>
      <c r="L932" s="1153"/>
      <c r="M932" s="1152"/>
      <c r="N932" s="1152"/>
      <c r="O932" s="732">
        <f t="shared" si="117"/>
        <v>0</v>
      </c>
      <c r="P932" s="1153"/>
      <c r="Q932" s="1153"/>
      <c r="R932" s="733">
        <f t="shared" si="120"/>
        <v>0</v>
      </c>
      <c r="S932" s="732">
        <f t="shared" si="121"/>
        <v>0</v>
      </c>
      <c r="T932" s="733">
        <f t="shared" si="122"/>
        <v>0</v>
      </c>
      <c r="U932" s="1152"/>
      <c r="V932" s="1153"/>
      <c r="W932" s="1152"/>
      <c r="X932" s="1152"/>
      <c r="Y932" s="732">
        <f t="shared" si="118"/>
        <v>0</v>
      </c>
      <c r="Z932" s="1153"/>
      <c r="AA932" s="1153"/>
      <c r="AB932" s="733">
        <f t="shared" si="119"/>
        <v>0</v>
      </c>
      <c r="AC932" s="1152"/>
      <c r="AD932" s="1153"/>
      <c r="AE932" s="1152"/>
      <c r="AF932" s="1152"/>
      <c r="AG932" s="1153"/>
      <c r="AH932" s="1153"/>
      <c r="AI932" s="732">
        <f t="shared" si="123"/>
        <v>0</v>
      </c>
      <c r="AJ932" s="733">
        <f t="shared" si="124"/>
        <v>0</v>
      </c>
    </row>
    <row r="933" spans="1:36">
      <c r="A933" s="983" t="s">
        <v>492</v>
      </c>
      <c r="B933" s="984" t="s">
        <v>142</v>
      </c>
      <c r="C933" s="991" t="s">
        <v>544</v>
      </c>
      <c r="D933" s="990"/>
      <c r="E933" s="1006"/>
      <c r="F933" s="1007">
        <v>99</v>
      </c>
      <c r="G933" s="1152"/>
      <c r="H933" s="1153"/>
      <c r="I933" s="1152"/>
      <c r="J933" s="1153"/>
      <c r="K933" s="1152"/>
      <c r="L933" s="1153"/>
      <c r="M933" s="1152"/>
      <c r="N933" s="1152"/>
      <c r="O933" s="732">
        <f t="shared" si="117"/>
        <v>0</v>
      </c>
      <c r="P933" s="1153"/>
      <c r="Q933" s="1153"/>
      <c r="R933" s="733">
        <f t="shared" si="120"/>
        <v>0</v>
      </c>
      <c r="S933" s="732">
        <f t="shared" si="121"/>
        <v>0</v>
      </c>
      <c r="T933" s="733">
        <f t="shared" si="122"/>
        <v>0</v>
      </c>
      <c r="U933" s="1152">
        <v>20435894</v>
      </c>
      <c r="V933" s="1153">
        <v>18416620</v>
      </c>
      <c r="W933" s="1152"/>
      <c r="X933" s="1152"/>
      <c r="Y933" s="732">
        <f t="shared" si="118"/>
        <v>0</v>
      </c>
      <c r="Z933" s="1153"/>
      <c r="AA933" s="1153"/>
      <c r="AB933" s="733">
        <f t="shared" si="119"/>
        <v>0</v>
      </c>
      <c r="AC933" s="1152"/>
      <c r="AD933" s="1153"/>
      <c r="AE933" s="1152"/>
      <c r="AF933" s="1152"/>
      <c r="AG933" s="1153"/>
      <c r="AH933" s="1153"/>
      <c r="AI933" s="732">
        <f t="shared" si="123"/>
        <v>20435894</v>
      </c>
      <c r="AJ933" s="733">
        <f t="shared" si="124"/>
        <v>18416620</v>
      </c>
    </row>
    <row r="934" spans="1:36">
      <c r="A934" s="983" t="s">
        <v>492</v>
      </c>
      <c r="B934" s="984" t="s">
        <v>145</v>
      </c>
      <c r="C934" s="989" t="s">
        <v>146</v>
      </c>
      <c r="D934" s="990"/>
      <c r="E934" s="1006"/>
      <c r="F934" s="1007">
        <v>99</v>
      </c>
      <c r="G934" s="1152"/>
      <c r="H934" s="1153"/>
      <c r="I934" s="1152"/>
      <c r="J934" s="1153"/>
      <c r="K934" s="1152"/>
      <c r="L934" s="1153"/>
      <c r="M934" s="1152"/>
      <c r="N934" s="1152"/>
      <c r="O934" s="732">
        <f t="shared" si="117"/>
        <v>0</v>
      </c>
      <c r="P934" s="1153"/>
      <c r="Q934" s="1153"/>
      <c r="R934" s="733">
        <f t="shared" si="120"/>
        <v>0</v>
      </c>
      <c r="S934" s="732">
        <f t="shared" si="121"/>
        <v>0</v>
      </c>
      <c r="T934" s="733">
        <f t="shared" si="122"/>
        <v>0</v>
      </c>
      <c r="U934" s="1152"/>
      <c r="V934" s="1153"/>
      <c r="W934" s="1152"/>
      <c r="X934" s="1152"/>
      <c r="Y934" s="732">
        <f t="shared" si="118"/>
        <v>0</v>
      </c>
      <c r="Z934" s="1153"/>
      <c r="AA934" s="1153"/>
      <c r="AB934" s="733">
        <f t="shared" si="119"/>
        <v>0</v>
      </c>
      <c r="AC934" s="1152"/>
      <c r="AD934" s="1153"/>
      <c r="AE934" s="1152"/>
      <c r="AF934" s="1152"/>
      <c r="AG934" s="1153"/>
      <c r="AH934" s="1153"/>
      <c r="AI934" s="732">
        <f t="shared" si="123"/>
        <v>0</v>
      </c>
      <c r="AJ934" s="733">
        <f t="shared" si="124"/>
        <v>0</v>
      </c>
    </row>
    <row r="935" spans="1:36">
      <c r="A935" s="983" t="s">
        <v>492</v>
      </c>
      <c r="B935" s="984" t="s">
        <v>145</v>
      </c>
      <c r="C935" s="991" t="s">
        <v>304</v>
      </c>
      <c r="D935" s="990"/>
      <c r="E935" s="1006"/>
      <c r="F935" s="1007">
        <v>99</v>
      </c>
      <c r="G935" s="1152"/>
      <c r="H935" s="1153"/>
      <c r="I935" s="1152"/>
      <c r="J935" s="1153"/>
      <c r="K935" s="1152"/>
      <c r="L935" s="1153"/>
      <c r="M935" s="1152"/>
      <c r="N935" s="1152"/>
      <c r="O935" s="732">
        <f t="shared" si="117"/>
        <v>0</v>
      </c>
      <c r="P935" s="1153"/>
      <c r="Q935" s="1153"/>
      <c r="R935" s="733">
        <f t="shared" si="120"/>
        <v>0</v>
      </c>
      <c r="S935" s="732">
        <f t="shared" si="121"/>
        <v>0</v>
      </c>
      <c r="T935" s="733">
        <f t="shared" si="122"/>
        <v>0</v>
      </c>
      <c r="U935" s="1152"/>
      <c r="V935" s="1153"/>
      <c r="W935" s="1152"/>
      <c r="X935" s="1152"/>
      <c r="Y935" s="732">
        <f t="shared" si="118"/>
        <v>0</v>
      </c>
      <c r="Z935" s="1153"/>
      <c r="AA935" s="1153"/>
      <c r="AB935" s="733">
        <f t="shared" si="119"/>
        <v>0</v>
      </c>
      <c r="AC935" s="1152"/>
      <c r="AD935" s="1153"/>
      <c r="AE935" s="1152"/>
      <c r="AF935" s="1152"/>
      <c r="AG935" s="1153"/>
      <c r="AH935" s="1153"/>
      <c r="AI935" s="732">
        <f t="shared" si="123"/>
        <v>0</v>
      </c>
      <c r="AJ935" s="733">
        <f t="shared" si="124"/>
        <v>0</v>
      </c>
    </row>
    <row r="936" spans="1:36">
      <c r="A936" s="983" t="s">
        <v>492</v>
      </c>
      <c r="B936" s="984" t="s">
        <v>149</v>
      </c>
      <c r="C936" s="1009" t="s">
        <v>247</v>
      </c>
      <c r="D936" s="1010"/>
      <c r="E936" s="1006"/>
      <c r="F936" s="1007">
        <v>99</v>
      </c>
      <c r="G936" s="1152"/>
      <c r="H936" s="1153"/>
      <c r="I936" s="1152"/>
      <c r="J936" s="1153"/>
      <c r="K936" s="1152"/>
      <c r="L936" s="1153"/>
      <c r="M936" s="1152"/>
      <c r="N936" s="1152"/>
      <c r="O936" s="732">
        <f t="shared" si="117"/>
        <v>0</v>
      </c>
      <c r="P936" s="1153"/>
      <c r="Q936" s="1153"/>
      <c r="R936" s="733">
        <f t="shared" si="120"/>
        <v>0</v>
      </c>
      <c r="S936" s="732">
        <f t="shared" si="121"/>
        <v>0</v>
      </c>
      <c r="T936" s="733">
        <f t="shared" si="122"/>
        <v>0</v>
      </c>
      <c r="U936" s="1152"/>
      <c r="V936" s="1153"/>
      <c r="W936" s="1152"/>
      <c r="X936" s="1152"/>
      <c r="Y936" s="732">
        <f t="shared" si="118"/>
        <v>0</v>
      </c>
      <c r="Z936" s="1153"/>
      <c r="AA936" s="1153"/>
      <c r="AB936" s="733">
        <f t="shared" si="119"/>
        <v>0</v>
      </c>
      <c r="AC936" s="1152"/>
      <c r="AD936" s="1153"/>
      <c r="AE936" s="1152"/>
      <c r="AF936" s="1152"/>
      <c r="AG936" s="1153"/>
      <c r="AH936" s="1153"/>
      <c r="AI936" s="732">
        <f t="shared" si="123"/>
        <v>0</v>
      </c>
      <c r="AJ936" s="733">
        <f t="shared" si="124"/>
        <v>0</v>
      </c>
    </row>
    <row r="937" spans="1:36">
      <c r="A937" s="983" t="s">
        <v>492</v>
      </c>
      <c r="B937" s="984" t="s">
        <v>149</v>
      </c>
      <c r="C937" s="1011" t="s">
        <v>545</v>
      </c>
      <c r="D937" s="1010"/>
      <c r="E937" s="1006"/>
      <c r="F937" s="1007">
        <v>99</v>
      </c>
      <c r="G937" s="1152"/>
      <c r="H937" s="1153"/>
      <c r="I937" s="1152"/>
      <c r="J937" s="1153"/>
      <c r="K937" s="1152"/>
      <c r="L937" s="1153"/>
      <c r="M937" s="1152"/>
      <c r="N937" s="1152"/>
      <c r="O937" s="732">
        <f t="shared" si="117"/>
        <v>0</v>
      </c>
      <c r="P937" s="1153"/>
      <c r="Q937" s="1153"/>
      <c r="R937" s="733">
        <f t="shared" si="120"/>
        <v>0</v>
      </c>
      <c r="S937" s="732">
        <f t="shared" si="121"/>
        <v>0</v>
      </c>
      <c r="T937" s="733">
        <f t="shared" si="122"/>
        <v>0</v>
      </c>
      <c r="U937" s="1152">
        <v>10806891</v>
      </c>
      <c r="V937" s="1153">
        <v>10324187</v>
      </c>
      <c r="W937" s="1152"/>
      <c r="X937" s="1152"/>
      <c r="Y937" s="732">
        <f t="shared" si="118"/>
        <v>0</v>
      </c>
      <c r="Z937" s="1153"/>
      <c r="AA937" s="1153"/>
      <c r="AB937" s="733">
        <f t="shared" si="119"/>
        <v>0</v>
      </c>
      <c r="AC937" s="1152"/>
      <c r="AD937" s="1153"/>
      <c r="AE937" s="1152"/>
      <c r="AF937" s="1152"/>
      <c r="AG937" s="1153"/>
      <c r="AH937" s="1153"/>
      <c r="AI937" s="732">
        <f t="shared" si="123"/>
        <v>10806891</v>
      </c>
      <c r="AJ937" s="733">
        <f t="shared" si="124"/>
        <v>10324187</v>
      </c>
    </row>
    <row r="938" spans="1:36">
      <c r="A938" s="983" t="s">
        <v>492</v>
      </c>
      <c r="B938" s="984" t="s">
        <v>151</v>
      </c>
      <c r="C938" s="986" t="s">
        <v>546</v>
      </c>
      <c r="D938" s="986"/>
      <c r="E938" s="1006"/>
      <c r="F938" s="1007">
        <v>99</v>
      </c>
      <c r="G938" s="1152"/>
      <c r="H938" s="1153"/>
      <c r="I938" s="1152"/>
      <c r="J938" s="1153"/>
      <c r="K938" s="1152"/>
      <c r="L938" s="1153"/>
      <c r="M938" s="1152"/>
      <c r="N938" s="1152"/>
      <c r="O938" s="732">
        <f t="shared" si="117"/>
        <v>0</v>
      </c>
      <c r="P938" s="1153"/>
      <c r="Q938" s="1153"/>
      <c r="R938" s="733">
        <f t="shared" si="120"/>
        <v>0</v>
      </c>
      <c r="S938" s="732">
        <f t="shared" si="121"/>
        <v>0</v>
      </c>
      <c r="T938" s="733">
        <f t="shared" si="122"/>
        <v>0</v>
      </c>
      <c r="U938" s="1152"/>
      <c r="V938" s="1153"/>
      <c r="W938" s="1152"/>
      <c r="X938" s="1152"/>
      <c r="Y938" s="732">
        <f t="shared" si="118"/>
        <v>0</v>
      </c>
      <c r="Z938" s="1153"/>
      <c r="AA938" s="1153"/>
      <c r="AB938" s="733">
        <f t="shared" si="119"/>
        <v>0</v>
      </c>
      <c r="AC938" s="1152"/>
      <c r="AD938" s="1153"/>
      <c r="AE938" s="1152"/>
      <c r="AF938" s="1152"/>
      <c r="AG938" s="1153"/>
      <c r="AH938" s="1153"/>
      <c r="AI938" s="732">
        <f t="shared" si="123"/>
        <v>0</v>
      </c>
      <c r="AJ938" s="733">
        <f t="shared" si="124"/>
        <v>0</v>
      </c>
    </row>
    <row r="939" spans="1:36">
      <c r="A939" s="983" t="s">
        <v>492</v>
      </c>
      <c r="B939" s="984" t="s">
        <v>248</v>
      </c>
      <c r="C939" s="986" t="s">
        <v>249</v>
      </c>
      <c r="D939" s="986"/>
      <c r="E939" s="1006"/>
      <c r="F939" s="1007">
        <v>99</v>
      </c>
      <c r="G939" s="1152"/>
      <c r="H939" s="1153"/>
      <c r="I939" s="1152"/>
      <c r="J939" s="1153"/>
      <c r="K939" s="1152"/>
      <c r="L939" s="1153"/>
      <c r="M939" s="1152"/>
      <c r="N939" s="1152"/>
      <c r="O939" s="732">
        <f t="shared" si="117"/>
        <v>0</v>
      </c>
      <c r="P939" s="1153"/>
      <c r="Q939" s="1153"/>
      <c r="R939" s="733">
        <f t="shared" si="120"/>
        <v>0</v>
      </c>
      <c r="S939" s="732">
        <f t="shared" si="121"/>
        <v>0</v>
      </c>
      <c r="T939" s="733">
        <f t="shared" si="122"/>
        <v>0</v>
      </c>
      <c r="U939" s="1152"/>
      <c r="V939" s="1153"/>
      <c r="W939" s="1152"/>
      <c r="X939" s="1152"/>
      <c r="Y939" s="732">
        <f t="shared" si="118"/>
        <v>0</v>
      </c>
      <c r="Z939" s="1153"/>
      <c r="AA939" s="1153"/>
      <c r="AB939" s="733">
        <f t="shared" si="119"/>
        <v>0</v>
      </c>
      <c r="AC939" s="1152"/>
      <c r="AD939" s="1153"/>
      <c r="AE939" s="1152"/>
      <c r="AF939" s="1152"/>
      <c r="AG939" s="1153"/>
      <c r="AH939" s="1153"/>
      <c r="AI939" s="732">
        <f t="shared" si="123"/>
        <v>0</v>
      </c>
      <c r="AJ939" s="733">
        <f t="shared" si="124"/>
        <v>0</v>
      </c>
    </row>
    <row r="940" spans="1:36">
      <c r="A940" s="983" t="s">
        <v>492</v>
      </c>
      <c r="B940" s="984" t="s">
        <v>250</v>
      </c>
      <c r="C940" s="989" t="s">
        <v>251</v>
      </c>
      <c r="D940" s="990"/>
      <c r="E940" s="1006"/>
      <c r="F940" s="1007">
        <v>99</v>
      </c>
      <c r="G940" s="1152"/>
      <c r="H940" s="1153"/>
      <c r="I940" s="1152"/>
      <c r="J940" s="1153"/>
      <c r="K940" s="1152"/>
      <c r="L940" s="1153"/>
      <c r="M940" s="1152"/>
      <c r="N940" s="1152"/>
      <c r="O940" s="732">
        <f t="shared" si="117"/>
        <v>0</v>
      </c>
      <c r="P940" s="1153"/>
      <c r="Q940" s="1153"/>
      <c r="R940" s="733">
        <f t="shared" si="120"/>
        <v>0</v>
      </c>
      <c r="S940" s="732">
        <f t="shared" si="121"/>
        <v>0</v>
      </c>
      <c r="T940" s="733">
        <f t="shared" si="122"/>
        <v>0</v>
      </c>
      <c r="U940" s="1152"/>
      <c r="V940" s="1153"/>
      <c r="W940" s="1152"/>
      <c r="X940" s="1152"/>
      <c r="Y940" s="732">
        <f t="shared" si="118"/>
        <v>0</v>
      </c>
      <c r="Z940" s="1153"/>
      <c r="AA940" s="1153"/>
      <c r="AB940" s="733">
        <f t="shared" si="119"/>
        <v>0</v>
      </c>
      <c r="AC940" s="1152"/>
      <c r="AD940" s="1153"/>
      <c r="AE940" s="1152"/>
      <c r="AF940" s="1152"/>
      <c r="AG940" s="1153"/>
      <c r="AH940" s="1153"/>
      <c r="AI940" s="732">
        <f t="shared" si="123"/>
        <v>0</v>
      </c>
      <c r="AJ940" s="733">
        <f t="shared" si="124"/>
        <v>0</v>
      </c>
    </row>
    <row r="941" spans="1:36">
      <c r="A941" s="983" t="s">
        <v>492</v>
      </c>
      <c r="B941" s="984" t="s">
        <v>258</v>
      </c>
      <c r="C941" s="989" t="s">
        <v>259</v>
      </c>
      <c r="D941" s="990"/>
      <c r="E941" s="1006"/>
      <c r="F941" s="1007">
        <v>99</v>
      </c>
      <c r="G941" s="1152"/>
      <c r="H941" s="1153"/>
      <c r="I941" s="1152"/>
      <c r="J941" s="1153"/>
      <c r="K941" s="1152"/>
      <c r="L941" s="1153"/>
      <c r="M941" s="1152"/>
      <c r="N941" s="1152"/>
      <c r="O941" s="732">
        <f t="shared" si="117"/>
        <v>0</v>
      </c>
      <c r="P941" s="1153"/>
      <c r="Q941" s="1153"/>
      <c r="R941" s="733">
        <f t="shared" si="120"/>
        <v>0</v>
      </c>
      <c r="S941" s="732">
        <f t="shared" si="121"/>
        <v>0</v>
      </c>
      <c r="T941" s="733">
        <f t="shared" si="122"/>
        <v>0</v>
      </c>
      <c r="U941" s="1152">
        <v>976508</v>
      </c>
      <c r="V941" s="1153">
        <v>976508</v>
      </c>
      <c r="W941" s="1152"/>
      <c r="X941" s="1152"/>
      <c r="Y941" s="732">
        <f t="shared" si="118"/>
        <v>0</v>
      </c>
      <c r="Z941" s="1153"/>
      <c r="AA941" s="1153"/>
      <c r="AB941" s="733">
        <f t="shared" si="119"/>
        <v>0</v>
      </c>
      <c r="AC941" s="1152"/>
      <c r="AD941" s="1153"/>
      <c r="AE941" s="1152"/>
      <c r="AF941" s="1152"/>
      <c r="AG941" s="1153"/>
      <c r="AH941" s="1153"/>
      <c r="AI941" s="732">
        <f t="shared" si="123"/>
        <v>976508</v>
      </c>
      <c r="AJ941" s="733">
        <f t="shared" si="124"/>
        <v>976508</v>
      </c>
    </row>
    <row r="942" spans="1:36">
      <c r="A942" s="983" t="s">
        <v>492</v>
      </c>
      <c r="B942" s="984" t="s">
        <v>157</v>
      </c>
      <c r="C942" s="989" t="s">
        <v>158</v>
      </c>
      <c r="D942" s="990"/>
      <c r="E942" s="1006"/>
      <c r="F942" s="1007">
        <v>99</v>
      </c>
      <c r="G942" s="1152"/>
      <c r="H942" s="1153"/>
      <c r="I942" s="1152"/>
      <c r="J942" s="1153"/>
      <c r="K942" s="1152"/>
      <c r="L942" s="1153"/>
      <c r="M942" s="1152"/>
      <c r="N942" s="1152"/>
      <c r="O942" s="732">
        <f t="shared" si="117"/>
        <v>0</v>
      </c>
      <c r="P942" s="1153"/>
      <c r="Q942" s="1153"/>
      <c r="R942" s="733">
        <f t="shared" si="120"/>
        <v>0</v>
      </c>
      <c r="S942" s="732">
        <f t="shared" si="121"/>
        <v>0</v>
      </c>
      <c r="T942" s="733">
        <f t="shared" si="122"/>
        <v>0</v>
      </c>
      <c r="U942" s="1152"/>
      <c r="V942" s="1153"/>
      <c r="W942" s="1152"/>
      <c r="X942" s="1152"/>
      <c r="Y942" s="732">
        <f t="shared" si="118"/>
        <v>0</v>
      </c>
      <c r="Z942" s="1153"/>
      <c r="AA942" s="1153"/>
      <c r="AB942" s="733">
        <f t="shared" si="119"/>
        <v>0</v>
      </c>
      <c r="AC942" s="1152"/>
      <c r="AD942" s="1153"/>
      <c r="AE942" s="1152"/>
      <c r="AF942" s="1152"/>
      <c r="AG942" s="1153"/>
      <c r="AH942" s="1153"/>
      <c r="AI942" s="732">
        <f t="shared" si="123"/>
        <v>0</v>
      </c>
      <c r="AJ942" s="733">
        <f t="shared" si="124"/>
        <v>0</v>
      </c>
    </row>
    <row r="943" spans="1:36">
      <c r="A943" s="983" t="s">
        <v>492</v>
      </c>
      <c r="B943" s="984" t="s">
        <v>159</v>
      </c>
      <c r="C943" s="986" t="s">
        <v>160</v>
      </c>
      <c r="D943" s="986"/>
      <c r="E943" s="1006"/>
      <c r="F943" s="1007">
        <v>99</v>
      </c>
      <c r="G943" s="1152"/>
      <c r="H943" s="1153"/>
      <c r="I943" s="1152"/>
      <c r="J943" s="1153"/>
      <c r="K943" s="1152"/>
      <c r="L943" s="1153"/>
      <c r="M943" s="1152"/>
      <c r="N943" s="1152"/>
      <c r="O943" s="732">
        <f t="shared" si="117"/>
        <v>0</v>
      </c>
      <c r="P943" s="1153"/>
      <c r="Q943" s="1153"/>
      <c r="R943" s="733">
        <f t="shared" si="120"/>
        <v>0</v>
      </c>
      <c r="S943" s="732">
        <f t="shared" si="121"/>
        <v>0</v>
      </c>
      <c r="T943" s="733">
        <f t="shared" si="122"/>
        <v>0</v>
      </c>
      <c r="U943" s="1152"/>
      <c r="V943" s="1153"/>
      <c r="W943" s="1152"/>
      <c r="X943" s="1152"/>
      <c r="Y943" s="732">
        <f t="shared" si="118"/>
        <v>0</v>
      </c>
      <c r="Z943" s="1153"/>
      <c r="AA943" s="1153"/>
      <c r="AB943" s="733">
        <f t="shared" si="119"/>
        <v>0</v>
      </c>
      <c r="AC943" s="1152"/>
      <c r="AD943" s="1153"/>
      <c r="AE943" s="1152"/>
      <c r="AF943" s="1152"/>
      <c r="AG943" s="1153"/>
      <c r="AH943" s="1153"/>
      <c r="AI943" s="732">
        <f t="shared" si="123"/>
        <v>0</v>
      </c>
      <c r="AJ943" s="733">
        <f t="shared" si="124"/>
        <v>0</v>
      </c>
    </row>
    <row r="944" spans="1:36">
      <c r="A944" s="983" t="s">
        <v>492</v>
      </c>
      <c r="B944" s="984" t="s">
        <v>161</v>
      </c>
      <c r="C944" s="1012" t="s">
        <v>162</v>
      </c>
      <c r="D944" s="1013"/>
      <c r="E944" s="1006"/>
      <c r="F944" s="1007">
        <v>99</v>
      </c>
      <c r="G944" s="1152"/>
      <c r="H944" s="1153"/>
      <c r="I944" s="1152"/>
      <c r="J944" s="1153"/>
      <c r="K944" s="1152"/>
      <c r="L944" s="1153"/>
      <c r="M944" s="1152"/>
      <c r="N944" s="1152"/>
      <c r="O944" s="732">
        <f t="shared" si="117"/>
        <v>0</v>
      </c>
      <c r="P944" s="1153"/>
      <c r="Q944" s="1153"/>
      <c r="R944" s="733">
        <f t="shared" si="120"/>
        <v>0</v>
      </c>
      <c r="S944" s="732">
        <f t="shared" si="121"/>
        <v>0</v>
      </c>
      <c r="T944" s="733">
        <f t="shared" si="122"/>
        <v>0</v>
      </c>
      <c r="U944" s="1152"/>
      <c r="V944" s="1153"/>
      <c r="W944" s="1152"/>
      <c r="X944" s="1152"/>
      <c r="Y944" s="732">
        <f t="shared" si="118"/>
        <v>0</v>
      </c>
      <c r="Z944" s="1153"/>
      <c r="AA944" s="1153"/>
      <c r="AB944" s="733">
        <f t="shared" si="119"/>
        <v>0</v>
      </c>
      <c r="AC944" s="1152"/>
      <c r="AD944" s="1153"/>
      <c r="AE944" s="1152"/>
      <c r="AF944" s="1152"/>
      <c r="AG944" s="1153"/>
      <c r="AH944" s="1153"/>
      <c r="AI944" s="732">
        <f t="shared" si="123"/>
        <v>0</v>
      </c>
      <c r="AJ944" s="733">
        <f t="shared" si="124"/>
        <v>0</v>
      </c>
    </row>
    <row r="945" spans="1:36">
      <c r="A945" s="983" t="s">
        <v>492</v>
      </c>
      <c r="B945" s="984" t="s">
        <v>161</v>
      </c>
      <c r="C945" s="990" t="s">
        <v>547</v>
      </c>
      <c r="D945" s="990"/>
      <c r="E945" s="1006"/>
      <c r="F945" s="1007">
        <v>99</v>
      </c>
      <c r="G945" s="1152"/>
      <c r="H945" s="1153"/>
      <c r="I945" s="1152"/>
      <c r="J945" s="1153"/>
      <c r="K945" s="1152"/>
      <c r="L945" s="1153"/>
      <c r="M945" s="1152"/>
      <c r="N945" s="1152"/>
      <c r="O945" s="732">
        <f t="shared" si="117"/>
        <v>0</v>
      </c>
      <c r="P945" s="1153"/>
      <c r="Q945" s="1153"/>
      <c r="R945" s="733">
        <f t="shared" si="120"/>
        <v>0</v>
      </c>
      <c r="S945" s="732">
        <f t="shared" si="121"/>
        <v>0</v>
      </c>
      <c r="T945" s="733">
        <f t="shared" si="122"/>
        <v>0</v>
      </c>
      <c r="U945" s="1152"/>
      <c r="V945" s="1153"/>
      <c r="W945" s="1152"/>
      <c r="X945" s="1152"/>
      <c r="Y945" s="732">
        <f t="shared" si="118"/>
        <v>0</v>
      </c>
      <c r="Z945" s="1153"/>
      <c r="AA945" s="1153"/>
      <c r="AB945" s="733">
        <f t="shared" si="119"/>
        <v>0</v>
      </c>
      <c r="AC945" s="1152"/>
      <c r="AD945" s="1153"/>
      <c r="AE945" s="1152"/>
      <c r="AF945" s="1152"/>
      <c r="AG945" s="1153"/>
      <c r="AH945" s="1153"/>
      <c r="AI945" s="732">
        <f t="shared" si="123"/>
        <v>0</v>
      </c>
      <c r="AJ945" s="733">
        <f t="shared" si="124"/>
        <v>0</v>
      </c>
    </row>
    <row r="946" spans="1:36">
      <c r="A946" s="983" t="s">
        <v>492</v>
      </c>
      <c r="B946" s="1014" t="s">
        <v>170</v>
      </c>
      <c r="C946" s="1011" t="s">
        <v>171</v>
      </c>
      <c r="D946" s="1010"/>
      <c r="E946" s="1006"/>
      <c r="F946" s="1007">
        <v>99</v>
      </c>
      <c r="G946" s="1152"/>
      <c r="H946" s="1153"/>
      <c r="I946" s="1152"/>
      <c r="J946" s="1153"/>
      <c r="K946" s="1152"/>
      <c r="L946" s="1153"/>
      <c r="M946" s="1152"/>
      <c r="N946" s="1152"/>
      <c r="O946" s="732">
        <f t="shared" si="117"/>
        <v>0</v>
      </c>
      <c r="P946" s="1153"/>
      <c r="Q946" s="1153"/>
      <c r="R946" s="733">
        <f t="shared" si="120"/>
        <v>0</v>
      </c>
      <c r="S946" s="732">
        <f t="shared" si="121"/>
        <v>0</v>
      </c>
      <c r="T946" s="733">
        <f t="shared" si="122"/>
        <v>0</v>
      </c>
      <c r="U946" s="1152"/>
      <c r="V946" s="1153"/>
      <c r="W946" s="1152"/>
      <c r="X946" s="1152"/>
      <c r="Y946" s="732">
        <f t="shared" si="118"/>
        <v>0</v>
      </c>
      <c r="Z946" s="1153"/>
      <c r="AA946" s="1153"/>
      <c r="AB946" s="733">
        <f t="shared" si="119"/>
        <v>0</v>
      </c>
      <c r="AC946" s="1152"/>
      <c r="AD946" s="1153"/>
      <c r="AE946" s="1152"/>
      <c r="AF946" s="1152"/>
      <c r="AG946" s="1153"/>
      <c r="AH946" s="1153"/>
      <c r="AI946" s="732">
        <f t="shared" si="123"/>
        <v>0</v>
      </c>
      <c r="AJ946" s="733">
        <f t="shared" si="124"/>
        <v>0</v>
      </c>
    </row>
    <row r="947" spans="1:36">
      <c r="A947" s="983" t="s">
        <v>492</v>
      </c>
      <c r="B947" s="1014" t="s">
        <v>172</v>
      </c>
      <c r="C947" s="1011" t="s">
        <v>165</v>
      </c>
      <c r="D947" s="1010"/>
      <c r="E947" s="1006"/>
      <c r="F947" s="1007">
        <v>99</v>
      </c>
      <c r="G947" s="1152"/>
      <c r="H947" s="1153"/>
      <c r="I947" s="1152"/>
      <c r="J947" s="1153"/>
      <c r="K947" s="1152"/>
      <c r="L947" s="1153"/>
      <c r="M947" s="1152"/>
      <c r="N947" s="1152"/>
      <c r="O947" s="732">
        <f t="shared" si="117"/>
        <v>0</v>
      </c>
      <c r="P947" s="1153"/>
      <c r="Q947" s="1153"/>
      <c r="R947" s="733">
        <f t="shared" si="120"/>
        <v>0</v>
      </c>
      <c r="S947" s="732">
        <f t="shared" si="121"/>
        <v>0</v>
      </c>
      <c r="T947" s="733">
        <f t="shared" si="122"/>
        <v>0</v>
      </c>
      <c r="U947" s="1152">
        <v>26021850</v>
      </c>
      <c r="V947" s="1153">
        <v>26837122.829999998</v>
      </c>
      <c r="W947" s="1152"/>
      <c r="X947" s="1152"/>
      <c r="Y947" s="732">
        <f t="shared" si="118"/>
        <v>0</v>
      </c>
      <c r="Z947" s="1153"/>
      <c r="AA947" s="1153"/>
      <c r="AB947" s="733">
        <f t="shared" si="119"/>
        <v>0</v>
      </c>
      <c r="AC947" s="1152"/>
      <c r="AD947" s="1153"/>
      <c r="AE947" s="1152"/>
      <c r="AF947" s="1152"/>
      <c r="AG947" s="1153"/>
      <c r="AH947" s="1153"/>
      <c r="AI947" s="732">
        <f t="shared" si="123"/>
        <v>26021850</v>
      </c>
      <c r="AJ947" s="733">
        <f t="shared" si="124"/>
        <v>26837122.829999998</v>
      </c>
    </row>
    <row r="948" spans="1:36">
      <c r="A948" s="983" t="s">
        <v>492</v>
      </c>
      <c r="B948" s="1014" t="s">
        <v>173</v>
      </c>
      <c r="C948" s="1011" t="s">
        <v>167</v>
      </c>
      <c r="D948" s="1010"/>
      <c r="E948" s="1006"/>
      <c r="F948" s="1007">
        <v>99</v>
      </c>
      <c r="G948" s="1152"/>
      <c r="H948" s="1153"/>
      <c r="I948" s="1152"/>
      <c r="J948" s="1153"/>
      <c r="K948" s="1152"/>
      <c r="L948" s="1153"/>
      <c r="M948" s="1152"/>
      <c r="N948" s="1152"/>
      <c r="O948" s="732">
        <f t="shared" si="117"/>
        <v>0</v>
      </c>
      <c r="P948" s="1153"/>
      <c r="Q948" s="1153"/>
      <c r="R948" s="733">
        <f t="shared" si="120"/>
        <v>0</v>
      </c>
      <c r="S948" s="732">
        <f t="shared" si="121"/>
        <v>0</v>
      </c>
      <c r="T948" s="733">
        <f t="shared" si="122"/>
        <v>0</v>
      </c>
      <c r="U948" s="1152">
        <v>283097916</v>
      </c>
      <c r="V948" s="1153">
        <v>299623942.72000003</v>
      </c>
      <c r="W948" s="1152"/>
      <c r="X948" s="1152"/>
      <c r="Y948" s="732">
        <f t="shared" si="118"/>
        <v>0</v>
      </c>
      <c r="Z948" s="1153"/>
      <c r="AA948" s="1153"/>
      <c r="AB948" s="733">
        <f t="shared" si="119"/>
        <v>0</v>
      </c>
      <c r="AC948" s="1152"/>
      <c r="AD948" s="1153"/>
      <c r="AE948" s="1152"/>
      <c r="AF948" s="1152"/>
      <c r="AG948" s="1153"/>
      <c r="AH948" s="1153"/>
      <c r="AI948" s="732">
        <f t="shared" si="123"/>
        <v>283097916</v>
      </c>
      <c r="AJ948" s="733">
        <f t="shared" si="124"/>
        <v>299623942.72000003</v>
      </c>
    </row>
    <row r="949" spans="1:36">
      <c r="A949" s="983" t="s">
        <v>492</v>
      </c>
      <c r="B949" s="1014" t="s">
        <v>176</v>
      </c>
      <c r="C949" s="1011" t="s">
        <v>177</v>
      </c>
      <c r="D949" s="1010"/>
      <c r="E949" s="1006"/>
      <c r="F949" s="1007">
        <v>99</v>
      </c>
      <c r="G949" s="1152"/>
      <c r="H949" s="1153"/>
      <c r="I949" s="1152"/>
      <c r="J949" s="1153"/>
      <c r="K949" s="1152"/>
      <c r="L949" s="1153"/>
      <c r="M949" s="1152"/>
      <c r="N949" s="1152"/>
      <c r="O949" s="732">
        <f t="shared" si="117"/>
        <v>0</v>
      </c>
      <c r="P949" s="1153"/>
      <c r="Q949" s="1153"/>
      <c r="R949" s="733">
        <f t="shared" si="120"/>
        <v>0</v>
      </c>
      <c r="S949" s="732">
        <f t="shared" si="121"/>
        <v>0</v>
      </c>
      <c r="T949" s="733">
        <f t="shared" si="122"/>
        <v>0</v>
      </c>
      <c r="U949" s="1152"/>
      <c r="V949" s="1153"/>
      <c r="W949" s="1152"/>
      <c r="X949" s="1152"/>
      <c r="Y949" s="732">
        <f t="shared" si="118"/>
        <v>0</v>
      </c>
      <c r="Z949" s="1153"/>
      <c r="AA949" s="1153"/>
      <c r="AB949" s="733">
        <f t="shared" si="119"/>
        <v>0</v>
      </c>
      <c r="AC949" s="1152"/>
      <c r="AD949" s="1153"/>
      <c r="AE949" s="1152"/>
      <c r="AF949" s="1152"/>
      <c r="AG949" s="1153"/>
      <c r="AH949" s="1153"/>
      <c r="AI949" s="732">
        <f t="shared" si="123"/>
        <v>0</v>
      </c>
      <c r="AJ949" s="733">
        <f t="shared" si="124"/>
        <v>0</v>
      </c>
    </row>
    <row r="950" spans="1:36">
      <c r="A950" s="983" t="s">
        <v>492</v>
      </c>
      <c r="B950" s="1014" t="s">
        <v>180</v>
      </c>
      <c r="C950" s="1011" t="s">
        <v>165</v>
      </c>
      <c r="D950" s="1010"/>
      <c r="E950" s="1006"/>
      <c r="F950" s="1007">
        <v>99</v>
      </c>
      <c r="G950" s="1152"/>
      <c r="H950" s="1153"/>
      <c r="I950" s="1152"/>
      <c r="J950" s="1153"/>
      <c r="K950" s="1152"/>
      <c r="L950" s="1153"/>
      <c r="M950" s="1152"/>
      <c r="N950" s="1152"/>
      <c r="O950" s="732">
        <f t="shared" si="117"/>
        <v>0</v>
      </c>
      <c r="P950" s="1153"/>
      <c r="Q950" s="1153"/>
      <c r="R950" s="733">
        <f t="shared" si="120"/>
        <v>0</v>
      </c>
      <c r="S950" s="732">
        <f t="shared" si="121"/>
        <v>0</v>
      </c>
      <c r="T950" s="733">
        <f t="shared" si="122"/>
        <v>0</v>
      </c>
      <c r="U950" s="1152">
        <v>2407258</v>
      </c>
      <c r="V950" s="1153">
        <v>2505835</v>
      </c>
      <c r="W950" s="1152"/>
      <c r="X950" s="1152"/>
      <c r="Y950" s="732">
        <f t="shared" si="118"/>
        <v>0</v>
      </c>
      <c r="Z950" s="1153"/>
      <c r="AA950" s="1153"/>
      <c r="AB950" s="733">
        <f t="shared" si="119"/>
        <v>0</v>
      </c>
      <c r="AC950" s="1152"/>
      <c r="AD950" s="1153"/>
      <c r="AE950" s="1152"/>
      <c r="AF950" s="1152"/>
      <c r="AG950" s="1153"/>
      <c r="AH950" s="1153"/>
      <c r="AI950" s="732">
        <f t="shared" si="123"/>
        <v>2407258</v>
      </c>
      <c r="AJ950" s="733">
        <f t="shared" si="124"/>
        <v>2505835</v>
      </c>
    </row>
    <row r="951" spans="1:36">
      <c r="A951" s="983" t="s">
        <v>492</v>
      </c>
      <c r="B951" s="1014" t="s">
        <v>178</v>
      </c>
      <c r="C951" s="1011" t="s">
        <v>167</v>
      </c>
      <c r="D951" s="1010"/>
      <c r="E951" s="1006"/>
      <c r="F951" s="1007">
        <v>99</v>
      </c>
      <c r="G951" s="1152"/>
      <c r="H951" s="1153"/>
      <c r="I951" s="1152"/>
      <c r="J951" s="1153"/>
      <c r="K951" s="1152"/>
      <c r="L951" s="1153"/>
      <c r="M951" s="1152"/>
      <c r="N951" s="1152"/>
      <c r="O951" s="732">
        <f t="shared" si="117"/>
        <v>0</v>
      </c>
      <c r="P951" s="1153"/>
      <c r="Q951" s="1153"/>
      <c r="R951" s="733">
        <f t="shared" si="120"/>
        <v>0</v>
      </c>
      <c r="S951" s="732">
        <f t="shared" si="121"/>
        <v>0</v>
      </c>
      <c r="T951" s="733">
        <f t="shared" si="122"/>
        <v>0</v>
      </c>
      <c r="U951" s="1152">
        <v>22213311</v>
      </c>
      <c r="V951" s="1153">
        <v>22143223.91</v>
      </c>
      <c r="W951" s="1152"/>
      <c r="X951" s="1152"/>
      <c r="Y951" s="732">
        <f t="shared" si="118"/>
        <v>0</v>
      </c>
      <c r="Z951" s="1153"/>
      <c r="AA951" s="1153"/>
      <c r="AB951" s="733">
        <f t="shared" si="119"/>
        <v>0</v>
      </c>
      <c r="AC951" s="1152"/>
      <c r="AD951" s="1153"/>
      <c r="AE951" s="1152"/>
      <c r="AF951" s="1152"/>
      <c r="AG951" s="1153"/>
      <c r="AH951" s="1153"/>
      <c r="AI951" s="732">
        <f t="shared" si="123"/>
        <v>22213311</v>
      </c>
      <c r="AJ951" s="733">
        <f t="shared" si="124"/>
        <v>22143223.91</v>
      </c>
    </row>
    <row r="952" spans="1:36">
      <c r="A952" s="983" t="s">
        <v>492</v>
      </c>
      <c r="B952" s="1014" t="s">
        <v>187</v>
      </c>
      <c r="C952" s="1015" t="s">
        <v>188</v>
      </c>
      <c r="D952" s="1016"/>
      <c r="E952" s="1006"/>
      <c r="F952" s="1007">
        <v>99</v>
      </c>
      <c r="G952" s="1152"/>
      <c r="H952" s="1153"/>
      <c r="I952" s="1152"/>
      <c r="J952" s="1153"/>
      <c r="K952" s="1152"/>
      <c r="L952" s="1153"/>
      <c r="M952" s="1152"/>
      <c r="N952" s="1152"/>
      <c r="O952" s="732">
        <f t="shared" si="117"/>
        <v>0</v>
      </c>
      <c r="P952" s="1153"/>
      <c r="Q952" s="1153"/>
      <c r="R952" s="733">
        <f t="shared" si="120"/>
        <v>0</v>
      </c>
      <c r="S952" s="732">
        <f t="shared" si="121"/>
        <v>0</v>
      </c>
      <c r="T952" s="733">
        <f t="shared" si="122"/>
        <v>0</v>
      </c>
      <c r="U952" s="1152"/>
      <c r="V952" s="1153"/>
      <c r="W952" s="1152"/>
      <c r="X952" s="1152"/>
      <c r="Y952" s="732">
        <f t="shared" si="118"/>
        <v>0</v>
      </c>
      <c r="Z952" s="1153"/>
      <c r="AA952" s="1153"/>
      <c r="AB952" s="733">
        <f t="shared" si="119"/>
        <v>0</v>
      </c>
      <c r="AC952" s="1152"/>
      <c r="AD952" s="1153"/>
      <c r="AE952" s="1152"/>
      <c r="AF952" s="1152"/>
      <c r="AG952" s="1153"/>
      <c r="AH952" s="1153"/>
      <c r="AI952" s="732">
        <f t="shared" si="123"/>
        <v>0</v>
      </c>
      <c r="AJ952" s="733">
        <f t="shared" si="124"/>
        <v>0</v>
      </c>
    </row>
    <row r="953" spans="1:36">
      <c r="A953" s="983" t="s">
        <v>492</v>
      </c>
      <c r="B953" s="1014" t="s">
        <v>187</v>
      </c>
      <c r="C953" s="990" t="s">
        <v>548</v>
      </c>
      <c r="D953" s="990"/>
      <c r="E953" s="1006"/>
      <c r="F953" s="1007">
        <v>99</v>
      </c>
      <c r="G953" s="1152"/>
      <c r="H953" s="1153"/>
      <c r="I953" s="1152"/>
      <c r="J953" s="1153"/>
      <c r="K953" s="1152"/>
      <c r="L953" s="1153"/>
      <c r="M953" s="1152"/>
      <c r="N953" s="1152"/>
      <c r="O953" s="732">
        <f t="shared" si="117"/>
        <v>0</v>
      </c>
      <c r="P953" s="1153"/>
      <c r="Q953" s="1153"/>
      <c r="R953" s="733">
        <f t="shared" si="120"/>
        <v>0</v>
      </c>
      <c r="S953" s="732">
        <f t="shared" si="121"/>
        <v>0</v>
      </c>
      <c r="T953" s="733">
        <f t="shared" si="122"/>
        <v>0</v>
      </c>
      <c r="U953" s="1152"/>
      <c r="V953" s="1153"/>
      <c r="W953" s="1152"/>
      <c r="X953" s="1152"/>
      <c r="Y953" s="732">
        <f t="shared" si="118"/>
        <v>0</v>
      </c>
      <c r="Z953" s="1153"/>
      <c r="AA953" s="1153"/>
      <c r="AB953" s="733">
        <f t="shared" si="119"/>
        <v>0</v>
      </c>
      <c r="AC953" s="1152"/>
      <c r="AD953" s="1153"/>
      <c r="AE953" s="1152"/>
      <c r="AF953" s="1152"/>
      <c r="AG953" s="1153"/>
      <c r="AH953" s="1153"/>
      <c r="AI953" s="732">
        <f t="shared" si="123"/>
        <v>0</v>
      </c>
      <c r="AJ953" s="733">
        <f t="shared" si="124"/>
        <v>0</v>
      </c>
    </row>
    <row r="954" spans="1:36">
      <c r="A954" s="983" t="s">
        <v>492</v>
      </c>
      <c r="B954" s="1014" t="s">
        <v>190</v>
      </c>
      <c r="C954" s="1011" t="s">
        <v>165</v>
      </c>
      <c r="D954" s="1010"/>
      <c r="E954" s="1006"/>
      <c r="F954" s="1007">
        <v>99</v>
      </c>
      <c r="G954" s="1152"/>
      <c r="H954" s="1153"/>
      <c r="I954" s="1152"/>
      <c r="J954" s="1153"/>
      <c r="K954" s="1152"/>
      <c r="L954" s="1153"/>
      <c r="M954" s="1152"/>
      <c r="N954" s="1152"/>
      <c r="O954" s="732">
        <f t="shared" si="117"/>
        <v>0</v>
      </c>
      <c r="P954" s="1153"/>
      <c r="Q954" s="1153"/>
      <c r="R954" s="733">
        <f t="shared" si="120"/>
        <v>0</v>
      </c>
      <c r="S954" s="732">
        <f t="shared" si="121"/>
        <v>0</v>
      </c>
      <c r="T954" s="733">
        <f t="shared" si="122"/>
        <v>0</v>
      </c>
      <c r="U954" s="1152"/>
      <c r="V954" s="1153"/>
      <c r="W954" s="1152"/>
      <c r="X954" s="1152"/>
      <c r="Y954" s="732">
        <f t="shared" si="118"/>
        <v>0</v>
      </c>
      <c r="Z954" s="1153"/>
      <c r="AA954" s="1153"/>
      <c r="AB954" s="733">
        <f t="shared" si="119"/>
        <v>0</v>
      </c>
      <c r="AC954" s="1152"/>
      <c r="AD954" s="1153"/>
      <c r="AE954" s="1152"/>
      <c r="AF954" s="1152"/>
      <c r="AG954" s="1153"/>
      <c r="AH954" s="1153"/>
      <c r="AI954" s="732">
        <f t="shared" si="123"/>
        <v>0</v>
      </c>
      <c r="AJ954" s="733">
        <f t="shared" si="124"/>
        <v>0</v>
      </c>
    </row>
    <row r="955" spans="1:36">
      <c r="A955" s="983" t="s">
        <v>492</v>
      </c>
      <c r="B955" s="1014" t="s">
        <v>191</v>
      </c>
      <c r="C955" s="1011" t="s">
        <v>167</v>
      </c>
      <c r="D955" s="1010"/>
      <c r="E955" s="1006"/>
      <c r="F955" s="1007">
        <v>99</v>
      </c>
      <c r="G955" s="1152"/>
      <c r="H955" s="1153"/>
      <c r="I955" s="1152"/>
      <c r="J955" s="1153"/>
      <c r="K955" s="1152"/>
      <c r="L955" s="1153"/>
      <c r="M955" s="1152"/>
      <c r="N955" s="1152"/>
      <c r="O955" s="732">
        <f t="shared" si="117"/>
        <v>0</v>
      </c>
      <c r="P955" s="1153"/>
      <c r="Q955" s="1153"/>
      <c r="R955" s="733">
        <f t="shared" si="120"/>
        <v>0</v>
      </c>
      <c r="S955" s="732">
        <f t="shared" si="121"/>
        <v>0</v>
      </c>
      <c r="T955" s="733">
        <f t="shared" si="122"/>
        <v>0</v>
      </c>
      <c r="U955" s="1152">
        <v>160000</v>
      </c>
      <c r="V955" s="1153">
        <v>160000</v>
      </c>
      <c r="W955" s="1152"/>
      <c r="X955" s="1152"/>
      <c r="Y955" s="732">
        <f t="shared" si="118"/>
        <v>0</v>
      </c>
      <c r="Z955" s="1153"/>
      <c r="AA955" s="1153"/>
      <c r="AB955" s="733">
        <f t="shared" si="119"/>
        <v>0</v>
      </c>
      <c r="AC955" s="1152"/>
      <c r="AD955" s="1153"/>
      <c r="AE955" s="1152"/>
      <c r="AF955" s="1152"/>
      <c r="AG955" s="1153"/>
      <c r="AH955" s="1153"/>
      <c r="AI955" s="732">
        <f t="shared" si="123"/>
        <v>160000</v>
      </c>
      <c r="AJ955" s="733">
        <f t="shared" si="124"/>
        <v>160000</v>
      </c>
    </row>
    <row r="956" spans="1:36">
      <c r="A956" s="983" t="s">
        <v>492</v>
      </c>
      <c r="B956" s="1017" t="s">
        <v>192</v>
      </c>
      <c r="C956" s="1015" t="s">
        <v>193</v>
      </c>
      <c r="D956" s="1016"/>
      <c r="E956" s="1018"/>
      <c r="F956" s="1007">
        <v>99</v>
      </c>
      <c r="G956" s="1152"/>
      <c r="H956" s="1153"/>
      <c r="I956" s="1152"/>
      <c r="J956" s="1153"/>
      <c r="K956" s="1152"/>
      <c r="L956" s="1153"/>
      <c r="M956" s="1152"/>
      <c r="N956" s="1152"/>
      <c r="O956" s="732">
        <f t="shared" si="117"/>
        <v>0</v>
      </c>
      <c r="P956" s="1153"/>
      <c r="Q956" s="1153"/>
      <c r="R956" s="733">
        <f t="shared" si="120"/>
        <v>0</v>
      </c>
      <c r="S956" s="732">
        <f t="shared" si="121"/>
        <v>0</v>
      </c>
      <c r="T956" s="733">
        <f t="shared" si="122"/>
        <v>0</v>
      </c>
      <c r="U956" s="1152"/>
      <c r="V956" s="1153"/>
      <c r="W956" s="1152"/>
      <c r="X956" s="1152"/>
      <c r="Y956" s="732">
        <f t="shared" si="118"/>
        <v>0</v>
      </c>
      <c r="Z956" s="1153"/>
      <c r="AA956" s="1153"/>
      <c r="AB956" s="733">
        <f t="shared" si="119"/>
        <v>0</v>
      </c>
      <c r="AC956" s="1152"/>
      <c r="AD956" s="1153"/>
      <c r="AE956" s="1152"/>
      <c r="AF956" s="1152"/>
      <c r="AG956" s="1153"/>
      <c r="AH956" s="1153"/>
      <c r="AI956" s="732">
        <f t="shared" si="123"/>
        <v>0</v>
      </c>
      <c r="AJ956" s="733">
        <f t="shared" si="124"/>
        <v>0</v>
      </c>
    </row>
    <row r="957" spans="1:36">
      <c r="A957" s="983" t="s">
        <v>492</v>
      </c>
      <c r="B957" s="1014" t="s">
        <v>195</v>
      </c>
      <c r="C957" s="1011" t="s">
        <v>165</v>
      </c>
      <c r="D957" s="1010"/>
      <c r="E957" s="1018"/>
      <c r="F957" s="1007">
        <v>99</v>
      </c>
      <c r="G957" s="1152"/>
      <c r="H957" s="1153"/>
      <c r="I957" s="1152"/>
      <c r="J957" s="1153"/>
      <c r="K957" s="1152"/>
      <c r="L957" s="1153"/>
      <c r="M957" s="1152"/>
      <c r="N957" s="1152"/>
      <c r="O957" s="732">
        <f t="shared" si="117"/>
        <v>0</v>
      </c>
      <c r="P957" s="1153"/>
      <c r="Q957" s="1153"/>
      <c r="R957" s="733">
        <f t="shared" si="120"/>
        <v>0</v>
      </c>
      <c r="S957" s="732">
        <f t="shared" si="121"/>
        <v>0</v>
      </c>
      <c r="T957" s="733">
        <f t="shared" si="122"/>
        <v>0</v>
      </c>
      <c r="U957" s="1152"/>
      <c r="V957" s="1153"/>
      <c r="W957" s="1152"/>
      <c r="X957" s="1152"/>
      <c r="Y957" s="732">
        <f t="shared" si="118"/>
        <v>0</v>
      </c>
      <c r="Z957" s="1153"/>
      <c r="AA957" s="1153"/>
      <c r="AB957" s="733">
        <f t="shared" si="119"/>
        <v>0</v>
      </c>
      <c r="AC957" s="1152"/>
      <c r="AD957" s="1153"/>
      <c r="AE957" s="1152"/>
      <c r="AF957" s="1152"/>
      <c r="AG957" s="1153"/>
      <c r="AH957" s="1153"/>
      <c r="AI957" s="732">
        <f t="shared" si="123"/>
        <v>0</v>
      </c>
      <c r="AJ957" s="733">
        <f t="shared" si="124"/>
        <v>0</v>
      </c>
    </row>
    <row r="958" spans="1:36">
      <c r="A958" s="983" t="s">
        <v>492</v>
      </c>
      <c r="B958" s="1014" t="s">
        <v>196</v>
      </c>
      <c r="C958" s="1011" t="s">
        <v>167</v>
      </c>
      <c r="D958" s="1010"/>
      <c r="E958" s="1018"/>
      <c r="F958" s="1007">
        <v>99</v>
      </c>
      <c r="G958" s="1152"/>
      <c r="H958" s="1153"/>
      <c r="I958" s="1152"/>
      <c r="J958" s="1153"/>
      <c r="K958" s="1152"/>
      <c r="L958" s="1153"/>
      <c r="M958" s="1152"/>
      <c r="N958" s="1152"/>
      <c r="O958" s="732">
        <f t="shared" si="117"/>
        <v>0</v>
      </c>
      <c r="P958" s="1153"/>
      <c r="Q958" s="1153"/>
      <c r="R958" s="733">
        <f t="shared" si="120"/>
        <v>0</v>
      </c>
      <c r="S958" s="732">
        <f t="shared" si="121"/>
        <v>0</v>
      </c>
      <c r="T958" s="733">
        <f t="shared" si="122"/>
        <v>0</v>
      </c>
      <c r="U958" s="1152"/>
      <c r="V958" s="1153"/>
      <c r="W958" s="1152"/>
      <c r="X958" s="1152"/>
      <c r="Y958" s="732">
        <f t="shared" si="118"/>
        <v>0</v>
      </c>
      <c r="Z958" s="1153"/>
      <c r="AA958" s="1153"/>
      <c r="AB958" s="733">
        <f t="shared" si="119"/>
        <v>0</v>
      </c>
      <c r="AC958" s="1152"/>
      <c r="AD958" s="1153"/>
      <c r="AE958" s="1152"/>
      <c r="AF958" s="1152"/>
      <c r="AG958" s="1153"/>
      <c r="AH958" s="1153"/>
      <c r="AI958" s="732">
        <f t="shared" si="123"/>
        <v>0</v>
      </c>
      <c r="AJ958" s="733">
        <f t="shared" si="124"/>
        <v>0</v>
      </c>
    </row>
    <row r="959" spans="1:36">
      <c r="A959" s="746" t="s">
        <v>549</v>
      </c>
      <c r="B959" s="738" t="s">
        <v>62</v>
      </c>
      <c r="C959" s="752" t="s">
        <v>569</v>
      </c>
      <c r="D959" s="747"/>
      <c r="E959" s="741">
        <v>161688</v>
      </c>
      <c r="F959" s="741">
        <v>10</v>
      </c>
      <c r="G959" s="1152">
        <v>6423523</v>
      </c>
      <c r="H959" s="1153">
        <v>6506730</v>
      </c>
      <c r="I959" s="1152"/>
      <c r="J959" s="1153"/>
      <c r="K959" s="1152">
        <v>7706856</v>
      </c>
      <c r="L959" s="1153">
        <v>7706856</v>
      </c>
      <c r="M959" s="1152">
        <v>13004446</v>
      </c>
      <c r="N959" s="1152"/>
      <c r="O959" s="732">
        <f t="shared" si="117"/>
        <v>13004446</v>
      </c>
      <c r="P959" s="1153">
        <v>12833601</v>
      </c>
      <c r="Q959" s="1153"/>
      <c r="R959" s="733">
        <f t="shared" si="120"/>
        <v>12833601</v>
      </c>
      <c r="S959" s="732">
        <f t="shared" si="121"/>
        <v>27134825</v>
      </c>
      <c r="T959" s="733">
        <f t="shared" si="122"/>
        <v>27047187</v>
      </c>
      <c r="U959" s="1152"/>
      <c r="V959" s="1153"/>
      <c r="W959" s="1152"/>
      <c r="X959" s="1152"/>
      <c r="Y959" s="732">
        <f t="shared" si="118"/>
        <v>0</v>
      </c>
      <c r="Z959" s="1153"/>
      <c r="AA959" s="1153"/>
      <c r="AB959" s="733">
        <f t="shared" si="119"/>
        <v>0</v>
      </c>
      <c r="AC959" s="1152"/>
      <c r="AD959" s="1153"/>
      <c r="AE959" s="1152"/>
      <c r="AF959" s="1152"/>
      <c r="AG959" s="1153"/>
      <c r="AH959" s="1153"/>
      <c r="AI959" s="732">
        <f t="shared" si="123"/>
        <v>27134825</v>
      </c>
      <c r="AJ959" s="733">
        <f t="shared" si="124"/>
        <v>27047187</v>
      </c>
    </row>
    <row r="960" spans="1:36">
      <c r="A960" s="746" t="s">
        <v>549</v>
      </c>
      <c r="B960" s="738" t="s">
        <v>62</v>
      </c>
      <c r="C960" s="740" t="s">
        <v>563</v>
      </c>
      <c r="D960" s="740"/>
      <c r="E960" s="741">
        <v>161767</v>
      </c>
      <c r="F960" s="741">
        <v>8</v>
      </c>
      <c r="G960" s="1152">
        <v>29842430</v>
      </c>
      <c r="H960" s="1153">
        <v>29832446</v>
      </c>
      <c r="I960" s="1152"/>
      <c r="J960" s="1153"/>
      <c r="K960" s="1152">
        <v>47842392</v>
      </c>
      <c r="L960" s="1153">
        <v>50524392</v>
      </c>
      <c r="M960" s="1152">
        <v>36936551</v>
      </c>
      <c r="N960" s="1152"/>
      <c r="O960" s="732">
        <f t="shared" si="117"/>
        <v>36936551</v>
      </c>
      <c r="P960" s="1153">
        <v>36312783</v>
      </c>
      <c r="Q960" s="1153"/>
      <c r="R960" s="733">
        <f t="shared" si="120"/>
        <v>36312783</v>
      </c>
      <c r="S960" s="732">
        <f t="shared" si="121"/>
        <v>114621373</v>
      </c>
      <c r="T960" s="733">
        <f t="shared" si="122"/>
        <v>116669621</v>
      </c>
      <c r="U960" s="1152"/>
      <c r="V960" s="1153"/>
      <c r="W960" s="1152"/>
      <c r="X960" s="1152"/>
      <c r="Y960" s="732">
        <f t="shared" si="118"/>
        <v>0</v>
      </c>
      <c r="Z960" s="1153"/>
      <c r="AA960" s="1153"/>
      <c r="AB960" s="733">
        <f t="shared" si="119"/>
        <v>0</v>
      </c>
      <c r="AC960" s="1152"/>
      <c r="AD960" s="1153"/>
      <c r="AE960" s="1152"/>
      <c r="AF960" s="1152"/>
      <c r="AG960" s="1153"/>
      <c r="AH960" s="1153"/>
      <c r="AI960" s="732">
        <f t="shared" si="123"/>
        <v>114621373</v>
      </c>
      <c r="AJ960" s="733">
        <f t="shared" si="124"/>
        <v>116669621</v>
      </c>
    </row>
    <row r="961" spans="1:36">
      <c r="A961" s="746" t="s">
        <v>549</v>
      </c>
      <c r="B961" s="738" t="s">
        <v>62</v>
      </c>
      <c r="C961" s="750" t="s">
        <v>570</v>
      </c>
      <c r="D961" s="751"/>
      <c r="E961" s="741">
        <v>161864</v>
      </c>
      <c r="F961" s="741">
        <v>9</v>
      </c>
      <c r="G961" s="1152">
        <v>41004259</v>
      </c>
      <c r="H961" s="1153">
        <v>38168137</v>
      </c>
      <c r="I961" s="1152"/>
      <c r="J961" s="1153"/>
      <c r="K961" s="1152">
        <v>599999</v>
      </c>
      <c r="L961" s="1153">
        <v>600000</v>
      </c>
      <c r="M961" s="1152">
        <v>13262452</v>
      </c>
      <c r="N961" s="1152"/>
      <c r="O961" s="732">
        <f t="shared" si="117"/>
        <v>13262452</v>
      </c>
      <c r="P961" s="1153">
        <v>12464161</v>
      </c>
      <c r="Q961" s="1153"/>
      <c r="R961" s="733">
        <f t="shared" si="120"/>
        <v>12464161</v>
      </c>
      <c r="S961" s="732">
        <f t="shared" si="121"/>
        <v>54866710</v>
      </c>
      <c r="T961" s="733">
        <f t="shared" si="122"/>
        <v>51232298</v>
      </c>
      <c r="U961" s="1152"/>
      <c r="V961" s="1153"/>
      <c r="W961" s="1152"/>
      <c r="X961" s="1152"/>
      <c r="Y961" s="732">
        <f t="shared" si="118"/>
        <v>0</v>
      </c>
      <c r="Z961" s="1153"/>
      <c r="AA961" s="1153"/>
      <c r="AB961" s="733">
        <f t="shared" si="119"/>
        <v>0</v>
      </c>
      <c r="AC961" s="1152"/>
      <c r="AD961" s="1153"/>
      <c r="AE961" s="1152"/>
      <c r="AF961" s="1152"/>
      <c r="AG961" s="1153"/>
      <c r="AH961" s="1153"/>
      <c r="AI961" s="732">
        <f t="shared" si="123"/>
        <v>54866710</v>
      </c>
      <c r="AJ961" s="733">
        <f t="shared" si="124"/>
        <v>51232298</v>
      </c>
    </row>
    <row r="962" spans="1:36">
      <c r="A962" s="746" t="s">
        <v>549</v>
      </c>
      <c r="B962" s="738" t="s">
        <v>62</v>
      </c>
      <c r="C962" s="752" t="s">
        <v>571</v>
      </c>
      <c r="D962" s="715" t="s">
        <v>1444</v>
      </c>
      <c r="E962" s="741">
        <v>405872</v>
      </c>
      <c r="F962" s="741">
        <v>9</v>
      </c>
      <c r="G962" s="1152">
        <v>8559167</v>
      </c>
      <c r="H962" s="1153">
        <v>8642734</v>
      </c>
      <c r="I962" s="1152"/>
      <c r="J962" s="1153"/>
      <c r="K962" s="1152">
        <v>12118962</v>
      </c>
      <c r="L962" s="1153">
        <v>11994568</v>
      </c>
      <c r="M962" s="1152">
        <v>11152665</v>
      </c>
      <c r="N962" s="1152"/>
      <c r="O962" s="732">
        <f t="shared" si="117"/>
        <v>11152665</v>
      </c>
      <c r="P962" s="1153">
        <v>11079164</v>
      </c>
      <c r="Q962" s="1153"/>
      <c r="R962" s="733">
        <f t="shared" si="120"/>
        <v>11079164</v>
      </c>
      <c r="S962" s="732">
        <f t="shared" si="121"/>
        <v>31830794</v>
      </c>
      <c r="T962" s="733">
        <f t="shared" si="122"/>
        <v>31716466</v>
      </c>
      <c r="U962" s="1152"/>
      <c r="V962" s="1153"/>
      <c r="W962" s="1152"/>
      <c r="X962" s="1152"/>
      <c r="Y962" s="732">
        <f t="shared" si="118"/>
        <v>0</v>
      </c>
      <c r="Z962" s="1153"/>
      <c r="AA962" s="1153"/>
      <c r="AB962" s="733">
        <f t="shared" si="119"/>
        <v>0</v>
      </c>
      <c r="AC962" s="1152"/>
      <c r="AD962" s="1153"/>
      <c r="AE962" s="1152"/>
      <c r="AF962" s="1152"/>
      <c r="AG962" s="1153"/>
      <c r="AH962" s="1153"/>
      <c r="AI962" s="732">
        <f t="shared" si="123"/>
        <v>31830794</v>
      </c>
      <c r="AJ962" s="733">
        <f t="shared" si="124"/>
        <v>31716466</v>
      </c>
    </row>
    <row r="963" spans="1:36">
      <c r="A963" s="746" t="s">
        <v>549</v>
      </c>
      <c r="B963" s="738" t="s">
        <v>62</v>
      </c>
      <c r="C963" s="740" t="s">
        <v>575</v>
      </c>
      <c r="D963" s="740"/>
      <c r="E963" s="741">
        <v>162104</v>
      </c>
      <c r="F963" s="741">
        <v>10</v>
      </c>
      <c r="G963" s="1152">
        <v>6274983</v>
      </c>
      <c r="H963" s="1153">
        <v>6358190</v>
      </c>
      <c r="I963" s="1152"/>
      <c r="J963" s="1153"/>
      <c r="K963" s="1152">
        <v>11635702</v>
      </c>
      <c r="L963" s="1153">
        <v>12015727</v>
      </c>
      <c r="M963" s="1152">
        <v>8440751</v>
      </c>
      <c r="N963" s="1152"/>
      <c r="O963" s="732">
        <f t="shared" si="117"/>
        <v>8440751</v>
      </c>
      <c r="P963" s="1153">
        <v>6868659</v>
      </c>
      <c r="Q963" s="1153"/>
      <c r="R963" s="733">
        <f t="shared" si="120"/>
        <v>6868659</v>
      </c>
      <c r="S963" s="732">
        <f t="shared" si="121"/>
        <v>26351436</v>
      </c>
      <c r="T963" s="733">
        <f t="shared" si="122"/>
        <v>25242576</v>
      </c>
      <c r="U963" s="1152"/>
      <c r="V963" s="1153"/>
      <c r="W963" s="1152"/>
      <c r="X963" s="1152"/>
      <c r="Y963" s="732">
        <f t="shared" si="118"/>
        <v>0</v>
      </c>
      <c r="Z963" s="1153"/>
      <c r="AA963" s="1153"/>
      <c r="AB963" s="733">
        <f t="shared" si="119"/>
        <v>0</v>
      </c>
      <c r="AC963" s="1152"/>
      <c r="AD963" s="1153"/>
      <c r="AE963" s="1152"/>
      <c r="AF963" s="1152"/>
      <c r="AG963" s="1153"/>
      <c r="AH963" s="1153"/>
      <c r="AI963" s="732">
        <f t="shared" si="123"/>
        <v>26351436</v>
      </c>
      <c r="AJ963" s="733">
        <f t="shared" si="124"/>
        <v>25242576</v>
      </c>
    </row>
    <row r="964" spans="1:36">
      <c r="A964" s="746" t="s">
        <v>549</v>
      </c>
      <c r="B964" s="738" t="s">
        <v>62</v>
      </c>
      <c r="C964" s="750" t="s">
        <v>576</v>
      </c>
      <c r="D964" s="751"/>
      <c r="E964" s="741">
        <v>162168</v>
      </c>
      <c r="F964" s="741">
        <v>10</v>
      </c>
      <c r="G964" s="1152">
        <v>7016493</v>
      </c>
      <c r="H964" s="1153">
        <v>7099700</v>
      </c>
      <c r="I964" s="1152"/>
      <c r="J964" s="1153"/>
      <c r="K964" s="1152">
        <v>6930336</v>
      </c>
      <c r="L964" s="1153">
        <v>6532535</v>
      </c>
      <c r="M964" s="1152">
        <v>6925450</v>
      </c>
      <c r="N964" s="1152"/>
      <c r="O964" s="732">
        <f t="shared" si="117"/>
        <v>6925450</v>
      </c>
      <c r="P964" s="1153">
        <v>8427280</v>
      </c>
      <c r="Q964" s="1153"/>
      <c r="R964" s="733">
        <f t="shared" si="120"/>
        <v>8427280</v>
      </c>
      <c r="S964" s="732">
        <f t="shared" si="121"/>
        <v>20872279</v>
      </c>
      <c r="T964" s="733">
        <f t="shared" si="122"/>
        <v>22059515</v>
      </c>
      <c r="U964" s="1152"/>
      <c r="V964" s="1153"/>
      <c r="W964" s="1152"/>
      <c r="X964" s="1152"/>
      <c r="Y964" s="732">
        <f t="shared" si="118"/>
        <v>0</v>
      </c>
      <c r="Z964" s="1153"/>
      <c r="AA964" s="1153"/>
      <c r="AB964" s="733">
        <f t="shared" si="119"/>
        <v>0</v>
      </c>
      <c r="AC964" s="1152"/>
      <c r="AD964" s="1153"/>
      <c r="AE964" s="1152"/>
      <c r="AF964" s="1152"/>
      <c r="AG964" s="1153"/>
      <c r="AH964" s="1153"/>
      <c r="AI964" s="732">
        <f t="shared" si="123"/>
        <v>20872279</v>
      </c>
      <c r="AJ964" s="733">
        <f t="shared" si="124"/>
        <v>22059515</v>
      </c>
    </row>
    <row r="965" spans="1:36">
      <c r="A965" s="749" t="s">
        <v>549</v>
      </c>
      <c r="B965" s="738" t="s">
        <v>62</v>
      </c>
      <c r="C965" s="745" t="s">
        <v>564</v>
      </c>
      <c r="D965" s="715" t="s">
        <v>1442</v>
      </c>
      <c r="E965" s="741">
        <v>162122</v>
      </c>
      <c r="F965" s="1019">
        <v>9</v>
      </c>
      <c r="G965" s="1152">
        <v>14386506</v>
      </c>
      <c r="H965" s="1153">
        <v>14386506</v>
      </c>
      <c r="I965" s="1152"/>
      <c r="J965" s="1153"/>
      <c r="K965" s="1152">
        <v>19794343</v>
      </c>
      <c r="L965" s="1153">
        <v>19086829</v>
      </c>
      <c r="M965" s="1152">
        <v>24780467</v>
      </c>
      <c r="N965" s="1152"/>
      <c r="O965" s="732">
        <f t="shared" si="117"/>
        <v>24780467</v>
      </c>
      <c r="P965" s="1153">
        <v>22077614</v>
      </c>
      <c r="Q965" s="1153"/>
      <c r="R965" s="733">
        <f t="shared" si="120"/>
        <v>22077614</v>
      </c>
      <c r="S965" s="732">
        <f t="shared" si="121"/>
        <v>58961316</v>
      </c>
      <c r="T965" s="733">
        <f t="shared" si="122"/>
        <v>55550949</v>
      </c>
      <c r="U965" s="1152"/>
      <c r="V965" s="1153"/>
      <c r="W965" s="1152"/>
      <c r="X965" s="1152"/>
      <c r="Y965" s="732">
        <f t="shared" si="118"/>
        <v>0</v>
      </c>
      <c r="Z965" s="1153"/>
      <c r="AA965" s="1153"/>
      <c r="AB965" s="733">
        <f t="shared" si="119"/>
        <v>0</v>
      </c>
      <c r="AC965" s="1152"/>
      <c r="AD965" s="1153"/>
      <c r="AE965" s="1152"/>
      <c r="AF965" s="1152"/>
      <c r="AG965" s="1153"/>
      <c r="AH965" s="1153"/>
      <c r="AI965" s="732">
        <f t="shared" si="123"/>
        <v>58961316</v>
      </c>
      <c r="AJ965" s="733">
        <f t="shared" si="124"/>
        <v>55550949</v>
      </c>
    </row>
    <row r="966" spans="1:36">
      <c r="A966" s="746" t="s">
        <v>549</v>
      </c>
      <c r="B966" s="738" t="s">
        <v>62</v>
      </c>
      <c r="C966" s="745" t="s">
        <v>565</v>
      </c>
      <c r="D966" s="744"/>
      <c r="E966" s="741">
        <v>434672</v>
      </c>
      <c r="F966" s="741">
        <v>8</v>
      </c>
      <c r="G966" s="1152">
        <v>42451319</v>
      </c>
      <c r="H966" s="1153">
        <v>42451319</v>
      </c>
      <c r="I966" s="1152"/>
      <c r="J966" s="1153"/>
      <c r="K966" s="1152">
        <v>54733759</v>
      </c>
      <c r="L966" s="1153">
        <v>54733759</v>
      </c>
      <c r="M966" s="1152">
        <v>69100475</v>
      </c>
      <c r="N966" s="1152"/>
      <c r="O966" s="732">
        <f t="shared" si="117"/>
        <v>69100475</v>
      </c>
      <c r="P966" s="1153">
        <v>69455197</v>
      </c>
      <c r="Q966" s="1153"/>
      <c r="R966" s="733">
        <f t="shared" si="120"/>
        <v>69455197</v>
      </c>
      <c r="S966" s="732">
        <f t="shared" si="121"/>
        <v>166285553</v>
      </c>
      <c r="T966" s="733">
        <f t="shared" si="122"/>
        <v>166640275</v>
      </c>
      <c r="U966" s="1152"/>
      <c r="V966" s="1153"/>
      <c r="W966" s="1152"/>
      <c r="X966" s="1152"/>
      <c r="Y966" s="732">
        <f t="shared" si="118"/>
        <v>0</v>
      </c>
      <c r="Z966" s="1153"/>
      <c r="AA966" s="1153"/>
      <c r="AB966" s="733">
        <f t="shared" si="119"/>
        <v>0</v>
      </c>
      <c r="AC966" s="1152"/>
      <c r="AD966" s="1153"/>
      <c r="AE966" s="1152"/>
      <c r="AF966" s="1152"/>
      <c r="AG966" s="1153"/>
      <c r="AH966" s="1153"/>
      <c r="AI966" s="732">
        <f t="shared" si="123"/>
        <v>166285553</v>
      </c>
      <c r="AJ966" s="733">
        <f t="shared" si="124"/>
        <v>166640275</v>
      </c>
    </row>
    <row r="967" spans="1:36">
      <c r="A967" s="746" t="s">
        <v>549</v>
      </c>
      <c r="B967" s="738" t="s">
        <v>62</v>
      </c>
      <c r="C967" s="750" t="s">
        <v>572</v>
      </c>
      <c r="D967" s="751"/>
      <c r="E967" s="741">
        <v>162557</v>
      </c>
      <c r="F967" s="741">
        <v>9</v>
      </c>
      <c r="G967" s="1152">
        <v>11154005</v>
      </c>
      <c r="H967" s="1153">
        <v>11154005</v>
      </c>
      <c r="I967" s="1152"/>
      <c r="J967" s="1153"/>
      <c r="K967" s="1152">
        <v>18857979</v>
      </c>
      <c r="L967" s="1153">
        <v>20252684</v>
      </c>
      <c r="M967" s="1152">
        <v>17427176</v>
      </c>
      <c r="N967" s="1152"/>
      <c r="O967" s="732">
        <f t="shared" si="117"/>
        <v>17427176</v>
      </c>
      <c r="P967" s="1153">
        <v>16130115</v>
      </c>
      <c r="Q967" s="1153"/>
      <c r="R967" s="733">
        <f t="shared" si="120"/>
        <v>16130115</v>
      </c>
      <c r="S967" s="732">
        <f t="shared" si="121"/>
        <v>47439160</v>
      </c>
      <c r="T967" s="733">
        <f t="shared" si="122"/>
        <v>47536804</v>
      </c>
      <c r="U967" s="1152"/>
      <c r="V967" s="1153"/>
      <c r="W967" s="1152"/>
      <c r="X967" s="1152"/>
      <c r="Y967" s="732">
        <f t="shared" si="118"/>
        <v>0</v>
      </c>
      <c r="Z967" s="1153"/>
      <c r="AA967" s="1153"/>
      <c r="AB967" s="733">
        <f t="shared" si="119"/>
        <v>0</v>
      </c>
      <c r="AC967" s="1152"/>
      <c r="AD967" s="1153"/>
      <c r="AE967" s="1152"/>
      <c r="AF967" s="1152"/>
      <c r="AG967" s="1153"/>
      <c r="AH967" s="1153"/>
      <c r="AI967" s="732">
        <f t="shared" si="123"/>
        <v>47439160</v>
      </c>
      <c r="AJ967" s="733">
        <f t="shared" si="124"/>
        <v>47536804</v>
      </c>
    </row>
    <row r="968" spans="1:36">
      <c r="A968" s="746" t="s">
        <v>549</v>
      </c>
      <c r="B968" s="738" t="s">
        <v>62</v>
      </c>
      <c r="C968" s="745" t="s">
        <v>577</v>
      </c>
      <c r="D968" s="744"/>
      <c r="E968" s="741">
        <v>162609</v>
      </c>
      <c r="F968" s="741">
        <v>10</v>
      </c>
      <c r="G968" s="1152">
        <v>4083287</v>
      </c>
      <c r="H968" s="1153">
        <v>4064848</v>
      </c>
      <c r="I968" s="1152"/>
      <c r="J968" s="1153"/>
      <c r="K968" s="1152">
        <v>4834000</v>
      </c>
      <c r="L968" s="1153">
        <v>4857312</v>
      </c>
      <c r="M968" s="1152">
        <v>3571212</v>
      </c>
      <c r="N968" s="1152"/>
      <c r="O968" s="732">
        <f t="shared" si="117"/>
        <v>3571212</v>
      </c>
      <c r="P968" s="1153">
        <v>3865168</v>
      </c>
      <c r="Q968" s="1153"/>
      <c r="R968" s="733">
        <f t="shared" si="120"/>
        <v>3865168</v>
      </c>
      <c r="S968" s="732">
        <f t="shared" si="121"/>
        <v>12488499</v>
      </c>
      <c r="T968" s="733">
        <f t="shared" si="122"/>
        <v>12787328</v>
      </c>
      <c r="U968" s="1152"/>
      <c r="V968" s="1153"/>
      <c r="W968" s="1152"/>
      <c r="X968" s="1152"/>
      <c r="Y968" s="732">
        <f t="shared" si="118"/>
        <v>0</v>
      </c>
      <c r="Z968" s="1153"/>
      <c r="AA968" s="1153"/>
      <c r="AB968" s="733">
        <f t="shared" si="119"/>
        <v>0</v>
      </c>
      <c r="AC968" s="1152"/>
      <c r="AD968" s="1153"/>
      <c r="AE968" s="1152"/>
      <c r="AF968" s="1152"/>
      <c r="AG968" s="1153"/>
      <c r="AH968" s="1153"/>
      <c r="AI968" s="732">
        <f t="shared" si="123"/>
        <v>12488499</v>
      </c>
      <c r="AJ968" s="733">
        <f t="shared" si="124"/>
        <v>12787328</v>
      </c>
    </row>
    <row r="969" spans="1:36">
      <c r="A969" s="746" t="s">
        <v>549</v>
      </c>
      <c r="B969" s="738" t="s">
        <v>62</v>
      </c>
      <c r="C969" s="752" t="s">
        <v>573</v>
      </c>
      <c r="D969" s="751"/>
      <c r="E969" s="741">
        <v>162690</v>
      </c>
      <c r="F969" s="741">
        <v>9</v>
      </c>
      <c r="G969" s="1152">
        <v>9455511</v>
      </c>
      <c r="H969" s="1153">
        <v>9489550</v>
      </c>
      <c r="I969" s="1152"/>
      <c r="J969" s="1153"/>
      <c r="K969" s="1152">
        <v>10035290</v>
      </c>
      <c r="L969" s="1153">
        <v>10035290</v>
      </c>
      <c r="M969" s="1152">
        <v>14625297</v>
      </c>
      <c r="N969" s="1152"/>
      <c r="O969" s="732">
        <f t="shared" si="117"/>
        <v>14625297</v>
      </c>
      <c r="P969" s="1153">
        <v>13922729</v>
      </c>
      <c r="Q969" s="1153"/>
      <c r="R969" s="733">
        <f t="shared" si="120"/>
        <v>13922729</v>
      </c>
      <c r="S969" s="732">
        <f t="shared" si="121"/>
        <v>34116098</v>
      </c>
      <c r="T969" s="733">
        <f t="shared" si="122"/>
        <v>33447569</v>
      </c>
      <c r="U969" s="1152"/>
      <c r="V969" s="1153"/>
      <c r="W969" s="1152"/>
      <c r="X969" s="1152"/>
      <c r="Y969" s="732">
        <f t="shared" si="118"/>
        <v>0</v>
      </c>
      <c r="Z969" s="1153"/>
      <c r="AA969" s="1153"/>
      <c r="AB969" s="733">
        <f t="shared" si="119"/>
        <v>0</v>
      </c>
      <c r="AC969" s="1152"/>
      <c r="AD969" s="1153"/>
      <c r="AE969" s="1152"/>
      <c r="AF969" s="1152"/>
      <c r="AG969" s="1153"/>
      <c r="AH969" s="1153"/>
      <c r="AI969" s="732">
        <f t="shared" si="123"/>
        <v>34116098</v>
      </c>
      <c r="AJ969" s="733">
        <f t="shared" si="124"/>
        <v>33447569</v>
      </c>
    </row>
    <row r="970" spans="1:36">
      <c r="A970" s="746" t="s">
        <v>549</v>
      </c>
      <c r="B970" s="738" t="s">
        <v>62</v>
      </c>
      <c r="C970" s="750" t="s">
        <v>574</v>
      </c>
      <c r="D970" s="751"/>
      <c r="E970" s="741">
        <v>162706</v>
      </c>
      <c r="F970" s="741">
        <v>9</v>
      </c>
      <c r="G970" s="1152">
        <v>12092899</v>
      </c>
      <c r="H970" s="1153">
        <v>12092899</v>
      </c>
      <c r="I970" s="1152"/>
      <c r="J970" s="1153"/>
      <c r="K970" s="1152">
        <v>17147844</v>
      </c>
      <c r="L970" s="1153">
        <v>17547931</v>
      </c>
      <c r="M970" s="1152">
        <v>20919205</v>
      </c>
      <c r="N970" s="1152"/>
      <c r="O970" s="732">
        <f t="shared" ref="O970:O1033" si="125">SUM(M970:N970)</f>
        <v>20919205</v>
      </c>
      <c r="P970" s="1153">
        <v>18693631</v>
      </c>
      <c r="Q970" s="1153"/>
      <c r="R970" s="733">
        <f t="shared" si="120"/>
        <v>18693631</v>
      </c>
      <c r="S970" s="732">
        <f t="shared" si="121"/>
        <v>50159948</v>
      </c>
      <c r="T970" s="733">
        <f t="shared" si="122"/>
        <v>48334461</v>
      </c>
      <c r="U970" s="1152"/>
      <c r="V970" s="1153"/>
      <c r="W970" s="1152"/>
      <c r="X970" s="1152"/>
      <c r="Y970" s="732">
        <f t="shared" ref="Y970:Y1033" si="126">SUM(W970:X970)</f>
        <v>0</v>
      </c>
      <c r="Z970" s="1153"/>
      <c r="AA970" s="1153"/>
      <c r="AB970" s="733">
        <f t="shared" ref="AB970:AB1033" si="127">SUM(Z970:AA970)</f>
        <v>0</v>
      </c>
      <c r="AC970" s="1152"/>
      <c r="AD970" s="1153"/>
      <c r="AE970" s="1152"/>
      <c r="AF970" s="1152"/>
      <c r="AG970" s="1153"/>
      <c r="AH970" s="1153"/>
      <c r="AI970" s="732">
        <f t="shared" si="123"/>
        <v>50159948</v>
      </c>
      <c r="AJ970" s="733">
        <f t="shared" si="124"/>
        <v>48334461</v>
      </c>
    </row>
    <row r="971" spans="1:36">
      <c r="A971" s="746" t="s">
        <v>549</v>
      </c>
      <c r="B971" s="738" t="s">
        <v>62</v>
      </c>
      <c r="C971" s="745" t="s">
        <v>566</v>
      </c>
      <c r="D971" s="744"/>
      <c r="E971" s="741">
        <v>162779</v>
      </c>
      <c r="F971" s="741">
        <v>8</v>
      </c>
      <c r="G971" s="1152">
        <v>20009452</v>
      </c>
      <c r="H971" s="1153">
        <v>19992011</v>
      </c>
      <c r="I971" s="1152"/>
      <c r="J971" s="1153"/>
      <c r="K971" s="1152">
        <v>38121755</v>
      </c>
      <c r="L971" s="1153">
        <v>38724598</v>
      </c>
      <c r="M971" s="1152">
        <v>40220902</v>
      </c>
      <c r="N971" s="1152"/>
      <c r="O971" s="732">
        <f t="shared" si="125"/>
        <v>40220902</v>
      </c>
      <c r="P971" s="1153">
        <v>38057344</v>
      </c>
      <c r="Q971" s="1153"/>
      <c r="R971" s="733">
        <f t="shared" ref="R971:R1034" si="128">SUM(P971:Q971)</f>
        <v>38057344</v>
      </c>
      <c r="S971" s="732">
        <f t="shared" ref="S971:S1034" si="129">SUM(G971,I971,K971,M971)</f>
        <v>98352109</v>
      </c>
      <c r="T971" s="733">
        <f t="shared" ref="T971:T1034" si="130">SUM(H971,J971,L971,P971)</f>
        <v>96773953</v>
      </c>
      <c r="U971" s="1152"/>
      <c r="V971" s="1153"/>
      <c r="W971" s="1152"/>
      <c r="X971" s="1152"/>
      <c r="Y971" s="732">
        <f t="shared" si="126"/>
        <v>0</v>
      </c>
      <c r="Z971" s="1153"/>
      <c r="AA971" s="1153"/>
      <c r="AB971" s="733">
        <f t="shared" si="127"/>
        <v>0</v>
      </c>
      <c r="AC971" s="1152"/>
      <c r="AD971" s="1153"/>
      <c r="AE971" s="1152"/>
      <c r="AF971" s="1152"/>
      <c r="AG971" s="1153"/>
      <c r="AH971" s="1153"/>
      <c r="AI971" s="732">
        <f t="shared" ref="AI971:AI1034" si="131">SUM(S971,U971,W971,AC971,AE971)</f>
        <v>98352109</v>
      </c>
      <c r="AJ971" s="733">
        <f t="shared" ref="AJ971:AJ1034" si="132">SUM(T971,V971,Z971,AD971,AG971)</f>
        <v>96773953</v>
      </c>
    </row>
    <row r="972" spans="1:36">
      <c r="A972" s="746" t="s">
        <v>549</v>
      </c>
      <c r="B972" s="738" t="s">
        <v>62</v>
      </c>
      <c r="C972" s="740" t="s">
        <v>567</v>
      </c>
      <c r="D972" s="740"/>
      <c r="E972" s="741">
        <v>163426</v>
      </c>
      <c r="F972" s="741">
        <v>8</v>
      </c>
      <c r="G972" s="1152">
        <v>45255119</v>
      </c>
      <c r="H972" s="1153">
        <v>45255119</v>
      </c>
      <c r="I972" s="1152"/>
      <c r="J972" s="1153"/>
      <c r="K972" s="1152">
        <v>147164017</v>
      </c>
      <c r="L972" s="1153">
        <v>147196496</v>
      </c>
      <c r="M972" s="1152">
        <v>85572983</v>
      </c>
      <c r="N972" s="1152"/>
      <c r="O972" s="732">
        <f t="shared" si="125"/>
        <v>85572983</v>
      </c>
      <c r="P972" s="1153">
        <v>77949079</v>
      </c>
      <c r="Q972" s="1153"/>
      <c r="R972" s="733">
        <f t="shared" si="128"/>
        <v>77949079</v>
      </c>
      <c r="S972" s="732">
        <f t="shared" si="129"/>
        <v>277992119</v>
      </c>
      <c r="T972" s="733">
        <f t="shared" si="130"/>
        <v>270400694</v>
      </c>
      <c r="U972" s="1152"/>
      <c r="V972" s="1153"/>
      <c r="W972" s="1152"/>
      <c r="X972" s="1152"/>
      <c r="Y972" s="732">
        <f t="shared" si="126"/>
        <v>0</v>
      </c>
      <c r="Z972" s="1153"/>
      <c r="AA972" s="1153"/>
      <c r="AB972" s="733">
        <f t="shared" si="127"/>
        <v>0</v>
      </c>
      <c r="AC972" s="1152"/>
      <c r="AD972" s="1153"/>
      <c r="AE972" s="1152"/>
      <c r="AF972" s="1152"/>
      <c r="AG972" s="1153"/>
      <c r="AH972" s="1153"/>
      <c r="AI972" s="732">
        <f t="shared" si="131"/>
        <v>277992119</v>
      </c>
      <c r="AJ972" s="733">
        <f t="shared" si="132"/>
        <v>270400694</v>
      </c>
    </row>
    <row r="973" spans="1:36">
      <c r="A973" s="746" t="s">
        <v>549</v>
      </c>
      <c r="B973" s="738" t="s">
        <v>62</v>
      </c>
      <c r="C973" s="750" t="s">
        <v>568</v>
      </c>
      <c r="D973" s="751"/>
      <c r="E973" s="741">
        <v>163657</v>
      </c>
      <c r="F973" s="741">
        <v>8</v>
      </c>
      <c r="G973" s="1152">
        <v>31245262</v>
      </c>
      <c r="H973" s="1153">
        <v>35928300</v>
      </c>
      <c r="I973" s="1152"/>
      <c r="J973" s="1153"/>
      <c r="K973" s="1152">
        <v>43922330</v>
      </c>
      <c r="L973" s="1153">
        <v>43922330</v>
      </c>
      <c r="M973" s="1152">
        <v>40313598</v>
      </c>
      <c r="N973" s="1152"/>
      <c r="O973" s="732">
        <f t="shared" si="125"/>
        <v>40313598</v>
      </c>
      <c r="P973" s="1153">
        <v>42407500</v>
      </c>
      <c r="Q973" s="1153"/>
      <c r="R973" s="733">
        <f t="shared" si="128"/>
        <v>42407500</v>
      </c>
      <c r="S973" s="732">
        <f t="shared" si="129"/>
        <v>115481190</v>
      </c>
      <c r="T973" s="733">
        <f t="shared" si="130"/>
        <v>122258130</v>
      </c>
      <c r="U973" s="1152"/>
      <c r="V973" s="1153"/>
      <c r="W973" s="1152"/>
      <c r="X973" s="1152"/>
      <c r="Y973" s="732">
        <f t="shared" si="126"/>
        <v>0</v>
      </c>
      <c r="Z973" s="1153"/>
      <c r="AA973" s="1153"/>
      <c r="AB973" s="733">
        <f t="shared" si="127"/>
        <v>0</v>
      </c>
      <c r="AC973" s="1152"/>
      <c r="AD973" s="1153"/>
      <c r="AE973" s="1152"/>
      <c r="AF973" s="1152"/>
      <c r="AG973" s="1153"/>
      <c r="AH973" s="1153"/>
      <c r="AI973" s="732">
        <f t="shared" si="131"/>
        <v>115481190</v>
      </c>
      <c r="AJ973" s="733">
        <f t="shared" si="132"/>
        <v>122258130</v>
      </c>
    </row>
    <row r="974" spans="1:36">
      <c r="A974" s="746" t="s">
        <v>549</v>
      </c>
      <c r="B974" s="738" t="s">
        <v>62</v>
      </c>
      <c r="C974" s="740" t="s">
        <v>578</v>
      </c>
      <c r="D974" s="747"/>
      <c r="E974" s="741">
        <v>164313</v>
      </c>
      <c r="F974" s="741">
        <v>10</v>
      </c>
      <c r="G974" s="1152">
        <v>8837428</v>
      </c>
      <c r="H974" s="1153">
        <v>8920635</v>
      </c>
      <c r="I974" s="1152"/>
      <c r="J974" s="1153"/>
      <c r="K974" s="1152">
        <v>7978754</v>
      </c>
      <c r="L974" s="1153">
        <v>8490874</v>
      </c>
      <c r="M974" s="1152">
        <v>9333021</v>
      </c>
      <c r="N974" s="1152"/>
      <c r="O974" s="732">
        <f t="shared" si="125"/>
        <v>9333021</v>
      </c>
      <c r="P974" s="1153">
        <v>9823005</v>
      </c>
      <c r="Q974" s="1153"/>
      <c r="R974" s="733">
        <f t="shared" si="128"/>
        <v>9823005</v>
      </c>
      <c r="S974" s="732">
        <f t="shared" si="129"/>
        <v>26149203</v>
      </c>
      <c r="T974" s="733">
        <f t="shared" si="130"/>
        <v>27234514</v>
      </c>
      <c r="U974" s="1152"/>
      <c r="V974" s="1153"/>
      <c r="W974" s="1152"/>
      <c r="X974" s="1152"/>
      <c r="Y974" s="732">
        <f t="shared" si="126"/>
        <v>0</v>
      </c>
      <c r="Z974" s="1153"/>
      <c r="AA974" s="1153"/>
      <c r="AB974" s="733">
        <f t="shared" si="127"/>
        <v>0</v>
      </c>
      <c r="AC974" s="1152"/>
      <c r="AD974" s="1153"/>
      <c r="AE974" s="1152"/>
      <c r="AF974" s="1152"/>
      <c r="AG974" s="1153"/>
      <c r="AH974" s="1153"/>
      <c r="AI974" s="732">
        <f t="shared" si="131"/>
        <v>26149203</v>
      </c>
      <c r="AJ974" s="733">
        <f t="shared" si="132"/>
        <v>27234514</v>
      </c>
    </row>
    <row r="975" spans="1:36">
      <c r="A975" s="746" t="s">
        <v>549</v>
      </c>
      <c r="B975" s="742" t="s">
        <v>62</v>
      </c>
      <c r="C975" s="745" t="s">
        <v>557</v>
      </c>
      <c r="D975" s="715" t="s">
        <v>1423</v>
      </c>
      <c r="E975" s="737">
        <v>162007</v>
      </c>
      <c r="F975" s="737">
        <v>4</v>
      </c>
      <c r="G975" s="1152">
        <v>48077890</v>
      </c>
      <c r="H975" s="1153">
        <v>46728531</v>
      </c>
      <c r="I975" s="1152"/>
      <c r="J975" s="1153"/>
      <c r="K975" s="1152"/>
      <c r="L975" s="1153"/>
      <c r="M975" s="1152">
        <v>46290733</v>
      </c>
      <c r="N975" s="1152"/>
      <c r="O975" s="732">
        <f t="shared" si="125"/>
        <v>46290733</v>
      </c>
      <c r="P975" s="1153">
        <v>46697572</v>
      </c>
      <c r="Q975" s="1153"/>
      <c r="R975" s="733">
        <f t="shared" si="128"/>
        <v>46697572</v>
      </c>
      <c r="S975" s="732">
        <f t="shared" si="129"/>
        <v>94368623</v>
      </c>
      <c r="T975" s="733">
        <f t="shared" si="130"/>
        <v>93426103</v>
      </c>
      <c r="U975" s="1152"/>
      <c r="V975" s="1153"/>
      <c r="W975" s="1152"/>
      <c r="X975" s="1152"/>
      <c r="Y975" s="732">
        <f t="shared" si="126"/>
        <v>0</v>
      </c>
      <c r="Z975" s="1153"/>
      <c r="AA975" s="1153"/>
      <c r="AB975" s="733">
        <f t="shared" si="127"/>
        <v>0</v>
      </c>
      <c r="AC975" s="1152"/>
      <c r="AD975" s="1153"/>
      <c r="AE975" s="1152"/>
      <c r="AF975" s="1152"/>
      <c r="AG975" s="1153"/>
      <c r="AH975" s="1153"/>
      <c r="AI975" s="732">
        <f t="shared" si="131"/>
        <v>94368623</v>
      </c>
      <c r="AJ975" s="733">
        <f t="shared" si="132"/>
        <v>93426103</v>
      </c>
    </row>
    <row r="976" spans="1:36">
      <c r="A976" s="746" t="s">
        <v>549</v>
      </c>
      <c r="B976" s="742" t="s">
        <v>62</v>
      </c>
      <c r="C976" s="742" t="s">
        <v>561</v>
      </c>
      <c r="D976" s="715" t="s">
        <v>1445</v>
      </c>
      <c r="E976" s="737">
        <v>162283</v>
      </c>
      <c r="F976" s="737">
        <v>5</v>
      </c>
      <c r="G976" s="1152">
        <v>48812311</v>
      </c>
      <c r="H976" s="1153">
        <v>49787119</v>
      </c>
      <c r="I976" s="1152"/>
      <c r="J976" s="1153"/>
      <c r="K976" s="1152"/>
      <c r="L976" s="1153"/>
      <c r="M976" s="1152">
        <v>15206986</v>
      </c>
      <c r="N976" s="1152"/>
      <c r="O976" s="732">
        <f t="shared" si="125"/>
        <v>15206986</v>
      </c>
      <c r="P976" s="1153">
        <v>13001126</v>
      </c>
      <c r="Q976" s="1153"/>
      <c r="R976" s="733">
        <f t="shared" si="128"/>
        <v>13001126</v>
      </c>
      <c r="S976" s="732">
        <f t="shared" si="129"/>
        <v>64019297</v>
      </c>
      <c r="T976" s="733">
        <f t="shared" si="130"/>
        <v>62788245</v>
      </c>
      <c r="U976" s="1152"/>
      <c r="V976" s="1153"/>
      <c r="W976" s="1152"/>
      <c r="X976" s="1152"/>
      <c r="Y976" s="732">
        <f t="shared" si="126"/>
        <v>0</v>
      </c>
      <c r="Z976" s="1153"/>
      <c r="AA976" s="1153"/>
      <c r="AB976" s="733">
        <f t="shared" si="127"/>
        <v>0</v>
      </c>
      <c r="AC976" s="1152"/>
      <c r="AD976" s="1153"/>
      <c r="AE976" s="1152"/>
      <c r="AF976" s="1152"/>
      <c r="AG976" s="1153"/>
      <c r="AH976" s="1153"/>
      <c r="AI976" s="732">
        <f t="shared" si="131"/>
        <v>64019297</v>
      </c>
      <c r="AJ976" s="733">
        <f t="shared" si="132"/>
        <v>62788245</v>
      </c>
    </row>
    <row r="977" spans="1:36">
      <c r="A977" s="746" t="s">
        <v>549</v>
      </c>
      <c r="B977" s="742" t="s">
        <v>62</v>
      </c>
      <c r="C977" s="745" t="s">
        <v>558</v>
      </c>
      <c r="D977" s="744"/>
      <c r="E977" s="737">
        <v>162584</v>
      </c>
      <c r="F977" s="737">
        <v>4</v>
      </c>
      <c r="G977" s="1152">
        <v>44610144</v>
      </c>
      <c r="H977" s="1153">
        <v>43451867</v>
      </c>
      <c r="I977" s="1152"/>
      <c r="J977" s="1153"/>
      <c r="K977" s="1152"/>
      <c r="L977" s="1153"/>
      <c r="M977" s="1152">
        <v>37091411</v>
      </c>
      <c r="N977" s="1152"/>
      <c r="O977" s="732">
        <f t="shared" si="125"/>
        <v>37091411</v>
      </c>
      <c r="P977" s="1153">
        <v>34721647</v>
      </c>
      <c r="Q977" s="1153"/>
      <c r="R977" s="733">
        <f t="shared" si="128"/>
        <v>34721647</v>
      </c>
      <c r="S977" s="732">
        <f t="shared" si="129"/>
        <v>81701555</v>
      </c>
      <c r="T977" s="733">
        <f t="shared" si="130"/>
        <v>78173514</v>
      </c>
      <c r="U977" s="1152"/>
      <c r="V977" s="1153"/>
      <c r="W977" s="1152"/>
      <c r="X977" s="1152"/>
      <c r="Y977" s="732">
        <f t="shared" si="126"/>
        <v>0</v>
      </c>
      <c r="Z977" s="1153"/>
      <c r="AA977" s="1153"/>
      <c r="AB977" s="733">
        <f t="shared" si="127"/>
        <v>0</v>
      </c>
      <c r="AC977" s="1152"/>
      <c r="AD977" s="1153"/>
      <c r="AE977" s="1152"/>
      <c r="AF977" s="1152"/>
      <c r="AG977" s="1153"/>
      <c r="AH977" s="1153"/>
      <c r="AI977" s="732">
        <f t="shared" si="131"/>
        <v>81701555</v>
      </c>
      <c r="AJ977" s="733">
        <f t="shared" si="132"/>
        <v>78173514</v>
      </c>
    </row>
    <row r="978" spans="1:36">
      <c r="A978" s="746" t="s">
        <v>549</v>
      </c>
      <c r="B978" s="742" t="s">
        <v>62</v>
      </c>
      <c r="C978" s="745" t="s">
        <v>559</v>
      </c>
      <c r="D978" s="744"/>
      <c r="E978" s="737">
        <v>163851</v>
      </c>
      <c r="F978" s="737">
        <v>4</v>
      </c>
      <c r="G978" s="1152">
        <v>58280356</v>
      </c>
      <c r="H978" s="1153">
        <v>60827717</v>
      </c>
      <c r="I978" s="1152"/>
      <c r="J978" s="1153"/>
      <c r="K978" s="1152"/>
      <c r="L978" s="1153"/>
      <c r="M978" s="1152">
        <v>79334342</v>
      </c>
      <c r="N978" s="1152"/>
      <c r="O978" s="732">
        <f t="shared" si="125"/>
        <v>79334342</v>
      </c>
      <c r="P978" s="1153">
        <v>73237419</v>
      </c>
      <c r="Q978" s="1153"/>
      <c r="R978" s="733">
        <f t="shared" si="128"/>
        <v>73237419</v>
      </c>
      <c r="S978" s="732">
        <f t="shared" si="129"/>
        <v>137614698</v>
      </c>
      <c r="T978" s="733">
        <f t="shared" si="130"/>
        <v>134065136</v>
      </c>
      <c r="U978" s="1152"/>
      <c r="V978" s="1153"/>
      <c r="W978" s="1152"/>
      <c r="X978" s="1152"/>
      <c r="Y978" s="732">
        <f t="shared" si="126"/>
        <v>0</v>
      </c>
      <c r="Z978" s="1153"/>
      <c r="AA978" s="1153"/>
      <c r="AB978" s="733">
        <f t="shared" si="127"/>
        <v>0</v>
      </c>
      <c r="AC978" s="1152"/>
      <c r="AD978" s="1153"/>
      <c r="AE978" s="1152"/>
      <c r="AF978" s="1152"/>
      <c r="AG978" s="1153"/>
      <c r="AH978" s="1153"/>
      <c r="AI978" s="732">
        <f t="shared" si="131"/>
        <v>137614698</v>
      </c>
      <c r="AJ978" s="733">
        <f t="shared" si="132"/>
        <v>134065136</v>
      </c>
    </row>
    <row r="979" spans="1:36">
      <c r="A979" s="746" t="s">
        <v>549</v>
      </c>
      <c r="B979" s="742" t="s">
        <v>62</v>
      </c>
      <c r="C979" s="745" t="s">
        <v>555</v>
      </c>
      <c r="D979" s="744"/>
      <c r="E979" s="737">
        <v>164076</v>
      </c>
      <c r="F979" s="737">
        <v>3</v>
      </c>
      <c r="G979" s="1152">
        <v>131859194</v>
      </c>
      <c r="H979" s="1153">
        <v>135941182</v>
      </c>
      <c r="I979" s="1152"/>
      <c r="J979" s="1153"/>
      <c r="K979" s="1152"/>
      <c r="L979" s="1153"/>
      <c r="M979" s="1152">
        <v>196516164</v>
      </c>
      <c r="N979" s="1152"/>
      <c r="O979" s="732">
        <f t="shared" si="125"/>
        <v>196516164</v>
      </c>
      <c r="P979" s="1153">
        <v>187485777</v>
      </c>
      <c r="Q979" s="1153"/>
      <c r="R979" s="733">
        <f t="shared" si="128"/>
        <v>187485777</v>
      </c>
      <c r="S979" s="732">
        <f t="shared" si="129"/>
        <v>328375358</v>
      </c>
      <c r="T979" s="733">
        <f t="shared" si="130"/>
        <v>323426959</v>
      </c>
      <c r="U979" s="1152"/>
      <c r="V979" s="1153"/>
      <c r="W979" s="1152"/>
      <c r="X979" s="1152"/>
      <c r="Y979" s="732">
        <f t="shared" si="126"/>
        <v>0</v>
      </c>
      <c r="Z979" s="1153"/>
      <c r="AA979" s="1153"/>
      <c r="AB979" s="733">
        <f t="shared" si="127"/>
        <v>0</v>
      </c>
      <c r="AC979" s="1152"/>
      <c r="AD979" s="1153"/>
      <c r="AE979" s="1152"/>
      <c r="AF979" s="1152"/>
      <c r="AG979" s="1153"/>
      <c r="AH979" s="1153"/>
      <c r="AI979" s="732">
        <f t="shared" si="131"/>
        <v>328375358</v>
      </c>
      <c r="AJ979" s="733">
        <f t="shared" si="132"/>
        <v>323426959</v>
      </c>
    </row>
    <row r="980" spans="1:36">
      <c r="A980" s="746" t="s">
        <v>549</v>
      </c>
      <c r="B980" s="742" t="s">
        <v>62</v>
      </c>
      <c r="C980" s="745" t="s">
        <v>556</v>
      </c>
      <c r="D980" s="747"/>
      <c r="E980" s="737">
        <v>161873</v>
      </c>
      <c r="F980" s="737">
        <v>3</v>
      </c>
      <c r="G980" s="1152">
        <v>40742183</v>
      </c>
      <c r="H980" s="1153">
        <v>43059381</v>
      </c>
      <c r="I980" s="1152"/>
      <c r="J980" s="1153"/>
      <c r="K980" s="1152"/>
      <c r="L980" s="1153"/>
      <c r="M980" s="1152">
        <v>55009041</v>
      </c>
      <c r="N980" s="1152"/>
      <c r="O980" s="732">
        <f t="shared" si="125"/>
        <v>55009041</v>
      </c>
      <c r="P980" s="1153">
        <v>52981489</v>
      </c>
      <c r="Q980" s="1153"/>
      <c r="R980" s="733">
        <f t="shared" si="128"/>
        <v>52981489</v>
      </c>
      <c r="S980" s="732">
        <f t="shared" si="129"/>
        <v>95751224</v>
      </c>
      <c r="T980" s="733">
        <f t="shared" si="130"/>
        <v>96040870</v>
      </c>
      <c r="U980" s="1152"/>
      <c r="V980" s="1153"/>
      <c r="W980" s="1152"/>
      <c r="X980" s="1152"/>
      <c r="Y980" s="732">
        <f t="shared" si="126"/>
        <v>0</v>
      </c>
      <c r="Z980" s="1153"/>
      <c r="AA980" s="1153"/>
      <c r="AB980" s="733">
        <f t="shared" si="127"/>
        <v>0</v>
      </c>
      <c r="AC980" s="1152"/>
      <c r="AD980" s="1153"/>
      <c r="AE980" s="1152"/>
      <c r="AF980" s="1152"/>
      <c r="AG980" s="1153"/>
      <c r="AH980" s="1153"/>
      <c r="AI980" s="732">
        <f t="shared" si="131"/>
        <v>95751224</v>
      </c>
      <c r="AJ980" s="733">
        <f t="shared" si="132"/>
        <v>96040870</v>
      </c>
    </row>
    <row r="981" spans="1:36" customFormat="1" ht="15" customHeight="1">
      <c r="A981" s="746" t="s">
        <v>549</v>
      </c>
      <c r="B981" s="738" t="s">
        <v>238</v>
      </c>
      <c r="C981" s="753" t="s">
        <v>579</v>
      </c>
      <c r="D981" s="754"/>
      <c r="E981" s="741">
        <v>163259</v>
      </c>
      <c r="F981" s="741">
        <v>15</v>
      </c>
      <c r="G981" s="1152"/>
      <c r="H981" s="1153"/>
      <c r="I981" s="1152"/>
      <c r="J981" s="1153"/>
      <c r="K981" s="1152"/>
      <c r="L981" s="1153"/>
      <c r="M981" s="1152"/>
      <c r="N981" s="1152"/>
      <c r="O981" s="732">
        <f t="shared" si="125"/>
        <v>0</v>
      </c>
      <c r="P981" s="1153"/>
      <c r="Q981" s="1153"/>
      <c r="R981" s="733">
        <f t="shared" si="128"/>
        <v>0</v>
      </c>
      <c r="S981" s="732">
        <f t="shared" si="129"/>
        <v>0</v>
      </c>
      <c r="T981" s="733">
        <f t="shared" si="130"/>
        <v>0</v>
      </c>
      <c r="U981" s="1152"/>
      <c r="V981" s="1153"/>
      <c r="W981" s="1152"/>
      <c r="X981" s="1152"/>
      <c r="Y981" s="732">
        <f t="shared" si="126"/>
        <v>0</v>
      </c>
      <c r="Z981" s="1153"/>
      <c r="AA981" s="1153"/>
      <c r="AB981" s="733">
        <f t="shared" si="127"/>
        <v>0</v>
      </c>
      <c r="AC981" s="1152">
        <v>252312068</v>
      </c>
      <c r="AD981" s="1153">
        <v>244296504</v>
      </c>
      <c r="AE981" s="1152">
        <v>162219794</v>
      </c>
      <c r="AF981" s="1152"/>
      <c r="AG981" s="1153">
        <v>165462822</v>
      </c>
      <c r="AH981" s="1153"/>
      <c r="AI981" s="732">
        <f t="shared" si="131"/>
        <v>414531862</v>
      </c>
      <c r="AJ981" s="733">
        <f t="shared" si="132"/>
        <v>409759326</v>
      </c>
    </row>
    <row r="982" spans="1:36">
      <c r="A982" s="746" t="s">
        <v>549</v>
      </c>
      <c r="B982" s="742" t="s">
        <v>62</v>
      </c>
      <c r="C982" s="745" t="s">
        <v>554</v>
      </c>
      <c r="D982" s="744"/>
      <c r="E982" s="737">
        <v>163268</v>
      </c>
      <c r="F982" s="737">
        <v>2</v>
      </c>
      <c r="G982" s="1152">
        <v>146608173</v>
      </c>
      <c r="H982" s="1153">
        <v>150547827</v>
      </c>
      <c r="I982" s="1152"/>
      <c r="J982" s="1153"/>
      <c r="K982" s="1152"/>
      <c r="L982" s="1153"/>
      <c r="M982" s="1152">
        <v>138851463</v>
      </c>
      <c r="N982" s="1152"/>
      <c r="O982" s="732">
        <f t="shared" si="125"/>
        <v>138851463</v>
      </c>
      <c r="P982" s="1153">
        <v>135883447</v>
      </c>
      <c r="Q982" s="1153"/>
      <c r="R982" s="733">
        <f t="shared" si="128"/>
        <v>135883447</v>
      </c>
      <c r="S982" s="732">
        <f t="shared" si="129"/>
        <v>285459636</v>
      </c>
      <c r="T982" s="733">
        <f t="shared" si="130"/>
        <v>286431274</v>
      </c>
      <c r="U982" s="1152"/>
      <c r="V982" s="1153"/>
      <c r="W982" s="1152"/>
      <c r="X982" s="1152"/>
      <c r="Y982" s="732">
        <f t="shared" si="126"/>
        <v>0</v>
      </c>
      <c r="Z982" s="1153"/>
      <c r="AA982" s="1153"/>
      <c r="AB982" s="733">
        <f t="shared" si="127"/>
        <v>0</v>
      </c>
      <c r="AC982" s="1152"/>
      <c r="AD982" s="1153"/>
      <c r="AE982" s="1152"/>
      <c r="AF982" s="1152"/>
      <c r="AG982" s="1153"/>
      <c r="AH982" s="1153"/>
      <c r="AI982" s="732">
        <f t="shared" si="131"/>
        <v>285459636</v>
      </c>
      <c r="AJ982" s="733">
        <f t="shared" si="132"/>
        <v>286431274</v>
      </c>
    </row>
    <row r="983" spans="1:36">
      <c r="A983" s="737" t="s">
        <v>549</v>
      </c>
      <c r="B983" s="738" t="s">
        <v>62</v>
      </c>
      <c r="C983" s="739" t="s">
        <v>550</v>
      </c>
      <c r="D983" s="740"/>
      <c r="E983" s="741">
        <v>163286</v>
      </c>
      <c r="F983" s="741">
        <v>1</v>
      </c>
      <c r="G983" s="1152">
        <v>569162254</v>
      </c>
      <c r="H983" s="1153">
        <v>574531421</v>
      </c>
      <c r="I983" s="1152"/>
      <c r="J983" s="1153"/>
      <c r="K983" s="1152"/>
      <c r="L983" s="1153"/>
      <c r="M983" s="1152">
        <v>661680357</v>
      </c>
      <c r="N983" s="1152"/>
      <c r="O983" s="732">
        <f t="shared" si="125"/>
        <v>661680357</v>
      </c>
      <c r="P983" s="1153">
        <v>641276745</v>
      </c>
      <c r="Q983" s="1153"/>
      <c r="R983" s="733">
        <f t="shared" si="128"/>
        <v>641276745</v>
      </c>
      <c r="S983" s="732">
        <f t="shared" si="129"/>
        <v>1230842611</v>
      </c>
      <c r="T983" s="733">
        <f t="shared" si="130"/>
        <v>1215808166</v>
      </c>
      <c r="U983" s="1152"/>
      <c r="V983" s="1153"/>
      <c r="W983" s="1152"/>
      <c r="X983" s="1152"/>
      <c r="Y983" s="732">
        <f t="shared" si="126"/>
        <v>0</v>
      </c>
      <c r="Z983" s="1153"/>
      <c r="AA983" s="1153"/>
      <c r="AB983" s="733">
        <f t="shared" si="127"/>
        <v>0</v>
      </c>
      <c r="AC983" s="1152"/>
      <c r="AD983" s="1153"/>
      <c r="AE983" s="1152"/>
      <c r="AF983" s="1152"/>
      <c r="AG983" s="1153"/>
      <c r="AH983" s="1153"/>
      <c r="AI983" s="732">
        <f t="shared" si="131"/>
        <v>1230842611</v>
      </c>
      <c r="AJ983" s="733">
        <f t="shared" si="132"/>
        <v>1215808166</v>
      </c>
    </row>
    <row r="984" spans="1:36">
      <c r="A984" s="737" t="s">
        <v>549</v>
      </c>
      <c r="B984" s="742" t="s">
        <v>71</v>
      </c>
      <c r="C984" s="743" t="s">
        <v>551</v>
      </c>
      <c r="D984" s="744"/>
      <c r="E984" s="737">
        <v>163286</v>
      </c>
      <c r="F984" s="737">
        <v>1</v>
      </c>
      <c r="G984" s="1152"/>
      <c r="H984" s="1153"/>
      <c r="I984" s="1152"/>
      <c r="J984" s="1153"/>
      <c r="K984" s="1152"/>
      <c r="L984" s="1153"/>
      <c r="M984" s="1152"/>
      <c r="N984" s="1152"/>
      <c r="O984" s="732">
        <f t="shared" si="125"/>
        <v>0</v>
      </c>
      <c r="P984" s="1153"/>
      <c r="Q984" s="1153"/>
      <c r="R984" s="733">
        <f t="shared" si="128"/>
        <v>0</v>
      </c>
      <c r="S984" s="732">
        <f t="shared" si="129"/>
        <v>0</v>
      </c>
      <c r="T984" s="733">
        <f t="shared" si="130"/>
        <v>0</v>
      </c>
      <c r="U984" s="1152"/>
      <c r="V984" s="1153"/>
      <c r="W984" s="1152"/>
      <c r="X984" s="1152"/>
      <c r="Y984" s="732">
        <f t="shared" si="126"/>
        <v>0</v>
      </c>
      <c r="Z984" s="1153"/>
      <c r="AA984" s="1153"/>
      <c r="AB984" s="733">
        <f t="shared" si="127"/>
        <v>0</v>
      </c>
      <c r="AC984" s="1152"/>
      <c r="AD984" s="1153"/>
      <c r="AE984" s="1152"/>
      <c r="AF984" s="1152"/>
      <c r="AG984" s="1153"/>
      <c r="AH984" s="1153"/>
      <c r="AI984" s="732">
        <f t="shared" si="131"/>
        <v>0</v>
      </c>
      <c r="AJ984" s="733">
        <f t="shared" si="132"/>
        <v>0</v>
      </c>
    </row>
    <row r="985" spans="1:36">
      <c r="A985" s="737" t="s">
        <v>549</v>
      </c>
      <c r="B985" s="742" t="s">
        <v>74</v>
      </c>
      <c r="C985" s="745" t="s">
        <v>75</v>
      </c>
      <c r="D985" s="744"/>
      <c r="E985" s="737">
        <v>163286</v>
      </c>
      <c r="F985" s="737">
        <v>1</v>
      </c>
      <c r="G985" s="1152"/>
      <c r="H985" s="1153"/>
      <c r="I985" s="1152">
        <v>21977795</v>
      </c>
      <c r="J985" s="1153">
        <v>20985732</v>
      </c>
      <c r="K985" s="1152"/>
      <c r="L985" s="1153"/>
      <c r="M985" s="1152"/>
      <c r="N985" s="1152"/>
      <c r="O985" s="732">
        <f t="shared" si="125"/>
        <v>0</v>
      </c>
      <c r="P985" s="1153"/>
      <c r="Q985" s="1153"/>
      <c r="R985" s="733">
        <f t="shared" si="128"/>
        <v>0</v>
      </c>
      <c r="S985" s="732">
        <f t="shared" si="129"/>
        <v>21977795</v>
      </c>
      <c r="T985" s="733">
        <f t="shared" si="130"/>
        <v>20985732</v>
      </c>
      <c r="U985" s="1152"/>
      <c r="V985" s="1153"/>
      <c r="W985" s="1152"/>
      <c r="X985" s="1152"/>
      <c r="Y985" s="732">
        <f t="shared" si="126"/>
        <v>0</v>
      </c>
      <c r="Z985" s="1153"/>
      <c r="AA985" s="1153"/>
      <c r="AB985" s="733">
        <f t="shared" si="127"/>
        <v>0</v>
      </c>
      <c r="AC985" s="1152"/>
      <c r="AD985" s="1153"/>
      <c r="AE985" s="1152"/>
      <c r="AF985" s="1152"/>
      <c r="AG985" s="1153"/>
      <c r="AH985" s="1153"/>
      <c r="AI985" s="732">
        <f t="shared" si="131"/>
        <v>21977795</v>
      </c>
      <c r="AJ985" s="733">
        <f t="shared" si="132"/>
        <v>20985732</v>
      </c>
    </row>
    <row r="986" spans="1:36">
      <c r="A986" s="737" t="s">
        <v>549</v>
      </c>
      <c r="B986" s="742" t="s">
        <v>76</v>
      </c>
      <c r="C986" s="743" t="s">
        <v>77</v>
      </c>
      <c r="D986" s="744"/>
      <c r="E986" s="737">
        <v>163286</v>
      </c>
      <c r="F986" s="737">
        <v>1</v>
      </c>
      <c r="G986" s="1152"/>
      <c r="H986" s="1153"/>
      <c r="I986" s="1152">
        <v>20866153</v>
      </c>
      <c r="J986" s="1153">
        <v>20495273</v>
      </c>
      <c r="K986" s="1152"/>
      <c r="L986" s="1153"/>
      <c r="M986" s="1152"/>
      <c r="N986" s="1152"/>
      <c r="O986" s="732">
        <f t="shared" si="125"/>
        <v>0</v>
      </c>
      <c r="P986" s="1153"/>
      <c r="Q986" s="1153"/>
      <c r="R986" s="733">
        <f t="shared" si="128"/>
        <v>0</v>
      </c>
      <c r="S986" s="732">
        <f t="shared" si="129"/>
        <v>20866153</v>
      </c>
      <c r="T986" s="733">
        <f t="shared" si="130"/>
        <v>20495273</v>
      </c>
      <c r="U986" s="1152"/>
      <c r="V986" s="1153"/>
      <c r="W986" s="1152"/>
      <c r="X986" s="1152"/>
      <c r="Y986" s="732">
        <f t="shared" si="126"/>
        <v>0</v>
      </c>
      <c r="Z986" s="1153"/>
      <c r="AA986" s="1153"/>
      <c r="AB986" s="733">
        <f t="shared" si="127"/>
        <v>0</v>
      </c>
      <c r="AC986" s="1152"/>
      <c r="AD986" s="1153"/>
      <c r="AE986" s="1152"/>
      <c r="AF986" s="1152"/>
      <c r="AG986" s="1153"/>
      <c r="AH986" s="1153"/>
      <c r="AI986" s="732">
        <f t="shared" si="131"/>
        <v>20866153</v>
      </c>
      <c r="AJ986" s="733">
        <f t="shared" si="132"/>
        <v>20495273</v>
      </c>
    </row>
    <row r="987" spans="1:36">
      <c r="A987" s="737" t="s">
        <v>549</v>
      </c>
      <c r="B987" s="742" t="s">
        <v>78</v>
      </c>
      <c r="C987" s="743" t="s">
        <v>79</v>
      </c>
      <c r="D987" s="744"/>
      <c r="E987" s="737">
        <v>163286</v>
      </c>
      <c r="F987" s="737">
        <v>1</v>
      </c>
      <c r="G987" s="1152"/>
      <c r="H987" s="1153"/>
      <c r="I987" s="1152"/>
      <c r="J987" s="1153"/>
      <c r="K987" s="1152"/>
      <c r="L987" s="1153"/>
      <c r="M987" s="1152"/>
      <c r="N987" s="1152"/>
      <c r="O987" s="732">
        <f t="shared" si="125"/>
        <v>0</v>
      </c>
      <c r="P987" s="1153"/>
      <c r="Q987" s="1153"/>
      <c r="R987" s="733">
        <f t="shared" si="128"/>
        <v>0</v>
      </c>
      <c r="S987" s="732">
        <f t="shared" si="129"/>
        <v>0</v>
      </c>
      <c r="T987" s="733">
        <f t="shared" si="130"/>
        <v>0</v>
      </c>
      <c r="U987" s="1152"/>
      <c r="V987" s="1153"/>
      <c r="W987" s="1152"/>
      <c r="X987" s="1152"/>
      <c r="Y987" s="732">
        <f t="shared" si="126"/>
        <v>0</v>
      </c>
      <c r="Z987" s="1153"/>
      <c r="AA987" s="1153"/>
      <c r="AB987" s="733">
        <f t="shared" si="127"/>
        <v>0</v>
      </c>
      <c r="AC987" s="1152"/>
      <c r="AD987" s="1153"/>
      <c r="AE987" s="1152"/>
      <c r="AF987" s="1152"/>
      <c r="AG987" s="1153"/>
      <c r="AH987" s="1153"/>
      <c r="AI987" s="732">
        <f t="shared" si="131"/>
        <v>0</v>
      </c>
      <c r="AJ987" s="733">
        <f t="shared" si="132"/>
        <v>0</v>
      </c>
    </row>
    <row r="988" spans="1:36">
      <c r="A988" s="737" t="s">
        <v>549</v>
      </c>
      <c r="B988" s="742" t="s">
        <v>78</v>
      </c>
      <c r="C988" s="743" t="s">
        <v>552</v>
      </c>
      <c r="D988" s="744"/>
      <c r="E988" s="737">
        <v>163286</v>
      </c>
      <c r="F988" s="737">
        <v>1</v>
      </c>
      <c r="G988" s="1152"/>
      <c r="H988" s="1153"/>
      <c r="I988" s="1152">
        <v>23615565</v>
      </c>
      <c r="J988" s="1153">
        <v>22066489</v>
      </c>
      <c r="K988" s="1152"/>
      <c r="L988" s="1153"/>
      <c r="M988" s="1152"/>
      <c r="N988" s="1152"/>
      <c r="O988" s="732">
        <f t="shared" si="125"/>
        <v>0</v>
      </c>
      <c r="P988" s="1153"/>
      <c r="Q988" s="1153"/>
      <c r="R988" s="733">
        <f t="shared" si="128"/>
        <v>0</v>
      </c>
      <c r="S988" s="732">
        <f t="shared" si="129"/>
        <v>23615565</v>
      </c>
      <c r="T988" s="733">
        <f t="shared" si="130"/>
        <v>22066489</v>
      </c>
      <c r="U988" s="1152"/>
      <c r="V988" s="1153"/>
      <c r="W988" s="1152"/>
      <c r="X988" s="1152"/>
      <c r="Y988" s="732">
        <f t="shared" si="126"/>
        <v>0</v>
      </c>
      <c r="Z988" s="1153"/>
      <c r="AA988" s="1153"/>
      <c r="AB988" s="733">
        <f t="shared" si="127"/>
        <v>0</v>
      </c>
      <c r="AC988" s="1152"/>
      <c r="AD988" s="1153"/>
      <c r="AE988" s="1152"/>
      <c r="AF988" s="1152"/>
      <c r="AG988" s="1153"/>
      <c r="AH988" s="1153"/>
      <c r="AI988" s="732">
        <f t="shared" si="131"/>
        <v>23615565</v>
      </c>
      <c r="AJ988" s="733">
        <f t="shared" si="132"/>
        <v>22066489</v>
      </c>
    </row>
    <row r="989" spans="1:36">
      <c r="A989" s="746" t="s">
        <v>549</v>
      </c>
      <c r="B989" s="742" t="s">
        <v>62</v>
      </c>
      <c r="C989" s="745" t="s">
        <v>560</v>
      </c>
      <c r="D989" s="744"/>
      <c r="E989" s="737">
        <v>163338</v>
      </c>
      <c r="F989" s="737">
        <v>4</v>
      </c>
      <c r="G989" s="1152">
        <v>45885966</v>
      </c>
      <c r="H989" s="1153">
        <v>47398557</v>
      </c>
      <c r="I989" s="1152"/>
      <c r="J989" s="1153"/>
      <c r="K989" s="1152"/>
      <c r="L989" s="1153"/>
      <c r="M989" s="1152">
        <v>24212820</v>
      </c>
      <c r="N989" s="1152"/>
      <c r="O989" s="732">
        <f t="shared" si="125"/>
        <v>24212820</v>
      </c>
      <c r="P989" s="1153">
        <v>22654394</v>
      </c>
      <c r="Q989" s="1153"/>
      <c r="R989" s="733">
        <f t="shared" si="128"/>
        <v>22654394</v>
      </c>
      <c r="S989" s="732">
        <f t="shared" si="129"/>
        <v>70098786</v>
      </c>
      <c r="T989" s="733">
        <f t="shared" si="130"/>
        <v>70052951</v>
      </c>
      <c r="U989" s="1152"/>
      <c r="V989" s="1153"/>
      <c r="W989" s="1152"/>
      <c r="X989" s="1152"/>
      <c r="Y989" s="732">
        <f t="shared" si="126"/>
        <v>0</v>
      </c>
      <c r="Z989" s="1153"/>
      <c r="AA989" s="1153"/>
      <c r="AB989" s="733">
        <f t="shared" si="127"/>
        <v>0</v>
      </c>
      <c r="AC989" s="1152"/>
      <c r="AD989" s="1153"/>
      <c r="AE989" s="1152"/>
      <c r="AF989" s="1152"/>
      <c r="AG989" s="1153"/>
      <c r="AH989" s="1153"/>
      <c r="AI989" s="732">
        <f t="shared" si="131"/>
        <v>70098786</v>
      </c>
      <c r="AJ989" s="733">
        <f t="shared" si="132"/>
        <v>70052951</v>
      </c>
    </row>
    <row r="990" spans="1:36">
      <c r="A990" s="746" t="s">
        <v>549</v>
      </c>
      <c r="B990" s="738" t="s">
        <v>116</v>
      </c>
      <c r="C990" s="750" t="s">
        <v>1446</v>
      </c>
      <c r="D990" s="751"/>
      <c r="E990" s="741">
        <v>163204</v>
      </c>
      <c r="F990" s="741">
        <v>15</v>
      </c>
      <c r="G990" s="1152"/>
      <c r="H990" s="1153"/>
      <c r="I990" s="1152"/>
      <c r="J990" s="1153"/>
      <c r="K990" s="1152"/>
      <c r="L990" s="1153"/>
      <c r="M990" s="1152"/>
      <c r="N990" s="1152"/>
      <c r="O990" s="732">
        <f t="shared" si="125"/>
        <v>0</v>
      </c>
      <c r="P990" s="1153"/>
      <c r="Q990" s="1153"/>
      <c r="R990" s="733">
        <f t="shared" si="128"/>
        <v>0</v>
      </c>
      <c r="S990" s="732">
        <f t="shared" si="129"/>
        <v>0</v>
      </c>
      <c r="T990" s="733">
        <f t="shared" si="130"/>
        <v>0</v>
      </c>
      <c r="U990" s="1152">
        <v>44322848</v>
      </c>
      <c r="V990" s="1153">
        <v>44297206</v>
      </c>
      <c r="W990" s="1152">
        <v>356205595</v>
      </c>
      <c r="X990" s="1152"/>
      <c r="Y990" s="732">
        <f t="shared" si="126"/>
        <v>356205595</v>
      </c>
      <c r="Z990" s="1153">
        <v>369044818</v>
      </c>
      <c r="AA990" s="1153"/>
      <c r="AB990" s="733">
        <f t="shared" si="127"/>
        <v>369044818</v>
      </c>
      <c r="AC990" s="1152"/>
      <c r="AD990" s="1153"/>
      <c r="AE990" s="1152"/>
      <c r="AF990" s="1152"/>
      <c r="AG990" s="1153"/>
      <c r="AH990" s="1153"/>
      <c r="AI990" s="732">
        <f t="shared" si="131"/>
        <v>400528443</v>
      </c>
      <c r="AJ990" s="733">
        <f t="shared" si="132"/>
        <v>413342024</v>
      </c>
    </row>
    <row r="991" spans="1:36">
      <c r="A991" s="746" t="s">
        <v>549</v>
      </c>
      <c r="B991" s="742" t="s">
        <v>62</v>
      </c>
      <c r="C991" s="745" t="s">
        <v>553</v>
      </c>
      <c r="D991" s="744"/>
      <c r="E991" s="737">
        <v>163453</v>
      </c>
      <c r="F991" s="737">
        <v>2</v>
      </c>
      <c r="G991" s="1152">
        <v>102341753</v>
      </c>
      <c r="H991" s="1153">
        <v>109864102</v>
      </c>
      <c r="I991" s="1152"/>
      <c r="J991" s="1153"/>
      <c r="K991" s="1152"/>
      <c r="L991" s="1153"/>
      <c r="M991" s="1152">
        <v>66369473</v>
      </c>
      <c r="N991" s="1152"/>
      <c r="O991" s="732">
        <f t="shared" si="125"/>
        <v>66369473</v>
      </c>
      <c r="P991" s="1153">
        <v>65987073</v>
      </c>
      <c r="Q991" s="1153"/>
      <c r="R991" s="733">
        <f t="shared" si="128"/>
        <v>65987073</v>
      </c>
      <c r="S991" s="732">
        <f t="shared" si="129"/>
        <v>168711226</v>
      </c>
      <c r="T991" s="733">
        <f t="shared" si="130"/>
        <v>175851175</v>
      </c>
      <c r="U991" s="1152"/>
      <c r="V991" s="1153"/>
      <c r="W991" s="1152"/>
      <c r="X991" s="1152"/>
      <c r="Y991" s="732">
        <f t="shared" si="126"/>
        <v>0</v>
      </c>
      <c r="Z991" s="1153"/>
      <c r="AA991" s="1153"/>
      <c r="AB991" s="733">
        <f t="shared" si="127"/>
        <v>0</v>
      </c>
      <c r="AC991" s="1152"/>
      <c r="AD991" s="1153"/>
      <c r="AE991" s="1152"/>
      <c r="AF991" s="1152"/>
      <c r="AG991" s="1153"/>
      <c r="AH991" s="1153"/>
      <c r="AI991" s="732">
        <f t="shared" si="131"/>
        <v>168711226</v>
      </c>
      <c r="AJ991" s="733">
        <f t="shared" si="132"/>
        <v>175851175</v>
      </c>
    </row>
    <row r="992" spans="1:36">
      <c r="A992" s="737" t="s">
        <v>549</v>
      </c>
      <c r="B992" s="738" t="s">
        <v>62</v>
      </c>
      <c r="C992" s="748" t="s">
        <v>562</v>
      </c>
      <c r="D992" s="715"/>
      <c r="E992" s="741">
        <v>163912</v>
      </c>
      <c r="F992" s="741">
        <v>6</v>
      </c>
      <c r="G992" s="1152">
        <v>27157749</v>
      </c>
      <c r="H992" s="1153">
        <v>27281844</v>
      </c>
      <c r="I992" s="1152"/>
      <c r="J992" s="1153"/>
      <c r="K992" s="1152"/>
      <c r="L992" s="1153"/>
      <c r="M992" s="1152">
        <v>22568407</v>
      </c>
      <c r="N992" s="1152"/>
      <c r="O992" s="732">
        <f t="shared" si="125"/>
        <v>22568407</v>
      </c>
      <c r="P992" s="1153">
        <v>22396717</v>
      </c>
      <c r="Q992" s="1153"/>
      <c r="R992" s="733">
        <f t="shared" si="128"/>
        <v>22396717</v>
      </c>
      <c r="S992" s="732">
        <f t="shared" si="129"/>
        <v>49726156</v>
      </c>
      <c r="T992" s="733">
        <f t="shared" si="130"/>
        <v>49678561</v>
      </c>
      <c r="U992" s="1152"/>
      <c r="V992" s="1153"/>
      <c r="W992" s="1152"/>
      <c r="X992" s="1152"/>
      <c r="Y992" s="732">
        <f t="shared" si="126"/>
        <v>0</v>
      </c>
      <c r="Z992" s="1153"/>
      <c r="AA992" s="1153"/>
      <c r="AB992" s="733">
        <f t="shared" si="127"/>
        <v>0</v>
      </c>
      <c r="AC992" s="1152"/>
      <c r="AD992" s="1153"/>
      <c r="AE992" s="1152"/>
      <c r="AF992" s="1152"/>
      <c r="AG992" s="1153"/>
      <c r="AH992" s="1153"/>
      <c r="AI992" s="732">
        <f t="shared" si="131"/>
        <v>49726156</v>
      </c>
      <c r="AJ992" s="733">
        <f t="shared" si="132"/>
        <v>49678561</v>
      </c>
    </row>
    <row r="993" spans="1:36">
      <c r="A993" s="737" t="s">
        <v>549</v>
      </c>
      <c r="B993" s="738" t="s">
        <v>132</v>
      </c>
      <c r="C993" s="745" t="s">
        <v>476</v>
      </c>
      <c r="D993" s="744"/>
      <c r="E993" s="741"/>
      <c r="F993" s="741">
        <v>99</v>
      </c>
      <c r="G993" s="1152"/>
      <c r="H993" s="1153"/>
      <c r="I993" s="1152"/>
      <c r="J993" s="1153"/>
      <c r="K993" s="1152"/>
      <c r="L993" s="1153"/>
      <c r="M993" s="1152"/>
      <c r="N993" s="1152"/>
      <c r="O993" s="732">
        <f t="shared" si="125"/>
        <v>0</v>
      </c>
      <c r="P993" s="1153"/>
      <c r="Q993" s="1153"/>
      <c r="R993" s="733">
        <f t="shared" si="128"/>
        <v>0</v>
      </c>
      <c r="S993" s="732">
        <f t="shared" si="129"/>
        <v>0</v>
      </c>
      <c r="T993" s="733">
        <f t="shared" si="130"/>
        <v>0</v>
      </c>
      <c r="U993" s="1152"/>
      <c r="V993" s="1153"/>
      <c r="W993" s="1152"/>
      <c r="X993" s="1152"/>
      <c r="Y993" s="732">
        <f t="shared" si="126"/>
        <v>0</v>
      </c>
      <c r="Z993" s="1153"/>
      <c r="AA993" s="1153"/>
      <c r="AB993" s="733">
        <f t="shared" si="127"/>
        <v>0</v>
      </c>
      <c r="AC993" s="1152"/>
      <c r="AD993" s="1153"/>
      <c r="AE993" s="1152"/>
      <c r="AF993" s="1152"/>
      <c r="AG993" s="1153"/>
      <c r="AH993" s="1153"/>
      <c r="AI993" s="732">
        <f t="shared" si="131"/>
        <v>0</v>
      </c>
      <c r="AJ993" s="733">
        <f t="shared" si="132"/>
        <v>0</v>
      </c>
    </row>
    <row r="994" spans="1:36">
      <c r="A994" s="746" t="s">
        <v>549</v>
      </c>
      <c r="B994" s="738" t="s">
        <v>132</v>
      </c>
      <c r="C994" s="750" t="s">
        <v>580</v>
      </c>
      <c r="D994" s="751"/>
      <c r="E994" s="741"/>
      <c r="F994" s="741">
        <v>99</v>
      </c>
      <c r="G994" s="1152"/>
      <c r="H994" s="1153"/>
      <c r="I994" s="1152">
        <v>6000000</v>
      </c>
      <c r="J994" s="1153">
        <v>6000000</v>
      </c>
      <c r="K994" s="1152"/>
      <c r="L994" s="1153"/>
      <c r="M994" s="1152"/>
      <c r="N994" s="1152"/>
      <c r="O994" s="732">
        <f t="shared" si="125"/>
        <v>0</v>
      </c>
      <c r="P994" s="1153"/>
      <c r="Q994" s="1153"/>
      <c r="R994" s="733">
        <f t="shared" si="128"/>
        <v>0</v>
      </c>
      <c r="S994" s="732">
        <f t="shared" si="129"/>
        <v>6000000</v>
      </c>
      <c r="T994" s="733">
        <f t="shared" si="130"/>
        <v>6000000</v>
      </c>
      <c r="U994" s="1152"/>
      <c r="V994" s="1153"/>
      <c r="W994" s="1152"/>
      <c r="X994" s="1152"/>
      <c r="Y994" s="732">
        <f t="shared" si="126"/>
        <v>0</v>
      </c>
      <c r="Z994" s="1153"/>
      <c r="AA994" s="1153"/>
      <c r="AB994" s="733">
        <f t="shared" si="127"/>
        <v>0</v>
      </c>
      <c r="AC994" s="1152"/>
      <c r="AD994" s="1153"/>
      <c r="AE994" s="1152"/>
      <c r="AF994" s="1152"/>
      <c r="AG994" s="1153"/>
      <c r="AH994" s="1153"/>
      <c r="AI994" s="732">
        <f t="shared" si="131"/>
        <v>6000000</v>
      </c>
      <c r="AJ994" s="733">
        <f t="shared" si="132"/>
        <v>6000000</v>
      </c>
    </row>
    <row r="995" spans="1:36">
      <c r="A995" s="746" t="s">
        <v>549</v>
      </c>
      <c r="B995" s="738" t="s">
        <v>138</v>
      </c>
      <c r="C995" s="740" t="s">
        <v>139</v>
      </c>
      <c r="D995" s="740"/>
      <c r="E995" s="741"/>
      <c r="F995" s="741">
        <v>99</v>
      </c>
      <c r="G995" s="1152"/>
      <c r="H995" s="1153"/>
      <c r="I995" s="1152"/>
      <c r="J995" s="1153"/>
      <c r="K995" s="1152"/>
      <c r="L995" s="1153"/>
      <c r="M995" s="1152"/>
      <c r="N995" s="1152"/>
      <c r="O995" s="732">
        <f t="shared" si="125"/>
        <v>0</v>
      </c>
      <c r="P995" s="1153"/>
      <c r="Q995" s="1153"/>
      <c r="R995" s="733">
        <f t="shared" si="128"/>
        <v>0</v>
      </c>
      <c r="S995" s="732">
        <f t="shared" si="129"/>
        <v>0</v>
      </c>
      <c r="T995" s="733">
        <f t="shared" si="130"/>
        <v>0</v>
      </c>
      <c r="U995" s="1152"/>
      <c r="V995" s="1153"/>
      <c r="W995" s="1152"/>
      <c r="X995" s="1152"/>
      <c r="Y995" s="732">
        <f t="shared" si="126"/>
        <v>0</v>
      </c>
      <c r="Z995" s="1153"/>
      <c r="AA995" s="1153"/>
      <c r="AB995" s="733">
        <f t="shared" si="127"/>
        <v>0</v>
      </c>
      <c r="AC995" s="1152"/>
      <c r="AD995" s="1153"/>
      <c r="AE995" s="1152"/>
      <c r="AF995" s="1152"/>
      <c r="AG995" s="1153"/>
      <c r="AH995" s="1153"/>
      <c r="AI995" s="732">
        <f t="shared" si="131"/>
        <v>0</v>
      </c>
      <c r="AJ995" s="733">
        <f t="shared" si="132"/>
        <v>0</v>
      </c>
    </row>
    <row r="996" spans="1:36">
      <c r="A996" s="746" t="s">
        <v>549</v>
      </c>
      <c r="B996" s="738" t="s">
        <v>140</v>
      </c>
      <c r="C996" s="755" t="s">
        <v>141</v>
      </c>
      <c r="D996" s="756"/>
      <c r="E996" s="741"/>
      <c r="F996" s="741">
        <v>99</v>
      </c>
      <c r="G996" s="1152"/>
      <c r="H996" s="1153"/>
      <c r="I996" s="1152"/>
      <c r="J996" s="1153"/>
      <c r="K996" s="1152"/>
      <c r="L996" s="1153"/>
      <c r="M996" s="1152"/>
      <c r="N996" s="1152"/>
      <c r="O996" s="732">
        <f t="shared" si="125"/>
        <v>0</v>
      </c>
      <c r="P996" s="1153"/>
      <c r="Q996" s="1153"/>
      <c r="R996" s="733">
        <f t="shared" si="128"/>
        <v>0</v>
      </c>
      <c r="S996" s="732">
        <f t="shared" si="129"/>
        <v>0</v>
      </c>
      <c r="T996" s="733">
        <f t="shared" si="130"/>
        <v>0</v>
      </c>
      <c r="U996" s="1152"/>
      <c r="V996" s="1153"/>
      <c r="W996" s="1152"/>
      <c r="X996" s="1152"/>
      <c r="Y996" s="732">
        <f t="shared" si="126"/>
        <v>0</v>
      </c>
      <c r="Z996" s="1153"/>
      <c r="AA996" s="1153"/>
      <c r="AB996" s="733">
        <f t="shared" si="127"/>
        <v>0</v>
      </c>
      <c r="AC996" s="1152"/>
      <c r="AD996" s="1153"/>
      <c r="AE996" s="1152"/>
      <c r="AF996" s="1152"/>
      <c r="AG996" s="1153"/>
      <c r="AH996" s="1153"/>
      <c r="AI996" s="732">
        <f t="shared" si="131"/>
        <v>0</v>
      </c>
      <c r="AJ996" s="733">
        <f t="shared" si="132"/>
        <v>0</v>
      </c>
    </row>
    <row r="997" spans="1:36">
      <c r="A997" s="746" t="s">
        <v>549</v>
      </c>
      <c r="B997" s="738" t="s">
        <v>140</v>
      </c>
      <c r="C997" s="757" t="s">
        <v>581</v>
      </c>
      <c r="D997" s="744"/>
      <c r="E997" s="741"/>
      <c r="F997" s="741">
        <v>99</v>
      </c>
      <c r="G997" s="1152"/>
      <c r="H997" s="1153"/>
      <c r="I997" s="1152"/>
      <c r="J997" s="1153"/>
      <c r="K997" s="1152"/>
      <c r="L997" s="1153"/>
      <c r="M997" s="1152"/>
      <c r="N997" s="1152"/>
      <c r="O997" s="732">
        <f t="shared" si="125"/>
        <v>0</v>
      </c>
      <c r="P997" s="1153"/>
      <c r="Q997" s="1153"/>
      <c r="R997" s="733">
        <f t="shared" si="128"/>
        <v>0</v>
      </c>
      <c r="S997" s="732">
        <f t="shared" si="129"/>
        <v>0</v>
      </c>
      <c r="T997" s="733">
        <f t="shared" si="130"/>
        <v>0</v>
      </c>
      <c r="U997" s="1152">
        <v>13539741</v>
      </c>
      <c r="V997" s="1153">
        <v>13429244</v>
      </c>
      <c r="W997" s="1152"/>
      <c r="X997" s="1152"/>
      <c r="Y997" s="732">
        <f t="shared" si="126"/>
        <v>0</v>
      </c>
      <c r="Z997" s="1153"/>
      <c r="AA997" s="1153"/>
      <c r="AB997" s="733">
        <f t="shared" si="127"/>
        <v>0</v>
      </c>
      <c r="AC997" s="1152"/>
      <c r="AD997" s="1153"/>
      <c r="AE997" s="1152"/>
      <c r="AF997" s="1152"/>
      <c r="AG997" s="1153"/>
      <c r="AH997" s="1153"/>
      <c r="AI997" s="732">
        <f t="shared" si="131"/>
        <v>13539741</v>
      </c>
      <c r="AJ997" s="733">
        <f t="shared" si="132"/>
        <v>13429244</v>
      </c>
    </row>
    <row r="998" spans="1:36">
      <c r="A998" s="746" t="s">
        <v>549</v>
      </c>
      <c r="B998" s="738" t="s">
        <v>140</v>
      </c>
      <c r="C998" s="752" t="s">
        <v>582</v>
      </c>
      <c r="D998" s="751"/>
      <c r="E998" s="741"/>
      <c r="F998" s="741">
        <v>99</v>
      </c>
      <c r="G998" s="1152"/>
      <c r="H998" s="1153"/>
      <c r="I998" s="1152"/>
      <c r="J998" s="1153"/>
      <c r="K998" s="1152"/>
      <c r="L998" s="1153"/>
      <c r="M998" s="1152"/>
      <c r="N998" s="1152"/>
      <c r="O998" s="732">
        <f t="shared" si="125"/>
        <v>0</v>
      </c>
      <c r="P998" s="1153"/>
      <c r="Q998" s="1153"/>
      <c r="R998" s="733">
        <f t="shared" si="128"/>
        <v>0</v>
      </c>
      <c r="S998" s="732">
        <f t="shared" si="129"/>
        <v>0</v>
      </c>
      <c r="T998" s="733">
        <f t="shared" si="130"/>
        <v>0</v>
      </c>
      <c r="U998" s="1152">
        <v>6011808</v>
      </c>
      <c r="V998" s="1153">
        <v>6621511</v>
      </c>
      <c r="W998" s="1152"/>
      <c r="X998" s="1152"/>
      <c r="Y998" s="732">
        <f t="shared" si="126"/>
        <v>0</v>
      </c>
      <c r="Z998" s="1153"/>
      <c r="AA998" s="1153"/>
      <c r="AB998" s="733">
        <f t="shared" si="127"/>
        <v>0</v>
      </c>
      <c r="AC998" s="1152"/>
      <c r="AD998" s="1153"/>
      <c r="AE998" s="1152"/>
      <c r="AF998" s="1152"/>
      <c r="AG998" s="1153"/>
      <c r="AH998" s="1153"/>
      <c r="AI998" s="732">
        <f t="shared" si="131"/>
        <v>6011808</v>
      </c>
      <c r="AJ998" s="733">
        <f t="shared" si="132"/>
        <v>6621511</v>
      </c>
    </row>
    <row r="999" spans="1:36">
      <c r="A999" s="746" t="s">
        <v>549</v>
      </c>
      <c r="B999" s="738" t="s">
        <v>145</v>
      </c>
      <c r="C999" s="768" t="s">
        <v>146</v>
      </c>
      <c r="D999" s="751"/>
      <c r="E999" s="741"/>
      <c r="F999" s="741">
        <v>99</v>
      </c>
      <c r="G999" s="1152"/>
      <c r="H999" s="1153"/>
      <c r="I999" s="1152"/>
      <c r="J999" s="1153"/>
      <c r="K999" s="1152"/>
      <c r="L999" s="1153"/>
      <c r="M999" s="1152"/>
      <c r="N999" s="1152"/>
      <c r="O999" s="732">
        <f t="shared" si="125"/>
        <v>0</v>
      </c>
      <c r="P999" s="1153"/>
      <c r="Q999" s="1153"/>
      <c r="R999" s="733">
        <f t="shared" si="128"/>
        <v>0</v>
      </c>
      <c r="S999" s="732">
        <f t="shared" si="129"/>
        <v>0</v>
      </c>
      <c r="T999" s="733">
        <f t="shared" si="130"/>
        <v>0</v>
      </c>
      <c r="U999" s="1152"/>
      <c r="V999" s="1153"/>
      <c r="W999" s="1152"/>
      <c r="X999" s="1152"/>
      <c r="Y999" s="732">
        <f t="shared" si="126"/>
        <v>0</v>
      </c>
      <c r="Z999" s="1153"/>
      <c r="AA999" s="1153"/>
      <c r="AB999" s="733">
        <f t="shared" si="127"/>
        <v>0</v>
      </c>
      <c r="AC999" s="1152"/>
      <c r="AD999" s="1153"/>
      <c r="AE999" s="1152"/>
      <c r="AF999" s="1152"/>
      <c r="AG999" s="1153"/>
      <c r="AH999" s="1153"/>
      <c r="AI999" s="732">
        <f t="shared" si="131"/>
        <v>0</v>
      </c>
      <c r="AJ999" s="733">
        <f t="shared" si="132"/>
        <v>0</v>
      </c>
    </row>
    <row r="1000" spans="1:36">
      <c r="A1000" s="746" t="s">
        <v>549</v>
      </c>
      <c r="B1000" s="738" t="s">
        <v>145</v>
      </c>
      <c r="C1000" s="752" t="s">
        <v>304</v>
      </c>
      <c r="D1000" s="751"/>
      <c r="E1000" s="741"/>
      <c r="F1000" s="741">
        <v>99</v>
      </c>
      <c r="G1000" s="1152"/>
      <c r="H1000" s="1153"/>
      <c r="I1000" s="1152"/>
      <c r="J1000" s="1153"/>
      <c r="K1000" s="1152"/>
      <c r="L1000" s="1153"/>
      <c r="M1000" s="1152"/>
      <c r="N1000" s="1152"/>
      <c r="O1000" s="732">
        <f t="shared" si="125"/>
        <v>0</v>
      </c>
      <c r="P1000" s="1153"/>
      <c r="Q1000" s="1153"/>
      <c r="R1000" s="733">
        <f t="shared" si="128"/>
        <v>0</v>
      </c>
      <c r="S1000" s="732">
        <f t="shared" si="129"/>
        <v>0</v>
      </c>
      <c r="T1000" s="733">
        <f t="shared" si="130"/>
        <v>0</v>
      </c>
      <c r="U1000" s="1152"/>
      <c r="V1000" s="1153"/>
      <c r="W1000" s="1152"/>
      <c r="X1000" s="1152"/>
      <c r="Y1000" s="732">
        <f t="shared" si="126"/>
        <v>0</v>
      </c>
      <c r="Z1000" s="1153"/>
      <c r="AA1000" s="1153"/>
      <c r="AB1000" s="733">
        <f t="shared" si="127"/>
        <v>0</v>
      </c>
      <c r="AC1000" s="1152"/>
      <c r="AD1000" s="1153"/>
      <c r="AE1000" s="1152"/>
      <c r="AF1000" s="1152"/>
      <c r="AG1000" s="1153"/>
      <c r="AH1000" s="1153"/>
      <c r="AI1000" s="732">
        <f t="shared" si="131"/>
        <v>0</v>
      </c>
      <c r="AJ1000" s="733">
        <f t="shared" si="132"/>
        <v>0</v>
      </c>
    </row>
    <row r="1001" spans="1:36">
      <c r="A1001" s="746" t="s">
        <v>549</v>
      </c>
      <c r="B1001" s="738" t="s">
        <v>149</v>
      </c>
      <c r="C1001" s="755" t="s">
        <v>247</v>
      </c>
      <c r="D1001" s="751"/>
      <c r="E1001" s="741"/>
      <c r="F1001" s="741">
        <v>99</v>
      </c>
      <c r="G1001" s="1152"/>
      <c r="H1001" s="1153"/>
      <c r="I1001" s="1152"/>
      <c r="J1001" s="1153"/>
      <c r="K1001" s="1152"/>
      <c r="L1001" s="1153"/>
      <c r="M1001" s="1152"/>
      <c r="N1001" s="1152"/>
      <c r="O1001" s="732">
        <f t="shared" si="125"/>
        <v>0</v>
      </c>
      <c r="P1001" s="1153"/>
      <c r="Q1001" s="1153"/>
      <c r="R1001" s="733">
        <f t="shared" si="128"/>
        <v>0</v>
      </c>
      <c r="S1001" s="732">
        <f t="shared" si="129"/>
        <v>0</v>
      </c>
      <c r="T1001" s="733">
        <f t="shared" si="130"/>
        <v>0</v>
      </c>
      <c r="U1001" s="1152"/>
      <c r="V1001" s="1153"/>
      <c r="W1001" s="1152"/>
      <c r="X1001" s="1152"/>
      <c r="Y1001" s="732">
        <f t="shared" si="126"/>
        <v>0</v>
      </c>
      <c r="Z1001" s="1153"/>
      <c r="AA1001" s="1153"/>
      <c r="AB1001" s="733">
        <f t="shared" si="127"/>
        <v>0</v>
      </c>
      <c r="AC1001" s="1152"/>
      <c r="AD1001" s="1153"/>
      <c r="AE1001" s="1152"/>
      <c r="AF1001" s="1152"/>
      <c r="AG1001" s="1153"/>
      <c r="AH1001" s="1153"/>
      <c r="AI1001" s="732">
        <f t="shared" si="131"/>
        <v>0</v>
      </c>
      <c r="AJ1001" s="733">
        <f t="shared" si="132"/>
        <v>0</v>
      </c>
    </row>
    <row r="1002" spans="1:36">
      <c r="A1002" s="746" t="s">
        <v>549</v>
      </c>
      <c r="B1002" s="738" t="s">
        <v>149</v>
      </c>
      <c r="C1002" s="745" t="s">
        <v>1664</v>
      </c>
      <c r="D1002" s="744"/>
      <c r="E1002" s="741"/>
      <c r="F1002" s="741">
        <v>99</v>
      </c>
      <c r="G1002" s="1152"/>
      <c r="H1002" s="1153"/>
      <c r="I1002" s="1152"/>
      <c r="J1002" s="1153"/>
      <c r="K1002" s="1152"/>
      <c r="L1002" s="1153"/>
      <c r="M1002" s="1152"/>
      <c r="N1002" s="1152"/>
      <c r="O1002" s="732">
        <f t="shared" si="125"/>
        <v>0</v>
      </c>
      <c r="P1002" s="1153"/>
      <c r="Q1002" s="1153"/>
      <c r="R1002" s="733">
        <f t="shared" si="128"/>
        <v>0</v>
      </c>
      <c r="S1002" s="732">
        <f t="shared" si="129"/>
        <v>0</v>
      </c>
      <c r="T1002" s="733">
        <f t="shared" si="130"/>
        <v>0</v>
      </c>
      <c r="U1002" s="1152"/>
      <c r="V1002" s="1153"/>
      <c r="W1002" s="1152"/>
      <c r="X1002" s="1152"/>
      <c r="Y1002" s="732">
        <f t="shared" si="126"/>
        <v>0</v>
      </c>
      <c r="Z1002" s="1153"/>
      <c r="AA1002" s="1153"/>
      <c r="AB1002" s="733">
        <f t="shared" si="127"/>
        <v>0</v>
      </c>
      <c r="AC1002" s="1152"/>
      <c r="AD1002" s="1153"/>
      <c r="AE1002" s="1152"/>
      <c r="AF1002" s="1152"/>
      <c r="AG1002" s="1153"/>
      <c r="AH1002" s="1153"/>
      <c r="AI1002" s="732">
        <f t="shared" si="131"/>
        <v>0</v>
      </c>
      <c r="AJ1002" s="733">
        <f t="shared" si="132"/>
        <v>0</v>
      </c>
    </row>
    <row r="1003" spans="1:36">
      <c r="A1003" s="746" t="s">
        <v>549</v>
      </c>
      <c r="B1003" s="738" t="s">
        <v>149</v>
      </c>
      <c r="C1003" s="745" t="s">
        <v>1665</v>
      </c>
      <c r="D1003" s="744"/>
      <c r="E1003" s="741"/>
      <c r="F1003" s="741">
        <v>99</v>
      </c>
      <c r="G1003" s="1152"/>
      <c r="H1003" s="1153"/>
      <c r="I1003" s="1152"/>
      <c r="J1003" s="1153"/>
      <c r="K1003" s="1152"/>
      <c r="L1003" s="1153"/>
      <c r="M1003" s="1152"/>
      <c r="N1003" s="1152"/>
      <c r="O1003" s="732">
        <f t="shared" si="125"/>
        <v>0</v>
      </c>
      <c r="P1003" s="1153"/>
      <c r="Q1003" s="1153"/>
      <c r="R1003" s="733">
        <f t="shared" si="128"/>
        <v>0</v>
      </c>
      <c r="S1003" s="732">
        <f t="shared" si="129"/>
        <v>0</v>
      </c>
      <c r="T1003" s="733">
        <f t="shared" si="130"/>
        <v>0</v>
      </c>
      <c r="U1003" s="1152"/>
      <c r="V1003" s="1153"/>
      <c r="W1003" s="1152"/>
      <c r="X1003" s="1152"/>
      <c r="Y1003" s="732">
        <f t="shared" si="126"/>
        <v>0</v>
      </c>
      <c r="Z1003" s="1153"/>
      <c r="AA1003" s="1153"/>
      <c r="AB1003" s="733">
        <f t="shared" si="127"/>
        <v>0</v>
      </c>
      <c r="AC1003" s="1152"/>
      <c r="AD1003" s="1153"/>
      <c r="AE1003" s="1152"/>
      <c r="AF1003" s="1152"/>
      <c r="AG1003" s="1153"/>
      <c r="AH1003" s="1153"/>
      <c r="AI1003" s="732">
        <f t="shared" si="131"/>
        <v>0</v>
      </c>
      <c r="AJ1003" s="733">
        <f t="shared" si="132"/>
        <v>0</v>
      </c>
    </row>
    <row r="1004" spans="1:36">
      <c r="A1004" s="746" t="s">
        <v>549</v>
      </c>
      <c r="B1004" s="738" t="s">
        <v>151</v>
      </c>
      <c r="C1004" s="755" t="s">
        <v>152</v>
      </c>
      <c r="D1004" s="751"/>
      <c r="E1004" s="741"/>
      <c r="F1004" s="741">
        <v>99</v>
      </c>
      <c r="G1004" s="1152"/>
      <c r="H1004" s="1153"/>
      <c r="I1004" s="1152"/>
      <c r="J1004" s="1153"/>
      <c r="K1004" s="1152"/>
      <c r="L1004" s="1153"/>
      <c r="M1004" s="1152"/>
      <c r="N1004" s="1152"/>
      <c r="O1004" s="732">
        <f t="shared" si="125"/>
        <v>0</v>
      </c>
      <c r="P1004" s="1153"/>
      <c r="Q1004" s="1153"/>
      <c r="R1004" s="733">
        <f t="shared" si="128"/>
        <v>0</v>
      </c>
      <c r="S1004" s="732">
        <f t="shared" si="129"/>
        <v>0</v>
      </c>
      <c r="T1004" s="733">
        <f t="shared" si="130"/>
        <v>0</v>
      </c>
      <c r="U1004" s="1152">
        <v>59024905</v>
      </c>
      <c r="V1004" s="1153">
        <v>59024905</v>
      </c>
      <c r="W1004" s="1152"/>
      <c r="X1004" s="1152"/>
      <c r="Y1004" s="732">
        <f t="shared" si="126"/>
        <v>0</v>
      </c>
      <c r="Z1004" s="1153"/>
      <c r="AA1004" s="1153"/>
      <c r="AB1004" s="733">
        <f t="shared" si="127"/>
        <v>0</v>
      </c>
      <c r="AC1004" s="1152"/>
      <c r="AD1004" s="1153"/>
      <c r="AE1004" s="1152"/>
      <c r="AF1004" s="1152"/>
      <c r="AG1004" s="1153"/>
      <c r="AH1004" s="1153"/>
      <c r="AI1004" s="732">
        <f t="shared" si="131"/>
        <v>59024905</v>
      </c>
      <c r="AJ1004" s="733">
        <f t="shared" si="132"/>
        <v>59024905</v>
      </c>
    </row>
    <row r="1005" spans="1:36">
      <c r="A1005" s="746" t="s">
        <v>549</v>
      </c>
      <c r="B1005" s="738" t="s">
        <v>248</v>
      </c>
      <c r="C1005" s="752" t="s">
        <v>249</v>
      </c>
      <c r="D1005" s="751"/>
      <c r="E1005" s="741"/>
      <c r="F1005" s="741">
        <v>99</v>
      </c>
      <c r="G1005" s="1152"/>
      <c r="H1005" s="1153"/>
      <c r="I1005" s="1152"/>
      <c r="J1005" s="1153"/>
      <c r="K1005" s="1152"/>
      <c r="L1005" s="1153"/>
      <c r="M1005" s="1152"/>
      <c r="N1005" s="1152"/>
      <c r="O1005" s="732">
        <f t="shared" si="125"/>
        <v>0</v>
      </c>
      <c r="P1005" s="1153"/>
      <c r="Q1005" s="1153"/>
      <c r="R1005" s="733">
        <f t="shared" si="128"/>
        <v>0</v>
      </c>
      <c r="S1005" s="732">
        <f t="shared" si="129"/>
        <v>0</v>
      </c>
      <c r="T1005" s="733">
        <f t="shared" si="130"/>
        <v>0</v>
      </c>
      <c r="U1005" s="1152"/>
      <c r="V1005" s="1153"/>
      <c r="W1005" s="1152"/>
      <c r="X1005" s="1152"/>
      <c r="Y1005" s="732">
        <f t="shared" si="126"/>
        <v>0</v>
      </c>
      <c r="Z1005" s="1153"/>
      <c r="AA1005" s="1153"/>
      <c r="AB1005" s="733">
        <f t="shared" si="127"/>
        <v>0</v>
      </c>
      <c r="AC1005" s="1152"/>
      <c r="AD1005" s="1153"/>
      <c r="AE1005" s="1152"/>
      <c r="AF1005" s="1152"/>
      <c r="AG1005" s="1153"/>
      <c r="AH1005" s="1153"/>
      <c r="AI1005" s="732">
        <f t="shared" si="131"/>
        <v>0</v>
      </c>
      <c r="AJ1005" s="733">
        <f t="shared" si="132"/>
        <v>0</v>
      </c>
    </row>
    <row r="1006" spans="1:36">
      <c r="A1006" s="746" t="s">
        <v>549</v>
      </c>
      <c r="B1006" s="738" t="s">
        <v>250</v>
      </c>
      <c r="C1006" s="757" t="s">
        <v>251</v>
      </c>
      <c r="D1006" s="744"/>
      <c r="E1006" s="741"/>
      <c r="F1006" s="741">
        <v>99</v>
      </c>
      <c r="G1006" s="1152"/>
      <c r="H1006" s="1153"/>
      <c r="I1006" s="1152"/>
      <c r="J1006" s="1153"/>
      <c r="K1006" s="1152"/>
      <c r="L1006" s="1153"/>
      <c r="M1006" s="1152"/>
      <c r="N1006" s="1152"/>
      <c r="O1006" s="732">
        <f t="shared" si="125"/>
        <v>0</v>
      </c>
      <c r="P1006" s="1153"/>
      <c r="Q1006" s="1153"/>
      <c r="R1006" s="733">
        <f t="shared" si="128"/>
        <v>0</v>
      </c>
      <c r="S1006" s="732">
        <f t="shared" si="129"/>
        <v>0</v>
      </c>
      <c r="T1006" s="733">
        <f t="shared" si="130"/>
        <v>0</v>
      </c>
      <c r="U1006" s="1152"/>
      <c r="V1006" s="1153"/>
      <c r="W1006" s="1152"/>
      <c r="X1006" s="1152"/>
      <c r="Y1006" s="732">
        <f t="shared" si="126"/>
        <v>0</v>
      </c>
      <c r="Z1006" s="1153"/>
      <c r="AA1006" s="1153"/>
      <c r="AB1006" s="733">
        <f t="shared" si="127"/>
        <v>0</v>
      </c>
      <c r="AC1006" s="1152"/>
      <c r="AD1006" s="1153"/>
      <c r="AE1006" s="1152"/>
      <c r="AF1006" s="1152"/>
      <c r="AG1006" s="1153"/>
      <c r="AH1006" s="1153"/>
      <c r="AI1006" s="732">
        <f t="shared" si="131"/>
        <v>0</v>
      </c>
      <c r="AJ1006" s="733">
        <f t="shared" si="132"/>
        <v>0</v>
      </c>
    </row>
    <row r="1007" spans="1:36">
      <c r="A1007" s="746" t="s">
        <v>549</v>
      </c>
      <c r="B1007" s="738" t="s">
        <v>258</v>
      </c>
      <c r="C1007" s="752" t="s">
        <v>259</v>
      </c>
      <c r="D1007" s="751"/>
      <c r="E1007" s="741"/>
      <c r="F1007" s="741">
        <v>99</v>
      </c>
      <c r="G1007" s="1152"/>
      <c r="H1007" s="1153"/>
      <c r="I1007" s="1152"/>
      <c r="J1007" s="1153"/>
      <c r="K1007" s="1152"/>
      <c r="L1007" s="1153"/>
      <c r="M1007" s="1152"/>
      <c r="N1007" s="1152"/>
      <c r="O1007" s="732">
        <f t="shared" si="125"/>
        <v>0</v>
      </c>
      <c r="P1007" s="1153"/>
      <c r="Q1007" s="1153"/>
      <c r="R1007" s="733">
        <f t="shared" si="128"/>
        <v>0</v>
      </c>
      <c r="S1007" s="732">
        <f t="shared" si="129"/>
        <v>0</v>
      </c>
      <c r="T1007" s="733">
        <f t="shared" si="130"/>
        <v>0</v>
      </c>
      <c r="U1007" s="1152"/>
      <c r="V1007" s="1153"/>
      <c r="W1007" s="1152"/>
      <c r="X1007" s="1152"/>
      <c r="Y1007" s="732">
        <f t="shared" si="126"/>
        <v>0</v>
      </c>
      <c r="Z1007" s="1153"/>
      <c r="AA1007" s="1153"/>
      <c r="AB1007" s="733">
        <f t="shared" si="127"/>
        <v>0</v>
      </c>
      <c r="AC1007" s="1152"/>
      <c r="AD1007" s="1153"/>
      <c r="AE1007" s="1152"/>
      <c r="AF1007" s="1152"/>
      <c r="AG1007" s="1153"/>
      <c r="AH1007" s="1153"/>
      <c r="AI1007" s="732">
        <f t="shared" si="131"/>
        <v>0</v>
      </c>
      <c r="AJ1007" s="733">
        <f t="shared" si="132"/>
        <v>0</v>
      </c>
    </row>
    <row r="1008" spans="1:36">
      <c r="A1008" s="746" t="s">
        <v>549</v>
      </c>
      <c r="B1008" s="738" t="s">
        <v>157</v>
      </c>
      <c r="C1008" s="752" t="s">
        <v>158</v>
      </c>
      <c r="D1008" s="751"/>
      <c r="E1008" s="741"/>
      <c r="F1008" s="741">
        <v>99</v>
      </c>
      <c r="G1008" s="1152"/>
      <c r="H1008" s="1153"/>
      <c r="I1008" s="1152"/>
      <c r="J1008" s="1153"/>
      <c r="K1008" s="1152"/>
      <c r="L1008" s="1153"/>
      <c r="M1008" s="1152"/>
      <c r="N1008" s="1152"/>
      <c r="O1008" s="732">
        <f t="shared" si="125"/>
        <v>0</v>
      </c>
      <c r="P1008" s="1153"/>
      <c r="Q1008" s="1153"/>
      <c r="R1008" s="733">
        <f t="shared" si="128"/>
        <v>0</v>
      </c>
      <c r="S1008" s="732">
        <f t="shared" si="129"/>
        <v>0</v>
      </c>
      <c r="T1008" s="733">
        <f t="shared" si="130"/>
        <v>0</v>
      </c>
      <c r="U1008" s="1152"/>
      <c r="V1008" s="1153"/>
      <c r="W1008" s="1152"/>
      <c r="X1008" s="1152"/>
      <c r="Y1008" s="732">
        <f t="shared" si="126"/>
        <v>0</v>
      </c>
      <c r="Z1008" s="1153"/>
      <c r="AA1008" s="1153"/>
      <c r="AB1008" s="733">
        <f t="shared" si="127"/>
        <v>0</v>
      </c>
      <c r="AC1008" s="1152"/>
      <c r="AD1008" s="1153"/>
      <c r="AE1008" s="1152"/>
      <c r="AF1008" s="1152"/>
      <c r="AG1008" s="1153"/>
      <c r="AH1008" s="1153"/>
      <c r="AI1008" s="732">
        <f t="shared" si="131"/>
        <v>0</v>
      </c>
      <c r="AJ1008" s="733">
        <f t="shared" si="132"/>
        <v>0</v>
      </c>
    </row>
    <row r="1009" spans="1:36">
      <c r="A1009" s="746" t="s">
        <v>549</v>
      </c>
      <c r="B1009" s="738" t="s">
        <v>159</v>
      </c>
      <c r="C1009" s="752" t="s">
        <v>160</v>
      </c>
      <c r="D1009" s="751"/>
      <c r="E1009" s="741"/>
      <c r="F1009" s="741">
        <v>99</v>
      </c>
      <c r="G1009" s="1152"/>
      <c r="H1009" s="1153"/>
      <c r="I1009" s="1152"/>
      <c r="J1009" s="1153"/>
      <c r="K1009" s="1152"/>
      <c r="L1009" s="1153"/>
      <c r="M1009" s="1152"/>
      <c r="N1009" s="1152"/>
      <c r="O1009" s="732">
        <f t="shared" si="125"/>
        <v>0</v>
      </c>
      <c r="P1009" s="1153"/>
      <c r="Q1009" s="1153"/>
      <c r="R1009" s="733">
        <f t="shared" si="128"/>
        <v>0</v>
      </c>
      <c r="S1009" s="732">
        <f t="shared" si="129"/>
        <v>0</v>
      </c>
      <c r="T1009" s="733">
        <f t="shared" si="130"/>
        <v>0</v>
      </c>
      <c r="U1009" s="1152"/>
      <c r="V1009" s="1153"/>
      <c r="W1009" s="1152"/>
      <c r="X1009" s="1152"/>
      <c r="Y1009" s="732">
        <f t="shared" si="126"/>
        <v>0</v>
      </c>
      <c r="Z1009" s="1153"/>
      <c r="AA1009" s="1153"/>
      <c r="AB1009" s="733">
        <f t="shared" si="127"/>
        <v>0</v>
      </c>
      <c r="AC1009" s="1152"/>
      <c r="AD1009" s="1153"/>
      <c r="AE1009" s="1152"/>
      <c r="AF1009" s="1152"/>
      <c r="AG1009" s="1153"/>
      <c r="AH1009" s="1153"/>
      <c r="AI1009" s="732">
        <f t="shared" si="131"/>
        <v>0</v>
      </c>
      <c r="AJ1009" s="733">
        <f t="shared" si="132"/>
        <v>0</v>
      </c>
    </row>
    <row r="1010" spans="1:36">
      <c r="A1010" s="746" t="s">
        <v>549</v>
      </c>
      <c r="B1010" s="738" t="s">
        <v>161</v>
      </c>
      <c r="C1010" s="752" t="s">
        <v>162</v>
      </c>
      <c r="D1010" s="751"/>
      <c r="E1010" s="741"/>
      <c r="F1010" s="741">
        <v>99</v>
      </c>
      <c r="G1010" s="1152"/>
      <c r="H1010" s="1153"/>
      <c r="I1010" s="1152"/>
      <c r="J1010" s="1153"/>
      <c r="K1010" s="1152"/>
      <c r="L1010" s="1153"/>
      <c r="M1010" s="1152"/>
      <c r="N1010" s="1152"/>
      <c r="O1010" s="732">
        <f t="shared" si="125"/>
        <v>0</v>
      </c>
      <c r="P1010" s="1153"/>
      <c r="Q1010" s="1153"/>
      <c r="R1010" s="733">
        <f t="shared" si="128"/>
        <v>0</v>
      </c>
      <c r="S1010" s="732">
        <f t="shared" si="129"/>
        <v>0</v>
      </c>
      <c r="T1010" s="733">
        <f t="shared" si="130"/>
        <v>0</v>
      </c>
      <c r="U1010" s="1152"/>
      <c r="V1010" s="1153"/>
      <c r="W1010" s="1152"/>
      <c r="X1010" s="1152"/>
      <c r="Y1010" s="732">
        <f t="shared" si="126"/>
        <v>0</v>
      </c>
      <c r="Z1010" s="1153"/>
      <c r="AA1010" s="1153"/>
      <c r="AB1010" s="733">
        <f t="shared" si="127"/>
        <v>0</v>
      </c>
      <c r="AC1010" s="1152"/>
      <c r="AD1010" s="1153"/>
      <c r="AE1010" s="1152"/>
      <c r="AF1010" s="1152"/>
      <c r="AG1010" s="1153"/>
      <c r="AH1010" s="1153"/>
      <c r="AI1010" s="732">
        <f t="shared" si="131"/>
        <v>0</v>
      </c>
      <c r="AJ1010" s="733">
        <f t="shared" si="132"/>
        <v>0</v>
      </c>
    </row>
    <row r="1011" spans="1:36">
      <c r="A1011" s="746" t="s">
        <v>549</v>
      </c>
      <c r="B1011" s="738" t="s">
        <v>161</v>
      </c>
      <c r="C1011" s="752" t="s">
        <v>583</v>
      </c>
      <c r="D1011" s="751"/>
      <c r="E1011" s="741"/>
      <c r="F1011" s="741">
        <v>99</v>
      </c>
      <c r="G1011" s="1152"/>
      <c r="H1011" s="1153"/>
      <c r="I1011" s="1152"/>
      <c r="J1011" s="1153"/>
      <c r="K1011" s="1152"/>
      <c r="L1011" s="1153"/>
      <c r="M1011" s="1152"/>
      <c r="N1011" s="1152"/>
      <c r="O1011" s="732">
        <f t="shared" si="125"/>
        <v>0</v>
      </c>
      <c r="P1011" s="1153"/>
      <c r="Q1011" s="1153"/>
      <c r="R1011" s="733">
        <f t="shared" si="128"/>
        <v>0</v>
      </c>
      <c r="S1011" s="732">
        <f t="shared" si="129"/>
        <v>0</v>
      </c>
      <c r="T1011" s="733">
        <f t="shared" si="130"/>
        <v>0</v>
      </c>
      <c r="U1011" s="1152"/>
      <c r="V1011" s="1153"/>
      <c r="W1011" s="1152"/>
      <c r="X1011" s="1152"/>
      <c r="Y1011" s="732">
        <f t="shared" si="126"/>
        <v>0</v>
      </c>
      <c r="Z1011" s="1153"/>
      <c r="AA1011" s="1153"/>
      <c r="AB1011" s="733">
        <f t="shared" si="127"/>
        <v>0</v>
      </c>
      <c r="AC1011" s="1152"/>
      <c r="AD1011" s="1153"/>
      <c r="AE1011" s="1152"/>
      <c r="AF1011" s="1152"/>
      <c r="AG1011" s="1153"/>
      <c r="AH1011" s="1153"/>
      <c r="AI1011" s="732">
        <f t="shared" si="131"/>
        <v>0</v>
      </c>
      <c r="AJ1011" s="733">
        <f t="shared" si="132"/>
        <v>0</v>
      </c>
    </row>
    <row r="1012" spans="1:36">
      <c r="A1012" s="746" t="s">
        <v>549</v>
      </c>
      <c r="B1012" s="738" t="s">
        <v>164</v>
      </c>
      <c r="C1012" s="752" t="s">
        <v>165</v>
      </c>
      <c r="D1012" s="751"/>
      <c r="E1012" s="741"/>
      <c r="F1012" s="741">
        <v>99</v>
      </c>
      <c r="G1012" s="1152"/>
      <c r="H1012" s="1153"/>
      <c r="I1012" s="1152"/>
      <c r="J1012" s="1153"/>
      <c r="K1012" s="1152"/>
      <c r="L1012" s="1153"/>
      <c r="M1012" s="1152"/>
      <c r="N1012" s="1152"/>
      <c r="O1012" s="732">
        <f t="shared" si="125"/>
        <v>0</v>
      </c>
      <c r="P1012" s="1153"/>
      <c r="Q1012" s="1153"/>
      <c r="R1012" s="733">
        <f t="shared" si="128"/>
        <v>0</v>
      </c>
      <c r="S1012" s="732">
        <f t="shared" si="129"/>
        <v>0</v>
      </c>
      <c r="T1012" s="733">
        <f t="shared" si="130"/>
        <v>0</v>
      </c>
      <c r="U1012" s="1152"/>
      <c r="V1012" s="1153"/>
      <c r="W1012" s="1152"/>
      <c r="X1012" s="1152"/>
      <c r="Y1012" s="732">
        <f t="shared" si="126"/>
        <v>0</v>
      </c>
      <c r="Z1012" s="1153"/>
      <c r="AA1012" s="1153"/>
      <c r="AB1012" s="733">
        <f t="shared" si="127"/>
        <v>0</v>
      </c>
      <c r="AC1012" s="1152"/>
      <c r="AD1012" s="1153"/>
      <c r="AE1012" s="1152"/>
      <c r="AF1012" s="1152"/>
      <c r="AG1012" s="1153"/>
      <c r="AH1012" s="1153"/>
      <c r="AI1012" s="732">
        <f t="shared" si="131"/>
        <v>0</v>
      </c>
      <c r="AJ1012" s="733">
        <f t="shared" si="132"/>
        <v>0</v>
      </c>
    </row>
    <row r="1013" spans="1:36">
      <c r="A1013" s="746" t="s">
        <v>549</v>
      </c>
      <c r="B1013" s="738" t="s">
        <v>166</v>
      </c>
      <c r="C1013" s="757" t="s">
        <v>167</v>
      </c>
      <c r="D1013" s="744"/>
      <c r="E1013" s="741"/>
      <c r="F1013" s="741">
        <v>99</v>
      </c>
      <c r="G1013" s="1152"/>
      <c r="H1013" s="1153"/>
      <c r="I1013" s="1152"/>
      <c r="J1013" s="1153"/>
      <c r="K1013" s="1152"/>
      <c r="L1013" s="1153"/>
      <c r="M1013" s="1152"/>
      <c r="N1013" s="1152"/>
      <c r="O1013" s="732">
        <f t="shared" si="125"/>
        <v>0</v>
      </c>
      <c r="P1013" s="1153"/>
      <c r="Q1013" s="1153"/>
      <c r="R1013" s="733">
        <f t="shared" si="128"/>
        <v>0</v>
      </c>
      <c r="S1013" s="732">
        <f t="shared" si="129"/>
        <v>0</v>
      </c>
      <c r="T1013" s="733">
        <f t="shared" si="130"/>
        <v>0</v>
      </c>
      <c r="U1013" s="1152"/>
      <c r="V1013" s="1153"/>
      <c r="W1013" s="1152"/>
      <c r="X1013" s="1152"/>
      <c r="Y1013" s="732">
        <f t="shared" si="126"/>
        <v>0</v>
      </c>
      <c r="Z1013" s="1153"/>
      <c r="AA1013" s="1153"/>
      <c r="AB1013" s="733">
        <f t="shared" si="127"/>
        <v>0</v>
      </c>
      <c r="AC1013" s="1152"/>
      <c r="AD1013" s="1153"/>
      <c r="AE1013" s="1152"/>
      <c r="AF1013" s="1152"/>
      <c r="AG1013" s="1153"/>
      <c r="AH1013" s="1153"/>
      <c r="AI1013" s="732">
        <f t="shared" si="131"/>
        <v>0</v>
      </c>
      <c r="AJ1013" s="733">
        <f t="shared" si="132"/>
        <v>0</v>
      </c>
    </row>
    <row r="1014" spans="1:36">
      <c r="A1014" s="746" t="s">
        <v>549</v>
      </c>
      <c r="B1014" s="738" t="s">
        <v>170</v>
      </c>
      <c r="C1014" s="752" t="s">
        <v>171</v>
      </c>
      <c r="D1014" s="751"/>
      <c r="E1014" s="741"/>
      <c r="F1014" s="741">
        <v>99</v>
      </c>
      <c r="G1014" s="1152"/>
      <c r="H1014" s="1153"/>
      <c r="I1014" s="1152"/>
      <c r="J1014" s="1153"/>
      <c r="K1014" s="1152"/>
      <c r="L1014" s="1153"/>
      <c r="M1014" s="1152"/>
      <c r="N1014" s="1152"/>
      <c r="O1014" s="732">
        <f t="shared" si="125"/>
        <v>0</v>
      </c>
      <c r="P1014" s="1153"/>
      <c r="Q1014" s="1153"/>
      <c r="R1014" s="733">
        <f t="shared" si="128"/>
        <v>0</v>
      </c>
      <c r="S1014" s="732">
        <f t="shared" si="129"/>
        <v>0</v>
      </c>
      <c r="T1014" s="733">
        <f t="shared" si="130"/>
        <v>0</v>
      </c>
      <c r="U1014" s="1152"/>
      <c r="V1014" s="1153"/>
      <c r="W1014" s="1152"/>
      <c r="X1014" s="1152"/>
      <c r="Y1014" s="732">
        <f t="shared" si="126"/>
        <v>0</v>
      </c>
      <c r="Z1014" s="1153"/>
      <c r="AA1014" s="1153"/>
      <c r="AB1014" s="733">
        <f t="shared" si="127"/>
        <v>0</v>
      </c>
      <c r="AC1014" s="1152"/>
      <c r="AD1014" s="1153"/>
      <c r="AE1014" s="1152"/>
      <c r="AF1014" s="1152"/>
      <c r="AG1014" s="1153"/>
      <c r="AH1014" s="1153"/>
      <c r="AI1014" s="732">
        <f t="shared" si="131"/>
        <v>0</v>
      </c>
      <c r="AJ1014" s="733">
        <f t="shared" si="132"/>
        <v>0</v>
      </c>
    </row>
    <row r="1015" spans="1:36">
      <c r="A1015" s="746" t="s">
        <v>549</v>
      </c>
      <c r="B1015" s="738" t="s">
        <v>172</v>
      </c>
      <c r="C1015" s="752" t="s">
        <v>165</v>
      </c>
      <c r="D1015" s="751"/>
      <c r="E1015" s="741"/>
      <c r="F1015" s="741">
        <v>99</v>
      </c>
      <c r="G1015" s="1152"/>
      <c r="H1015" s="1153"/>
      <c r="I1015" s="1152"/>
      <c r="J1015" s="1153"/>
      <c r="K1015" s="1152"/>
      <c r="L1015" s="1153"/>
      <c r="M1015" s="1152"/>
      <c r="N1015" s="1152"/>
      <c r="O1015" s="732">
        <f t="shared" si="125"/>
        <v>0</v>
      </c>
      <c r="P1015" s="1153"/>
      <c r="Q1015" s="1153"/>
      <c r="R1015" s="733">
        <f t="shared" si="128"/>
        <v>0</v>
      </c>
      <c r="S1015" s="732">
        <f t="shared" si="129"/>
        <v>0</v>
      </c>
      <c r="T1015" s="733">
        <f t="shared" si="130"/>
        <v>0</v>
      </c>
      <c r="U1015" s="1152">
        <v>1549205</v>
      </c>
      <c r="V1015" s="1153">
        <v>1677555</v>
      </c>
      <c r="W1015" s="1152"/>
      <c r="X1015" s="1152"/>
      <c r="Y1015" s="732">
        <f t="shared" si="126"/>
        <v>0</v>
      </c>
      <c r="Z1015" s="1153"/>
      <c r="AA1015" s="1153"/>
      <c r="AB1015" s="733">
        <f t="shared" si="127"/>
        <v>0</v>
      </c>
      <c r="AC1015" s="1152"/>
      <c r="AD1015" s="1153"/>
      <c r="AE1015" s="1152"/>
      <c r="AF1015" s="1152"/>
      <c r="AG1015" s="1153"/>
      <c r="AH1015" s="1153"/>
      <c r="AI1015" s="732">
        <f t="shared" si="131"/>
        <v>1549205</v>
      </c>
      <c r="AJ1015" s="733">
        <f t="shared" si="132"/>
        <v>1677555</v>
      </c>
    </row>
    <row r="1016" spans="1:36">
      <c r="A1016" s="746" t="s">
        <v>549</v>
      </c>
      <c r="B1016" s="738" t="s">
        <v>166</v>
      </c>
      <c r="C1016" s="752" t="s">
        <v>167</v>
      </c>
      <c r="D1016" s="751"/>
      <c r="E1016" s="741"/>
      <c r="F1016" s="741">
        <v>99</v>
      </c>
      <c r="G1016" s="1152"/>
      <c r="H1016" s="1153"/>
      <c r="I1016" s="1152"/>
      <c r="J1016" s="1153"/>
      <c r="K1016" s="1152"/>
      <c r="L1016" s="1153"/>
      <c r="M1016" s="1152"/>
      <c r="N1016" s="1152"/>
      <c r="O1016" s="732">
        <f t="shared" si="125"/>
        <v>0</v>
      </c>
      <c r="P1016" s="1153"/>
      <c r="Q1016" s="1153"/>
      <c r="R1016" s="733">
        <f t="shared" si="128"/>
        <v>0</v>
      </c>
      <c r="S1016" s="732">
        <f t="shared" si="129"/>
        <v>0</v>
      </c>
      <c r="T1016" s="733">
        <f t="shared" si="130"/>
        <v>0</v>
      </c>
      <c r="U1016" s="1152"/>
      <c r="V1016" s="1153"/>
      <c r="W1016" s="1152"/>
      <c r="X1016" s="1152"/>
      <c r="Y1016" s="732">
        <f t="shared" si="126"/>
        <v>0</v>
      </c>
      <c r="Z1016" s="1153"/>
      <c r="AA1016" s="1153"/>
      <c r="AB1016" s="733">
        <f t="shared" si="127"/>
        <v>0</v>
      </c>
      <c r="AC1016" s="1152"/>
      <c r="AD1016" s="1153"/>
      <c r="AE1016" s="1152"/>
      <c r="AF1016" s="1152"/>
      <c r="AG1016" s="1153"/>
      <c r="AH1016" s="1153"/>
      <c r="AI1016" s="732">
        <f t="shared" si="131"/>
        <v>0</v>
      </c>
      <c r="AJ1016" s="733">
        <f t="shared" si="132"/>
        <v>0</v>
      </c>
    </row>
    <row r="1017" spans="1:36">
      <c r="A1017" s="746" t="s">
        <v>549</v>
      </c>
      <c r="B1017" s="738" t="s">
        <v>176</v>
      </c>
      <c r="C1017" s="752" t="s">
        <v>177</v>
      </c>
      <c r="D1017" s="751"/>
      <c r="E1017" s="741"/>
      <c r="F1017" s="741">
        <v>99</v>
      </c>
      <c r="G1017" s="1152"/>
      <c r="H1017" s="1153"/>
      <c r="I1017" s="1152"/>
      <c r="J1017" s="1153"/>
      <c r="K1017" s="1152"/>
      <c r="L1017" s="1153"/>
      <c r="M1017" s="1152"/>
      <c r="N1017" s="1152"/>
      <c r="O1017" s="732">
        <f t="shared" si="125"/>
        <v>0</v>
      </c>
      <c r="P1017" s="1153"/>
      <c r="Q1017" s="1153"/>
      <c r="R1017" s="733">
        <f t="shared" si="128"/>
        <v>0</v>
      </c>
      <c r="S1017" s="732">
        <f t="shared" si="129"/>
        <v>0</v>
      </c>
      <c r="T1017" s="733">
        <f t="shared" si="130"/>
        <v>0</v>
      </c>
      <c r="U1017" s="1152"/>
      <c r="V1017" s="1153"/>
      <c r="W1017" s="1152"/>
      <c r="X1017" s="1152"/>
      <c r="Y1017" s="732">
        <f t="shared" si="126"/>
        <v>0</v>
      </c>
      <c r="Z1017" s="1153"/>
      <c r="AA1017" s="1153"/>
      <c r="AB1017" s="733">
        <f t="shared" si="127"/>
        <v>0</v>
      </c>
      <c r="AC1017" s="1152"/>
      <c r="AD1017" s="1153"/>
      <c r="AE1017" s="1152"/>
      <c r="AF1017" s="1152"/>
      <c r="AG1017" s="1153"/>
      <c r="AH1017" s="1153"/>
      <c r="AI1017" s="732">
        <f t="shared" si="131"/>
        <v>0</v>
      </c>
      <c r="AJ1017" s="733">
        <f t="shared" si="132"/>
        <v>0</v>
      </c>
    </row>
    <row r="1018" spans="1:36">
      <c r="A1018" s="746" t="s">
        <v>549</v>
      </c>
      <c r="B1018" s="738" t="s">
        <v>180</v>
      </c>
      <c r="C1018" s="752" t="s">
        <v>165</v>
      </c>
      <c r="D1018" s="751"/>
      <c r="E1018" s="741"/>
      <c r="F1018" s="741">
        <v>99</v>
      </c>
      <c r="G1018" s="1152"/>
      <c r="H1018" s="1153"/>
      <c r="I1018" s="1152"/>
      <c r="J1018" s="1153"/>
      <c r="K1018" s="1152"/>
      <c r="L1018" s="1153"/>
      <c r="M1018" s="1152"/>
      <c r="N1018" s="1152"/>
      <c r="O1018" s="732">
        <f t="shared" si="125"/>
        <v>0</v>
      </c>
      <c r="P1018" s="1153"/>
      <c r="Q1018" s="1153"/>
      <c r="R1018" s="733">
        <f t="shared" si="128"/>
        <v>0</v>
      </c>
      <c r="S1018" s="732">
        <f t="shared" si="129"/>
        <v>0</v>
      </c>
      <c r="T1018" s="733">
        <f t="shared" si="130"/>
        <v>0</v>
      </c>
      <c r="U1018" s="1152">
        <v>104126</v>
      </c>
      <c r="V1018" s="1153">
        <v>143000</v>
      </c>
      <c r="W1018" s="1152"/>
      <c r="X1018" s="1152"/>
      <c r="Y1018" s="732">
        <f t="shared" si="126"/>
        <v>0</v>
      </c>
      <c r="Z1018" s="1153"/>
      <c r="AA1018" s="1153"/>
      <c r="AB1018" s="733">
        <f t="shared" si="127"/>
        <v>0</v>
      </c>
      <c r="AC1018" s="1152"/>
      <c r="AD1018" s="1153"/>
      <c r="AE1018" s="1152"/>
      <c r="AF1018" s="1152"/>
      <c r="AG1018" s="1153"/>
      <c r="AH1018" s="1153"/>
      <c r="AI1018" s="732">
        <f t="shared" si="131"/>
        <v>104126</v>
      </c>
      <c r="AJ1018" s="733">
        <f t="shared" si="132"/>
        <v>143000</v>
      </c>
    </row>
    <row r="1019" spans="1:36">
      <c r="A1019" s="746" t="s">
        <v>549</v>
      </c>
      <c r="B1019" s="738" t="s">
        <v>166</v>
      </c>
      <c r="C1019" s="752" t="s">
        <v>167</v>
      </c>
      <c r="D1019" s="751"/>
      <c r="E1019" s="741"/>
      <c r="F1019" s="741">
        <v>99</v>
      </c>
      <c r="G1019" s="1152"/>
      <c r="H1019" s="1153"/>
      <c r="I1019" s="1152"/>
      <c r="J1019" s="1153"/>
      <c r="K1019" s="1152"/>
      <c r="L1019" s="1153"/>
      <c r="M1019" s="1152"/>
      <c r="N1019" s="1152"/>
      <c r="O1019" s="732">
        <f t="shared" si="125"/>
        <v>0</v>
      </c>
      <c r="P1019" s="1153"/>
      <c r="Q1019" s="1153"/>
      <c r="R1019" s="733">
        <f t="shared" si="128"/>
        <v>0</v>
      </c>
      <c r="S1019" s="732">
        <f t="shared" si="129"/>
        <v>0</v>
      </c>
      <c r="T1019" s="733">
        <f t="shared" si="130"/>
        <v>0</v>
      </c>
      <c r="U1019" s="1152"/>
      <c r="V1019" s="1153"/>
      <c r="W1019" s="1152"/>
      <c r="X1019" s="1152"/>
      <c r="Y1019" s="732">
        <f t="shared" si="126"/>
        <v>0</v>
      </c>
      <c r="Z1019" s="1153"/>
      <c r="AA1019" s="1153"/>
      <c r="AB1019" s="733">
        <f t="shared" si="127"/>
        <v>0</v>
      </c>
      <c r="AC1019" s="1152"/>
      <c r="AD1019" s="1153"/>
      <c r="AE1019" s="1152"/>
      <c r="AF1019" s="1152"/>
      <c r="AG1019" s="1153"/>
      <c r="AH1019" s="1153"/>
      <c r="AI1019" s="732">
        <f t="shared" si="131"/>
        <v>0</v>
      </c>
      <c r="AJ1019" s="733">
        <f t="shared" si="132"/>
        <v>0</v>
      </c>
    </row>
    <row r="1020" spans="1:36">
      <c r="A1020" s="746" t="s">
        <v>549</v>
      </c>
      <c r="B1020" s="738" t="s">
        <v>161</v>
      </c>
      <c r="C1020" s="757" t="s">
        <v>584</v>
      </c>
      <c r="D1020" s="744"/>
      <c r="E1020" s="741"/>
      <c r="F1020" s="741">
        <v>99</v>
      </c>
      <c r="G1020" s="1152"/>
      <c r="H1020" s="1153"/>
      <c r="I1020" s="1152"/>
      <c r="J1020" s="1153"/>
      <c r="K1020" s="1152"/>
      <c r="L1020" s="1153"/>
      <c r="M1020" s="1152"/>
      <c r="N1020" s="1152"/>
      <c r="O1020" s="732">
        <f t="shared" si="125"/>
        <v>0</v>
      </c>
      <c r="P1020" s="1153"/>
      <c r="Q1020" s="1153"/>
      <c r="R1020" s="733">
        <f t="shared" si="128"/>
        <v>0</v>
      </c>
      <c r="S1020" s="732">
        <f t="shared" si="129"/>
        <v>0</v>
      </c>
      <c r="T1020" s="733">
        <f t="shared" si="130"/>
        <v>0</v>
      </c>
      <c r="U1020" s="1152"/>
      <c r="V1020" s="1153"/>
      <c r="W1020" s="1152"/>
      <c r="X1020" s="1152"/>
      <c r="Y1020" s="732">
        <f t="shared" si="126"/>
        <v>0</v>
      </c>
      <c r="Z1020" s="1153"/>
      <c r="AA1020" s="1153"/>
      <c r="AB1020" s="733">
        <f t="shared" si="127"/>
        <v>0</v>
      </c>
      <c r="AC1020" s="1152"/>
      <c r="AD1020" s="1153"/>
      <c r="AE1020" s="1152"/>
      <c r="AF1020" s="1152"/>
      <c r="AG1020" s="1153"/>
      <c r="AH1020" s="1153"/>
      <c r="AI1020" s="732">
        <f t="shared" si="131"/>
        <v>0</v>
      </c>
      <c r="AJ1020" s="733">
        <f t="shared" si="132"/>
        <v>0</v>
      </c>
    </row>
    <row r="1021" spans="1:36">
      <c r="A1021" s="746" t="s">
        <v>549</v>
      </c>
      <c r="B1021" s="738" t="s">
        <v>170</v>
      </c>
      <c r="C1021" s="752" t="s">
        <v>171</v>
      </c>
      <c r="D1021" s="751"/>
      <c r="E1021" s="741"/>
      <c r="F1021" s="741">
        <v>99</v>
      </c>
      <c r="G1021" s="1152"/>
      <c r="H1021" s="1153"/>
      <c r="I1021" s="1152"/>
      <c r="J1021" s="1153"/>
      <c r="K1021" s="1152"/>
      <c r="L1021" s="1153"/>
      <c r="M1021" s="1152"/>
      <c r="N1021" s="1152"/>
      <c r="O1021" s="732">
        <f t="shared" si="125"/>
        <v>0</v>
      </c>
      <c r="P1021" s="1153"/>
      <c r="Q1021" s="1153"/>
      <c r="R1021" s="733">
        <f t="shared" si="128"/>
        <v>0</v>
      </c>
      <c r="S1021" s="732">
        <f t="shared" si="129"/>
        <v>0</v>
      </c>
      <c r="T1021" s="733">
        <f t="shared" si="130"/>
        <v>0</v>
      </c>
      <c r="U1021" s="1152"/>
      <c r="V1021" s="1153"/>
      <c r="W1021" s="1152"/>
      <c r="X1021" s="1152"/>
      <c r="Y1021" s="732">
        <f t="shared" si="126"/>
        <v>0</v>
      </c>
      <c r="Z1021" s="1153"/>
      <c r="AA1021" s="1153"/>
      <c r="AB1021" s="733">
        <f t="shared" si="127"/>
        <v>0</v>
      </c>
      <c r="AC1021" s="1152"/>
      <c r="AD1021" s="1153"/>
      <c r="AE1021" s="1152"/>
      <c r="AF1021" s="1152"/>
      <c r="AG1021" s="1153"/>
      <c r="AH1021" s="1153"/>
      <c r="AI1021" s="732">
        <f t="shared" si="131"/>
        <v>0</v>
      </c>
      <c r="AJ1021" s="733">
        <f t="shared" si="132"/>
        <v>0</v>
      </c>
    </row>
    <row r="1022" spans="1:36">
      <c r="A1022" s="746" t="s">
        <v>549</v>
      </c>
      <c r="B1022" s="738" t="s">
        <v>172</v>
      </c>
      <c r="C1022" s="752" t="s">
        <v>165</v>
      </c>
      <c r="D1022" s="751"/>
      <c r="E1022" s="741"/>
      <c r="F1022" s="741">
        <v>99</v>
      </c>
      <c r="G1022" s="1152"/>
      <c r="H1022" s="1153"/>
      <c r="I1022" s="1152"/>
      <c r="J1022" s="1153"/>
      <c r="K1022" s="1152"/>
      <c r="L1022" s="1153"/>
      <c r="M1022" s="1152"/>
      <c r="N1022" s="1152"/>
      <c r="O1022" s="732">
        <f t="shared" si="125"/>
        <v>0</v>
      </c>
      <c r="P1022" s="1153"/>
      <c r="Q1022" s="1153"/>
      <c r="R1022" s="733">
        <f t="shared" si="128"/>
        <v>0</v>
      </c>
      <c r="S1022" s="732">
        <f t="shared" si="129"/>
        <v>0</v>
      </c>
      <c r="T1022" s="733">
        <f t="shared" si="130"/>
        <v>0</v>
      </c>
      <c r="U1022" s="1152">
        <v>70294100</v>
      </c>
      <c r="V1022" s="1153">
        <v>61228592</v>
      </c>
      <c r="W1022" s="1152"/>
      <c r="X1022" s="1152"/>
      <c r="Y1022" s="732">
        <f t="shared" si="126"/>
        <v>0</v>
      </c>
      <c r="Z1022" s="1153"/>
      <c r="AA1022" s="1153"/>
      <c r="AB1022" s="733">
        <f t="shared" si="127"/>
        <v>0</v>
      </c>
      <c r="AC1022" s="1152"/>
      <c r="AD1022" s="1153"/>
      <c r="AE1022" s="1152"/>
      <c r="AF1022" s="1152"/>
      <c r="AG1022" s="1153"/>
      <c r="AH1022" s="1153"/>
      <c r="AI1022" s="732">
        <f t="shared" si="131"/>
        <v>70294100</v>
      </c>
      <c r="AJ1022" s="733">
        <f t="shared" si="132"/>
        <v>61228592</v>
      </c>
    </row>
    <row r="1023" spans="1:36">
      <c r="A1023" s="746" t="s">
        <v>549</v>
      </c>
      <c r="B1023" s="738" t="s">
        <v>166</v>
      </c>
      <c r="C1023" s="752" t="s">
        <v>167</v>
      </c>
      <c r="D1023" s="751"/>
      <c r="E1023" s="741"/>
      <c r="F1023" s="741">
        <v>99</v>
      </c>
      <c r="G1023" s="1152"/>
      <c r="H1023" s="1153"/>
      <c r="I1023" s="1152"/>
      <c r="J1023" s="1153"/>
      <c r="K1023" s="1152"/>
      <c r="L1023" s="1153"/>
      <c r="M1023" s="1152"/>
      <c r="N1023" s="1152"/>
      <c r="O1023" s="732">
        <f t="shared" si="125"/>
        <v>0</v>
      </c>
      <c r="P1023" s="1153"/>
      <c r="Q1023" s="1153"/>
      <c r="R1023" s="733">
        <f t="shared" si="128"/>
        <v>0</v>
      </c>
      <c r="S1023" s="732">
        <f t="shared" si="129"/>
        <v>0</v>
      </c>
      <c r="T1023" s="733">
        <f t="shared" si="130"/>
        <v>0</v>
      </c>
      <c r="U1023" s="1152"/>
      <c r="V1023" s="1153"/>
      <c r="W1023" s="1152"/>
      <c r="X1023" s="1152"/>
      <c r="Y1023" s="732">
        <f t="shared" si="126"/>
        <v>0</v>
      </c>
      <c r="Z1023" s="1153"/>
      <c r="AA1023" s="1153"/>
      <c r="AB1023" s="733">
        <f t="shared" si="127"/>
        <v>0</v>
      </c>
      <c r="AC1023" s="1152"/>
      <c r="AD1023" s="1153"/>
      <c r="AE1023" s="1152"/>
      <c r="AF1023" s="1152"/>
      <c r="AG1023" s="1153"/>
      <c r="AH1023" s="1153"/>
      <c r="AI1023" s="732">
        <f t="shared" si="131"/>
        <v>0</v>
      </c>
      <c r="AJ1023" s="733">
        <f t="shared" si="132"/>
        <v>0</v>
      </c>
    </row>
    <row r="1024" spans="1:36">
      <c r="A1024" s="746" t="s">
        <v>549</v>
      </c>
      <c r="B1024" s="738" t="s">
        <v>176</v>
      </c>
      <c r="C1024" s="752" t="s">
        <v>177</v>
      </c>
      <c r="D1024" s="751"/>
      <c r="E1024" s="741"/>
      <c r="F1024" s="741">
        <v>99</v>
      </c>
      <c r="G1024" s="1152"/>
      <c r="H1024" s="1153"/>
      <c r="I1024" s="1152"/>
      <c r="J1024" s="1153"/>
      <c r="K1024" s="1152"/>
      <c r="L1024" s="1153"/>
      <c r="M1024" s="1152"/>
      <c r="N1024" s="1152"/>
      <c r="O1024" s="732">
        <f t="shared" si="125"/>
        <v>0</v>
      </c>
      <c r="P1024" s="1153"/>
      <c r="Q1024" s="1153"/>
      <c r="R1024" s="733">
        <f t="shared" si="128"/>
        <v>0</v>
      </c>
      <c r="S1024" s="732">
        <f t="shared" si="129"/>
        <v>0</v>
      </c>
      <c r="T1024" s="733">
        <f t="shared" si="130"/>
        <v>0</v>
      </c>
      <c r="U1024" s="1152"/>
      <c r="V1024" s="1153"/>
      <c r="W1024" s="1152"/>
      <c r="X1024" s="1152"/>
      <c r="Y1024" s="732">
        <f t="shared" si="126"/>
        <v>0</v>
      </c>
      <c r="Z1024" s="1153"/>
      <c r="AA1024" s="1153"/>
      <c r="AB1024" s="733">
        <f t="shared" si="127"/>
        <v>0</v>
      </c>
      <c r="AC1024" s="1152"/>
      <c r="AD1024" s="1153"/>
      <c r="AE1024" s="1152"/>
      <c r="AF1024" s="1152"/>
      <c r="AG1024" s="1153"/>
      <c r="AH1024" s="1153"/>
      <c r="AI1024" s="732">
        <f t="shared" si="131"/>
        <v>0</v>
      </c>
      <c r="AJ1024" s="733">
        <f t="shared" si="132"/>
        <v>0</v>
      </c>
    </row>
    <row r="1025" spans="1:36">
      <c r="A1025" s="746" t="s">
        <v>549</v>
      </c>
      <c r="B1025" s="738" t="s">
        <v>180</v>
      </c>
      <c r="C1025" s="752" t="s">
        <v>165</v>
      </c>
      <c r="D1025" s="751"/>
      <c r="E1025" s="741"/>
      <c r="F1025" s="741">
        <v>99</v>
      </c>
      <c r="G1025" s="1152"/>
      <c r="H1025" s="1153"/>
      <c r="I1025" s="1152"/>
      <c r="J1025" s="1153"/>
      <c r="K1025" s="1152"/>
      <c r="L1025" s="1153"/>
      <c r="M1025" s="1152"/>
      <c r="N1025" s="1152"/>
      <c r="O1025" s="732">
        <f t="shared" si="125"/>
        <v>0</v>
      </c>
      <c r="P1025" s="1153"/>
      <c r="Q1025" s="1153"/>
      <c r="R1025" s="733">
        <f t="shared" si="128"/>
        <v>0</v>
      </c>
      <c r="S1025" s="732">
        <f t="shared" si="129"/>
        <v>0</v>
      </c>
      <c r="T1025" s="733">
        <f t="shared" si="130"/>
        <v>0</v>
      </c>
      <c r="U1025" s="1152">
        <v>16530800</v>
      </c>
      <c r="V1025" s="1153">
        <v>17053550</v>
      </c>
      <c r="W1025" s="1152"/>
      <c r="X1025" s="1152"/>
      <c r="Y1025" s="732">
        <f t="shared" si="126"/>
        <v>0</v>
      </c>
      <c r="Z1025" s="1153"/>
      <c r="AA1025" s="1153"/>
      <c r="AB1025" s="733">
        <f t="shared" si="127"/>
        <v>0</v>
      </c>
      <c r="AC1025" s="1152"/>
      <c r="AD1025" s="1153"/>
      <c r="AE1025" s="1152"/>
      <c r="AF1025" s="1152"/>
      <c r="AG1025" s="1153"/>
      <c r="AH1025" s="1153"/>
      <c r="AI1025" s="732">
        <f t="shared" si="131"/>
        <v>16530800</v>
      </c>
      <c r="AJ1025" s="733">
        <f t="shared" si="132"/>
        <v>17053550</v>
      </c>
    </row>
    <row r="1026" spans="1:36">
      <c r="A1026" s="746" t="s">
        <v>549</v>
      </c>
      <c r="B1026" s="738" t="s">
        <v>166</v>
      </c>
      <c r="C1026" s="752" t="s">
        <v>167</v>
      </c>
      <c r="D1026" s="751"/>
      <c r="E1026" s="741"/>
      <c r="F1026" s="741">
        <v>99</v>
      </c>
      <c r="G1026" s="1152"/>
      <c r="H1026" s="1153"/>
      <c r="I1026" s="1152"/>
      <c r="J1026" s="1153"/>
      <c r="K1026" s="1152"/>
      <c r="L1026" s="1153"/>
      <c r="M1026" s="1152"/>
      <c r="N1026" s="1152"/>
      <c r="O1026" s="732">
        <f t="shared" si="125"/>
        <v>0</v>
      </c>
      <c r="P1026" s="1153"/>
      <c r="Q1026" s="1153"/>
      <c r="R1026" s="733">
        <f t="shared" si="128"/>
        <v>0</v>
      </c>
      <c r="S1026" s="732">
        <f t="shared" si="129"/>
        <v>0</v>
      </c>
      <c r="T1026" s="733">
        <f t="shared" si="130"/>
        <v>0</v>
      </c>
      <c r="U1026" s="1152"/>
      <c r="V1026" s="1153"/>
      <c r="W1026" s="1152"/>
      <c r="X1026" s="1152"/>
      <c r="Y1026" s="732">
        <f t="shared" si="126"/>
        <v>0</v>
      </c>
      <c r="Z1026" s="1153"/>
      <c r="AA1026" s="1153"/>
      <c r="AB1026" s="733">
        <f t="shared" si="127"/>
        <v>0</v>
      </c>
      <c r="AC1026" s="1152"/>
      <c r="AD1026" s="1153"/>
      <c r="AE1026" s="1152"/>
      <c r="AF1026" s="1152"/>
      <c r="AG1026" s="1153"/>
      <c r="AH1026" s="1153"/>
      <c r="AI1026" s="732">
        <f t="shared" si="131"/>
        <v>0</v>
      </c>
      <c r="AJ1026" s="733">
        <f t="shared" si="132"/>
        <v>0</v>
      </c>
    </row>
    <row r="1027" spans="1:36">
      <c r="A1027" s="746" t="s">
        <v>549</v>
      </c>
      <c r="B1027" s="738" t="s">
        <v>161</v>
      </c>
      <c r="C1027" s="757" t="s">
        <v>585</v>
      </c>
      <c r="D1027" s="744"/>
      <c r="E1027" s="741"/>
      <c r="F1027" s="741">
        <v>99</v>
      </c>
      <c r="G1027" s="1152"/>
      <c r="H1027" s="1153"/>
      <c r="I1027" s="1152"/>
      <c r="J1027" s="1153"/>
      <c r="K1027" s="1152"/>
      <c r="L1027" s="1153"/>
      <c r="M1027" s="1152"/>
      <c r="N1027" s="1152"/>
      <c r="O1027" s="732">
        <f t="shared" si="125"/>
        <v>0</v>
      </c>
      <c r="P1027" s="1153"/>
      <c r="Q1027" s="1153"/>
      <c r="R1027" s="733">
        <f t="shared" si="128"/>
        <v>0</v>
      </c>
      <c r="S1027" s="732">
        <f t="shared" si="129"/>
        <v>0</v>
      </c>
      <c r="T1027" s="733">
        <f t="shared" si="130"/>
        <v>0</v>
      </c>
      <c r="U1027" s="1152"/>
      <c r="V1027" s="1153"/>
      <c r="W1027" s="1152"/>
      <c r="X1027" s="1152"/>
      <c r="Y1027" s="732">
        <f t="shared" si="126"/>
        <v>0</v>
      </c>
      <c r="Z1027" s="1153"/>
      <c r="AA1027" s="1153"/>
      <c r="AB1027" s="733">
        <f t="shared" si="127"/>
        <v>0</v>
      </c>
      <c r="AC1027" s="1152"/>
      <c r="AD1027" s="1153"/>
      <c r="AE1027" s="1152"/>
      <c r="AF1027" s="1152"/>
      <c r="AG1027" s="1153"/>
      <c r="AH1027" s="1153"/>
      <c r="AI1027" s="732">
        <f t="shared" si="131"/>
        <v>0</v>
      </c>
      <c r="AJ1027" s="733">
        <f t="shared" si="132"/>
        <v>0</v>
      </c>
    </row>
    <row r="1028" spans="1:36">
      <c r="A1028" s="746" t="s">
        <v>549</v>
      </c>
      <c r="B1028" s="738" t="s">
        <v>164</v>
      </c>
      <c r="C1028" s="752" t="s">
        <v>165</v>
      </c>
      <c r="D1028" s="751"/>
      <c r="E1028" s="741"/>
      <c r="F1028" s="741">
        <v>99</v>
      </c>
      <c r="G1028" s="1152"/>
      <c r="H1028" s="1153"/>
      <c r="I1028" s="1152"/>
      <c r="J1028" s="1153"/>
      <c r="K1028" s="1152"/>
      <c r="L1028" s="1153"/>
      <c r="M1028" s="1152"/>
      <c r="N1028" s="1152"/>
      <c r="O1028" s="732">
        <f t="shared" si="125"/>
        <v>0</v>
      </c>
      <c r="P1028" s="1153"/>
      <c r="Q1028" s="1153"/>
      <c r="R1028" s="733">
        <f t="shared" si="128"/>
        <v>0</v>
      </c>
      <c r="S1028" s="732">
        <f t="shared" si="129"/>
        <v>0</v>
      </c>
      <c r="T1028" s="733">
        <f t="shared" si="130"/>
        <v>0</v>
      </c>
      <c r="U1028" s="1152"/>
      <c r="V1028" s="1153"/>
      <c r="W1028" s="1152"/>
      <c r="X1028" s="1152"/>
      <c r="Y1028" s="732">
        <f t="shared" si="126"/>
        <v>0</v>
      </c>
      <c r="Z1028" s="1153"/>
      <c r="AA1028" s="1153"/>
      <c r="AB1028" s="733">
        <f t="shared" si="127"/>
        <v>0</v>
      </c>
      <c r="AC1028" s="1152"/>
      <c r="AD1028" s="1153"/>
      <c r="AE1028" s="1152"/>
      <c r="AF1028" s="1152"/>
      <c r="AG1028" s="1153"/>
      <c r="AH1028" s="1153"/>
      <c r="AI1028" s="732">
        <f t="shared" si="131"/>
        <v>0</v>
      </c>
      <c r="AJ1028" s="733">
        <f t="shared" si="132"/>
        <v>0</v>
      </c>
    </row>
    <row r="1029" spans="1:36">
      <c r="A1029" s="746" t="s">
        <v>549</v>
      </c>
      <c r="B1029" s="738" t="s">
        <v>166</v>
      </c>
      <c r="C1029" s="752" t="s">
        <v>167</v>
      </c>
      <c r="D1029" s="751"/>
      <c r="E1029" s="741"/>
      <c r="F1029" s="741">
        <v>99</v>
      </c>
      <c r="G1029" s="1152"/>
      <c r="H1029" s="1153"/>
      <c r="I1029" s="1152"/>
      <c r="J1029" s="1153"/>
      <c r="K1029" s="1152"/>
      <c r="L1029" s="1153"/>
      <c r="M1029" s="1152"/>
      <c r="N1029" s="1152"/>
      <c r="O1029" s="732">
        <f t="shared" si="125"/>
        <v>0</v>
      </c>
      <c r="P1029" s="1153"/>
      <c r="Q1029" s="1153"/>
      <c r="R1029" s="733">
        <f t="shared" si="128"/>
        <v>0</v>
      </c>
      <c r="S1029" s="732">
        <f t="shared" si="129"/>
        <v>0</v>
      </c>
      <c r="T1029" s="733">
        <f t="shared" si="130"/>
        <v>0</v>
      </c>
      <c r="U1029" s="1152"/>
      <c r="V1029" s="1153"/>
      <c r="W1029" s="1152"/>
      <c r="X1029" s="1152"/>
      <c r="Y1029" s="732">
        <f t="shared" si="126"/>
        <v>0</v>
      </c>
      <c r="Z1029" s="1153"/>
      <c r="AA1029" s="1153"/>
      <c r="AB1029" s="733">
        <f t="shared" si="127"/>
        <v>0</v>
      </c>
      <c r="AC1029" s="1152"/>
      <c r="AD1029" s="1153"/>
      <c r="AE1029" s="1152"/>
      <c r="AF1029" s="1152"/>
      <c r="AG1029" s="1153"/>
      <c r="AH1029" s="1153"/>
      <c r="AI1029" s="732">
        <f t="shared" si="131"/>
        <v>0</v>
      </c>
      <c r="AJ1029" s="733">
        <f t="shared" si="132"/>
        <v>0</v>
      </c>
    </row>
    <row r="1030" spans="1:36">
      <c r="A1030" s="746" t="s">
        <v>549</v>
      </c>
      <c r="B1030" s="738" t="s">
        <v>170</v>
      </c>
      <c r="C1030" s="752" t="s">
        <v>171</v>
      </c>
      <c r="D1030" s="751"/>
      <c r="E1030" s="741"/>
      <c r="F1030" s="741">
        <v>99</v>
      </c>
      <c r="G1030" s="1152"/>
      <c r="H1030" s="1153"/>
      <c r="I1030" s="1152"/>
      <c r="J1030" s="1153"/>
      <c r="K1030" s="1152"/>
      <c r="L1030" s="1153"/>
      <c r="M1030" s="1152"/>
      <c r="N1030" s="1152"/>
      <c r="O1030" s="732">
        <f t="shared" si="125"/>
        <v>0</v>
      </c>
      <c r="P1030" s="1153"/>
      <c r="Q1030" s="1153"/>
      <c r="R1030" s="733">
        <f t="shared" si="128"/>
        <v>0</v>
      </c>
      <c r="S1030" s="732">
        <f t="shared" si="129"/>
        <v>0</v>
      </c>
      <c r="T1030" s="733">
        <f t="shared" si="130"/>
        <v>0</v>
      </c>
      <c r="U1030" s="1152"/>
      <c r="V1030" s="1153"/>
      <c r="W1030" s="1152"/>
      <c r="X1030" s="1152"/>
      <c r="Y1030" s="732">
        <f t="shared" si="126"/>
        <v>0</v>
      </c>
      <c r="Z1030" s="1153"/>
      <c r="AA1030" s="1153"/>
      <c r="AB1030" s="733">
        <f t="shared" si="127"/>
        <v>0</v>
      </c>
      <c r="AC1030" s="1152"/>
      <c r="AD1030" s="1153"/>
      <c r="AE1030" s="1152"/>
      <c r="AF1030" s="1152"/>
      <c r="AG1030" s="1153"/>
      <c r="AH1030" s="1153"/>
      <c r="AI1030" s="732">
        <f t="shared" si="131"/>
        <v>0</v>
      </c>
      <c r="AJ1030" s="733">
        <f t="shared" si="132"/>
        <v>0</v>
      </c>
    </row>
    <row r="1031" spans="1:36">
      <c r="A1031" s="746" t="s">
        <v>549</v>
      </c>
      <c r="B1031" s="738" t="s">
        <v>172</v>
      </c>
      <c r="C1031" s="752" t="s">
        <v>165</v>
      </c>
      <c r="D1031" s="751"/>
      <c r="E1031" s="741"/>
      <c r="F1031" s="741">
        <v>99</v>
      </c>
      <c r="G1031" s="1152"/>
      <c r="H1031" s="1153"/>
      <c r="I1031" s="1152"/>
      <c r="J1031" s="1153"/>
      <c r="K1031" s="1152"/>
      <c r="L1031" s="1153"/>
      <c r="M1031" s="1152"/>
      <c r="N1031" s="1152"/>
      <c r="O1031" s="732">
        <f t="shared" si="125"/>
        <v>0</v>
      </c>
      <c r="P1031" s="1153"/>
      <c r="Q1031" s="1153"/>
      <c r="R1031" s="733">
        <f t="shared" si="128"/>
        <v>0</v>
      </c>
      <c r="S1031" s="732">
        <f t="shared" si="129"/>
        <v>0</v>
      </c>
      <c r="T1031" s="733">
        <f t="shared" si="130"/>
        <v>0</v>
      </c>
      <c r="U1031" s="1152">
        <v>4095600</v>
      </c>
      <c r="V1031" s="1153">
        <v>4058435</v>
      </c>
      <c r="W1031" s="1152"/>
      <c r="X1031" s="1152"/>
      <c r="Y1031" s="732">
        <f t="shared" si="126"/>
        <v>0</v>
      </c>
      <c r="Z1031" s="1153"/>
      <c r="AA1031" s="1153"/>
      <c r="AB1031" s="733">
        <f t="shared" si="127"/>
        <v>0</v>
      </c>
      <c r="AC1031" s="1152"/>
      <c r="AD1031" s="1153"/>
      <c r="AE1031" s="1152"/>
      <c r="AF1031" s="1152"/>
      <c r="AG1031" s="1153"/>
      <c r="AH1031" s="1153"/>
      <c r="AI1031" s="732">
        <f t="shared" si="131"/>
        <v>4095600</v>
      </c>
      <c r="AJ1031" s="733">
        <f t="shared" si="132"/>
        <v>4058435</v>
      </c>
    </row>
    <row r="1032" spans="1:36">
      <c r="A1032" s="746" t="s">
        <v>549</v>
      </c>
      <c r="B1032" s="738" t="s">
        <v>166</v>
      </c>
      <c r="C1032" s="752" t="s">
        <v>167</v>
      </c>
      <c r="D1032" s="751"/>
      <c r="E1032" s="741"/>
      <c r="F1032" s="741">
        <v>99</v>
      </c>
      <c r="G1032" s="1152"/>
      <c r="H1032" s="1153"/>
      <c r="I1032" s="1152"/>
      <c r="J1032" s="1153"/>
      <c r="K1032" s="1152"/>
      <c r="L1032" s="1153"/>
      <c r="M1032" s="1152"/>
      <c r="N1032" s="1152"/>
      <c r="O1032" s="732">
        <f t="shared" si="125"/>
        <v>0</v>
      </c>
      <c r="P1032" s="1153"/>
      <c r="Q1032" s="1153"/>
      <c r="R1032" s="733">
        <f t="shared" si="128"/>
        <v>0</v>
      </c>
      <c r="S1032" s="732">
        <f t="shared" si="129"/>
        <v>0</v>
      </c>
      <c r="T1032" s="733">
        <f t="shared" si="130"/>
        <v>0</v>
      </c>
      <c r="U1032" s="1152"/>
      <c r="V1032" s="1153"/>
      <c r="W1032" s="1152"/>
      <c r="X1032" s="1152"/>
      <c r="Y1032" s="732">
        <f t="shared" si="126"/>
        <v>0</v>
      </c>
      <c r="Z1032" s="1153"/>
      <c r="AA1032" s="1153"/>
      <c r="AB1032" s="733">
        <f t="shared" si="127"/>
        <v>0</v>
      </c>
      <c r="AC1032" s="1152"/>
      <c r="AD1032" s="1153"/>
      <c r="AE1032" s="1152"/>
      <c r="AF1032" s="1152"/>
      <c r="AG1032" s="1153"/>
      <c r="AH1032" s="1153"/>
      <c r="AI1032" s="732">
        <f t="shared" si="131"/>
        <v>0</v>
      </c>
      <c r="AJ1032" s="733">
        <f t="shared" si="132"/>
        <v>0</v>
      </c>
    </row>
    <row r="1033" spans="1:36">
      <c r="A1033" s="746" t="s">
        <v>549</v>
      </c>
      <c r="B1033" s="738" t="s">
        <v>176</v>
      </c>
      <c r="C1033" s="752" t="s">
        <v>177</v>
      </c>
      <c r="D1033" s="751"/>
      <c r="E1033" s="741"/>
      <c r="F1033" s="741">
        <v>99</v>
      </c>
      <c r="G1033" s="1152"/>
      <c r="H1033" s="1153"/>
      <c r="I1033" s="1152"/>
      <c r="J1033" s="1153"/>
      <c r="K1033" s="1152"/>
      <c r="L1033" s="1153"/>
      <c r="M1033" s="1152"/>
      <c r="N1033" s="1152"/>
      <c r="O1033" s="732">
        <f t="shared" si="125"/>
        <v>0</v>
      </c>
      <c r="P1033" s="1153"/>
      <c r="Q1033" s="1153"/>
      <c r="R1033" s="733">
        <f t="shared" si="128"/>
        <v>0</v>
      </c>
      <c r="S1033" s="732">
        <f t="shared" si="129"/>
        <v>0</v>
      </c>
      <c r="T1033" s="733">
        <f t="shared" si="130"/>
        <v>0</v>
      </c>
      <c r="U1033" s="1152"/>
      <c r="V1033" s="1153"/>
      <c r="W1033" s="1152"/>
      <c r="X1033" s="1152"/>
      <c r="Y1033" s="732">
        <f t="shared" si="126"/>
        <v>0</v>
      </c>
      <c r="Z1033" s="1153"/>
      <c r="AA1033" s="1153"/>
      <c r="AB1033" s="733">
        <f t="shared" si="127"/>
        <v>0</v>
      </c>
      <c r="AC1033" s="1152"/>
      <c r="AD1033" s="1153"/>
      <c r="AE1033" s="1152"/>
      <c r="AF1033" s="1152"/>
      <c r="AG1033" s="1153"/>
      <c r="AH1033" s="1153"/>
      <c r="AI1033" s="732">
        <f t="shared" si="131"/>
        <v>0</v>
      </c>
      <c r="AJ1033" s="733">
        <f t="shared" si="132"/>
        <v>0</v>
      </c>
    </row>
    <row r="1034" spans="1:36">
      <c r="A1034" s="746" t="s">
        <v>549</v>
      </c>
      <c r="B1034" s="738" t="s">
        <v>180</v>
      </c>
      <c r="C1034" s="757" t="s">
        <v>165</v>
      </c>
      <c r="D1034" s="744"/>
      <c r="E1034" s="741"/>
      <c r="F1034" s="741">
        <v>99</v>
      </c>
      <c r="G1034" s="1152"/>
      <c r="H1034" s="1153"/>
      <c r="I1034" s="1152"/>
      <c r="J1034" s="1153"/>
      <c r="K1034" s="1152"/>
      <c r="L1034" s="1153"/>
      <c r="M1034" s="1152"/>
      <c r="N1034" s="1152"/>
      <c r="O1034" s="732">
        <f t="shared" ref="O1034:O1097" si="133">SUM(M1034:N1034)</f>
        <v>0</v>
      </c>
      <c r="P1034" s="1153"/>
      <c r="Q1034" s="1153"/>
      <c r="R1034" s="733">
        <f t="shared" si="128"/>
        <v>0</v>
      </c>
      <c r="S1034" s="732">
        <f t="shared" si="129"/>
        <v>0</v>
      </c>
      <c r="T1034" s="733">
        <f t="shared" si="130"/>
        <v>0</v>
      </c>
      <c r="U1034" s="1152">
        <v>786338</v>
      </c>
      <c r="V1034" s="1153">
        <v>743725</v>
      </c>
      <c r="W1034" s="1152"/>
      <c r="X1034" s="1152"/>
      <c r="Y1034" s="732">
        <f t="shared" ref="Y1034:Y1097" si="134">SUM(W1034:X1034)</f>
        <v>0</v>
      </c>
      <c r="Z1034" s="1153"/>
      <c r="AA1034" s="1153"/>
      <c r="AB1034" s="733">
        <f t="shared" ref="AB1034:AB1097" si="135">SUM(Z1034:AA1034)</f>
        <v>0</v>
      </c>
      <c r="AC1034" s="1152"/>
      <c r="AD1034" s="1153"/>
      <c r="AE1034" s="1152"/>
      <c r="AF1034" s="1152"/>
      <c r="AG1034" s="1153"/>
      <c r="AH1034" s="1153"/>
      <c r="AI1034" s="732">
        <f t="shared" si="131"/>
        <v>786338</v>
      </c>
      <c r="AJ1034" s="733">
        <f t="shared" si="132"/>
        <v>743725</v>
      </c>
    </row>
    <row r="1035" spans="1:36">
      <c r="A1035" s="746" t="s">
        <v>549</v>
      </c>
      <c r="B1035" s="738" t="s">
        <v>166</v>
      </c>
      <c r="C1035" s="752" t="s">
        <v>167</v>
      </c>
      <c r="D1035" s="751"/>
      <c r="E1035" s="741"/>
      <c r="F1035" s="741">
        <v>99</v>
      </c>
      <c r="G1035" s="1152"/>
      <c r="H1035" s="1153"/>
      <c r="I1035" s="1152"/>
      <c r="J1035" s="1153"/>
      <c r="K1035" s="1152"/>
      <c r="L1035" s="1153"/>
      <c r="M1035" s="1152"/>
      <c r="N1035" s="1152"/>
      <c r="O1035" s="732">
        <f t="shared" si="133"/>
        <v>0</v>
      </c>
      <c r="P1035" s="1153"/>
      <c r="Q1035" s="1153"/>
      <c r="R1035" s="733">
        <f t="shared" ref="R1035:R1098" si="136">SUM(P1035:Q1035)</f>
        <v>0</v>
      </c>
      <c r="S1035" s="732">
        <f t="shared" ref="S1035:S1098" si="137">SUM(G1035,I1035,K1035,M1035)</f>
        <v>0</v>
      </c>
      <c r="T1035" s="733">
        <f t="shared" ref="T1035:T1098" si="138">SUM(H1035,J1035,L1035,P1035)</f>
        <v>0</v>
      </c>
      <c r="U1035" s="1152"/>
      <c r="V1035" s="1153"/>
      <c r="W1035" s="1152"/>
      <c r="X1035" s="1152"/>
      <c r="Y1035" s="732">
        <f t="shared" si="134"/>
        <v>0</v>
      </c>
      <c r="Z1035" s="1153"/>
      <c r="AA1035" s="1153"/>
      <c r="AB1035" s="733">
        <f t="shared" si="135"/>
        <v>0</v>
      </c>
      <c r="AC1035" s="1152"/>
      <c r="AD1035" s="1153"/>
      <c r="AE1035" s="1152"/>
      <c r="AF1035" s="1152"/>
      <c r="AG1035" s="1153"/>
      <c r="AH1035" s="1153"/>
      <c r="AI1035" s="732">
        <f t="shared" ref="AI1035:AI1098" si="139">SUM(S1035,U1035,W1035,AC1035,AE1035)</f>
        <v>0</v>
      </c>
      <c r="AJ1035" s="733">
        <f t="shared" ref="AJ1035:AJ1098" si="140">SUM(T1035,V1035,Z1035,AD1035,AG1035)</f>
        <v>0</v>
      </c>
    </row>
    <row r="1036" spans="1:36">
      <c r="A1036" s="746" t="s">
        <v>549</v>
      </c>
      <c r="B1036" s="738" t="s">
        <v>161</v>
      </c>
      <c r="C1036" s="752" t="s">
        <v>586</v>
      </c>
      <c r="D1036" s="751"/>
      <c r="E1036" s="741"/>
      <c r="F1036" s="741">
        <v>99</v>
      </c>
      <c r="G1036" s="1152"/>
      <c r="H1036" s="1153"/>
      <c r="I1036" s="1152"/>
      <c r="J1036" s="1153"/>
      <c r="K1036" s="1152"/>
      <c r="L1036" s="1153"/>
      <c r="M1036" s="1152"/>
      <c r="N1036" s="1152"/>
      <c r="O1036" s="732">
        <f t="shared" si="133"/>
        <v>0</v>
      </c>
      <c r="P1036" s="1153"/>
      <c r="Q1036" s="1153"/>
      <c r="R1036" s="733">
        <f t="shared" si="136"/>
        <v>0</v>
      </c>
      <c r="S1036" s="732">
        <f t="shared" si="137"/>
        <v>0</v>
      </c>
      <c r="T1036" s="733">
        <f t="shared" si="138"/>
        <v>0</v>
      </c>
      <c r="U1036" s="1152"/>
      <c r="V1036" s="1153"/>
      <c r="W1036" s="1152"/>
      <c r="X1036" s="1152"/>
      <c r="Y1036" s="732">
        <f t="shared" si="134"/>
        <v>0</v>
      </c>
      <c r="Z1036" s="1153"/>
      <c r="AA1036" s="1153"/>
      <c r="AB1036" s="733">
        <f t="shared" si="135"/>
        <v>0</v>
      </c>
      <c r="AC1036" s="1152"/>
      <c r="AD1036" s="1153"/>
      <c r="AE1036" s="1152"/>
      <c r="AF1036" s="1152"/>
      <c r="AG1036" s="1153"/>
      <c r="AH1036" s="1153"/>
      <c r="AI1036" s="732">
        <f t="shared" si="139"/>
        <v>0</v>
      </c>
      <c r="AJ1036" s="733">
        <f t="shared" si="140"/>
        <v>0</v>
      </c>
    </row>
    <row r="1037" spans="1:36">
      <c r="A1037" s="746" t="s">
        <v>549</v>
      </c>
      <c r="B1037" s="738" t="s">
        <v>170</v>
      </c>
      <c r="C1037" s="752" t="s">
        <v>171</v>
      </c>
      <c r="D1037" s="751"/>
      <c r="E1037" s="741"/>
      <c r="F1037" s="741">
        <v>99</v>
      </c>
      <c r="G1037" s="1152"/>
      <c r="H1037" s="1153"/>
      <c r="I1037" s="1152"/>
      <c r="J1037" s="1153"/>
      <c r="K1037" s="1152"/>
      <c r="L1037" s="1153"/>
      <c r="M1037" s="1152"/>
      <c r="N1037" s="1152"/>
      <c r="O1037" s="732">
        <f t="shared" si="133"/>
        <v>0</v>
      </c>
      <c r="P1037" s="1153"/>
      <c r="Q1037" s="1153"/>
      <c r="R1037" s="733">
        <f t="shared" si="136"/>
        <v>0</v>
      </c>
      <c r="S1037" s="732">
        <f t="shared" si="137"/>
        <v>0</v>
      </c>
      <c r="T1037" s="733">
        <f t="shared" si="138"/>
        <v>0</v>
      </c>
      <c r="U1037" s="1152"/>
      <c r="V1037" s="1153"/>
      <c r="W1037" s="1152"/>
      <c r="X1037" s="1152"/>
      <c r="Y1037" s="732">
        <f t="shared" si="134"/>
        <v>0</v>
      </c>
      <c r="Z1037" s="1153"/>
      <c r="AA1037" s="1153"/>
      <c r="AB1037" s="733">
        <f t="shared" si="135"/>
        <v>0</v>
      </c>
      <c r="AC1037" s="1152"/>
      <c r="AD1037" s="1153"/>
      <c r="AE1037" s="1152"/>
      <c r="AF1037" s="1152"/>
      <c r="AG1037" s="1153"/>
      <c r="AH1037" s="1153"/>
      <c r="AI1037" s="732">
        <f t="shared" si="139"/>
        <v>0</v>
      </c>
      <c r="AJ1037" s="733">
        <f t="shared" si="140"/>
        <v>0</v>
      </c>
    </row>
    <row r="1038" spans="1:36">
      <c r="A1038" s="746" t="s">
        <v>549</v>
      </c>
      <c r="B1038" s="738" t="s">
        <v>172</v>
      </c>
      <c r="C1038" s="752" t="s">
        <v>165</v>
      </c>
      <c r="D1038" s="751"/>
      <c r="E1038" s="741"/>
      <c r="F1038" s="741">
        <v>99</v>
      </c>
      <c r="G1038" s="1152"/>
      <c r="H1038" s="1153"/>
      <c r="I1038" s="1152"/>
      <c r="J1038" s="1153"/>
      <c r="K1038" s="1152"/>
      <c r="L1038" s="1153"/>
      <c r="M1038" s="1152"/>
      <c r="N1038" s="1152"/>
      <c r="O1038" s="732">
        <f t="shared" si="133"/>
        <v>0</v>
      </c>
      <c r="P1038" s="1153"/>
      <c r="Q1038" s="1153"/>
      <c r="R1038" s="733">
        <f t="shared" si="136"/>
        <v>0</v>
      </c>
      <c r="S1038" s="732">
        <f t="shared" si="137"/>
        <v>0</v>
      </c>
      <c r="T1038" s="733">
        <f t="shared" si="138"/>
        <v>0</v>
      </c>
      <c r="U1038" s="1152"/>
      <c r="V1038" s="1153"/>
      <c r="W1038" s="1152"/>
      <c r="X1038" s="1152"/>
      <c r="Y1038" s="732">
        <f t="shared" si="134"/>
        <v>0</v>
      </c>
      <c r="Z1038" s="1153"/>
      <c r="AA1038" s="1153"/>
      <c r="AB1038" s="733">
        <f t="shared" si="135"/>
        <v>0</v>
      </c>
      <c r="AC1038" s="1152"/>
      <c r="AD1038" s="1153"/>
      <c r="AE1038" s="1152"/>
      <c r="AF1038" s="1152"/>
      <c r="AG1038" s="1153"/>
      <c r="AH1038" s="1153"/>
      <c r="AI1038" s="732">
        <f t="shared" si="139"/>
        <v>0</v>
      </c>
      <c r="AJ1038" s="733">
        <f t="shared" si="140"/>
        <v>0</v>
      </c>
    </row>
    <row r="1039" spans="1:36">
      <c r="A1039" s="746" t="s">
        <v>549</v>
      </c>
      <c r="B1039" s="738" t="s">
        <v>173</v>
      </c>
      <c r="C1039" s="752" t="s">
        <v>587</v>
      </c>
      <c r="D1039" s="751"/>
      <c r="E1039" s="741"/>
      <c r="F1039" s="741">
        <v>99</v>
      </c>
      <c r="G1039" s="1152"/>
      <c r="H1039" s="1153"/>
      <c r="I1039" s="1152"/>
      <c r="J1039" s="1153"/>
      <c r="K1039" s="1152"/>
      <c r="L1039" s="1153"/>
      <c r="M1039" s="1152"/>
      <c r="N1039" s="1152"/>
      <c r="O1039" s="732">
        <f t="shared" si="133"/>
        <v>0</v>
      </c>
      <c r="P1039" s="1153"/>
      <c r="Q1039" s="1153"/>
      <c r="R1039" s="733">
        <f t="shared" si="136"/>
        <v>0</v>
      </c>
      <c r="S1039" s="732">
        <f t="shared" si="137"/>
        <v>0</v>
      </c>
      <c r="T1039" s="733">
        <f t="shared" si="138"/>
        <v>0</v>
      </c>
      <c r="U1039" s="1152">
        <v>2030828.62</v>
      </c>
      <c r="V1039" s="1153">
        <v>2829902</v>
      </c>
      <c r="W1039" s="1152"/>
      <c r="X1039" s="1152"/>
      <c r="Y1039" s="732">
        <f t="shared" si="134"/>
        <v>0</v>
      </c>
      <c r="Z1039" s="1153"/>
      <c r="AA1039" s="1153"/>
      <c r="AB1039" s="733">
        <f t="shared" si="135"/>
        <v>0</v>
      </c>
      <c r="AC1039" s="1152"/>
      <c r="AD1039" s="1153"/>
      <c r="AE1039" s="1152"/>
      <c r="AF1039" s="1152"/>
      <c r="AG1039" s="1153"/>
      <c r="AH1039" s="1153"/>
      <c r="AI1039" s="732">
        <f t="shared" si="139"/>
        <v>2030828.62</v>
      </c>
      <c r="AJ1039" s="733">
        <f t="shared" si="140"/>
        <v>2829902</v>
      </c>
    </row>
    <row r="1040" spans="1:36">
      <c r="A1040" s="746" t="s">
        <v>549</v>
      </c>
      <c r="B1040" s="738" t="s">
        <v>176</v>
      </c>
      <c r="C1040" s="752" t="s">
        <v>177</v>
      </c>
      <c r="D1040" s="751"/>
      <c r="E1040" s="741"/>
      <c r="F1040" s="741">
        <v>99</v>
      </c>
      <c r="G1040" s="1152"/>
      <c r="H1040" s="1153"/>
      <c r="I1040" s="1152"/>
      <c r="J1040" s="1153"/>
      <c r="K1040" s="1152"/>
      <c r="L1040" s="1153"/>
      <c r="M1040" s="1152"/>
      <c r="N1040" s="1152"/>
      <c r="O1040" s="732">
        <f t="shared" si="133"/>
        <v>0</v>
      </c>
      <c r="P1040" s="1153"/>
      <c r="Q1040" s="1153"/>
      <c r="R1040" s="733">
        <f t="shared" si="136"/>
        <v>0</v>
      </c>
      <c r="S1040" s="732">
        <f t="shared" si="137"/>
        <v>0</v>
      </c>
      <c r="T1040" s="733">
        <f t="shared" si="138"/>
        <v>0</v>
      </c>
      <c r="U1040" s="1152"/>
      <c r="V1040" s="1153"/>
      <c r="W1040" s="1152"/>
      <c r="X1040" s="1152"/>
      <c r="Y1040" s="732">
        <f t="shared" si="134"/>
        <v>0</v>
      </c>
      <c r="Z1040" s="1153"/>
      <c r="AA1040" s="1153"/>
      <c r="AB1040" s="733">
        <f t="shared" si="135"/>
        <v>0</v>
      </c>
      <c r="AC1040" s="1152"/>
      <c r="AD1040" s="1153"/>
      <c r="AE1040" s="1152"/>
      <c r="AF1040" s="1152"/>
      <c r="AG1040" s="1153"/>
      <c r="AH1040" s="1153"/>
      <c r="AI1040" s="732">
        <f t="shared" si="139"/>
        <v>0</v>
      </c>
      <c r="AJ1040" s="733">
        <f t="shared" si="140"/>
        <v>0</v>
      </c>
    </row>
    <row r="1041" spans="1:36">
      <c r="A1041" s="746" t="s">
        <v>549</v>
      </c>
      <c r="B1041" s="738" t="s">
        <v>180</v>
      </c>
      <c r="C1041" s="757" t="s">
        <v>165</v>
      </c>
      <c r="D1041" s="744"/>
      <c r="E1041" s="741"/>
      <c r="F1041" s="741">
        <v>99</v>
      </c>
      <c r="G1041" s="1152"/>
      <c r="H1041" s="1153"/>
      <c r="I1041" s="1152"/>
      <c r="J1041" s="1153"/>
      <c r="K1041" s="1152"/>
      <c r="L1041" s="1153"/>
      <c r="M1041" s="1152"/>
      <c r="N1041" s="1152"/>
      <c r="O1041" s="732">
        <f t="shared" si="133"/>
        <v>0</v>
      </c>
      <c r="P1041" s="1153"/>
      <c r="Q1041" s="1153"/>
      <c r="R1041" s="733">
        <f t="shared" si="136"/>
        <v>0</v>
      </c>
      <c r="S1041" s="732">
        <f t="shared" si="137"/>
        <v>0</v>
      </c>
      <c r="T1041" s="733">
        <f t="shared" si="138"/>
        <v>0</v>
      </c>
      <c r="U1041" s="1152"/>
      <c r="V1041" s="1153"/>
      <c r="W1041" s="1152"/>
      <c r="X1041" s="1152"/>
      <c r="Y1041" s="732">
        <f t="shared" si="134"/>
        <v>0</v>
      </c>
      <c r="Z1041" s="1153"/>
      <c r="AA1041" s="1153"/>
      <c r="AB1041" s="733">
        <f t="shared" si="135"/>
        <v>0</v>
      </c>
      <c r="AC1041" s="1152"/>
      <c r="AD1041" s="1153"/>
      <c r="AE1041" s="1152"/>
      <c r="AF1041" s="1152"/>
      <c r="AG1041" s="1153"/>
      <c r="AH1041" s="1153"/>
      <c r="AI1041" s="732">
        <f t="shared" si="139"/>
        <v>0</v>
      </c>
      <c r="AJ1041" s="733">
        <f t="shared" si="140"/>
        <v>0</v>
      </c>
    </row>
    <row r="1042" spans="1:36">
      <c r="A1042" s="746" t="s">
        <v>549</v>
      </c>
      <c r="B1042" s="738" t="s">
        <v>178</v>
      </c>
      <c r="C1042" s="752" t="s">
        <v>587</v>
      </c>
      <c r="D1042" s="751"/>
      <c r="E1042" s="741"/>
      <c r="F1042" s="741">
        <v>99</v>
      </c>
      <c r="G1042" s="1152"/>
      <c r="H1042" s="1153"/>
      <c r="I1042" s="1152"/>
      <c r="J1042" s="1153"/>
      <c r="K1042" s="1152"/>
      <c r="L1042" s="1153"/>
      <c r="M1042" s="1152"/>
      <c r="N1042" s="1152"/>
      <c r="O1042" s="732">
        <f t="shared" si="133"/>
        <v>0</v>
      </c>
      <c r="P1042" s="1153"/>
      <c r="Q1042" s="1153"/>
      <c r="R1042" s="733">
        <f t="shared" si="136"/>
        <v>0</v>
      </c>
      <c r="S1042" s="732">
        <f t="shared" si="137"/>
        <v>0</v>
      </c>
      <c r="T1042" s="733">
        <f t="shared" si="138"/>
        <v>0</v>
      </c>
      <c r="U1042" s="1152">
        <v>504630</v>
      </c>
      <c r="V1042" s="1153">
        <v>530869</v>
      </c>
      <c r="W1042" s="1152"/>
      <c r="X1042" s="1152"/>
      <c r="Y1042" s="732">
        <f t="shared" si="134"/>
        <v>0</v>
      </c>
      <c r="Z1042" s="1153"/>
      <c r="AA1042" s="1153"/>
      <c r="AB1042" s="733">
        <f t="shared" si="135"/>
        <v>0</v>
      </c>
      <c r="AC1042" s="1152"/>
      <c r="AD1042" s="1153"/>
      <c r="AE1042" s="1152"/>
      <c r="AF1042" s="1152"/>
      <c r="AG1042" s="1153"/>
      <c r="AH1042" s="1153"/>
      <c r="AI1042" s="732">
        <f t="shared" si="139"/>
        <v>504630</v>
      </c>
      <c r="AJ1042" s="733">
        <f t="shared" si="140"/>
        <v>530869</v>
      </c>
    </row>
    <row r="1043" spans="1:36">
      <c r="A1043" s="746" t="s">
        <v>549</v>
      </c>
      <c r="B1043" s="738" t="s">
        <v>161</v>
      </c>
      <c r="C1043" s="752" t="s">
        <v>588</v>
      </c>
      <c r="D1043" s="751"/>
      <c r="E1043" s="741"/>
      <c r="F1043" s="741">
        <v>99</v>
      </c>
      <c r="G1043" s="1152"/>
      <c r="H1043" s="1153"/>
      <c r="I1043" s="1152"/>
      <c r="J1043" s="1153"/>
      <c r="K1043" s="1152"/>
      <c r="L1043" s="1153"/>
      <c r="M1043" s="1152"/>
      <c r="N1043" s="1152"/>
      <c r="O1043" s="732">
        <f t="shared" si="133"/>
        <v>0</v>
      </c>
      <c r="P1043" s="1153"/>
      <c r="Q1043" s="1153"/>
      <c r="R1043" s="733">
        <f t="shared" si="136"/>
        <v>0</v>
      </c>
      <c r="S1043" s="732">
        <f t="shared" si="137"/>
        <v>0</v>
      </c>
      <c r="T1043" s="733">
        <f t="shared" si="138"/>
        <v>0</v>
      </c>
      <c r="U1043" s="1152"/>
      <c r="V1043" s="1153"/>
      <c r="W1043" s="1152"/>
      <c r="X1043" s="1152"/>
      <c r="Y1043" s="732">
        <f t="shared" si="134"/>
        <v>0</v>
      </c>
      <c r="Z1043" s="1153"/>
      <c r="AA1043" s="1153"/>
      <c r="AB1043" s="733">
        <f t="shared" si="135"/>
        <v>0</v>
      </c>
      <c r="AC1043" s="1152"/>
      <c r="AD1043" s="1153"/>
      <c r="AE1043" s="1152"/>
      <c r="AF1043" s="1152"/>
      <c r="AG1043" s="1153"/>
      <c r="AH1043" s="1153"/>
      <c r="AI1043" s="732">
        <f t="shared" si="139"/>
        <v>0</v>
      </c>
      <c r="AJ1043" s="733">
        <f t="shared" si="140"/>
        <v>0</v>
      </c>
    </row>
    <row r="1044" spans="1:36">
      <c r="A1044" s="746" t="s">
        <v>549</v>
      </c>
      <c r="B1044" s="738" t="s">
        <v>164</v>
      </c>
      <c r="C1044" s="752" t="s">
        <v>165</v>
      </c>
      <c r="D1044" s="751"/>
      <c r="E1044" s="741"/>
      <c r="F1044" s="741">
        <v>99</v>
      </c>
      <c r="G1044" s="1152"/>
      <c r="H1044" s="1153"/>
      <c r="I1044" s="1152"/>
      <c r="J1044" s="1153"/>
      <c r="K1044" s="1152"/>
      <c r="L1044" s="1153"/>
      <c r="M1044" s="1152"/>
      <c r="N1044" s="1152"/>
      <c r="O1044" s="732">
        <f t="shared" si="133"/>
        <v>0</v>
      </c>
      <c r="P1044" s="1153"/>
      <c r="Q1044" s="1153"/>
      <c r="R1044" s="733">
        <f t="shared" si="136"/>
        <v>0</v>
      </c>
      <c r="S1044" s="732">
        <f t="shared" si="137"/>
        <v>0</v>
      </c>
      <c r="T1044" s="733">
        <f t="shared" si="138"/>
        <v>0</v>
      </c>
      <c r="U1044" s="1152"/>
      <c r="V1044" s="1153"/>
      <c r="W1044" s="1152"/>
      <c r="X1044" s="1152"/>
      <c r="Y1044" s="732">
        <f t="shared" si="134"/>
        <v>0</v>
      </c>
      <c r="Z1044" s="1153"/>
      <c r="AA1044" s="1153"/>
      <c r="AB1044" s="733">
        <f t="shared" si="135"/>
        <v>0</v>
      </c>
      <c r="AC1044" s="1152"/>
      <c r="AD1044" s="1153"/>
      <c r="AE1044" s="1152"/>
      <c r="AF1044" s="1152"/>
      <c r="AG1044" s="1153"/>
      <c r="AH1044" s="1153"/>
      <c r="AI1044" s="732">
        <f t="shared" si="139"/>
        <v>0</v>
      </c>
      <c r="AJ1044" s="733">
        <f t="shared" si="140"/>
        <v>0</v>
      </c>
    </row>
    <row r="1045" spans="1:36">
      <c r="A1045" s="746" t="s">
        <v>549</v>
      </c>
      <c r="B1045" s="738" t="s">
        <v>166</v>
      </c>
      <c r="C1045" s="752" t="s">
        <v>167</v>
      </c>
      <c r="D1045" s="751"/>
      <c r="E1045" s="741"/>
      <c r="F1045" s="741">
        <v>99</v>
      </c>
      <c r="G1045" s="1152"/>
      <c r="H1045" s="1153"/>
      <c r="I1045" s="1152"/>
      <c r="J1045" s="1153"/>
      <c r="K1045" s="1152"/>
      <c r="L1045" s="1153"/>
      <c r="M1045" s="1152"/>
      <c r="N1045" s="1152"/>
      <c r="O1045" s="732">
        <f t="shared" si="133"/>
        <v>0</v>
      </c>
      <c r="P1045" s="1153"/>
      <c r="Q1045" s="1153"/>
      <c r="R1045" s="733">
        <f t="shared" si="136"/>
        <v>0</v>
      </c>
      <c r="S1045" s="732">
        <f t="shared" si="137"/>
        <v>0</v>
      </c>
      <c r="T1045" s="733">
        <f t="shared" si="138"/>
        <v>0</v>
      </c>
      <c r="U1045" s="1152"/>
      <c r="V1045" s="1153"/>
      <c r="W1045" s="1152"/>
      <c r="X1045" s="1152"/>
      <c r="Y1045" s="732">
        <f t="shared" si="134"/>
        <v>0</v>
      </c>
      <c r="Z1045" s="1153"/>
      <c r="AA1045" s="1153"/>
      <c r="AB1045" s="733">
        <f t="shared" si="135"/>
        <v>0</v>
      </c>
      <c r="AC1045" s="1152"/>
      <c r="AD1045" s="1153"/>
      <c r="AE1045" s="1152"/>
      <c r="AF1045" s="1152"/>
      <c r="AG1045" s="1153"/>
      <c r="AH1045" s="1153"/>
      <c r="AI1045" s="732">
        <f t="shared" si="139"/>
        <v>0</v>
      </c>
      <c r="AJ1045" s="733">
        <f t="shared" si="140"/>
        <v>0</v>
      </c>
    </row>
    <row r="1046" spans="1:36">
      <c r="A1046" s="746" t="s">
        <v>549</v>
      </c>
      <c r="B1046" s="738" t="s">
        <v>170</v>
      </c>
      <c r="C1046" s="752" t="s">
        <v>171</v>
      </c>
      <c r="D1046" s="751"/>
      <c r="E1046" s="741"/>
      <c r="F1046" s="741">
        <v>99</v>
      </c>
      <c r="G1046" s="1152"/>
      <c r="H1046" s="1153"/>
      <c r="I1046" s="1152"/>
      <c r="J1046" s="1153"/>
      <c r="K1046" s="1152"/>
      <c r="L1046" s="1153"/>
      <c r="M1046" s="1152"/>
      <c r="N1046" s="1152"/>
      <c r="O1046" s="732">
        <f t="shared" si="133"/>
        <v>0</v>
      </c>
      <c r="P1046" s="1153"/>
      <c r="Q1046" s="1153"/>
      <c r="R1046" s="733">
        <f t="shared" si="136"/>
        <v>0</v>
      </c>
      <c r="S1046" s="732">
        <f t="shared" si="137"/>
        <v>0</v>
      </c>
      <c r="T1046" s="733">
        <f t="shared" si="138"/>
        <v>0</v>
      </c>
      <c r="U1046" s="1152"/>
      <c r="V1046" s="1153"/>
      <c r="W1046" s="1152"/>
      <c r="X1046" s="1152"/>
      <c r="Y1046" s="732">
        <f t="shared" si="134"/>
        <v>0</v>
      </c>
      <c r="Z1046" s="1153"/>
      <c r="AA1046" s="1153"/>
      <c r="AB1046" s="733">
        <f t="shared" si="135"/>
        <v>0</v>
      </c>
      <c r="AC1046" s="1152"/>
      <c r="AD1046" s="1153"/>
      <c r="AE1046" s="1152"/>
      <c r="AF1046" s="1152"/>
      <c r="AG1046" s="1153"/>
      <c r="AH1046" s="1153"/>
      <c r="AI1046" s="732">
        <f t="shared" si="139"/>
        <v>0</v>
      </c>
      <c r="AJ1046" s="733">
        <f t="shared" si="140"/>
        <v>0</v>
      </c>
    </row>
    <row r="1047" spans="1:36">
      <c r="A1047" s="746" t="s">
        <v>549</v>
      </c>
      <c r="B1047" s="738" t="s">
        <v>172</v>
      </c>
      <c r="C1047" s="752" t="s">
        <v>165</v>
      </c>
      <c r="D1047" s="751"/>
      <c r="E1047" s="741"/>
      <c r="F1047" s="741">
        <v>99</v>
      </c>
      <c r="G1047" s="1152"/>
      <c r="H1047" s="1153"/>
      <c r="I1047" s="1152"/>
      <c r="J1047" s="1153"/>
      <c r="K1047" s="1152"/>
      <c r="L1047" s="1153"/>
      <c r="M1047" s="1152"/>
      <c r="N1047" s="1152"/>
      <c r="O1047" s="732">
        <f t="shared" si="133"/>
        <v>0</v>
      </c>
      <c r="P1047" s="1153"/>
      <c r="Q1047" s="1153"/>
      <c r="R1047" s="733">
        <f t="shared" si="136"/>
        <v>0</v>
      </c>
      <c r="S1047" s="732">
        <f t="shared" si="137"/>
        <v>0</v>
      </c>
      <c r="T1047" s="733">
        <f t="shared" si="138"/>
        <v>0</v>
      </c>
      <c r="U1047" s="1152"/>
      <c r="V1047" s="1153"/>
      <c r="W1047" s="1152"/>
      <c r="X1047" s="1152"/>
      <c r="Y1047" s="732">
        <f t="shared" si="134"/>
        <v>0</v>
      </c>
      <c r="Z1047" s="1153"/>
      <c r="AA1047" s="1153"/>
      <c r="AB1047" s="733">
        <f t="shared" si="135"/>
        <v>0</v>
      </c>
      <c r="AC1047" s="1152"/>
      <c r="AD1047" s="1153"/>
      <c r="AE1047" s="1152"/>
      <c r="AF1047" s="1152"/>
      <c r="AG1047" s="1153"/>
      <c r="AH1047" s="1153"/>
      <c r="AI1047" s="732">
        <f t="shared" si="139"/>
        <v>0</v>
      </c>
      <c r="AJ1047" s="733">
        <f t="shared" si="140"/>
        <v>0</v>
      </c>
    </row>
    <row r="1048" spans="1:36">
      <c r="A1048" s="746" t="s">
        <v>549</v>
      </c>
      <c r="B1048" s="738" t="s">
        <v>173</v>
      </c>
      <c r="C1048" s="757" t="s">
        <v>587</v>
      </c>
      <c r="D1048" s="744"/>
      <c r="E1048" s="741"/>
      <c r="F1048" s="741">
        <v>99</v>
      </c>
      <c r="G1048" s="1152"/>
      <c r="H1048" s="1153"/>
      <c r="I1048" s="1152"/>
      <c r="J1048" s="1153"/>
      <c r="K1048" s="1152"/>
      <c r="L1048" s="1153"/>
      <c r="M1048" s="1152"/>
      <c r="N1048" s="1152"/>
      <c r="O1048" s="732">
        <f t="shared" si="133"/>
        <v>0</v>
      </c>
      <c r="P1048" s="1153"/>
      <c r="Q1048" s="1153"/>
      <c r="R1048" s="733">
        <f t="shared" si="136"/>
        <v>0</v>
      </c>
      <c r="S1048" s="732">
        <f t="shared" si="137"/>
        <v>0</v>
      </c>
      <c r="T1048" s="733">
        <f t="shared" si="138"/>
        <v>0</v>
      </c>
      <c r="U1048" s="1152">
        <v>5497043</v>
      </c>
      <c r="V1048" s="1153">
        <v>5575890</v>
      </c>
      <c r="W1048" s="1152"/>
      <c r="X1048" s="1152"/>
      <c r="Y1048" s="732">
        <f t="shared" si="134"/>
        <v>0</v>
      </c>
      <c r="Z1048" s="1153"/>
      <c r="AA1048" s="1153"/>
      <c r="AB1048" s="733">
        <f t="shared" si="135"/>
        <v>0</v>
      </c>
      <c r="AC1048" s="1152"/>
      <c r="AD1048" s="1153"/>
      <c r="AE1048" s="1152"/>
      <c r="AF1048" s="1152"/>
      <c r="AG1048" s="1153"/>
      <c r="AH1048" s="1153"/>
      <c r="AI1048" s="732">
        <f t="shared" si="139"/>
        <v>5497043</v>
      </c>
      <c r="AJ1048" s="733">
        <f t="shared" si="140"/>
        <v>5575890</v>
      </c>
    </row>
    <row r="1049" spans="1:36">
      <c r="A1049" s="746" t="s">
        <v>549</v>
      </c>
      <c r="B1049" s="738" t="s">
        <v>176</v>
      </c>
      <c r="C1049" s="752" t="s">
        <v>177</v>
      </c>
      <c r="D1049" s="751"/>
      <c r="E1049" s="741"/>
      <c r="F1049" s="741">
        <v>99</v>
      </c>
      <c r="G1049" s="1152"/>
      <c r="H1049" s="1153"/>
      <c r="I1049" s="1152"/>
      <c r="J1049" s="1153"/>
      <c r="K1049" s="1152"/>
      <c r="L1049" s="1153"/>
      <c r="M1049" s="1152"/>
      <c r="N1049" s="1152"/>
      <c r="O1049" s="732">
        <f t="shared" si="133"/>
        <v>0</v>
      </c>
      <c r="P1049" s="1153"/>
      <c r="Q1049" s="1153"/>
      <c r="R1049" s="733">
        <f t="shared" si="136"/>
        <v>0</v>
      </c>
      <c r="S1049" s="732">
        <f t="shared" si="137"/>
        <v>0</v>
      </c>
      <c r="T1049" s="733">
        <f t="shared" si="138"/>
        <v>0</v>
      </c>
      <c r="U1049" s="1152"/>
      <c r="V1049" s="1153"/>
      <c r="W1049" s="1152"/>
      <c r="X1049" s="1152"/>
      <c r="Y1049" s="732">
        <f t="shared" si="134"/>
        <v>0</v>
      </c>
      <c r="Z1049" s="1153"/>
      <c r="AA1049" s="1153"/>
      <c r="AB1049" s="733">
        <f t="shared" si="135"/>
        <v>0</v>
      </c>
      <c r="AC1049" s="1152"/>
      <c r="AD1049" s="1153"/>
      <c r="AE1049" s="1152"/>
      <c r="AF1049" s="1152"/>
      <c r="AG1049" s="1153"/>
      <c r="AH1049" s="1153"/>
      <c r="AI1049" s="732">
        <f t="shared" si="139"/>
        <v>0</v>
      </c>
      <c r="AJ1049" s="733">
        <f t="shared" si="140"/>
        <v>0</v>
      </c>
    </row>
    <row r="1050" spans="1:36">
      <c r="A1050" s="746" t="s">
        <v>549</v>
      </c>
      <c r="B1050" s="738" t="s">
        <v>180</v>
      </c>
      <c r="C1050" s="752" t="s">
        <v>165</v>
      </c>
      <c r="D1050" s="751"/>
      <c r="E1050" s="741"/>
      <c r="F1050" s="741">
        <v>99</v>
      </c>
      <c r="G1050" s="1152"/>
      <c r="H1050" s="1153"/>
      <c r="I1050" s="1152"/>
      <c r="J1050" s="1153"/>
      <c r="K1050" s="1152"/>
      <c r="L1050" s="1153"/>
      <c r="M1050" s="1152"/>
      <c r="N1050" s="1152"/>
      <c r="O1050" s="732">
        <f t="shared" si="133"/>
        <v>0</v>
      </c>
      <c r="P1050" s="1153"/>
      <c r="Q1050" s="1153"/>
      <c r="R1050" s="733">
        <f t="shared" si="136"/>
        <v>0</v>
      </c>
      <c r="S1050" s="732">
        <f t="shared" si="137"/>
        <v>0</v>
      </c>
      <c r="T1050" s="733">
        <f t="shared" si="138"/>
        <v>0</v>
      </c>
      <c r="U1050" s="1152"/>
      <c r="V1050" s="1153"/>
      <c r="W1050" s="1152"/>
      <c r="X1050" s="1152"/>
      <c r="Y1050" s="732">
        <f t="shared" si="134"/>
        <v>0</v>
      </c>
      <c r="Z1050" s="1153"/>
      <c r="AA1050" s="1153"/>
      <c r="AB1050" s="733">
        <f t="shared" si="135"/>
        <v>0</v>
      </c>
      <c r="AC1050" s="1152"/>
      <c r="AD1050" s="1153"/>
      <c r="AE1050" s="1152"/>
      <c r="AF1050" s="1152"/>
      <c r="AG1050" s="1153"/>
      <c r="AH1050" s="1153"/>
      <c r="AI1050" s="732">
        <f t="shared" si="139"/>
        <v>0</v>
      </c>
      <c r="AJ1050" s="733">
        <f t="shared" si="140"/>
        <v>0</v>
      </c>
    </row>
    <row r="1051" spans="1:36">
      <c r="A1051" s="746" t="s">
        <v>549</v>
      </c>
      <c r="B1051" s="738" t="s">
        <v>178</v>
      </c>
      <c r="C1051" s="752" t="s">
        <v>587</v>
      </c>
      <c r="D1051" s="751"/>
      <c r="E1051" s="741"/>
      <c r="F1051" s="741">
        <v>99</v>
      </c>
      <c r="G1051" s="1152"/>
      <c r="H1051" s="1153"/>
      <c r="I1051" s="1152"/>
      <c r="J1051" s="1153"/>
      <c r="K1051" s="1152"/>
      <c r="L1051" s="1153"/>
      <c r="M1051" s="1152"/>
      <c r="N1051" s="1152"/>
      <c r="O1051" s="732">
        <f t="shared" si="133"/>
        <v>0</v>
      </c>
      <c r="P1051" s="1153"/>
      <c r="Q1051" s="1153"/>
      <c r="R1051" s="733">
        <f t="shared" si="136"/>
        <v>0</v>
      </c>
      <c r="S1051" s="732">
        <f t="shared" si="137"/>
        <v>0</v>
      </c>
      <c r="T1051" s="733">
        <f t="shared" si="138"/>
        <v>0</v>
      </c>
      <c r="U1051" s="1152">
        <v>1054263</v>
      </c>
      <c r="V1051" s="1153">
        <v>944927</v>
      </c>
      <c r="W1051" s="1152"/>
      <c r="X1051" s="1152"/>
      <c r="Y1051" s="732">
        <f t="shared" si="134"/>
        <v>0</v>
      </c>
      <c r="Z1051" s="1153"/>
      <c r="AA1051" s="1153"/>
      <c r="AB1051" s="733">
        <f t="shared" si="135"/>
        <v>0</v>
      </c>
      <c r="AC1051" s="1152"/>
      <c r="AD1051" s="1153"/>
      <c r="AE1051" s="1152"/>
      <c r="AF1051" s="1152"/>
      <c r="AG1051" s="1153"/>
      <c r="AH1051" s="1153"/>
      <c r="AI1051" s="732">
        <f t="shared" si="139"/>
        <v>1054263</v>
      </c>
      <c r="AJ1051" s="733">
        <f t="shared" si="140"/>
        <v>944927</v>
      </c>
    </row>
    <row r="1052" spans="1:36">
      <c r="A1052" s="746" t="s">
        <v>549</v>
      </c>
      <c r="B1052" s="738" t="s">
        <v>161</v>
      </c>
      <c r="C1052" s="768" t="s">
        <v>1666</v>
      </c>
      <c r="D1052" s="751"/>
      <c r="E1052" s="741"/>
      <c r="F1052" s="741">
        <v>99</v>
      </c>
      <c r="G1052" s="1152"/>
      <c r="H1052" s="1153"/>
      <c r="I1052" s="1152"/>
      <c r="J1052" s="1153"/>
      <c r="K1052" s="1152"/>
      <c r="L1052" s="1153"/>
      <c r="M1052" s="1152"/>
      <c r="N1052" s="1152"/>
      <c r="O1052" s="732">
        <f t="shared" si="133"/>
        <v>0</v>
      </c>
      <c r="P1052" s="1153"/>
      <c r="Q1052" s="1153"/>
      <c r="R1052" s="733">
        <f t="shared" si="136"/>
        <v>0</v>
      </c>
      <c r="S1052" s="732">
        <f t="shared" si="137"/>
        <v>0</v>
      </c>
      <c r="T1052" s="733">
        <f t="shared" si="138"/>
        <v>0</v>
      </c>
      <c r="U1052" s="1152"/>
      <c r="V1052" s="1153"/>
      <c r="W1052" s="1152"/>
      <c r="X1052" s="1152"/>
      <c r="Y1052" s="732">
        <f t="shared" si="134"/>
        <v>0</v>
      </c>
      <c r="Z1052" s="1153"/>
      <c r="AA1052" s="1153"/>
      <c r="AB1052" s="733">
        <f t="shared" si="135"/>
        <v>0</v>
      </c>
      <c r="AC1052" s="1152"/>
      <c r="AD1052" s="1153"/>
      <c r="AE1052" s="1152"/>
      <c r="AF1052" s="1152"/>
      <c r="AG1052" s="1153"/>
      <c r="AH1052" s="1153"/>
      <c r="AI1052" s="732">
        <f t="shared" si="139"/>
        <v>0</v>
      </c>
      <c r="AJ1052" s="733">
        <f t="shared" si="140"/>
        <v>0</v>
      </c>
    </row>
    <row r="1053" spans="1:36">
      <c r="A1053" s="746" t="s">
        <v>549</v>
      </c>
      <c r="B1053" s="738" t="s">
        <v>170</v>
      </c>
      <c r="C1053" s="752" t="s">
        <v>171</v>
      </c>
      <c r="D1053" s="751"/>
      <c r="E1053" s="741"/>
      <c r="F1053" s="741">
        <v>99</v>
      </c>
      <c r="G1053" s="1152"/>
      <c r="H1053" s="1153"/>
      <c r="I1053" s="1152"/>
      <c r="J1053" s="1153"/>
      <c r="K1053" s="1152"/>
      <c r="L1053" s="1153"/>
      <c r="M1053" s="1152"/>
      <c r="N1053" s="1152"/>
      <c r="O1053" s="732">
        <f t="shared" si="133"/>
        <v>0</v>
      </c>
      <c r="P1053" s="1153"/>
      <c r="Q1053" s="1153"/>
      <c r="R1053" s="733">
        <f t="shared" si="136"/>
        <v>0</v>
      </c>
      <c r="S1053" s="732">
        <f t="shared" si="137"/>
        <v>0</v>
      </c>
      <c r="T1053" s="733">
        <f t="shared" si="138"/>
        <v>0</v>
      </c>
      <c r="U1053" s="1152"/>
      <c r="V1053" s="1153"/>
      <c r="W1053" s="1152"/>
      <c r="X1053" s="1152"/>
      <c r="Y1053" s="732">
        <f t="shared" si="134"/>
        <v>0</v>
      </c>
      <c r="Z1053" s="1153"/>
      <c r="AA1053" s="1153"/>
      <c r="AB1053" s="733">
        <f t="shared" si="135"/>
        <v>0</v>
      </c>
      <c r="AC1053" s="1152"/>
      <c r="AD1053" s="1153"/>
      <c r="AE1053" s="1152"/>
      <c r="AF1053" s="1152"/>
      <c r="AG1053" s="1153"/>
      <c r="AH1053" s="1153"/>
      <c r="AI1053" s="732">
        <f t="shared" si="139"/>
        <v>0</v>
      </c>
      <c r="AJ1053" s="733">
        <f t="shared" si="140"/>
        <v>0</v>
      </c>
    </row>
    <row r="1054" spans="1:36">
      <c r="A1054" s="746" t="s">
        <v>549</v>
      </c>
      <c r="B1054" s="738" t="s">
        <v>172</v>
      </c>
      <c r="C1054" s="752" t="s">
        <v>165</v>
      </c>
      <c r="D1054" s="751"/>
      <c r="E1054" s="741"/>
      <c r="F1054" s="741">
        <v>99</v>
      </c>
      <c r="G1054" s="1152"/>
      <c r="H1054" s="1153"/>
      <c r="I1054" s="1152"/>
      <c r="J1054" s="1153"/>
      <c r="K1054" s="1152"/>
      <c r="L1054" s="1153"/>
      <c r="M1054" s="1152"/>
      <c r="N1054" s="1152"/>
      <c r="O1054" s="732">
        <f t="shared" si="133"/>
        <v>0</v>
      </c>
      <c r="P1054" s="1153"/>
      <c r="Q1054" s="1153"/>
      <c r="R1054" s="733">
        <f t="shared" si="136"/>
        <v>0</v>
      </c>
      <c r="S1054" s="732">
        <f t="shared" si="137"/>
        <v>0</v>
      </c>
      <c r="T1054" s="733">
        <f t="shared" si="138"/>
        <v>0</v>
      </c>
      <c r="U1054" s="1152">
        <v>105506</v>
      </c>
      <c r="V1054" s="1153">
        <v>157770</v>
      </c>
      <c r="W1054" s="1152"/>
      <c r="X1054" s="1152"/>
      <c r="Y1054" s="732">
        <f t="shared" si="134"/>
        <v>0</v>
      </c>
      <c r="Z1054" s="1153"/>
      <c r="AA1054" s="1153"/>
      <c r="AB1054" s="733">
        <f t="shared" si="135"/>
        <v>0</v>
      </c>
      <c r="AC1054" s="1152"/>
      <c r="AD1054" s="1153"/>
      <c r="AE1054" s="1152"/>
      <c r="AF1054" s="1152"/>
      <c r="AG1054" s="1153"/>
      <c r="AH1054" s="1153"/>
      <c r="AI1054" s="732">
        <f t="shared" si="139"/>
        <v>105506</v>
      </c>
      <c r="AJ1054" s="733">
        <f t="shared" si="140"/>
        <v>157770</v>
      </c>
    </row>
    <row r="1055" spans="1:36">
      <c r="A1055" s="746" t="s">
        <v>549</v>
      </c>
      <c r="B1055" s="738" t="s">
        <v>173</v>
      </c>
      <c r="C1055" s="757" t="s">
        <v>587</v>
      </c>
      <c r="D1055" s="744"/>
      <c r="E1055" s="741"/>
      <c r="F1055" s="741">
        <v>99</v>
      </c>
      <c r="G1055" s="1152"/>
      <c r="H1055" s="1153"/>
      <c r="I1055" s="1152"/>
      <c r="J1055" s="1153"/>
      <c r="K1055" s="1152"/>
      <c r="L1055" s="1153"/>
      <c r="M1055" s="1152"/>
      <c r="N1055" s="1152"/>
      <c r="O1055" s="732">
        <f t="shared" si="133"/>
        <v>0</v>
      </c>
      <c r="P1055" s="1153"/>
      <c r="Q1055" s="1153"/>
      <c r="R1055" s="733">
        <f t="shared" si="136"/>
        <v>0</v>
      </c>
      <c r="S1055" s="732">
        <f t="shared" si="137"/>
        <v>0</v>
      </c>
      <c r="T1055" s="733">
        <f t="shared" si="138"/>
        <v>0</v>
      </c>
      <c r="U1055" s="1152"/>
      <c r="V1055" s="1153"/>
      <c r="W1055" s="1152"/>
      <c r="X1055" s="1152"/>
      <c r="Y1055" s="732">
        <f t="shared" si="134"/>
        <v>0</v>
      </c>
      <c r="Z1055" s="1153"/>
      <c r="AA1055" s="1153"/>
      <c r="AB1055" s="733">
        <f t="shared" si="135"/>
        <v>0</v>
      </c>
      <c r="AC1055" s="1152"/>
      <c r="AD1055" s="1153"/>
      <c r="AE1055" s="1152"/>
      <c r="AF1055" s="1152"/>
      <c r="AG1055" s="1153"/>
      <c r="AH1055" s="1153"/>
      <c r="AI1055" s="732">
        <f t="shared" si="139"/>
        <v>0</v>
      </c>
      <c r="AJ1055" s="733">
        <f t="shared" si="140"/>
        <v>0</v>
      </c>
    </row>
    <row r="1056" spans="1:36">
      <c r="A1056" s="746" t="s">
        <v>549</v>
      </c>
      <c r="B1056" s="738" t="s">
        <v>176</v>
      </c>
      <c r="C1056" s="752" t="s">
        <v>177</v>
      </c>
      <c r="D1056" s="751"/>
      <c r="E1056" s="741"/>
      <c r="F1056" s="741">
        <v>99</v>
      </c>
      <c r="G1056" s="1152"/>
      <c r="H1056" s="1153"/>
      <c r="I1056" s="1152"/>
      <c r="J1056" s="1153"/>
      <c r="K1056" s="1152"/>
      <c r="L1056" s="1153"/>
      <c r="M1056" s="1152"/>
      <c r="N1056" s="1152"/>
      <c r="O1056" s="732">
        <f t="shared" si="133"/>
        <v>0</v>
      </c>
      <c r="P1056" s="1153"/>
      <c r="Q1056" s="1153"/>
      <c r="R1056" s="733">
        <f t="shared" si="136"/>
        <v>0</v>
      </c>
      <c r="S1056" s="732">
        <f t="shared" si="137"/>
        <v>0</v>
      </c>
      <c r="T1056" s="733">
        <f t="shared" si="138"/>
        <v>0</v>
      </c>
      <c r="U1056" s="1152"/>
      <c r="V1056" s="1153"/>
      <c r="W1056" s="1152"/>
      <c r="X1056" s="1152"/>
      <c r="Y1056" s="732">
        <f t="shared" si="134"/>
        <v>0</v>
      </c>
      <c r="Z1056" s="1153"/>
      <c r="AA1056" s="1153"/>
      <c r="AB1056" s="733">
        <f t="shared" si="135"/>
        <v>0</v>
      </c>
      <c r="AC1056" s="1152"/>
      <c r="AD1056" s="1153"/>
      <c r="AE1056" s="1152"/>
      <c r="AF1056" s="1152"/>
      <c r="AG1056" s="1153"/>
      <c r="AH1056" s="1153"/>
      <c r="AI1056" s="732">
        <f t="shared" si="139"/>
        <v>0</v>
      </c>
      <c r="AJ1056" s="733">
        <f t="shared" si="140"/>
        <v>0</v>
      </c>
    </row>
    <row r="1057" spans="1:36">
      <c r="A1057" s="746" t="s">
        <v>549</v>
      </c>
      <c r="B1057" s="738" t="s">
        <v>180</v>
      </c>
      <c r="C1057" s="752" t="s">
        <v>165</v>
      </c>
      <c r="D1057" s="751"/>
      <c r="E1057" s="741"/>
      <c r="F1057" s="741">
        <v>99</v>
      </c>
      <c r="G1057" s="1152"/>
      <c r="H1057" s="1153"/>
      <c r="I1057" s="1152"/>
      <c r="J1057" s="1153"/>
      <c r="K1057" s="1152"/>
      <c r="L1057" s="1153"/>
      <c r="M1057" s="1152"/>
      <c r="N1057" s="1152"/>
      <c r="O1057" s="732">
        <f t="shared" si="133"/>
        <v>0</v>
      </c>
      <c r="P1057" s="1153"/>
      <c r="Q1057" s="1153"/>
      <c r="R1057" s="733">
        <f t="shared" si="136"/>
        <v>0</v>
      </c>
      <c r="S1057" s="732">
        <f t="shared" si="137"/>
        <v>0</v>
      </c>
      <c r="T1057" s="733">
        <f t="shared" si="138"/>
        <v>0</v>
      </c>
      <c r="U1057" s="1152"/>
      <c r="V1057" s="1153"/>
      <c r="W1057" s="1152"/>
      <c r="X1057" s="1152"/>
      <c r="Y1057" s="732">
        <f t="shared" si="134"/>
        <v>0</v>
      </c>
      <c r="Z1057" s="1153"/>
      <c r="AA1057" s="1153"/>
      <c r="AB1057" s="733">
        <f t="shared" si="135"/>
        <v>0</v>
      </c>
      <c r="AC1057" s="1152"/>
      <c r="AD1057" s="1153"/>
      <c r="AE1057" s="1152"/>
      <c r="AF1057" s="1152"/>
      <c r="AG1057" s="1153"/>
      <c r="AH1057" s="1153"/>
      <c r="AI1057" s="732">
        <f t="shared" si="139"/>
        <v>0</v>
      </c>
      <c r="AJ1057" s="733">
        <f t="shared" si="140"/>
        <v>0</v>
      </c>
    </row>
    <row r="1058" spans="1:36">
      <c r="A1058" s="746" t="s">
        <v>549</v>
      </c>
      <c r="B1058" s="738" t="s">
        <v>178</v>
      </c>
      <c r="C1058" s="752" t="s">
        <v>587</v>
      </c>
      <c r="D1058" s="751"/>
      <c r="E1058" s="741"/>
      <c r="F1058" s="741">
        <v>99</v>
      </c>
      <c r="G1058" s="1152"/>
      <c r="H1058" s="1153"/>
      <c r="I1058" s="1152"/>
      <c r="J1058" s="1153"/>
      <c r="K1058" s="1152"/>
      <c r="L1058" s="1153"/>
      <c r="M1058" s="1152"/>
      <c r="N1058" s="1152"/>
      <c r="O1058" s="732">
        <f t="shared" si="133"/>
        <v>0</v>
      </c>
      <c r="P1058" s="1153"/>
      <c r="Q1058" s="1153"/>
      <c r="R1058" s="733">
        <f t="shared" si="136"/>
        <v>0</v>
      </c>
      <c r="S1058" s="732">
        <f t="shared" si="137"/>
        <v>0</v>
      </c>
      <c r="T1058" s="733">
        <f t="shared" si="138"/>
        <v>0</v>
      </c>
      <c r="U1058" s="1156"/>
      <c r="V1058" s="1157"/>
      <c r="W1058" s="1152"/>
      <c r="X1058" s="1152"/>
      <c r="Y1058" s="732">
        <f t="shared" si="134"/>
        <v>0</v>
      </c>
      <c r="Z1058" s="1153"/>
      <c r="AA1058" s="1153"/>
      <c r="AB1058" s="733">
        <f t="shared" si="135"/>
        <v>0</v>
      </c>
      <c r="AC1058" s="1152"/>
      <c r="AD1058" s="1153"/>
      <c r="AE1058" s="1152"/>
      <c r="AF1058" s="1152"/>
      <c r="AG1058" s="1153"/>
      <c r="AH1058" s="1153"/>
      <c r="AI1058" s="732">
        <f t="shared" si="139"/>
        <v>0</v>
      </c>
      <c r="AJ1058" s="733">
        <f t="shared" si="140"/>
        <v>0</v>
      </c>
    </row>
    <row r="1059" spans="1:36">
      <c r="A1059" s="746" t="s">
        <v>549</v>
      </c>
      <c r="B1059" s="738" t="s">
        <v>161</v>
      </c>
      <c r="C1059" s="752" t="s">
        <v>589</v>
      </c>
      <c r="D1059" s="751"/>
      <c r="E1059" s="741"/>
      <c r="F1059" s="741">
        <v>99</v>
      </c>
      <c r="G1059" s="1152"/>
      <c r="H1059" s="1153"/>
      <c r="I1059" s="1152"/>
      <c r="J1059" s="1153"/>
      <c r="K1059" s="1152"/>
      <c r="L1059" s="1153"/>
      <c r="M1059" s="1152"/>
      <c r="N1059" s="1152"/>
      <c r="O1059" s="732">
        <f t="shared" si="133"/>
        <v>0</v>
      </c>
      <c r="P1059" s="1153"/>
      <c r="Q1059" s="1153"/>
      <c r="R1059" s="733">
        <f t="shared" si="136"/>
        <v>0</v>
      </c>
      <c r="S1059" s="732">
        <f t="shared" si="137"/>
        <v>0</v>
      </c>
      <c r="T1059" s="733">
        <f t="shared" si="138"/>
        <v>0</v>
      </c>
      <c r="U1059" s="1152"/>
      <c r="V1059" s="1153"/>
      <c r="W1059" s="1152"/>
      <c r="X1059" s="1152"/>
      <c r="Y1059" s="732">
        <f t="shared" si="134"/>
        <v>0</v>
      </c>
      <c r="Z1059" s="1153"/>
      <c r="AA1059" s="1153"/>
      <c r="AB1059" s="733">
        <f t="shared" si="135"/>
        <v>0</v>
      </c>
      <c r="AC1059" s="1152"/>
      <c r="AD1059" s="1153"/>
      <c r="AE1059" s="1152"/>
      <c r="AF1059" s="1152"/>
      <c r="AG1059" s="1153"/>
      <c r="AH1059" s="1153"/>
      <c r="AI1059" s="732">
        <f t="shared" si="139"/>
        <v>0</v>
      </c>
      <c r="AJ1059" s="733">
        <f t="shared" si="140"/>
        <v>0</v>
      </c>
    </row>
    <row r="1060" spans="1:36">
      <c r="A1060" s="746" t="s">
        <v>549</v>
      </c>
      <c r="B1060" s="738" t="s">
        <v>170</v>
      </c>
      <c r="C1060" s="752" t="s">
        <v>171</v>
      </c>
      <c r="D1060" s="751"/>
      <c r="E1060" s="741"/>
      <c r="F1060" s="741">
        <v>99</v>
      </c>
      <c r="G1060" s="1152"/>
      <c r="H1060" s="1153"/>
      <c r="I1060" s="1152"/>
      <c r="J1060" s="1153"/>
      <c r="K1060" s="1152"/>
      <c r="L1060" s="1153"/>
      <c r="M1060" s="1152"/>
      <c r="N1060" s="1152"/>
      <c r="O1060" s="732">
        <f t="shared" si="133"/>
        <v>0</v>
      </c>
      <c r="P1060" s="1153"/>
      <c r="Q1060" s="1153"/>
      <c r="R1060" s="733">
        <f t="shared" si="136"/>
        <v>0</v>
      </c>
      <c r="S1060" s="732">
        <f t="shared" si="137"/>
        <v>0</v>
      </c>
      <c r="T1060" s="733">
        <f t="shared" si="138"/>
        <v>0</v>
      </c>
      <c r="U1060" s="1152"/>
      <c r="V1060" s="1153"/>
      <c r="W1060" s="1152"/>
      <c r="X1060" s="1152"/>
      <c r="Y1060" s="732">
        <f t="shared" si="134"/>
        <v>0</v>
      </c>
      <c r="Z1060" s="1153"/>
      <c r="AA1060" s="1153"/>
      <c r="AB1060" s="733">
        <f t="shared" si="135"/>
        <v>0</v>
      </c>
      <c r="AC1060" s="1152"/>
      <c r="AD1060" s="1153"/>
      <c r="AE1060" s="1152"/>
      <c r="AF1060" s="1152"/>
      <c r="AG1060" s="1153"/>
      <c r="AH1060" s="1153"/>
      <c r="AI1060" s="732">
        <f t="shared" si="139"/>
        <v>0</v>
      </c>
      <c r="AJ1060" s="733">
        <f t="shared" si="140"/>
        <v>0</v>
      </c>
    </row>
    <row r="1061" spans="1:36">
      <c r="A1061" s="746" t="s">
        <v>549</v>
      </c>
      <c r="B1061" s="738" t="s">
        <v>172</v>
      </c>
      <c r="C1061" s="752" t="s">
        <v>165</v>
      </c>
      <c r="D1061" s="751"/>
      <c r="E1061" s="741"/>
      <c r="F1061" s="741">
        <v>99</v>
      </c>
      <c r="G1061" s="1152"/>
      <c r="H1061" s="1153"/>
      <c r="I1061" s="1152"/>
      <c r="J1061" s="1153"/>
      <c r="K1061" s="1152"/>
      <c r="L1061" s="1153"/>
      <c r="M1061" s="1152"/>
      <c r="N1061" s="1152"/>
      <c r="O1061" s="732">
        <f t="shared" si="133"/>
        <v>0</v>
      </c>
      <c r="P1061" s="1153"/>
      <c r="Q1061" s="1153"/>
      <c r="R1061" s="733">
        <f t="shared" si="136"/>
        <v>0</v>
      </c>
      <c r="S1061" s="732">
        <f t="shared" si="137"/>
        <v>0</v>
      </c>
      <c r="T1061" s="733">
        <f t="shared" si="138"/>
        <v>0</v>
      </c>
      <c r="U1061" s="1152"/>
      <c r="V1061" s="1153"/>
      <c r="W1061" s="1152"/>
      <c r="X1061" s="1152"/>
      <c r="Y1061" s="732">
        <f t="shared" si="134"/>
        <v>0</v>
      </c>
      <c r="Z1061" s="1153"/>
      <c r="AA1061" s="1153"/>
      <c r="AB1061" s="733">
        <f t="shared" si="135"/>
        <v>0</v>
      </c>
      <c r="AC1061" s="1152"/>
      <c r="AD1061" s="1153"/>
      <c r="AE1061" s="1152"/>
      <c r="AF1061" s="1152"/>
      <c r="AG1061" s="1153"/>
      <c r="AH1061" s="1153"/>
      <c r="AI1061" s="732">
        <f t="shared" si="139"/>
        <v>0</v>
      </c>
      <c r="AJ1061" s="733">
        <f t="shared" si="140"/>
        <v>0</v>
      </c>
    </row>
    <row r="1062" spans="1:36">
      <c r="A1062" s="746" t="s">
        <v>549</v>
      </c>
      <c r="B1062" s="738" t="s">
        <v>173</v>
      </c>
      <c r="C1062" s="757" t="s">
        <v>587</v>
      </c>
      <c r="D1062" s="744"/>
      <c r="E1062" s="741"/>
      <c r="F1062" s="741">
        <v>99</v>
      </c>
      <c r="G1062" s="1152"/>
      <c r="H1062" s="1153"/>
      <c r="I1062" s="1152"/>
      <c r="J1062" s="1153"/>
      <c r="K1062" s="1152"/>
      <c r="L1062" s="1153"/>
      <c r="M1062" s="1152"/>
      <c r="N1062" s="1152"/>
      <c r="O1062" s="732">
        <f t="shared" si="133"/>
        <v>0</v>
      </c>
      <c r="P1062" s="1153"/>
      <c r="Q1062" s="1153"/>
      <c r="R1062" s="733">
        <f t="shared" si="136"/>
        <v>0</v>
      </c>
      <c r="S1062" s="732">
        <f t="shared" si="137"/>
        <v>0</v>
      </c>
      <c r="T1062" s="733">
        <f t="shared" si="138"/>
        <v>0</v>
      </c>
      <c r="U1062" s="1152"/>
      <c r="V1062" s="1153"/>
      <c r="W1062" s="1152"/>
      <c r="X1062" s="1152"/>
      <c r="Y1062" s="732">
        <f t="shared" si="134"/>
        <v>0</v>
      </c>
      <c r="Z1062" s="1153"/>
      <c r="AA1062" s="1153"/>
      <c r="AB1062" s="733">
        <f t="shared" si="135"/>
        <v>0</v>
      </c>
      <c r="AC1062" s="1152"/>
      <c r="AD1062" s="1153"/>
      <c r="AE1062" s="1152"/>
      <c r="AF1062" s="1152"/>
      <c r="AG1062" s="1153"/>
      <c r="AH1062" s="1153"/>
      <c r="AI1062" s="732">
        <f t="shared" si="139"/>
        <v>0</v>
      </c>
      <c r="AJ1062" s="733">
        <f t="shared" si="140"/>
        <v>0</v>
      </c>
    </row>
    <row r="1063" spans="1:36">
      <c r="A1063" s="746" t="s">
        <v>549</v>
      </c>
      <c r="B1063" s="738" t="s">
        <v>176</v>
      </c>
      <c r="C1063" s="752" t="s">
        <v>177</v>
      </c>
      <c r="D1063" s="751"/>
      <c r="E1063" s="741"/>
      <c r="F1063" s="741">
        <v>99</v>
      </c>
      <c r="G1063" s="1152"/>
      <c r="H1063" s="1153"/>
      <c r="I1063" s="1152"/>
      <c r="J1063" s="1153"/>
      <c r="K1063" s="1152"/>
      <c r="L1063" s="1153"/>
      <c r="M1063" s="1152"/>
      <c r="N1063" s="1152"/>
      <c r="O1063" s="732">
        <f t="shared" si="133"/>
        <v>0</v>
      </c>
      <c r="P1063" s="1153"/>
      <c r="Q1063" s="1153"/>
      <c r="R1063" s="733">
        <f t="shared" si="136"/>
        <v>0</v>
      </c>
      <c r="S1063" s="732">
        <f t="shared" si="137"/>
        <v>0</v>
      </c>
      <c r="T1063" s="733">
        <f t="shared" si="138"/>
        <v>0</v>
      </c>
      <c r="U1063" s="1152"/>
      <c r="V1063" s="1153"/>
      <c r="W1063" s="1152"/>
      <c r="X1063" s="1152"/>
      <c r="Y1063" s="732">
        <f t="shared" si="134"/>
        <v>0</v>
      </c>
      <c r="Z1063" s="1153"/>
      <c r="AA1063" s="1153"/>
      <c r="AB1063" s="733">
        <f t="shared" si="135"/>
        <v>0</v>
      </c>
      <c r="AC1063" s="1152"/>
      <c r="AD1063" s="1153"/>
      <c r="AE1063" s="1152"/>
      <c r="AF1063" s="1152"/>
      <c r="AG1063" s="1153"/>
      <c r="AH1063" s="1153"/>
      <c r="AI1063" s="732">
        <f t="shared" si="139"/>
        <v>0</v>
      </c>
      <c r="AJ1063" s="733">
        <f t="shared" si="140"/>
        <v>0</v>
      </c>
    </row>
    <row r="1064" spans="1:36">
      <c r="A1064" s="746" t="s">
        <v>549</v>
      </c>
      <c r="B1064" s="738" t="s">
        <v>180</v>
      </c>
      <c r="C1064" s="752" t="s">
        <v>165</v>
      </c>
      <c r="D1064" s="751"/>
      <c r="E1064" s="741"/>
      <c r="F1064" s="741">
        <v>99</v>
      </c>
      <c r="G1064" s="1152"/>
      <c r="H1064" s="1153"/>
      <c r="I1064" s="1152"/>
      <c r="J1064" s="1153"/>
      <c r="K1064" s="1152"/>
      <c r="L1064" s="1153"/>
      <c r="M1064" s="1152"/>
      <c r="N1064" s="1152"/>
      <c r="O1064" s="732">
        <f t="shared" si="133"/>
        <v>0</v>
      </c>
      <c r="P1064" s="1153"/>
      <c r="Q1064" s="1153"/>
      <c r="R1064" s="733">
        <f t="shared" si="136"/>
        <v>0</v>
      </c>
      <c r="S1064" s="732">
        <f t="shared" si="137"/>
        <v>0</v>
      </c>
      <c r="T1064" s="733">
        <f t="shared" si="138"/>
        <v>0</v>
      </c>
      <c r="U1064" s="1152"/>
      <c r="V1064" s="1153"/>
      <c r="W1064" s="1152"/>
      <c r="X1064" s="1152"/>
      <c r="Y1064" s="732">
        <f t="shared" si="134"/>
        <v>0</v>
      </c>
      <c r="Z1064" s="1153"/>
      <c r="AA1064" s="1153"/>
      <c r="AB1064" s="733">
        <f t="shared" si="135"/>
        <v>0</v>
      </c>
      <c r="AC1064" s="1152"/>
      <c r="AD1064" s="1153"/>
      <c r="AE1064" s="1152"/>
      <c r="AF1064" s="1152"/>
      <c r="AG1064" s="1153"/>
      <c r="AH1064" s="1153"/>
      <c r="AI1064" s="732">
        <f t="shared" si="139"/>
        <v>0</v>
      </c>
      <c r="AJ1064" s="733">
        <f t="shared" si="140"/>
        <v>0</v>
      </c>
    </row>
    <row r="1065" spans="1:36">
      <c r="A1065" s="746" t="s">
        <v>549</v>
      </c>
      <c r="B1065" s="738" t="s">
        <v>178</v>
      </c>
      <c r="C1065" s="752" t="s">
        <v>587</v>
      </c>
      <c r="D1065" s="751"/>
      <c r="E1065" s="741"/>
      <c r="F1065" s="741">
        <v>99</v>
      </c>
      <c r="G1065" s="1152"/>
      <c r="H1065" s="1153"/>
      <c r="I1065" s="1152"/>
      <c r="J1065" s="1153"/>
      <c r="K1065" s="1152"/>
      <c r="L1065" s="1153"/>
      <c r="M1065" s="1152"/>
      <c r="N1065" s="1152"/>
      <c r="O1065" s="732">
        <f t="shared" si="133"/>
        <v>0</v>
      </c>
      <c r="P1065" s="1153"/>
      <c r="Q1065" s="1153"/>
      <c r="R1065" s="733">
        <f t="shared" si="136"/>
        <v>0</v>
      </c>
      <c r="S1065" s="732">
        <f t="shared" si="137"/>
        <v>0</v>
      </c>
      <c r="T1065" s="733">
        <f t="shared" si="138"/>
        <v>0</v>
      </c>
      <c r="U1065" s="1152"/>
      <c r="V1065" s="1153"/>
      <c r="W1065" s="1152"/>
      <c r="X1065" s="1152"/>
      <c r="Y1065" s="732">
        <f t="shared" si="134"/>
        <v>0</v>
      </c>
      <c r="Z1065" s="1153"/>
      <c r="AA1065" s="1153"/>
      <c r="AB1065" s="733">
        <f t="shared" si="135"/>
        <v>0</v>
      </c>
      <c r="AC1065" s="1152"/>
      <c r="AD1065" s="1153"/>
      <c r="AE1065" s="1152"/>
      <c r="AF1065" s="1152"/>
      <c r="AG1065" s="1153"/>
      <c r="AH1065" s="1153"/>
      <c r="AI1065" s="732">
        <f t="shared" si="139"/>
        <v>0</v>
      </c>
      <c r="AJ1065" s="733">
        <f t="shared" si="140"/>
        <v>0</v>
      </c>
    </row>
    <row r="1066" spans="1:36">
      <c r="A1066" s="746" t="s">
        <v>549</v>
      </c>
      <c r="B1066" s="738" t="s">
        <v>161</v>
      </c>
      <c r="C1066" s="752" t="s">
        <v>590</v>
      </c>
      <c r="D1066" s="751"/>
      <c r="E1066" s="741"/>
      <c r="F1066" s="741">
        <v>99</v>
      </c>
      <c r="G1066" s="1152"/>
      <c r="H1066" s="1153"/>
      <c r="I1066" s="1152"/>
      <c r="J1066" s="1153"/>
      <c r="K1066" s="1152"/>
      <c r="L1066" s="1153"/>
      <c r="M1066" s="1152"/>
      <c r="N1066" s="1152"/>
      <c r="O1066" s="732">
        <f t="shared" si="133"/>
        <v>0</v>
      </c>
      <c r="P1066" s="1153"/>
      <c r="Q1066" s="1153"/>
      <c r="R1066" s="733">
        <f t="shared" si="136"/>
        <v>0</v>
      </c>
      <c r="S1066" s="732">
        <f t="shared" si="137"/>
        <v>0</v>
      </c>
      <c r="T1066" s="733">
        <f t="shared" si="138"/>
        <v>0</v>
      </c>
      <c r="U1066" s="1152"/>
      <c r="V1066" s="1153"/>
      <c r="W1066" s="1152"/>
      <c r="X1066" s="1152"/>
      <c r="Y1066" s="732">
        <f t="shared" si="134"/>
        <v>0</v>
      </c>
      <c r="Z1066" s="1153"/>
      <c r="AA1066" s="1153"/>
      <c r="AB1066" s="733">
        <f t="shared" si="135"/>
        <v>0</v>
      </c>
      <c r="AC1066" s="1152"/>
      <c r="AD1066" s="1153"/>
      <c r="AE1066" s="1152"/>
      <c r="AF1066" s="1152"/>
      <c r="AG1066" s="1153"/>
      <c r="AH1066" s="1153"/>
      <c r="AI1066" s="732">
        <f t="shared" si="139"/>
        <v>0</v>
      </c>
      <c r="AJ1066" s="733">
        <f t="shared" si="140"/>
        <v>0</v>
      </c>
    </row>
    <row r="1067" spans="1:36">
      <c r="A1067" s="746" t="s">
        <v>549</v>
      </c>
      <c r="B1067" s="738" t="s">
        <v>170</v>
      </c>
      <c r="C1067" s="752" t="s">
        <v>171</v>
      </c>
      <c r="D1067" s="751"/>
      <c r="E1067" s="741"/>
      <c r="F1067" s="741">
        <v>99</v>
      </c>
      <c r="G1067" s="1152"/>
      <c r="H1067" s="1153"/>
      <c r="I1067" s="1152"/>
      <c r="J1067" s="1153"/>
      <c r="K1067" s="1152"/>
      <c r="L1067" s="1153"/>
      <c r="M1067" s="1152"/>
      <c r="N1067" s="1152"/>
      <c r="O1067" s="732">
        <f t="shared" si="133"/>
        <v>0</v>
      </c>
      <c r="P1067" s="1153"/>
      <c r="Q1067" s="1153"/>
      <c r="R1067" s="733">
        <f t="shared" si="136"/>
        <v>0</v>
      </c>
      <c r="S1067" s="732">
        <f t="shared" si="137"/>
        <v>0</v>
      </c>
      <c r="T1067" s="733">
        <f t="shared" si="138"/>
        <v>0</v>
      </c>
      <c r="U1067" s="1152"/>
      <c r="V1067" s="1153"/>
      <c r="W1067" s="1152"/>
      <c r="X1067" s="1152"/>
      <c r="Y1067" s="732">
        <f t="shared" si="134"/>
        <v>0</v>
      </c>
      <c r="Z1067" s="1153"/>
      <c r="AA1067" s="1153"/>
      <c r="AB1067" s="733">
        <f t="shared" si="135"/>
        <v>0</v>
      </c>
      <c r="AC1067" s="1152"/>
      <c r="AD1067" s="1153"/>
      <c r="AE1067" s="1152"/>
      <c r="AF1067" s="1152"/>
      <c r="AG1067" s="1153"/>
      <c r="AH1067" s="1153"/>
      <c r="AI1067" s="732">
        <f t="shared" si="139"/>
        <v>0</v>
      </c>
      <c r="AJ1067" s="733">
        <f t="shared" si="140"/>
        <v>0</v>
      </c>
    </row>
    <row r="1068" spans="1:36">
      <c r="A1068" s="746" t="s">
        <v>549</v>
      </c>
      <c r="B1068" s="738" t="s">
        <v>172</v>
      </c>
      <c r="C1068" s="752" t="s">
        <v>165</v>
      </c>
      <c r="D1068" s="751"/>
      <c r="E1068" s="741"/>
      <c r="F1068" s="741">
        <v>99</v>
      </c>
      <c r="G1068" s="1152"/>
      <c r="H1068" s="1153"/>
      <c r="I1068" s="1152"/>
      <c r="J1068" s="1153"/>
      <c r="K1068" s="1152"/>
      <c r="L1068" s="1153"/>
      <c r="M1068" s="1152"/>
      <c r="N1068" s="1152"/>
      <c r="O1068" s="732">
        <f t="shared" si="133"/>
        <v>0</v>
      </c>
      <c r="P1068" s="1153"/>
      <c r="Q1068" s="1153"/>
      <c r="R1068" s="733">
        <f t="shared" si="136"/>
        <v>0</v>
      </c>
      <c r="S1068" s="732">
        <f t="shared" si="137"/>
        <v>0</v>
      </c>
      <c r="T1068" s="733">
        <f t="shared" si="138"/>
        <v>0</v>
      </c>
      <c r="U1068" s="1152"/>
      <c r="V1068" s="1153"/>
      <c r="W1068" s="1152"/>
      <c r="X1068" s="1152"/>
      <c r="Y1068" s="732">
        <f t="shared" si="134"/>
        <v>0</v>
      </c>
      <c r="Z1068" s="1153"/>
      <c r="AA1068" s="1153"/>
      <c r="AB1068" s="733">
        <f t="shared" si="135"/>
        <v>0</v>
      </c>
      <c r="AC1068" s="1152"/>
      <c r="AD1068" s="1153"/>
      <c r="AE1068" s="1152"/>
      <c r="AF1068" s="1152"/>
      <c r="AG1068" s="1153"/>
      <c r="AH1068" s="1153"/>
      <c r="AI1068" s="732">
        <f t="shared" si="139"/>
        <v>0</v>
      </c>
      <c r="AJ1068" s="733">
        <f t="shared" si="140"/>
        <v>0</v>
      </c>
    </row>
    <row r="1069" spans="1:36">
      <c r="A1069" s="746" t="s">
        <v>549</v>
      </c>
      <c r="B1069" s="738" t="s">
        <v>173</v>
      </c>
      <c r="C1069" s="757" t="s">
        <v>587</v>
      </c>
      <c r="D1069" s="744"/>
      <c r="E1069" s="741"/>
      <c r="F1069" s="741">
        <v>99</v>
      </c>
      <c r="G1069" s="1152"/>
      <c r="H1069" s="1153"/>
      <c r="I1069" s="1152"/>
      <c r="J1069" s="1153"/>
      <c r="K1069" s="1152"/>
      <c r="L1069" s="1153"/>
      <c r="M1069" s="1152"/>
      <c r="N1069" s="1152"/>
      <c r="O1069" s="732">
        <f t="shared" si="133"/>
        <v>0</v>
      </c>
      <c r="P1069" s="1153"/>
      <c r="Q1069" s="1153"/>
      <c r="R1069" s="733">
        <f t="shared" si="136"/>
        <v>0</v>
      </c>
      <c r="S1069" s="732">
        <f t="shared" si="137"/>
        <v>0</v>
      </c>
      <c r="T1069" s="733">
        <f t="shared" si="138"/>
        <v>0</v>
      </c>
      <c r="U1069" s="1152"/>
      <c r="V1069" s="1153"/>
      <c r="W1069" s="1152"/>
      <c r="X1069" s="1152"/>
      <c r="Y1069" s="732">
        <f t="shared" si="134"/>
        <v>0</v>
      </c>
      <c r="Z1069" s="1153"/>
      <c r="AA1069" s="1153"/>
      <c r="AB1069" s="733">
        <f t="shared" si="135"/>
        <v>0</v>
      </c>
      <c r="AC1069" s="1152"/>
      <c r="AD1069" s="1153"/>
      <c r="AE1069" s="1152"/>
      <c r="AF1069" s="1152"/>
      <c r="AG1069" s="1153"/>
      <c r="AH1069" s="1153"/>
      <c r="AI1069" s="732">
        <f t="shared" si="139"/>
        <v>0</v>
      </c>
      <c r="AJ1069" s="733">
        <f t="shared" si="140"/>
        <v>0</v>
      </c>
    </row>
    <row r="1070" spans="1:36">
      <c r="A1070" s="746" t="s">
        <v>549</v>
      </c>
      <c r="B1070" s="738" t="s">
        <v>176</v>
      </c>
      <c r="C1070" s="752" t="s">
        <v>177</v>
      </c>
      <c r="D1070" s="751"/>
      <c r="E1070" s="741"/>
      <c r="F1070" s="741">
        <v>99</v>
      </c>
      <c r="G1070" s="1152"/>
      <c r="H1070" s="1153"/>
      <c r="I1070" s="1152"/>
      <c r="J1070" s="1153"/>
      <c r="K1070" s="1152"/>
      <c r="L1070" s="1153"/>
      <c r="M1070" s="1152"/>
      <c r="N1070" s="1152"/>
      <c r="O1070" s="732">
        <f t="shared" si="133"/>
        <v>0</v>
      </c>
      <c r="P1070" s="1153"/>
      <c r="Q1070" s="1153"/>
      <c r="R1070" s="733">
        <f t="shared" si="136"/>
        <v>0</v>
      </c>
      <c r="S1070" s="732">
        <f t="shared" si="137"/>
        <v>0</v>
      </c>
      <c r="T1070" s="733">
        <f t="shared" si="138"/>
        <v>0</v>
      </c>
      <c r="U1070" s="1152"/>
      <c r="V1070" s="1153"/>
      <c r="W1070" s="1152"/>
      <c r="X1070" s="1152"/>
      <c r="Y1070" s="732">
        <f t="shared" si="134"/>
        <v>0</v>
      </c>
      <c r="Z1070" s="1153"/>
      <c r="AA1070" s="1153"/>
      <c r="AB1070" s="733">
        <f t="shared" si="135"/>
        <v>0</v>
      </c>
      <c r="AC1070" s="1152"/>
      <c r="AD1070" s="1153"/>
      <c r="AE1070" s="1152"/>
      <c r="AF1070" s="1152"/>
      <c r="AG1070" s="1153"/>
      <c r="AH1070" s="1153"/>
      <c r="AI1070" s="732">
        <f t="shared" si="139"/>
        <v>0</v>
      </c>
      <c r="AJ1070" s="733">
        <f t="shared" si="140"/>
        <v>0</v>
      </c>
    </row>
    <row r="1071" spans="1:36">
      <c r="A1071" s="746" t="s">
        <v>549</v>
      </c>
      <c r="B1071" s="738" t="s">
        <v>180</v>
      </c>
      <c r="C1071" s="752" t="s">
        <v>165</v>
      </c>
      <c r="D1071" s="751"/>
      <c r="E1071" s="741"/>
      <c r="F1071" s="741">
        <v>99</v>
      </c>
      <c r="G1071" s="1152"/>
      <c r="H1071" s="1153"/>
      <c r="I1071" s="1152"/>
      <c r="J1071" s="1153"/>
      <c r="K1071" s="1152"/>
      <c r="L1071" s="1153"/>
      <c r="M1071" s="1152"/>
      <c r="N1071" s="1152"/>
      <c r="O1071" s="732">
        <f t="shared" si="133"/>
        <v>0</v>
      </c>
      <c r="P1071" s="1153"/>
      <c r="Q1071" s="1153"/>
      <c r="R1071" s="733">
        <f t="shared" si="136"/>
        <v>0</v>
      </c>
      <c r="S1071" s="732">
        <f t="shared" si="137"/>
        <v>0</v>
      </c>
      <c r="T1071" s="733">
        <f t="shared" si="138"/>
        <v>0</v>
      </c>
      <c r="U1071" s="1152">
        <v>94500</v>
      </c>
      <c r="V1071" s="1154">
        <v>169500</v>
      </c>
      <c r="W1071" s="1152"/>
      <c r="X1071" s="1152"/>
      <c r="Y1071" s="732">
        <f t="shared" si="134"/>
        <v>0</v>
      </c>
      <c r="Z1071" s="1153"/>
      <c r="AA1071" s="1153"/>
      <c r="AB1071" s="733">
        <f t="shared" si="135"/>
        <v>0</v>
      </c>
      <c r="AC1071" s="1152"/>
      <c r="AD1071" s="1153"/>
      <c r="AE1071" s="1152"/>
      <c r="AF1071" s="1152"/>
      <c r="AG1071" s="1153"/>
      <c r="AH1071" s="1153"/>
      <c r="AI1071" s="732">
        <f t="shared" si="139"/>
        <v>94500</v>
      </c>
      <c r="AJ1071" s="733">
        <f t="shared" si="140"/>
        <v>169500</v>
      </c>
    </row>
    <row r="1072" spans="1:36">
      <c r="A1072" s="746" t="s">
        <v>549</v>
      </c>
      <c r="B1072" s="738" t="s">
        <v>178</v>
      </c>
      <c r="C1072" s="752" t="s">
        <v>587</v>
      </c>
      <c r="D1072" s="751"/>
      <c r="E1072" s="741"/>
      <c r="F1072" s="741">
        <v>99</v>
      </c>
      <c r="G1072" s="1152"/>
      <c r="H1072" s="1153"/>
      <c r="I1072" s="1152"/>
      <c r="J1072" s="1153"/>
      <c r="K1072" s="1152"/>
      <c r="L1072" s="1153"/>
      <c r="M1072" s="1152"/>
      <c r="N1072" s="1152"/>
      <c r="O1072" s="732">
        <f t="shared" si="133"/>
        <v>0</v>
      </c>
      <c r="P1072" s="1153"/>
      <c r="Q1072" s="1153"/>
      <c r="R1072" s="733">
        <f t="shared" si="136"/>
        <v>0</v>
      </c>
      <c r="S1072" s="732">
        <f t="shared" si="137"/>
        <v>0</v>
      </c>
      <c r="T1072" s="733">
        <f t="shared" si="138"/>
        <v>0</v>
      </c>
      <c r="U1072" s="1152"/>
      <c r="V1072" s="1153"/>
      <c r="W1072" s="1152"/>
      <c r="X1072" s="1152"/>
      <c r="Y1072" s="732">
        <f t="shared" si="134"/>
        <v>0</v>
      </c>
      <c r="Z1072" s="1153"/>
      <c r="AA1072" s="1153"/>
      <c r="AB1072" s="733">
        <f t="shared" si="135"/>
        <v>0</v>
      </c>
      <c r="AC1072" s="1152"/>
      <c r="AD1072" s="1153"/>
      <c r="AE1072" s="1152"/>
      <c r="AF1072" s="1152"/>
      <c r="AG1072" s="1153"/>
      <c r="AH1072" s="1153"/>
      <c r="AI1072" s="732">
        <f t="shared" si="139"/>
        <v>0</v>
      </c>
      <c r="AJ1072" s="733">
        <f t="shared" si="140"/>
        <v>0</v>
      </c>
    </row>
    <row r="1073" spans="1:36">
      <c r="A1073" s="746" t="s">
        <v>549</v>
      </c>
      <c r="B1073" s="738" t="s">
        <v>161</v>
      </c>
      <c r="C1073" s="752" t="s">
        <v>591</v>
      </c>
      <c r="D1073" s="751"/>
      <c r="E1073" s="741"/>
      <c r="F1073" s="741">
        <v>99</v>
      </c>
      <c r="G1073" s="1152"/>
      <c r="H1073" s="1153"/>
      <c r="I1073" s="1152"/>
      <c r="J1073" s="1153"/>
      <c r="K1073" s="1152"/>
      <c r="L1073" s="1153"/>
      <c r="M1073" s="1152"/>
      <c r="N1073" s="1152"/>
      <c r="O1073" s="732">
        <f t="shared" si="133"/>
        <v>0</v>
      </c>
      <c r="P1073" s="1153"/>
      <c r="Q1073" s="1153"/>
      <c r="R1073" s="733">
        <f t="shared" si="136"/>
        <v>0</v>
      </c>
      <c r="S1073" s="732">
        <f t="shared" si="137"/>
        <v>0</v>
      </c>
      <c r="T1073" s="733">
        <f t="shared" si="138"/>
        <v>0</v>
      </c>
      <c r="U1073" s="1152"/>
      <c r="V1073" s="1153"/>
      <c r="W1073" s="1152"/>
      <c r="X1073" s="1152"/>
      <c r="Y1073" s="732">
        <f t="shared" si="134"/>
        <v>0</v>
      </c>
      <c r="Z1073" s="1153"/>
      <c r="AA1073" s="1153"/>
      <c r="AB1073" s="733">
        <f t="shared" si="135"/>
        <v>0</v>
      </c>
      <c r="AC1073" s="1152"/>
      <c r="AD1073" s="1153"/>
      <c r="AE1073" s="1152"/>
      <c r="AF1073" s="1152"/>
      <c r="AG1073" s="1153"/>
      <c r="AH1073" s="1153"/>
      <c r="AI1073" s="732">
        <f t="shared" si="139"/>
        <v>0</v>
      </c>
      <c r="AJ1073" s="733">
        <f t="shared" si="140"/>
        <v>0</v>
      </c>
    </row>
    <row r="1074" spans="1:36">
      <c r="A1074" s="746" t="s">
        <v>549</v>
      </c>
      <c r="B1074" s="738" t="s">
        <v>170</v>
      </c>
      <c r="C1074" s="752" t="s">
        <v>171</v>
      </c>
      <c r="D1074" s="751"/>
      <c r="E1074" s="741"/>
      <c r="F1074" s="741">
        <v>99</v>
      </c>
      <c r="G1074" s="1152"/>
      <c r="H1074" s="1153"/>
      <c r="I1074" s="1152"/>
      <c r="J1074" s="1153"/>
      <c r="K1074" s="1152"/>
      <c r="L1074" s="1153"/>
      <c r="M1074" s="1152"/>
      <c r="N1074" s="1152"/>
      <c r="O1074" s="732">
        <f t="shared" si="133"/>
        <v>0</v>
      </c>
      <c r="P1074" s="1153"/>
      <c r="Q1074" s="1153"/>
      <c r="R1074" s="733">
        <f t="shared" si="136"/>
        <v>0</v>
      </c>
      <c r="S1074" s="732">
        <f t="shared" si="137"/>
        <v>0</v>
      </c>
      <c r="T1074" s="733">
        <f t="shared" si="138"/>
        <v>0</v>
      </c>
      <c r="U1074" s="1152"/>
      <c r="V1074" s="1153"/>
      <c r="W1074" s="1152"/>
      <c r="X1074" s="1152"/>
      <c r="Y1074" s="732">
        <f t="shared" si="134"/>
        <v>0</v>
      </c>
      <c r="Z1074" s="1153"/>
      <c r="AA1074" s="1153"/>
      <c r="AB1074" s="733">
        <f t="shared" si="135"/>
        <v>0</v>
      </c>
      <c r="AC1074" s="1152"/>
      <c r="AD1074" s="1153"/>
      <c r="AE1074" s="1152"/>
      <c r="AF1074" s="1152"/>
      <c r="AG1074" s="1153"/>
      <c r="AH1074" s="1153"/>
      <c r="AI1074" s="732">
        <f t="shared" si="139"/>
        <v>0</v>
      </c>
      <c r="AJ1074" s="733">
        <f t="shared" si="140"/>
        <v>0</v>
      </c>
    </row>
    <row r="1075" spans="1:36">
      <c r="A1075" s="746" t="s">
        <v>549</v>
      </c>
      <c r="B1075" s="738" t="s">
        <v>172</v>
      </c>
      <c r="C1075" s="752" t="s">
        <v>165</v>
      </c>
      <c r="D1075" s="751"/>
      <c r="E1075" s="741"/>
      <c r="F1075" s="741">
        <v>99</v>
      </c>
      <c r="G1075" s="1152"/>
      <c r="H1075" s="1153"/>
      <c r="I1075" s="1152"/>
      <c r="J1075" s="1153"/>
      <c r="K1075" s="1152"/>
      <c r="L1075" s="1153"/>
      <c r="M1075" s="1152"/>
      <c r="N1075" s="1152"/>
      <c r="O1075" s="732">
        <f t="shared" si="133"/>
        <v>0</v>
      </c>
      <c r="P1075" s="1153"/>
      <c r="Q1075" s="1153"/>
      <c r="R1075" s="733">
        <f t="shared" si="136"/>
        <v>0</v>
      </c>
      <c r="S1075" s="732">
        <f t="shared" si="137"/>
        <v>0</v>
      </c>
      <c r="T1075" s="733">
        <f t="shared" si="138"/>
        <v>0</v>
      </c>
      <c r="U1075" s="1152"/>
      <c r="V1075" s="1153"/>
      <c r="W1075" s="1152"/>
      <c r="X1075" s="1152"/>
      <c r="Y1075" s="732">
        <f t="shared" si="134"/>
        <v>0</v>
      </c>
      <c r="Z1075" s="1153"/>
      <c r="AA1075" s="1153"/>
      <c r="AB1075" s="733">
        <f t="shared" si="135"/>
        <v>0</v>
      </c>
      <c r="AC1075" s="1152"/>
      <c r="AD1075" s="1153"/>
      <c r="AE1075" s="1152"/>
      <c r="AF1075" s="1152"/>
      <c r="AG1075" s="1153"/>
      <c r="AH1075" s="1153"/>
      <c r="AI1075" s="732">
        <f t="shared" si="139"/>
        <v>0</v>
      </c>
      <c r="AJ1075" s="733">
        <f t="shared" si="140"/>
        <v>0</v>
      </c>
    </row>
    <row r="1076" spans="1:36">
      <c r="A1076" s="746" t="s">
        <v>549</v>
      </c>
      <c r="B1076" s="738" t="s">
        <v>173</v>
      </c>
      <c r="C1076" s="757" t="s">
        <v>587</v>
      </c>
      <c r="D1076" s="744"/>
      <c r="E1076" s="741"/>
      <c r="F1076" s="741">
        <v>99</v>
      </c>
      <c r="G1076" s="1152"/>
      <c r="H1076" s="1153"/>
      <c r="I1076" s="1152"/>
      <c r="J1076" s="1153"/>
      <c r="K1076" s="1152"/>
      <c r="L1076" s="1153"/>
      <c r="M1076" s="1152"/>
      <c r="N1076" s="1152"/>
      <c r="O1076" s="732">
        <f t="shared" si="133"/>
        <v>0</v>
      </c>
      <c r="P1076" s="1153"/>
      <c r="Q1076" s="1153"/>
      <c r="R1076" s="733">
        <f t="shared" si="136"/>
        <v>0</v>
      </c>
      <c r="S1076" s="732">
        <f t="shared" si="137"/>
        <v>0</v>
      </c>
      <c r="T1076" s="733">
        <f t="shared" si="138"/>
        <v>0</v>
      </c>
      <c r="U1076" s="1152"/>
      <c r="V1076" s="1153"/>
      <c r="W1076" s="1152"/>
      <c r="X1076" s="1152"/>
      <c r="Y1076" s="732">
        <f t="shared" si="134"/>
        <v>0</v>
      </c>
      <c r="Z1076" s="1153"/>
      <c r="AA1076" s="1153"/>
      <c r="AB1076" s="733">
        <f t="shared" si="135"/>
        <v>0</v>
      </c>
      <c r="AC1076" s="1152"/>
      <c r="AD1076" s="1153"/>
      <c r="AE1076" s="1152"/>
      <c r="AF1076" s="1152"/>
      <c r="AG1076" s="1153"/>
      <c r="AH1076" s="1153"/>
      <c r="AI1076" s="732">
        <f t="shared" si="139"/>
        <v>0</v>
      </c>
      <c r="AJ1076" s="733">
        <f t="shared" si="140"/>
        <v>0</v>
      </c>
    </row>
    <row r="1077" spans="1:36">
      <c r="A1077" s="746" t="s">
        <v>549</v>
      </c>
      <c r="B1077" s="738" t="s">
        <v>176</v>
      </c>
      <c r="C1077" s="752" t="s">
        <v>177</v>
      </c>
      <c r="D1077" s="751"/>
      <c r="E1077" s="741"/>
      <c r="F1077" s="741">
        <v>99</v>
      </c>
      <c r="G1077" s="1152"/>
      <c r="H1077" s="1153"/>
      <c r="I1077" s="1152"/>
      <c r="J1077" s="1153"/>
      <c r="K1077" s="1152"/>
      <c r="L1077" s="1153"/>
      <c r="M1077" s="1152"/>
      <c r="N1077" s="1152"/>
      <c r="O1077" s="732">
        <f t="shared" si="133"/>
        <v>0</v>
      </c>
      <c r="P1077" s="1153"/>
      <c r="Q1077" s="1153"/>
      <c r="R1077" s="733">
        <f t="shared" si="136"/>
        <v>0</v>
      </c>
      <c r="S1077" s="732">
        <f t="shared" si="137"/>
        <v>0</v>
      </c>
      <c r="T1077" s="733">
        <f t="shared" si="138"/>
        <v>0</v>
      </c>
      <c r="U1077" s="1152"/>
      <c r="V1077" s="1153"/>
      <c r="W1077" s="1152"/>
      <c r="X1077" s="1152"/>
      <c r="Y1077" s="732">
        <f t="shared" si="134"/>
        <v>0</v>
      </c>
      <c r="Z1077" s="1153"/>
      <c r="AA1077" s="1153"/>
      <c r="AB1077" s="733">
        <f t="shared" si="135"/>
        <v>0</v>
      </c>
      <c r="AC1077" s="1152"/>
      <c r="AD1077" s="1153"/>
      <c r="AE1077" s="1152"/>
      <c r="AF1077" s="1152"/>
      <c r="AG1077" s="1153"/>
      <c r="AH1077" s="1153"/>
      <c r="AI1077" s="732">
        <f t="shared" si="139"/>
        <v>0</v>
      </c>
      <c r="AJ1077" s="733">
        <f t="shared" si="140"/>
        <v>0</v>
      </c>
    </row>
    <row r="1078" spans="1:36">
      <c r="A1078" s="746" t="s">
        <v>549</v>
      </c>
      <c r="B1078" s="738" t="s">
        <v>180</v>
      </c>
      <c r="C1078" s="752" t="s">
        <v>165</v>
      </c>
      <c r="D1078" s="751"/>
      <c r="E1078" s="741"/>
      <c r="F1078" s="741">
        <v>99</v>
      </c>
      <c r="G1078" s="1152"/>
      <c r="H1078" s="1153"/>
      <c r="I1078" s="1152"/>
      <c r="J1078" s="1153"/>
      <c r="K1078" s="1152"/>
      <c r="L1078" s="1153"/>
      <c r="M1078" s="1152"/>
      <c r="N1078" s="1152"/>
      <c r="O1078" s="732">
        <f t="shared" si="133"/>
        <v>0</v>
      </c>
      <c r="P1078" s="1153"/>
      <c r="Q1078" s="1153"/>
      <c r="R1078" s="733">
        <f t="shared" si="136"/>
        <v>0</v>
      </c>
      <c r="S1078" s="732">
        <f t="shared" si="137"/>
        <v>0</v>
      </c>
      <c r="T1078" s="733">
        <f t="shared" si="138"/>
        <v>0</v>
      </c>
      <c r="U1078" s="1152"/>
      <c r="V1078" s="1153"/>
      <c r="W1078" s="1152"/>
      <c r="X1078" s="1152"/>
      <c r="Y1078" s="732">
        <f t="shared" si="134"/>
        <v>0</v>
      </c>
      <c r="Z1078" s="1153"/>
      <c r="AA1078" s="1153"/>
      <c r="AB1078" s="733">
        <f t="shared" si="135"/>
        <v>0</v>
      </c>
      <c r="AC1078" s="1152"/>
      <c r="AD1078" s="1153"/>
      <c r="AE1078" s="1152"/>
      <c r="AF1078" s="1152"/>
      <c r="AG1078" s="1153"/>
      <c r="AH1078" s="1153"/>
      <c r="AI1078" s="732">
        <f t="shared" si="139"/>
        <v>0</v>
      </c>
      <c r="AJ1078" s="733">
        <f t="shared" si="140"/>
        <v>0</v>
      </c>
    </row>
    <row r="1079" spans="1:36">
      <c r="A1079" s="746" t="s">
        <v>549</v>
      </c>
      <c r="B1079" s="738" t="s">
        <v>178</v>
      </c>
      <c r="C1079" s="752" t="s">
        <v>587</v>
      </c>
      <c r="D1079" s="751"/>
      <c r="E1079" s="741"/>
      <c r="F1079" s="741">
        <v>99</v>
      </c>
      <c r="G1079" s="1152"/>
      <c r="H1079" s="1153"/>
      <c r="I1079" s="1152"/>
      <c r="J1079" s="1153"/>
      <c r="K1079" s="1152"/>
      <c r="L1079" s="1153"/>
      <c r="M1079" s="1152"/>
      <c r="N1079" s="1152"/>
      <c r="O1079" s="732">
        <f t="shared" si="133"/>
        <v>0</v>
      </c>
      <c r="P1079" s="1153"/>
      <c r="Q1079" s="1153"/>
      <c r="R1079" s="733">
        <f t="shared" si="136"/>
        <v>0</v>
      </c>
      <c r="S1079" s="732">
        <f t="shared" si="137"/>
        <v>0</v>
      </c>
      <c r="T1079" s="733">
        <f t="shared" si="138"/>
        <v>0</v>
      </c>
      <c r="U1079" s="1152"/>
      <c r="V1079" s="1153"/>
      <c r="W1079" s="1152"/>
      <c r="X1079" s="1152"/>
      <c r="Y1079" s="732">
        <f t="shared" si="134"/>
        <v>0</v>
      </c>
      <c r="Z1079" s="1153"/>
      <c r="AA1079" s="1153"/>
      <c r="AB1079" s="733">
        <f t="shared" si="135"/>
        <v>0</v>
      </c>
      <c r="AC1079" s="1152"/>
      <c r="AD1079" s="1153"/>
      <c r="AE1079" s="1152"/>
      <c r="AF1079" s="1152"/>
      <c r="AG1079" s="1153"/>
      <c r="AH1079" s="1153"/>
      <c r="AI1079" s="732">
        <f t="shared" si="139"/>
        <v>0</v>
      </c>
      <c r="AJ1079" s="733">
        <f t="shared" si="140"/>
        <v>0</v>
      </c>
    </row>
    <row r="1080" spans="1:36">
      <c r="A1080" s="746" t="s">
        <v>549</v>
      </c>
      <c r="B1080" s="738" t="s">
        <v>161</v>
      </c>
      <c r="C1080" s="752" t="s">
        <v>592</v>
      </c>
      <c r="D1080" s="751"/>
      <c r="E1080" s="741"/>
      <c r="F1080" s="741">
        <v>99</v>
      </c>
      <c r="G1080" s="1152"/>
      <c r="H1080" s="1153"/>
      <c r="I1080" s="1152"/>
      <c r="J1080" s="1153"/>
      <c r="K1080" s="1152"/>
      <c r="L1080" s="1153"/>
      <c r="M1080" s="1152"/>
      <c r="N1080" s="1152"/>
      <c r="O1080" s="732">
        <f t="shared" si="133"/>
        <v>0</v>
      </c>
      <c r="P1080" s="1153"/>
      <c r="Q1080" s="1153"/>
      <c r="R1080" s="733">
        <f t="shared" si="136"/>
        <v>0</v>
      </c>
      <c r="S1080" s="732">
        <f t="shared" si="137"/>
        <v>0</v>
      </c>
      <c r="T1080" s="733">
        <f t="shared" si="138"/>
        <v>0</v>
      </c>
      <c r="U1080" s="1152"/>
      <c r="V1080" s="1153"/>
      <c r="W1080" s="1152"/>
      <c r="X1080" s="1152"/>
      <c r="Y1080" s="732">
        <f t="shared" si="134"/>
        <v>0</v>
      </c>
      <c r="Z1080" s="1153"/>
      <c r="AA1080" s="1153"/>
      <c r="AB1080" s="733">
        <f t="shared" si="135"/>
        <v>0</v>
      </c>
      <c r="AC1080" s="1152"/>
      <c r="AD1080" s="1153"/>
      <c r="AE1080" s="1152"/>
      <c r="AF1080" s="1152"/>
      <c r="AG1080" s="1153"/>
      <c r="AH1080" s="1153"/>
      <c r="AI1080" s="732">
        <f t="shared" si="139"/>
        <v>0</v>
      </c>
      <c r="AJ1080" s="733">
        <f t="shared" si="140"/>
        <v>0</v>
      </c>
    </row>
    <row r="1081" spans="1:36">
      <c r="A1081" s="746" t="s">
        <v>549</v>
      </c>
      <c r="B1081" s="738" t="s">
        <v>170</v>
      </c>
      <c r="C1081" s="752" t="s">
        <v>171</v>
      </c>
      <c r="D1081" s="751"/>
      <c r="E1081" s="741"/>
      <c r="F1081" s="741">
        <v>99</v>
      </c>
      <c r="G1081" s="1152"/>
      <c r="H1081" s="1153"/>
      <c r="I1081" s="1152"/>
      <c r="J1081" s="1153"/>
      <c r="K1081" s="1152"/>
      <c r="L1081" s="1153"/>
      <c r="M1081" s="1152"/>
      <c r="N1081" s="1152"/>
      <c r="O1081" s="732">
        <f t="shared" si="133"/>
        <v>0</v>
      </c>
      <c r="P1081" s="1153"/>
      <c r="Q1081" s="1153"/>
      <c r="R1081" s="733">
        <f t="shared" si="136"/>
        <v>0</v>
      </c>
      <c r="S1081" s="732">
        <f t="shared" si="137"/>
        <v>0</v>
      </c>
      <c r="T1081" s="733">
        <f t="shared" si="138"/>
        <v>0</v>
      </c>
      <c r="U1081" s="1152"/>
      <c r="V1081" s="1153"/>
      <c r="W1081" s="1152"/>
      <c r="X1081" s="1152"/>
      <c r="Y1081" s="732">
        <f t="shared" si="134"/>
        <v>0</v>
      </c>
      <c r="Z1081" s="1153"/>
      <c r="AA1081" s="1153"/>
      <c r="AB1081" s="733">
        <f t="shared" si="135"/>
        <v>0</v>
      </c>
      <c r="AC1081" s="1152"/>
      <c r="AD1081" s="1153"/>
      <c r="AE1081" s="1152"/>
      <c r="AF1081" s="1152"/>
      <c r="AG1081" s="1153"/>
      <c r="AH1081" s="1153"/>
      <c r="AI1081" s="732">
        <f t="shared" si="139"/>
        <v>0</v>
      </c>
      <c r="AJ1081" s="733">
        <f t="shared" si="140"/>
        <v>0</v>
      </c>
    </row>
    <row r="1082" spans="1:36">
      <c r="A1082" s="746" t="s">
        <v>549</v>
      </c>
      <c r="B1082" s="738" t="s">
        <v>172</v>
      </c>
      <c r="C1082" s="752" t="s">
        <v>165</v>
      </c>
      <c r="D1082" s="751"/>
      <c r="E1082" s="741"/>
      <c r="F1082" s="741">
        <v>99</v>
      </c>
      <c r="G1082" s="1152"/>
      <c r="H1082" s="1153"/>
      <c r="I1082" s="1152"/>
      <c r="J1082" s="1153"/>
      <c r="K1082" s="1152"/>
      <c r="L1082" s="1153"/>
      <c r="M1082" s="1152"/>
      <c r="N1082" s="1152"/>
      <c r="O1082" s="732">
        <f t="shared" si="133"/>
        <v>0</v>
      </c>
      <c r="P1082" s="1153"/>
      <c r="Q1082" s="1153"/>
      <c r="R1082" s="733">
        <f t="shared" si="136"/>
        <v>0</v>
      </c>
      <c r="S1082" s="732">
        <f t="shared" si="137"/>
        <v>0</v>
      </c>
      <c r="T1082" s="733">
        <f t="shared" si="138"/>
        <v>0</v>
      </c>
      <c r="U1082" s="1152"/>
      <c r="V1082" s="1153"/>
      <c r="W1082" s="1152"/>
      <c r="X1082" s="1152"/>
      <c r="Y1082" s="732">
        <f t="shared" si="134"/>
        <v>0</v>
      </c>
      <c r="Z1082" s="1153"/>
      <c r="AA1082" s="1153"/>
      <c r="AB1082" s="733">
        <f t="shared" si="135"/>
        <v>0</v>
      </c>
      <c r="AC1082" s="1152"/>
      <c r="AD1082" s="1153"/>
      <c r="AE1082" s="1152"/>
      <c r="AF1082" s="1152"/>
      <c r="AG1082" s="1153"/>
      <c r="AH1082" s="1153"/>
      <c r="AI1082" s="732">
        <f t="shared" si="139"/>
        <v>0</v>
      </c>
      <c r="AJ1082" s="733">
        <f t="shared" si="140"/>
        <v>0</v>
      </c>
    </row>
    <row r="1083" spans="1:36">
      <c r="A1083" s="746" t="s">
        <v>549</v>
      </c>
      <c r="B1083" s="738" t="s">
        <v>173</v>
      </c>
      <c r="C1083" s="757" t="s">
        <v>587</v>
      </c>
      <c r="D1083" s="744"/>
      <c r="E1083" s="741"/>
      <c r="F1083" s="741">
        <v>99</v>
      </c>
      <c r="G1083" s="1152"/>
      <c r="H1083" s="1153"/>
      <c r="I1083" s="1152"/>
      <c r="J1083" s="1153"/>
      <c r="K1083" s="1152"/>
      <c r="L1083" s="1153"/>
      <c r="M1083" s="1152"/>
      <c r="N1083" s="1152"/>
      <c r="O1083" s="732">
        <f t="shared" si="133"/>
        <v>0</v>
      </c>
      <c r="P1083" s="1153"/>
      <c r="Q1083" s="1153"/>
      <c r="R1083" s="733">
        <f t="shared" si="136"/>
        <v>0</v>
      </c>
      <c r="S1083" s="732">
        <f t="shared" si="137"/>
        <v>0</v>
      </c>
      <c r="T1083" s="733">
        <f t="shared" si="138"/>
        <v>0</v>
      </c>
      <c r="U1083" s="1152"/>
      <c r="V1083" s="1153"/>
      <c r="W1083" s="1152"/>
      <c r="X1083" s="1152"/>
      <c r="Y1083" s="732">
        <f t="shared" si="134"/>
        <v>0</v>
      </c>
      <c r="Z1083" s="1153"/>
      <c r="AA1083" s="1153"/>
      <c r="AB1083" s="733">
        <f t="shared" si="135"/>
        <v>0</v>
      </c>
      <c r="AC1083" s="1152"/>
      <c r="AD1083" s="1153"/>
      <c r="AE1083" s="1152"/>
      <c r="AF1083" s="1152"/>
      <c r="AG1083" s="1153"/>
      <c r="AH1083" s="1153"/>
      <c r="AI1083" s="732">
        <f t="shared" si="139"/>
        <v>0</v>
      </c>
      <c r="AJ1083" s="733">
        <f t="shared" si="140"/>
        <v>0</v>
      </c>
    </row>
    <row r="1084" spans="1:36">
      <c r="A1084" s="746" t="s">
        <v>549</v>
      </c>
      <c r="B1084" s="738" t="s">
        <v>176</v>
      </c>
      <c r="C1084" s="752" t="s">
        <v>177</v>
      </c>
      <c r="D1084" s="751"/>
      <c r="E1084" s="741"/>
      <c r="F1084" s="741">
        <v>99</v>
      </c>
      <c r="G1084" s="1152"/>
      <c r="H1084" s="1153"/>
      <c r="I1084" s="1152"/>
      <c r="J1084" s="1153"/>
      <c r="K1084" s="1152"/>
      <c r="L1084" s="1153"/>
      <c r="M1084" s="1152"/>
      <c r="N1084" s="1152"/>
      <c r="O1084" s="732">
        <f t="shared" si="133"/>
        <v>0</v>
      </c>
      <c r="P1084" s="1153"/>
      <c r="Q1084" s="1153"/>
      <c r="R1084" s="733">
        <f t="shared" si="136"/>
        <v>0</v>
      </c>
      <c r="S1084" s="732">
        <f t="shared" si="137"/>
        <v>0</v>
      </c>
      <c r="T1084" s="733">
        <f t="shared" si="138"/>
        <v>0</v>
      </c>
      <c r="U1084" s="1152"/>
      <c r="V1084" s="1153"/>
      <c r="W1084" s="1152"/>
      <c r="X1084" s="1152"/>
      <c r="Y1084" s="732">
        <f t="shared" si="134"/>
        <v>0</v>
      </c>
      <c r="Z1084" s="1153"/>
      <c r="AA1084" s="1153"/>
      <c r="AB1084" s="733">
        <f t="shared" si="135"/>
        <v>0</v>
      </c>
      <c r="AC1084" s="1152"/>
      <c r="AD1084" s="1153"/>
      <c r="AE1084" s="1152"/>
      <c r="AF1084" s="1152"/>
      <c r="AG1084" s="1153"/>
      <c r="AH1084" s="1153"/>
      <c r="AI1084" s="732">
        <f t="shared" si="139"/>
        <v>0</v>
      </c>
      <c r="AJ1084" s="733">
        <f t="shared" si="140"/>
        <v>0</v>
      </c>
    </row>
    <row r="1085" spans="1:36">
      <c r="A1085" s="746" t="s">
        <v>549</v>
      </c>
      <c r="B1085" s="738" t="s">
        <v>180</v>
      </c>
      <c r="C1085" s="752" t="s">
        <v>165</v>
      </c>
      <c r="D1085" s="751"/>
      <c r="E1085" s="741"/>
      <c r="F1085" s="741">
        <v>99</v>
      </c>
      <c r="G1085" s="1152"/>
      <c r="H1085" s="1153"/>
      <c r="I1085" s="1152"/>
      <c r="J1085" s="1153"/>
      <c r="K1085" s="1152"/>
      <c r="L1085" s="1153"/>
      <c r="M1085" s="1152"/>
      <c r="N1085" s="1152"/>
      <c r="O1085" s="732">
        <f t="shared" si="133"/>
        <v>0</v>
      </c>
      <c r="P1085" s="1153"/>
      <c r="Q1085" s="1153"/>
      <c r="R1085" s="733">
        <f t="shared" si="136"/>
        <v>0</v>
      </c>
      <c r="S1085" s="732">
        <f t="shared" si="137"/>
        <v>0</v>
      </c>
      <c r="T1085" s="733">
        <f t="shared" si="138"/>
        <v>0</v>
      </c>
      <c r="U1085" s="1152"/>
      <c r="V1085" s="1153"/>
      <c r="W1085" s="1152"/>
      <c r="X1085" s="1152"/>
      <c r="Y1085" s="732">
        <f t="shared" si="134"/>
        <v>0</v>
      </c>
      <c r="Z1085" s="1153"/>
      <c r="AA1085" s="1153"/>
      <c r="AB1085" s="733">
        <f t="shared" si="135"/>
        <v>0</v>
      </c>
      <c r="AC1085" s="1152"/>
      <c r="AD1085" s="1153"/>
      <c r="AE1085" s="1152"/>
      <c r="AF1085" s="1152"/>
      <c r="AG1085" s="1153"/>
      <c r="AH1085" s="1153"/>
      <c r="AI1085" s="732">
        <f t="shared" si="139"/>
        <v>0</v>
      </c>
      <c r="AJ1085" s="733">
        <f t="shared" si="140"/>
        <v>0</v>
      </c>
    </row>
    <row r="1086" spans="1:36">
      <c r="A1086" s="746" t="s">
        <v>549</v>
      </c>
      <c r="B1086" s="738" t="s">
        <v>178</v>
      </c>
      <c r="C1086" s="752" t="s">
        <v>587</v>
      </c>
      <c r="D1086" s="751"/>
      <c r="E1086" s="741"/>
      <c r="F1086" s="741">
        <v>99</v>
      </c>
      <c r="G1086" s="1152"/>
      <c r="H1086" s="1153"/>
      <c r="I1086" s="1152"/>
      <c r="J1086" s="1153"/>
      <c r="K1086" s="1152"/>
      <c r="L1086" s="1153"/>
      <c r="M1086" s="1152"/>
      <c r="N1086" s="1152"/>
      <c r="O1086" s="732">
        <f t="shared" si="133"/>
        <v>0</v>
      </c>
      <c r="P1086" s="1153"/>
      <c r="Q1086" s="1153"/>
      <c r="R1086" s="733">
        <f t="shared" si="136"/>
        <v>0</v>
      </c>
      <c r="S1086" s="732">
        <f t="shared" si="137"/>
        <v>0</v>
      </c>
      <c r="T1086" s="733">
        <f t="shared" si="138"/>
        <v>0</v>
      </c>
      <c r="U1086" s="1152"/>
      <c r="V1086" s="1153"/>
      <c r="W1086" s="1152"/>
      <c r="X1086" s="1152"/>
      <c r="Y1086" s="732">
        <f t="shared" si="134"/>
        <v>0</v>
      </c>
      <c r="Z1086" s="1153"/>
      <c r="AA1086" s="1153"/>
      <c r="AB1086" s="733">
        <f t="shared" si="135"/>
        <v>0</v>
      </c>
      <c r="AC1086" s="1152"/>
      <c r="AD1086" s="1153"/>
      <c r="AE1086" s="1152"/>
      <c r="AF1086" s="1152"/>
      <c r="AG1086" s="1153"/>
      <c r="AH1086" s="1153"/>
      <c r="AI1086" s="732">
        <f t="shared" si="139"/>
        <v>0</v>
      </c>
      <c r="AJ1086" s="733">
        <f t="shared" si="140"/>
        <v>0</v>
      </c>
    </row>
    <row r="1087" spans="1:36">
      <c r="A1087" s="746" t="s">
        <v>549</v>
      </c>
      <c r="B1087" s="738" t="s">
        <v>161</v>
      </c>
      <c r="C1087" s="752" t="s">
        <v>593</v>
      </c>
      <c r="D1087" s="751"/>
      <c r="E1087" s="741"/>
      <c r="F1087" s="741">
        <v>99</v>
      </c>
      <c r="G1087" s="1152"/>
      <c r="H1087" s="1153"/>
      <c r="I1087" s="1152"/>
      <c r="J1087" s="1153"/>
      <c r="K1087" s="1152"/>
      <c r="L1087" s="1153"/>
      <c r="M1087" s="1152"/>
      <c r="N1087" s="1152"/>
      <c r="O1087" s="732">
        <f t="shared" si="133"/>
        <v>0</v>
      </c>
      <c r="P1087" s="1153"/>
      <c r="Q1087" s="1153"/>
      <c r="R1087" s="733">
        <f t="shared" si="136"/>
        <v>0</v>
      </c>
      <c r="S1087" s="732">
        <f t="shared" si="137"/>
        <v>0</v>
      </c>
      <c r="T1087" s="733">
        <f t="shared" si="138"/>
        <v>0</v>
      </c>
      <c r="U1087" s="1152"/>
      <c r="V1087" s="1153"/>
      <c r="W1087" s="1152"/>
      <c r="X1087" s="1152"/>
      <c r="Y1087" s="732">
        <f t="shared" si="134"/>
        <v>0</v>
      </c>
      <c r="Z1087" s="1153"/>
      <c r="AA1087" s="1153"/>
      <c r="AB1087" s="733">
        <f t="shared" si="135"/>
        <v>0</v>
      </c>
      <c r="AC1087" s="1152"/>
      <c r="AD1087" s="1153"/>
      <c r="AE1087" s="1152"/>
      <c r="AF1087" s="1152"/>
      <c r="AG1087" s="1153"/>
      <c r="AH1087" s="1153"/>
      <c r="AI1087" s="732">
        <f t="shared" si="139"/>
        <v>0</v>
      </c>
      <c r="AJ1087" s="733">
        <f t="shared" si="140"/>
        <v>0</v>
      </c>
    </row>
    <row r="1088" spans="1:36">
      <c r="A1088" s="746" t="s">
        <v>549</v>
      </c>
      <c r="B1088" s="738" t="s">
        <v>170</v>
      </c>
      <c r="C1088" s="752" t="s">
        <v>171</v>
      </c>
      <c r="D1088" s="751"/>
      <c r="E1088" s="741"/>
      <c r="F1088" s="741">
        <v>99</v>
      </c>
      <c r="G1088" s="1152"/>
      <c r="H1088" s="1153"/>
      <c r="I1088" s="1152"/>
      <c r="J1088" s="1153"/>
      <c r="K1088" s="1152"/>
      <c r="L1088" s="1153"/>
      <c r="M1088" s="1152"/>
      <c r="N1088" s="1152"/>
      <c r="O1088" s="732">
        <f t="shared" si="133"/>
        <v>0</v>
      </c>
      <c r="P1088" s="1153"/>
      <c r="Q1088" s="1153"/>
      <c r="R1088" s="733">
        <f t="shared" si="136"/>
        <v>0</v>
      </c>
      <c r="S1088" s="732">
        <f t="shared" si="137"/>
        <v>0</v>
      </c>
      <c r="T1088" s="733">
        <f t="shared" si="138"/>
        <v>0</v>
      </c>
      <c r="U1088" s="1152"/>
      <c r="V1088" s="1153"/>
      <c r="W1088" s="1152"/>
      <c r="X1088" s="1152"/>
      <c r="Y1088" s="732">
        <f t="shared" si="134"/>
        <v>0</v>
      </c>
      <c r="Z1088" s="1153"/>
      <c r="AA1088" s="1153"/>
      <c r="AB1088" s="733">
        <f t="shared" si="135"/>
        <v>0</v>
      </c>
      <c r="AC1088" s="1152"/>
      <c r="AD1088" s="1153"/>
      <c r="AE1088" s="1152"/>
      <c r="AF1088" s="1152"/>
      <c r="AG1088" s="1153"/>
      <c r="AH1088" s="1153"/>
      <c r="AI1088" s="732">
        <f t="shared" si="139"/>
        <v>0</v>
      </c>
      <c r="AJ1088" s="733">
        <f t="shared" si="140"/>
        <v>0</v>
      </c>
    </row>
    <row r="1089" spans="1:36">
      <c r="A1089" s="746" t="s">
        <v>549</v>
      </c>
      <c r="B1089" s="738" t="s">
        <v>172</v>
      </c>
      <c r="C1089" s="752" t="s">
        <v>165</v>
      </c>
      <c r="D1089" s="751"/>
      <c r="E1089" s="741"/>
      <c r="F1089" s="741">
        <v>99</v>
      </c>
      <c r="G1089" s="1152"/>
      <c r="H1089" s="1153"/>
      <c r="I1089" s="1152"/>
      <c r="J1089" s="1153"/>
      <c r="K1089" s="1152"/>
      <c r="L1089" s="1153"/>
      <c r="M1089" s="1152"/>
      <c r="N1089" s="1152"/>
      <c r="O1089" s="732">
        <f t="shared" si="133"/>
        <v>0</v>
      </c>
      <c r="P1089" s="1153"/>
      <c r="Q1089" s="1153"/>
      <c r="R1089" s="733">
        <f t="shared" si="136"/>
        <v>0</v>
      </c>
      <c r="S1089" s="732">
        <f t="shared" si="137"/>
        <v>0</v>
      </c>
      <c r="T1089" s="733">
        <f t="shared" si="138"/>
        <v>0</v>
      </c>
      <c r="U1089" s="1152"/>
      <c r="V1089" s="1153"/>
      <c r="W1089" s="1152"/>
      <c r="X1089" s="1152"/>
      <c r="Y1089" s="732">
        <f t="shared" si="134"/>
        <v>0</v>
      </c>
      <c r="Z1089" s="1153"/>
      <c r="AA1089" s="1153"/>
      <c r="AB1089" s="733">
        <f t="shared" si="135"/>
        <v>0</v>
      </c>
      <c r="AC1089" s="1152"/>
      <c r="AD1089" s="1153"/>
      <c r="AE1089" s="1152"/>
      <c r="AF1089" s="1152"/>
      <c r="AG1089" s="1153"/>
      <c r="AH1089" s="1153"/>
      <c r="AI1089" s="732">
        <f t="shared" si="139"/>
        <v>0</v>
      </c>
      <c r="AJ1089" s="733">
        <f t="shared" si="140"/>
        <v>0</v>
      </c>
    </row>
    <row r="1090" spans="1:36">
      <c r="A1090" s="746" t="s">
        <v>549</v>
      </c>
      <c r="B1090" s="738" t="s">
        <v>173</v>
      </c>
      <c r="C1090" s="757" t="s">
        <v>587</v>
      </c>
      <c r="D1090" s="744"/>
      <c r="E1090" s="741"/>
      <c r="F1090" s="741">
        <v>99</v>
      </c>
      <c r="G1090" s="1152"/>
      <c r="H1090" s="1153"/>
      <c r="I1090" s="1152"/>
      <c r="J1090" s="1153"/>
      <c r="K1090" s="1152"/>
      <c r="L1090" s="1153"/>
      <c r="M1090" s="1152"/>
      <c r="N1090" s="1152"/>
      <c r="O1090" s="732">
        <f t="shared" si="133"/>
        <v>0</v>
      </c>
      <c r="P1090" s="1153"/>
      <c r="Q1090" s="1153"/>
      <c r="R1090" s="733">
        <f t="shared" si="136"/>
        <v>0</v>
      </c>
      <c r="S1090" s="732">
        <f t="shared" si="137"/>
        <v>0</v>
      </c>
      <c r="T1090" s="733">
        <f t="shared" si="138"/>
        <v>0</v>
      </c>
      <c r="U1090" s="1152"/>
      <c r="V1090" s="1153"/>
      <c r="W1090" s="1152"/>
      <c r="X1090" s="1152"/>
      <c r="Y1090" s="732">
        <f t="shared" si="134"/>
        <v>0</v>
      </c>
      <c r="Z1090" s="1153"/>
      <c r="AA1090" s="1153"/>
      <c r="AB1090" s="733">
        <f t="shared" si="135"/>
        <v>0</v>
      </c>
      <c r="AC1090" s="1152"/>
      <c r="AD1090" s="1153"/>
      <c r="AE1090" s="1152"/>
      <c r="AF1090" s="1152"/>
      <c r="AG1090" s="1153"/>
      <c r="AH1090" s="1153"/>
      <c r="AI1090" s="732">
        <f t="shared" si="139"/>
        <v>0</v>
      </c>
      <c r="AJ1090" s="733">
        <f t="shared" si="140"/>
        <v>0</v>
      </c>
    </row>
    <row r="1091" spans="1:36">
      <c r="A1091" s="746" t="s">
        <v>549</v>
      </c>
      <c r="B1091" s="738" t="s">
        <v>176</v>
      </c>
      <c r="C1091" s="752" t="s">
        <v>177</v>
      </c>
      <c r="D1091" s="751"/>
      <c r="E1091" s="741"/>
      <c r="F1091" s="741">
        <v>99</v>
      </c>
      <c r="G1091" s="1152"/>
      <c r="H1091" s="1153"/>
      <c r="I1091" s="1152"/>
      <c r="J1091" s="1153"/>
      <c r="K1091" s="1152"/>
      <c r="L1091" s="1153"/>
      <c r="M1091" s="1152"/>
      <c r="N1091" s="1152"/>
      <c r="O1091" s="732">
        <f t="shared" si="133"/>
        <v>0</v>
      </c>
      <c r="P1091" s="1153"/>
      <c r="Q1091" s="1153"/>
      <c r="R1091" s="733">
        <f t="shared" si="136"/>
        <v>0</v>
      </c>
      <c r="S1091" s="732">
        <f t="shared" si="137"/>
        <v>0</v>
      </c>
      <c r="T1091" s="733">
        <f t="shared" si="138"/>
        <v>0</v>
      </c>
      <c r="U1091" s="1152"/>
      <c r="V1091" s="1153"/>
      <c r="W1091" s="1152"/>
      <c r="X1091" s="1152"/>
      <c r="Y1091" s="732">
        <f t="shared" si="134"/>
        <v>0</v>
      </c>
      <c r="Z1091" s="1153"/>
      <c r="AA1091" s="1153"/>
      <c r="AB1091" s="733">
        <f t="shared" si="135"/>
        <v>0</v>
      </c>
      <c r="AC1091" s="1152"/>
      <c r="AD1091" s="1153"/>
      <c r="AE1091" s="1152"/>
      <c r="AF1091" s="1152"/>
      <c r="AG1091" s="1153"/>
      <c r="AH1091" s="1153"/>
      <c r="AI1091" s="732">
        <f t="shared" si="139"/>
        <v>0</v>
      </c>
      <c r="AJ1091" s="733">
        <f t="shared" si="140"/>
        <v>0</v>
      </c>
    </row>
    <row r="1092" spans="1:36">
      <c r="A1092" s="746" t="s">
        <v>549</v>
      </c>
      <c r="B1092" s="738" t="s">
        <v>180</v>
      </c>
      <c r="C1092" s="752" t="s">
        <v>165</v>
      </c>
      <c r="D1092" s="751"/>
      <c r="E1092" s="741"/>
      <c r="F1092" s="741">
        <v>99</v>
      </c>
      <c r="G1092" s="1152"/>
      <c r="H1092" s="1153"/>
      <c r="I1092" s="1152"/>
      <c r="J1092" s="1153"/>
      <c r="K1092" s="1152"/>
      <c r="L1092" s="1153"/>
      <c r="M1092" s="1152"/>
      <c r="N1092" s="1152"/>
      <c r="O1092" s="732">
        <f t="shared" si="133"/>
        <v>0</v>
      </c>
      <c r="P1092" s="1153"/>
      <c r="Q1092" s="1153"/>
      <c r="R1092" s="733">
        <f t="shared" si="136"/>
        <v>0</v>
      </c>
      <c r="S1092" s="732">
        <f t="shared" si="137"/>
        <v>0</v>
      </c>
      <c r="T1092" s="733">
        <f t="shared" si="138"/>
        <v>0</v>
      </c>
      <c r="U1092" s="1152"/>
      <c r="V1092" s="1153"/>
      <c r="W1092" s="1152"/>
      <c r="X1092" s="1152"/>
      <c r="Y1092" s="732">
        <f t="shared" si="134"/>
        <v>0</v>
      </c>
      <c r="Z1092" s="1153"/>
      <c r="AA1092" s="1153"/>
      <c r="AB1092" s="733">
        <f t="shared" si="135"/>
        <v>0</v>
      </c>
      <c r="AC1092" s="1152"/>
      <c r="AD1092" s="1153"/>
      <c r="AE1092" s="1152"/>
      <c r="AF1092" s="1152"/>
      <c r="AG1092" s="1153"/>
      <c r="AH1092" s="1153"/>
      <c r="AI1092" s="732">
        <f t="shared" si="139"/>
        <v>0</v>
      </c>
      <c r="AJ1092" s="733">
        <f t="shared" si="140"/>
        <v>0</v>
      </c>
    </row>
    <row r="1093" spans="1:36">
      <c r="A1093" s="746" t="s">
        <v>549</v>
      </c>
      <c r="B1093" s="738" t="s">
        <v>178</v>
      </c>
      <c r="C1093" s="752" t="s">
        <v>587</v>
      </c>
      <c r="D1093" s="751"/>
      <c r="E1093" s="741"/>
      <c r="F1093" s="741">
        <v>99</v>
      </c>
      <c r="G1093" s="1152"/>
      <c r="H1093" s="1153"/>
      <c r="I1093" s="1152"/>
      <c r="J1093" s="1153"/>
      <c r="K1093" s="1152"/>
      <c r="L1093" s="1153"/>
      <c r="M1093" s="1152"/>
      <c r="N1093" s="1152"/>
      <c r="O1093" s="732">
        <f t="shared" si="133"/>
        <v>0</v>
      </c>
      <c r="P1093" s="1153"/>
      <c r="Q1093" s="1153"/>
      <c r="R1093" s="733">
        <f t="shared" si="136"/>
        <v>0</v>
      </c>
      <c r="S1093" s="732">
        <f t="shared" si="137"/>
        <v>0</v>
      </c>
      <c r="T1093" s="733">
        <f t="shared" si="138"/>
        <v>0</v>
      </c>
      <c r="U1093" s="1152"/>
      <c r="V1093" s="1153"/>
      <c r="W1093" s="1152"/>
      <c r="X1093" s="1152"/>
      <c r="Y1093" s="732">
        <f t="shared" si="134"/>
        <v>0</v>
      </c>
      <c r="Z1093" s="1153"/>
      <c r="AA1093" s="1153"/>
      <c r="AB1093" s="733">
        <f t="shared" si="135"/>
        <v>0</v>
      </c>
      <c r="AC1093" s="1152"/>
      <c r="AD1093" s="1153"/>
      <c r="AE1093" s="1152"/>
      <c r="AF1093" s="1152"/>
      <c r="AG1093" s="1153"/>
      <c r="AH1093" s="1153"/>
      <c r="AI1093" s="732">
        <f t="shared" si="139"/>
        <v>0</v>
      </c>
      <c r="AJ1093" s="733">
        <f t="shared" si="140"/>
        <v>0</v>
      </c>
    </row>
    <row r="1094" spans="1:36">
      <c r="A1094" s="746" t="s">
        <v>549</v>
      </c>
      <c r="B1094" s="738" t="s">
        <v>161</v>
      </c>
      <c r="C1094" s="752" t="s">
        <v>594</v>
      </c>
      <c r="D1094" s="751"/>
      <c r="E1094" s="741"/>
      <c r="F1094" s="741">
        <v>99</v>
      </c>
      <c r="G1094" s="1152"/>
      <c r="H1094" s="1153"/>
      <c r="I1094" s="1152"/>
      <c r="J1094" s="1153"/>
      <c r="K1094" s="1152"/>
      <c r="L1094" s="1153"/>
      <c r="M1094" s="1152"/>
      <c r="N1094" s="1152"/>
      <c r="O1094" s="732">
        <f t="shared" si="133"/>
        <v>0</v>
      </c>
      <c r="P1094" s="1153"/>
      <c r="Q1094" s="1153"/>
      <c r="R1094" s="733">
        <f t="shared" si="136"/>
        <v>0</v>
      </c>
      <c r="S1094" s="732">
        <f t="shared" si="137"/>
        <v>0</v>
      </c>
      <c r="T1094" s="733">
        <f t="shared" si="138"/>
        <v>0</v>
      </c>
      <c r="U1094" s="1152"/>
      <c r="V1094" s="1153"/>
      <c r="W1094" s="1152"/>
      <c r="X1094" s="1152"/>
      <c r="Y1094" s="732">
        <f t="shared" si="134"/>
        <v>0</v>
      </c>
      <c r="Z1094" s="1153"/>
      <c r="AA1094" s="1153"/>
      <c r="AB1094" s="733">
        <f t="shared" si="135"/>
        <v>0</v>
      </c>
      <c r="AC1094" s="1152"/>
      <c r="AD1094" s="1153"/>
      <c r="AE1094" s="1152"/>
      <c r="AF1094" s="1152"/>
      <c r="AG1094" s="1153"/>
      <c r="AH1094" s="1153"/>
      <c r="AI1094" s="732">
        <f t="shared" si="139"/>
        <v>0</v>
      </c>
      <c r="AJ1094" s="733">
        <f t="shared" si="140"/>
        <v>0</v>
      </c>
    </row>
    <row r="1095" spans="1:36">
      <c r="A1095" s="746" t="s">
        <v>549</v>
      </c>
      <c r="B1095" s="738" t="s">
        <v>164</v>
      </c>
      <c r="C1095" s="752" t="s">
        <v>165</v>
      </c>
      <c r="D1095" s="751"/>
      <c r="E1095" s="741"/>
      <c r="F1095" s="741">
        <v>99</v>
      </c>
      <c r="G1095" s="1152"/>
      <c r="H1095" s="1153"/>
      <c r="I1095" s="1152"/>
      <c r="J1095" s="1153"/>
      <c r="K1095" s="1152"/>
      <c r="L1095" s="1153"/>
      <c r="M1095" s="1152"/>
      <c r="N1095" s="1152"/>
      <c r="O1095" s="732">
        <f t="shared" si="133"/>
        <v>0</v>
      </c>
      <c r="P1095" s="1153"/>
      <c r="Q1095" s="1153"/>
      <c r="R1095" s="733">
        <f t="shared" si="136"/>
        <v>0</v>
      </c>
      <c r="S1095" s="732">
        <f t="shared" si="137"/>
        <v>0</v>
      </c>
      <c r="T1095" s="733">
        <f t="shared" si="138"/>
        <v>0</v>
      </c>
      <c r="U1095" s="1152"/>
      <c r="V1095" s="1153"/>
      <c r="W1095" s="1152"/>
      <c r="X1095" s="1152"/>
      <c r="Y1095" s="732">
        <f t="shared" si="134"/>
        <v>0</v>
      </c>
      <c r="Z1095" s="1153"/>
      <c r="AA1095" s="1153"/>
      <c r="AB1095" s="733">
        <f t="shared" si="135"/>
        <v>0</v>
      </c>
      <c r="AC1095" s="1152"/>
      <c r="AD1095" s="1153"/>
      <c r="AE1095" s="1152"/>
      <c r="AF1095" s="1152"/>
      <c r="AG1095" s="1153"/>
      <c r="AH1095" s="1153"/>
      <c r="AI1095" s="732">
        <f t="shared" si="139"/>
        <v>0</v>
      </c>
      <c r="AJ1095" s="733">
        <f t="shared" si="140"/>
        <v>0</v>
      </c>
    </row>
    <row r="1096" spans="1:36">
      <c r="A1096" s="746" t="s">
        <v>549</v>
      </c>
      <c r="B1096" s="738" t="s">
        <v>170</v>
      </c>
      <c r="C1096" s="752" t="s">
        <v>171</v>
      </c>
      <c r="D1096" s="751"/>
      <c r="E1096" s="741"/>
      <c r="F1096" s="741">
        <v>99</v>
      </c>
      <c r="G1096" s="1152"/>
      <c r="H1096" s="1153"/>
      <c r="I1096" s="1152"/>
      <c r="J1096" s="1153"/>
      <c r="K1096" s="1152"/>
      <c r="L1096" s="1153"/>
      <c r="M1096" s="1152"/>
      <c r="N1096" s="1152"/>
      <c r="O1096" s="732">
        <f t="shared" si="133"/>
        <v>0</v>
      </c>
      <c r="P1096" s="1153"/>
      <c r="Q1096" s="1153"/>
      <c r="R1096" s="733">
        <f t="shared" si="136"/>
        <v>0</v>
      </c>
      <c r="S1096" s="732">
        <f t="shared" si="137"/>
        <v>0</v>
      </c>
      <c r="T1096" s="733">
        <f t="shared" si="138"/>
        <v>0</v>
      </c>
      <c r="U1096" s="1152"/>
      <c r="V1096" s="1153"/>
      <c r="W1096" s="1152"/>
      <c r="X1096" s="1152"/>
      <c r="Y1096" s="732">
        <f t="shared" si="134"/>
        <v>0</v>
      </c>
      <c r="Z1096" s="1153"/>
      <c r="AA1096" s="1153"/>
      <c r="AB1096" s="733">
        <f t="shared" si="135"/>
        <v>0</v>
      </c>
      <c r="AC1096" s="1152"/>
      <c r="AD1096" s="1153"/>
      <c r="AE1096" s="1152"/>
      <c r="AF1096" s="1152"/>
      <c r="AG1096" s="1153"/>
      <c r="AH1096" s="1153"/>
      <c r="AI1096" s="732">
        <f t="shared" si="139"/>
        <v>0</v>
      </c>
      <c r="AJ1096" s="733">
        <f t="shared" si="140"/>
        <v>0</v>
      </c>
    </row>
    <row r="1097" spans="1:36">
      <c r="A1097" s="746" t="s">
        <v>549</v>
      </c>
      <c r="B1097" s="738" t="s">
        <v>172</v>
      </c>
      <c r="C1097" s="757" t="s">
        <v>165</v>
      </c>
      <c r="D1097" s="744"/>
      <c r="E1097" s="741"/>
      <c r="F1097" s="741">
        <v>99</v>
      </c>
      <c r="G1097" s="1152"/>
      <c r="H1097" s="1153"/>
      <c r="I1097" s="1152"/>
      <c r="J1097" s="1153"/>
      <c r="K1097" s="1152"/>
      <c r="L1097" s="1153"/>
      <c r="M1097" s="1152"/>
      <c r="N1097" s="1152"/>
      <c r="O1097" s="732">
        <f t="shared" si="133"/>
        <v>0</v>
      </c>
      <c r="P1097" s="1153"/>
      <c r="Q1097" s="1153"/>
      <c r="R1097" s="733">
        <f t="shared" si="136"/>
        <v>0</v>
      </c>
      <c r="S1097" s="732">
        <f t="shared" si="137"/>
        <v>0</v>
      </c>
      <c r="T1097" s="733">
        <f t="shared" si="138"/>
        <v>0</v>
      </c>
      <c r="U1097" s="1152"/>
      <c r="V1097" s="1153"/>
      <c r="W1097" s="1152"/>
      <c r="X1097" s="1152"/>
      <c r="Y1097" s="732">
        <f t="shared" si="134"/>
        <v>0</v>
      </c>
      <c r="Z1097" s="1153"/>
      <c r="AA1097" s="1153"/>
      <c r="AB1097" s="733">
        <f t="shared" si="135"/>
        <v>0</v>
      </c>
      <c r="AC1097" s="1152"/>
      <c r="AD1097" s="1153"/>
      <c r="AE1097" s="1152"/>
      <c r="AF1097" s="1152"/>
      <c r="AG1097" s="1153"/>
      <c r="AH1097" s="1153"/>
      <c r="AI1097" s="732">
        <f t="shared" si="139"/>
        <v>0</v>
      </c>
      <c r="AJ1097" s="733">
        <f t="shared" si="140"/>
        <v>0</v>
      </c>
    </row>
    <row r="1098" spans="1:36">
      <c r="A1098" s="746" t="s">
        <v>549</v>
      </c>
      <c r="B1098" s="738" t="s">
        <v>173</v>
      </c>
      <c r="C1098" s="752" t="s">
        <v>587</v>
      </c>
      <c r="D1098" s="751"/>
      <c r="E1098" s="741"/>
      <c r="F1098" s="741">
        <v>99</v>
      </c>
      <c r="G1098" s="1152"/>
      <c r="H1098" s="1153"/>
      <c r="I1098" s="1152"/>
      <c r="J1098" s="1153"/>
      <c r="K1098" s="1152"/>
      <c r="L1098" s="1153"/>
      <c r="M1098" s="1152"/>
      <c r="N1098" s="1152"/>
      <c r="O1098" s="732">
        <f t="shared" ref="O1098:O1161" si="141">SUM(M1098:N1098)</f>
        <v>0</v>
      </c>
      <c r="P1098" s="1153"/>
      <c r="Q1098" s="1153"/>
      <c r="R1098" s="733">
        <f t="shared" si="136"/>
        <v>0</v>
      </c>
      <c r="S1098" s="732">
        <f t="shared" si="137"/>
        <v>0</v>
      </c>
      <c r="T1098" s="733">
        <f t="shared" si="138"/>
        <v>0</v>
      </c>
      <c r="U1098" s="1152"/>
      <c r="V1098" s="1153"/>
      <c r="W1098" s="1152"/>
      <c r="X1098" s="1152"/>
      <c r="Y1098" s="732">
        <f t="shared" ref="Y1098:Y1161" si="142">SUM(W1098:X1098)</f>
        <v>0</v>
      </c>
      <c r="Z1098" s="1153"/>
      <c r="AA1098" s="1153"/>
      <c r="AB1098" s="733">
        <f t="shared" ref="AB1098:AB1161" si="143">SUM(Z1098:AA1098)</f>
        <v>0</v>
      </c>
      <c r="AC1098" s="1152"/>
      <c r="AD1098" s="1153"/>
      <c r="AE1098" s="1152"/>
      <c r="AF1098" s="1152"/>
      <c r="AG1098" s="1153"/>
      <c r="AH1098" s="1153"/>
      <c r="AI1098" s="732">
        <f t="shared" si="139"/>
        <v>0</v>
      </c>
      <c r="AJ1098" s="733">
        <f t="shared" si="140"/>
        <v>0</v>
      </c>
    </row>
    <row r="1099" spans="1:36">
      <c r="A1099" s="746" t="s">
        <v>549</v>
      </c>
      <c r="B1099" s="738" t="s">
        <v>176</v>
      </c>
      <c r="C1099" s="752" t="s">
        <v>177</v>
      </c>
      <c r="D1099" s="751"/>
      <c r="E1099" s="741"/>
      <c r="F1099" s="741">
        <v>99</v>
      </c>
      <c r="G1099" s="1152"/>
      <c r="H1099" s="1153"/>
      <c r="I1099" s="1152"/>
      <c r="J1099" s="1153"/>
      <c r="K1099" s="1152"/>
      <c r="L1099" s="1153"/>
      <c r="M1099" s="1152"/>
      <c r="N1099" s="1152"/>
      <c r="O1099" s="732">
        <f t="shared" si="141"/>
        <v>0</v>
      </c>
      <c r="P1099" s="1153"/>
      <c r="Q1099" s="1153"/>
      <c r="R1099" s="733">
        <f t="shared" ref="R1099:R1162" si="144">SUM(P1099:Q1099)</f>
        <v>0</v>
      </c>
      <c r="S1099" s="732">
        <f t="shared" ref="S1099:S1162" si="145">SUM(G1099,I1099,K1099,M1099)</f>
        <v>0</v>
      </c>
      <c r="T1099" s="733">
        <f t="shared" ref="T1099:T1162" si="146">SUM(H1099,J1099,L1099,P1099)</f>
        <v>0</v>
      </c>
      <c r="U1099" s="1152"/>
      <c r="V1099" s="1153"/>
      <c r="W1099" s="1152"/>
      <c r="X1099" s="1152"/>
      <c r="Y1099" s="732">
        <f t="shared" si="142"/>
        <v>0</v>
      </c>
      <c r="Z1099" s="1153"/>
      <c r="AA1099" s="1153"/>
      <c r="AB1099" s="733">
        <f t="shared" si="143"/>
        <v>0</v>
      </c>
      <c r="AC1099" s="1152"/>
      <c r="AD1099" s="1153"/>
      <c r="AE1099" s="1152"/>
      <c r="AF1099" s="1152"/>
      <c r="AG1099" s="1153"/>
      <c r="AH1099" s="1153"/>
      <c r="AI1099" s="732">
        <f t="shared" ref="AI1099:AI1162" si="147">SUM(S1099,U1099,W1099,AC1099,AE1099)</f>
        <v>0</v>
      </c>
      <c r="AJ1099" s="733">
        <f t="shared" ref="AJ1099:AJ1162" si="148">SUM(T1099,V1099,Z1099,AD1099,AG1099)</f>
        <v>0</v>
      </c>
    </row>
    <row r="1100" spans="1:36">
      <c r="A1100" s="746" t="s">
        <v>549</v>
      </c>
      <c r="B1100" s="738" t="s">
        <v>180</v>
      </c>
      <c r="C1100" s="752" t="s">
        <v>165</v>
      </c>
      <c r="D1100" s="751"/>
      <c r="E1100" s="741"/>
      <c r="F1100" s="741">
        <v>99</v>
      </c>
      <c r="G1100" s="1152"/>
      <c r="H1100" s="1153"/>
      <c r="I1100" s="1152"/>
      <c r="J1100" s="1153"/>
      <c r="K1100" s="1152"/>
      <c r="L1100" s="1153"/>
      <c r="M1100" s="1152"/>
      <c r="N1100" s="1152"/>
      <c r="O1100" s="732">
        <f t="shared" si="141"/>
        <v>0</v>
      </c>
      <c r="P1100" s="1153"/>
      <c r="Q1100" s="1153"/>
      <c r="R1100" s="733">
        <f t="shared" si="144"/>
        <v>0</v>
      </c>
      <c r="S1100" s="732">
        <f t="shared" si="145"/>
        <v>0</v>
      </c>
      <c r="T1100" s="733">
        <f t="shared" si="146"/>
        <v>0</v>
      </c>
      <c r="U1100" s="1152"/>
      <c r="V1100" s="1153"/>
      <c r="W1100" s="1152"/>
      <c r="X1100" s="1152"/>
      <c r="Y1100" s="732">
        <f t="shared" si="142"/>
        <v>0</v>
      </c>
      <c r="Z1100" s="1153"/>
      <c r="AA1100" s="1153"/>
      <c r="AB1100" s="733">
        <f t="shared" si="143"/>
        <v>0</v>
      </c>
      <c r="AC1100" s="1152"/>
      <c r="AD1100" s="1153"/>
      <c r="AE1100" s="1152"/>
      <c r="AF1100" s="1152"/>
      <c r="AG1100" s="1153"/>
      <c r="AH1100" s="1153"/>
      <c r="AI1100" s="732">
        <f t="shared" si="147"/>
        <v>0</v>
      </c>
      <c r="AJ1100" s="733">
        <f t="shared" si="148"/>
        <v>0</v>
      </c>
    </row>
    <row r="1101" spans="1:36">
      <c r="A1101" s="746" t="s">
        <v>549</v>
      </c>
      <c r="B1101" s="738" t="s">
        <v>178</v>
      </c>
      <c r="C1101" s="752" t="s">
        <v>587</v>
      </c>
      <c r="D1101" s="751"/>
      <c r="E1101" s="741"/>
      <c r="F1101" s="741">
        <v>99</v>
      </c>
      <c r="G1101" s="1152"/>
      <c r="H1101" s="1153"/>
      <c r="I1101" s="1152"/>
      <c r="J1101" s="1153"/>
      <c r="K1101" s="1152"/>
      <c r="L1101" s="1153"/>
      <c r="M1101" s="1152"/>
      <c r="N1101" s="1152"/>
      <c r="O1101" s="732">
        <f t="shared" si="141"/>
        <v>0</v>
      </c>
      <c r="P1101" s="1153"/>
      <c r="Q1101" s="1153"/>
      <c r="R1101" s="733">
        <f t="shared" si="144"/>
        <v>0</v>
      </c>
      <c r="S1101" s="732">
        <f t="shared" si="145"/>
        <v>0</v>
      </c>
      <c r="T1101" s="733">
        <f t="shared" si="146"/>
        <v>0</v>
      </c>
      <c r="U1101" s="1152"/>
      <c r="V1101" s="1153"/>
      <c r="W1101" s="1152"/>
      <c r="X1101" s="1152"/>
      <c r="Y1101" s="732">
        <f t="shared" si="142"/>
        <v>0</v>
      </c>
      <c r="Z1101" s="1153"/>
      <c r="AA1101" s="1153"/>
      <c r="AB1101" s="733">
        <f t="shared" si="143"/>
        <v>0</v>
      </c>
      <c r="AC1101" s="1152"/>
      <c r="AD1101" s="1153"/>
      <c r="AE1101" s="1152"/>
      <c r="AF1101" s="1152"/>
      <c r="AG1101" s="1153"/>
      <c r="AH1101" s="1153"/>
      <c r="AI1101" s="732">
        <f t="shared" si="147"/>
        <v>0</v>
      </c>
      <c r="AJ1101" s="733">
        <f t="shared" si="148"/>
        <v>0</v>
      </c>
    </row>
    <row r="1102" spans="1:36">
      <c r="A1102" s="746" t="s">
        <v>549</v>
      </c>
      <c r="B1102" s="738" t="s">
        <v>161</v>
      </c>
      <c r="C1102" s="757" t="s">
        <v>1447</v>
      </c>
      <c r="D1102" s="744"/>
      <c r="E1102" s="741"/>
      <c r="F1102" s="741">
        <v>99</v>
      </c>
      <c r="G1102" s="1152"/>
      <c r="H1102" s="1153"/>
      <c r="I1102" s="1152"/>
      <c r="J1102" s="1153"/>
      <c r="K1102" s="1152"/>
      <c r="L1102" s="1153"/>
      <c r="M1102" s="1152"/>
      <c r="N1102" s="1152"/>
      <c r="O1102" s="732">
        <f t="shared" si="141"/>
        <v>0</v>
      </c>
      <c r="P1102" s="1153"/>
      <c r="Q1102" s="1153"/>
      <c r="R1102" s="733">
        <f t="shared" si="144"/>
        <v>0</v>
      </c>
      <c r="S1102" s="732">
        <f t="shared" si="145"/>
        <v>0</v>
      </c>
      <c r="T1102" s="733">
        <f t="shared" si="146"/>
        <v>0</v>
      </c>
      <c r="U1102" s="1152"/>
      <c r="V1102" s="1153"/>
      <c r="W1102" s="1152"/>
      <c r="X1102" s="1152"/>
      <c r="Y1102" s="732">
        <f t="shared" si="142"/>
        <v>0</v>
      </c>
      <c r="Z1102" s="1153"/>
      <c r="AA1102" s="1153"/>
      <c r="AB1102" s="733">
        <f t="shared" si="143"/>
        <v>0</v>
      </c>
      <c r="AC1102" s="1152"/>
      <c r="AD1102" s="1153"/>
      <c r="AE1102" s="1152"/>
      <c r="AF1102" s="1152"/>
      <c r="AG1102" s="1153"/>
      <c r="AH1102" s="1153"/>
      <c r="AI1102" s="732">
        <f t="shared" si="147"/>
        <v>0</v>
      </c>
      <c r="AJ1102" s="733">
        <f t="shared" si="148"/>
        <v>0</v>
      </c>
    </row>
    <row r="1103" spans="1:36">
      <c r="A1103" s="746" t="s">
        <v>549</v>
      </c>
      <c r="B1103" s="738" t="s">
        <v>170</v>
      </c>
      <c r="C1103" s="752" t="s">
        <v>171</v>
      </c>
      <c r="D1103" s="751"/>
      <c r="E1103" s="741"/>
      <c r="F1103" s="741">
        <v>99</v>
      </c>
      <c r="G1103" s="1152"/>
      <c r="H1103" s="1153"/>
      <c r="I1103" s="1152"/>
      <c r="J1103" s="1153"/>
      <c r="K1103" s="1152"/>
      <c r="L1103" s="1153"/>
      <c r="M1103" s="1152"/>
      <c r="N1103" s="1152"/>
      <c r="O1103" s="732">
        <f t="shared" si="141"/>
        <v>0</v>
      </c>
      <c r="P1103" s="1153"/>
      <c r="Q1103" s="1153"/>
      <c r="R1103" s="733">
        <f t="shared" si="144"/>
        <v>0</v>
      </c>
      <c r="S1103" s="732">
        <f t="shared" si="145"/>
        <v>0</v>
      </c>
      <c r="T1103" s="733">
        <f t="shared" si="146"/>
        <v>0</v>
      </c>
      <c r="U1103" s="1152"/>
      <c r="V1103" s="1153"/>
      <c r="W1103" s="1152"/>
      <c r="X1103" s="1152"/>
      <c r="Y1103" s="732">
        <f t="shared" si="142"/>
        <v>0</v>
      </c>
      <c r="Z1103" s="1153"/>
      <c r="AA1103" s="1153"/>
      <c r="AB1103" s="733">
        <f t="shared" si="143"/>
        <v>0</v>
      </c>
      <c r="AC1103" s="1152"/>
      <c r="AD1103" s="1153"/>
      <c r="AE1103" s="1152"/>
      <c r="AF1103" s="1152"/>
      <c r="AG1103" s="1153"/>
      <c r="AH1103" s="1153"/>
      <c r="AI1103" s="732">
        <f t="shared" si="147"/>
        <v>0</v>
      </c>
      <c r="AJ1103" s="733">
        <f t="shared" si="148"/>
        <v>0</v>
      </c>
    </row>
    <row r="1104" spans="1:36">
      <c r="A1104" s="746" t="s">
        <v>549</v>
      </c>
      <c r="B1104" s="738" t="s">
        <v>172</v>
      </c>
      <c r="C1104" s="752" t="s">
        <v>165</v>
      </c>
      <c r="D1104" s="751"/>
      <c r="E1104" s="741"/>
      <c r="F1104" s="741">
        <v>99</v>
      </c>
      <c r="G1104" s="1152"/>
      <c r="H1104" s="1153"/>
      <c r="I1104" s="1152"/>
      <c r="J1104" s="1153"/>
      <c r="K1104" s="1152"/>
      <c r="L1104" s="1153"/>
      <c r="M1104" s="1152"/>
      <c r="N1104" s="1152"/>
      <c r="O1104" s="732">
        <f t="shared" si="141"/>
        <v>0</v>
      </c>
      <c r="P1104" s="1153"/>
      <c r="Q1104" s="1153"/>
      <c r="R1104" s="733">
        <f t="shared" si="144"/>
        <v>0</v>
      </c>
      <c r="S1104" s="732">
        <f t="shared" si="145"/>
        <v>0</v>
      </c>
      <c r="T1104" s="733">
        <f t="shared" si="146"/>
        <v>0</v>
      </c>
      <c r="U1104" s="1152"/>
      <c r="V1104" s="1153"/>
      <c r="W1104" s="1152"/>
      <c r="X1104" s="1152"/>
      <c r="Y1104" s="732">
        <f t="shared" si="142"/>
        <v>0</v>
      </c>
      <c r="Z1104" s="1153"/>
      <c r="AA1104" s="1153"/>
      <c r="AB1104" s="733">
        <f t="shared" si="143"/>
        <v>0</v>
      </c>
      <c r="AC1104" s="1152"/>
      <c r="AD1104" s="1153"/>
      <c r="AE1104" s="1152"/>
      <c r="AF1104" s="1152"/>
      <c r="AG1104" s="1153"/>
      <c r="AH1104" s="1153"/>
      <c r="AI1104" s="732">
        <f t="shared" si="147"/>
        <v>0</v>
      </c>
      <c r="AJ1104" s="733">
        <f t="shared" si="148"/>
        <v>0</v>
      </c>
    </row>
    <row r="1105" spans="1:36">
      <c r="A1105" s="746" t="s">
        <v>549</v>
      </c>
      <c r="B1105" s="738" t="s">
        <v>173</v>
      </c>
      <c r="C1105" s="752" t="s">
        <v>167</v>
      </c>
      <c r="D1105" s="751"/>
      <c r="E1105" s="741"/>
      <c r="F1105" s="741">
        <v>99</v>
      </c>
      <c r="G1105" s="1152"/>
      <c r="H1105" s="1153"/>
      <c r="I1105" s="1152"/>
      <c r="J1105" s="1153"/>
      <c r="K1105" s="1152"/>
      <c r="L1105" s="1153"/>
      <c r="M1105" s="1152"/>
      <c r="N1105" s="1152"/>
      <c r="O1105" s="732">
        <f t="shared" si="141"/>
        <v>0</v>
      </c>
      <c r="P1105" s="1153"/>
      <c r="Q1105" s="1153"/>
      <c r="R1105" s="733">
        <f t="shared" si="144"/>
        <v>0</v>
      </c>
      <c r="S1105" s="732">
        <f t="shared" si="145"/>
        <v>0</v>
      </c>
      <c r="T1105" s="733">
        <f t="shared" si="146"/>
        <v>0</v>
      </c>
      <c r="U1105" s="1152">
        <v>44280</v>
      </c>
      <c r="V1105" s="1154">
        <v>87000</v>
      </c>
      <c r="W1105" s="1152"/>
      <c r="X1105" s="1152"/>
      <c r="Y1105" s="732">
        <f t="shared" si="142"/>
        <v>0</v>
      </c>
      <c r="Z1105" s="1153"/>
      <c r="AA1105" s="1153"/>
      <c r="AB1105" s="733">
        <f t="shared" si="143"/>
        <v>0</v>
      </c>
      <c r="AC1105" s="1152"/>
      <c r="AD1105" s="1153"/>
      <c r="AE1105" s="1152"/>
      <c r="AF1105" s="1152"/>
      <c r="AG1105" s="1153"/>
      <c r="AH1105" s="1153"/>
      <c r="AI1105" s="732">
        <f t="shared" si="147"/>
        <v>44280</v>
      </c>
      <c r="AJ1105" s="733">
        <f t="shared" si="148"/>
        <v>87000</v>
      </c>
    </row>
    <row r="1106" spans="1:36">
      <c r="A1106" s="746" t="s">
        <v>549</v>
      </c>
      <c r="B1106" s="738" t="s">
        <v>176</v>
      </c>
      <c r="C1106" s="752" t="s">
        <v>177</v>
      </c>
      <c r="D1106" s="751"/>
      <c r="E1106" s="741"/>
      <c r="F1106" s="741">
        <v>99</v>
      </c>
      <c r="G1106" s="1152"/>
      <c r="H1106" s="1153"/>
      <c r="I1106" s="1152"/>
      <c r="J1106" s="1153"/>
      <c r="K1106" s="1152"/>
      <c r="L1106" s="1153"/>
      <c r="M1106" s="1152"/>
      <c r="N1106" s="1152"/>
      <c r="O1106" s="732">
        <f t="shared" si="141"/>
        <v>0</v>
      </c>
      <c r="P1106" s="1153"/>
      <c r="Q1106" s="1153"/>
      <c r="R1106" s="733">
        <f t="shared" si="144"/>
        <v>0</v>
      </c>
      <c r="S1106" s="732">
        <f t="shared" si="145"/>
        <v>0</v>
      </c>
      <c r="T1106" s="733">
        <f t="shared" si="146"/>
        <v>0</v>
      </c>
      <c r="U1106" s="1152"/>
      <c r="V1106" s="1153"/>
      <c r="W1106" s="1152"/>
      <c r="X1106" s="1152"/>
      <c r="Y1106" s="732">
        <f t="shared" si="142"/>
        <v>0</v>
      </c>
      <c r="Z1106" s="1153"/>
      <c r="AA1106" s="1153"/>
      <c r="AB1106" s="733">
        <f t="shared" si="143"/>
        <v>0</v>
      </c>
      <c r="AC1106" s="1152"/>
      <c r="AD1106" s="1153"/>
      <c r="AE1106" s="1152"/>
      <c r="AF1106" s="1152"/>
      <c r="AG1106" s="1153"/>
      <c r="AH1106" s="1153"/>
      <c r="AI1106" s="732">
        <f t="shared" si="147"/>
        <v>0</v>
      </c>
      <c r="AJ1106" s="733">
        <f t="shared" si="148"/>
        <v>0</v>
      </c>
    </row>
    <row r="1107" spans="1:36">
      <c r="A1107" s="746" t="s">
        <v>549</v>
      </c>
      <c r="B1107" s="738" t="s">
        <v>180</v>
      </c>
      <c r="C1107" s="752" t="s">
        <v>165</v>
      </c>
      <c r="D1107" s="751"/>
      <c r="E1107" s="741"/>
      <c r="F1107" s="741">
        <v>99</v>
      </c>
      <c r="G1107" s="1152"/>
      <c r="H1107" s="1153"/>
      <c r="I1107" s="1152"/>
      <c r="J1107" s="1153"/>
      <c r="K1107" s="1152"/>
      <c r="L1107" s="1153"/>
      <c r="M1107" s="1152"/>
      <c r="N1107" s="1152"/>
      <c r="O1107" s="732">
        <f t="shared" si="141"/>
        <v>0</v>
      </c>
      <c r="P1107" s="1153"/>
      <c r="Q1107" s="1153"/>
      <c r="R1107" s="733">
        <f t="shared" si="144"/>
        <v>0</v>
      </c>
      <c r="S1107" s="732">
        <f t="shared" si="145"/>
        <v>0</v>
      </c>
      <c r="T1107" s="733">
        <f t="shared" si="146"/>
        <v>0</v>
      </c>
      <c r="U1107" s="1152"/>
      <c r="V1107" s="1153"/>
      <c r="W1107" s="1152"/>
      <c r="X1107" s="1152"/>
      <c r="Y1107" s="732">
        <f t="shared" si="142"/>
        <v>0</v>
      </c>
      <c r="Z1107" s="1153"/>
      <c r="AA1107" s="1153"/>
      <c r="AB1107" s="733">
        <f t="shared" si="143"/>
        <v>0</v>
      </c>
      <c r="AC1107" s="1152"/>
      <c r="AD1107" s="1153"/>
      <c r="AE1107" s="1152"/>
      <c r="AF1107" s="1152"/>
      <c r="AG1107" s="1153"/>
      <c r="AH1107" s="1153"/>
      <c r="AI1107" s="732">
        <f t="shared" si="147"/>
        <v>0</v>
      </c>
      <c r="AJ1107" s="733">
        <f t="shared" si="148"/>
        <v>0</v>
      </c>
    </row>
    <row r="1108" spans="1:36">
      <c r="A1108" s="746" t="s">
        <v>549</v>
      </c>
      <c r="B1108" s="738" t="s">
        <v>178</v>
      </c>
      <c r="C1108" s="752" t="s">
        <v>167</v>
      </c>
      <c r="D1108" s="751"/>
      <c r="E1108" s="741"/>
      <c r="F1108" s="741">
        <v>99</v>
      </c>
      <c r="G1108" s="1152"/>
      <c r="H1108" s="1153"/>
      <c r="I1108" s="1152"/>
      <c r="J1108" s="1153"/>
      <c r="K1108" s="1152"/>
      <c r="L1108" s="1153"/>
      <c r="M1108" s="1152"/>
      <c r="N1108" s="1152"/>
      <c r="O1108" s="732">
        <f t="shared" si="141"/>
        <v>0</v>
      </c>
      <c r="P1108" s="1153"/>
      <c r="Q1108" s="1153"/>
      <c r="R1108" s="733">
        <f t="shared" si="144"/>
        <v>0</v>
      </c>
      <c r="S1108" s="732">
        <f t="shared" si="145"/>
        <v>0</v>
      </c>
      <c r="T1108" s="733">
        <f t="shared" si="146"/>
        <v>0</v>
      </c>
      <c r="U1108" s="1152">
        <v>21816</v>
      </c>
      <c r="V1108" s="1153">
        <v>21000</v>
      </c>
      <c r="W1108" s="1152"/>
      <c r="X1108" s="1152"/>
      <c r="Y1108" s="732">
        <f t="shared" si="142"/>
        <v>0</v>
      </c>
      <c r="Z1108" s="1153"/>
      <c r="AA1108" s="1153"/>
      <c r="AB1108" s="733">
        <f t="shared" si="143"/>
        <v>0</v>
      </c>
      <c r="AC1108" s="1152"/>
      <c r="AD1108" s="1153"/>
      <c r="AE1108" s="1152"/>
      <c r="AF1108" s="1152"/>
      <c r="AG1108" s="1153"/>
      <c r="AH1108" s="1153"/>
      <c r="AI1108" s="732">
        <f t="shared" si="147"/>
        <v>21816</v>
      </c>
      <c r="AJ1108" s="733">
        <f t="shared" si="148"/>
        <v>21000</v>
      </c>
    </row>
    <row r="1109" spans="1:36">
      <c r="A1109" s="746" t="s">
        <v>549</v>
      </c>
      <c r="B1109" s="738" t="s">
        <v>191</v>
      </c>
      <c r="C1109" s="757" t="s">
        <v>1448</v>
      </c>
      <c r="D1109" s="744"/>
      <c r="E1109" s="741"/>
      <c r="F1109" s="741">
        <v>99</v>
      </c>
      <c r="G1109" s="1152"/>
      <c r="H1109" s="1153"/>
      <c r="I1109" s="1152"/>
      <c r="J1109" s="1153"/>
      <c r="K1109" s="1152"/>
      <c r="L1109" s="1153"/>
      <c r="M1109" s="1152"/>
      <c r="N1109" s="1152"/>
      <c r="O1109" s="732">
        <f t="shared" si="141"/>
        <v>0</v>
      </c>
      <c r="P1109" s="1153"/>
      <c r="Q1109" s="1153"/>
      <c r="R1109" s="733">
        <f t="shared" si="144"/>
        <v>0</v>
      </c>
      <c r="S1109" s="732">
        <f t="shared" si="145"/>
        <v>0</v>
      </c>
      <c r="T1109" s="733">
        <f t="shared" si="146"/>
        <v>0</v>
      </c>
      <c r="U1109" s="1152"/>
      <c r="V1109" s="1153"/>
      <c r="W1109" s="1152"/>
      <c r="X1109" s="1152"/>
      <c r="Y1109" s="732">
        <f t="shared" si="142"/>
        <v>0</v>
      </c>
      <c r="Z1109" s="1153"/>
      <c r="AA1109" s="1153"/>
      <c r="AB1109" s="733">
        <f t="shared" si="143"/>
        <v>0</v>
      </c>
      <c r="AC1109" s="1152"/>
      <c r="AD1109" s="1153"/>
      <c r="AE1109" s="1152"/>
      <c r="AF1109" s="1152"/>
      <c r="AG1109" s="1153"/>
      <c r="AH1109" s="1153"/>
      <c r="AI1109" s="732">
        <f t="shared" si="147"/>
        <v>0</v>
      </c>
      <c r="AJ1109" s="733">
        <f t="shared" si="148"/>
        <v>0</v>
      </c>
    </row>
    <row r="1110" spans="1:36">
      <c r="A1110" s="746" t="s">
        <v>549</v>
      </c>
      <c r="B1110" s="738" t="s">
        <v>170</v>
      </c>
      <c r="C1110" s="752" t="s">
        <v>171</v>
      </c>
      <c r="D1110" s="751"/>
      <c r="E1110" s="741"/>
      <c r="F1110" s="741">
        <v>99</v>
      </c>
      <c r="G1110" s="1152"/>
      <c r="H1110" s="1153"/>
      <c r="I1110" s="1152"/>
      <c r="J1110" s="1153"/>
      <c r="K1110" s="1152"/>
      <c r="L1110" s="1153"/>
      <c r="M1110" s="1152"/>
      <c r="N1110" s="1152"/>
      <c r="O1110" s="732">
        <f t="shared" si="141"/>
        <v>0</v>
      </c>
      <c r="P1110" s="1153"/>
      <c r="Q1110" s="1153"/>
      <c r="R1110" s="733">
        <f t="shared" si="144"/>
        <v>0</v>
      </c>
      <c r="S1110" s="732">
        <f t="shared" si="145"/>
        <v>0</v>
      </c>
      <c r="T1110" s="733">
        <f t="shared" si="146"/>
        <v>0</v>
      </c>
      <c r="U1110" s="1152"/>
      <c r="V1110" s="1153"/>
      <c r="W1110" s="1152"/>
      <c r="X1110" s="1152"/>
      <c r="Y1110" s="732">
        <f t="shared" si="142"/>
        <v>0</v>
      </c>
      <c r="Z1110" s="1153"/>
      <c r="AA1110" s="1153"/>
      <c r="AB1110" s="733">
        <f t="shared" si="143"/>
        <v>0</v>
      </c>
      <c r="AC1110" s="1152"/>
      <c r="AD1110" s="1153"/>
      <c r="AE1110" s="1152"/>
      <c r="AF1110" s="1152"/>
      <c r="AG1110" s="1153"/>
      <c r="AH1110" s="1153"/>
      <c r="AI1110" s="732">
        <f t="shared" si="147"/>
        <v>0</v>
      </c>
      <c r="AJ1110" s="733">
        <f t="shared" si="148"/>
        <v>0</v>
      </c>
    </row>
    <row r="1111" spans="1:36">
      <c r="A1111" s="746" t="s">
        <v>549</v>
      </c>
      <c r="B1111" s="738" t="s">
        <v>172</v>
      </c>
      <c r="C1111" s="752" t="s">
        <v>165</v>
      </c>
      <c r="D1111" s="751"/>
      <c r="E1111" s="741"/>
      <c r="F1111" s="741">
        <v>99</v>
      </c>
      <c r="G1111" s="1152"/>
      <c r="H1111" s="1153"/>
      <c r="I1111" s="1152"/>
      <c r="J1111" s="1153"/>
      <c r="K1111" s="1152"/>
      <c r="L1111" s="1153"/>
      <c r="M1111" s="1152"/>
      <c r="N1111" s="1152"/>
      <c r="O1111" s="732">
        <f t="shared" si="141"/>
        <v>0</v>
      </c>
      <c r="P1111" s="1153"/>
      <c r="Q1111" s="1153"/>
      <c r="R1111" s="733">
        <f t="shared" si="144"/>
        <v>0</v>
      </c>
      <c r="S1111" s="732">
        <f t="shared" si="145"/>
        <v>0</v>
      </c>
      <c r="T1111" s="733">
        <f t="shared" si="146"/>
        <v>0</v>
      </c>
      <c r="U1111" s="1152"/>
      <c r="V1111" s="1153"/>
      <c r="W1111" s="1152"/>
      <c r="X1111" s="1152"/>
      <c r="Y1111" s="732">
        <f t="shared" si="142"/>
        <v>0</v>
      </c>
      <c r="Z1111" s="1153"/>
      <c r="AA1111" s="1153"/>
      <c r="AB1111" s="733">
        <f t="shared" si="143"/>
        <v>0</v>
      </c>
      <c r="AC1111" s="1152"/>
      <c r="AD1111" s="1153"/>
      <c r="AE1111" s="1152"/>
      <c r="AF1111" s="1152"/>
      <c r="AG1111" s="1153"/>
      <c r="AH1111" s="1153"/>
      <c r="AI1111" s="732">
        <f t="shared" si="147"/>
        <v>0</v>
      </c>
      <c r="AJ1111" s="733">
        <f t="shared" si="148"/>
        <v>0</v>
      </c>
    </row>
    <row r="1112" spans="1:36">
      <c r="A1112" s="746" t="s">
        <v>549</v>
      </c>
      <c r="B1112" s="738" t="s">
        <v>191</v>
      </c>
      <c r="C1112" s="752" t="s">
        <v>167</v>
      </c>
      <c r="D1112" s="751"/>
      <c r="E1112" s="741"/>
      <c r="F1112" s="741">
        <v>99</v>
      </c>
      <c r="G1112" s="1152"/>
      <c r="H1112" s="1153"/>
      <c r="I1112" s="1152"/>
      <c r="J1112" s="1153"/>
      <c r="K1112" s="1152"/>
      <c r="L1112" s="1153"/>
      <c r="M1112" s="1152"/>
      <c r="N1112" s="1152"/>
      <c r="O1112" s="732">
        <f t="shared" si="141"/>
        <v>0</v>
      </c>
      <c r="P1112" s="1153"/>
      <c r="Q1112" s="1153"/>
      <c r="R1112" s="733">
        <f t="shared" si="144"/>
        <v>0</v>
      </c>
      <c r="S1112" s="732">
        <f t="shared" si="145"/>
        <v>0</v>
      </c>
      <c r="T1112" s="733">
        <f t="shared" si="146"/>
        <v>0</v>
      </c>
      <c r="U1112" s="1152">
        <v>450000</v>
      </c>
      <c r="V1112" s="1153">
        <v>584762</v>
      </c>
      <c r="W1112" s="1152"/>
      <c r="X1112" s="1152"/>
      <c r="Y1112" s="732">
        <f t="shared" si="142"/>
        <v>0</v>
      </c>
      <c r="Z1112" s="1153"/>
      <c r="AA1112" s="1153"/>
      <c r="AB1112" s="733">
        <f t="shared" si="143"/>
        <v>0</v>
      </c>
      <c r="AC1112" s="1152"/>
      <c r="AD1112" s="1153"/>
      <c r="AE1112" s="1152"/>
      <c r="AF1112" s="1152"/>
      <c r="AG1112" s="1153"/>
      <c r="AH1112" s="1153"/>
      <c r="AI1112" s="732">
        <f t="shared" si="147"/>
        <v>450000</v>
      </c>
      <c r="AJ1112" s="733">
        <f t="shared" si="148"/>
        <v>584762</v>
      </c>
    </row>
    <row r="1113" spans="1:36">
      <c r="A1113" s="746" t="s">
        <v>549</v>
      </c>
      <c r="B1113" s="738" t="s">
        <v>176</v>
      </c>
      <c r="C1113" s="752" t="s">
        <v>177</v>
      </c>
      <c r="D1113" s="751"/>
      <c r="E1113" s="741"/>
      <c r="F1113" s="741">
        <v>99</v>
      </c>
      <c r="G1113" s="1152"/>
      <c r="H1113" s="1153"/>
      <c r="I1113" s="1152"/>
      <c r="J1113" s="1153"/>
      <c r="K1113" s="1152"/>
      <c r="L1113" s="1153"/>
      <c r="M1113" s="1152"/>
      <c r="N1113" s="1152"/>
      <c r="O1113" s="732">
        <f t="shared" si="141"/>
        <v>0</v>
      </c>
      <c r="P1113" s="1153"/>
      <c r="Q1113" s="1153"/>
      <c r="R1113" s="733">
        <f t="shared" si="144"/>
        <v>0</v>
      </c>
      <c r="S1113" s="732">
        <f t="shared" si="145"/>
        <v>0</v>
      </c>
      <c r="T1113" s="733">
        <f t="shared" si="146"/>
        <v>0</v>
      </c>
      <c r="U1113" s="1152"/>
      <c r="V1113" s="1153"/>
      <c r="W1113" s="1152"/>
      <c r="X1113" s="1152"/>
      <c r="Y1113" s="732">
        <f t="shared" si="142"/>
        <v>0</v>
      </c>
      <c r="Z1113" s="1153"/>
      <c r="AA1113" s="1153"/>
      <c r="AB1113" s="733">
        <f t="shared" si="143"/>
        <v>0</v>
      </c>
      <c r="AC1113" s="1152"/>
      <c r="AD1113" s="1153"/>
      <c r="AE1113" s="1152"/>
      <c r="AF1113" s="1152"/>
      <c r="AG1113" s="1153"/>
      <c r="AH1113" s="1153"/>
      <c r="AI1113" s="732">
        <f t="shared" si="147"/>
        <v>0</v>
      </c>
      <c r="AJ1113" s="733">
        <f t="shared" si="148"/>
        <v>0</v>
      </c>
    </row>
    <row r="1114" spans="1:36">
      <c r="A1114" s="746" t="s">
        <v>549</v>
      </c>
      <c r="B1114" s="738" t="s">
        <v>180</v>
      </c>
      <c r="C1114" s="752" t="s">
        <v>165</v>
      </c>
      <c r="D1114" s="751"/>
      <c r="E1114" s="741"/>
      <c r="F1114" s="741">
        <v>99</v>
      </c>
      <c r="G1114" s="1152"/>
      <c r="H1114" s="1153"/>
      <c r="I1114" s="1152"/>
      <c r="J1114" s="1153"/>
      <c r="K1114" s="1152"/>
      <c r="L1114" s="1153"/>
      <c r="M1114" s="1152"/>
      <c r="N1114" s="1152"/>
      <c r="O1114" s="732">
        <f t="shared" si="141"/>
        <v>0</v>
      </c>
      <c r="P1114" s="1153"/>
      <c r="Q1114" s="1153"/>
      <c r="R1114" s="733">
        <f t="shared" si="144"/>
        <v>0</v>
      </c>
      <c r="S1114" s="732">
        <f t="shared" si="145"/>
        <v>0</v>
      </c>
      <c r="T1114" s="733">
        <f t="shared" si="146"/>
        <v>0</v>
      </c>
      <c r="U1114" s="1152"/>
      <c r="V1114" s="1153"/>
      <c r="W1114" s="1152"/>
      <c r="X1114" s="1152"/>
      <c r="Y1114" s="732">
        <f t="shared" si="142"/>
        <v>0</v>
      </c>
      <c r="Z1114" s="1153"/>
      <c r="AA1114" s="1153"/>
      <c r="AB1114" s="733">
        <f t="shared" si="143"/>
        <v>0</v>
      </c>
      <c r="AC1114" s="1152"/>
      <c r="AD1114" s="1153"/>
      <c r="AE1114" s="1152"/>
      <c r="AF1114" s="1152"/>
      <c r="AG1114" s="1153"/>
      <c r="AH1114" s="1153"/>
      <c r="AI1114" s="732">
        <f t="shared" si="147"/>
        <v>0</v>
      </c>
      <c r="AJ1114" s="733">
        <f t="shared" si="148"/>
        <v>0</v>
      </c>
    </row>
    <row r="1115" spans="1:36">
      <c r="A1115" s="746" t="s">
        <v>549</v>
      </c>
      <c r="B1115" s="738" t="s">
        <v>166</v>
      </c>
      <c r="C1115" s="752" t="s">
        <v>167</v>
      </c>
      <c r="D1115" s="751"/>
      <c r="E1115" s="741"/>
      <c r="F1115" s="741">
        <v>99</v>
      </c>
      <c r="G1115" s="1152"/>
      <c r="H1115" s="1153"/>
      <c r="I1115" s="1152"/>
      <c r="J1115" s="1153"/>
      <c r="K1115" s="1152"/>
      <c r="L1115" s="1153"/>
      <c r="M1115" s="1152"/>
      <c r="N1115" s="1152"/>
      <c r="O1115" s="732">
        <f t="shared" si="141"/>
        <v>0</v>
      </c>
      <c r="P1115" s="1153"/>
      <c r="Q1115" s="1153"/>
      <c r="R1115" s="733">
        <f t="shared" si="144"/>
        <v>0</v>
      </c>
      <c r="S1115" s="732">
        <f t="shared" si="145"/>
        <v>0</v>
      </c>
      <c r="T1115" s="733">
        <f t="shared" si="146"/>
        <v>0</v>
      </c>
      <c r="U1115" s="1152"/>
      <c r="V1115" s="1153"/>
      <c r="W1115" s="1152"/>
      <c r="X1115" s="1152"/>
      <c r="Y1115" s="732">
        <f t="shared" si="142"/>
        <v>0</v>
      </c>
      <c r="Z1115" s="1153"/>
      <c r="AA1115" s="1153"/>
      <c r="AB1115" s="733">
        <f t="shared" si="143"/>
        <v>0</v>
      </c>
      <c r="AC1115" s="1152"/>
      <c r="AD1115" s="1153"/>
      <c r="AE1115" s="1152"/>
      <c r="AF1115" s="1152"/>
      <c r="AG1115" s="1153"/>
      <c r="AH1115" s="1153"/>
      <c r="AI1115" s="732">
        <f t="shared" si="147"/>
        <v>0</v>
      </c>
      <c r="AJ1115" s="733">
        <f t="shared" si="148"/>
        <v>0</v>
      </c>
    </row>
    <row r="1116" spans="1:36">
      <c r="A1116" s="746" t="s">
        <v>549</v>
      </c>
      <c r="B1116" s="738" t="s">
        <v>161</v>
      </c>
      <c r="C1116" s="757" t="s">
        <v>1449</v>
      </c>
      <c r="D1116" s="744"/>
      <c r="E1116" s="741"/>
      <c r="F1116" s="741">
        <v>99</v>
      </c>
      <c r="G1116" s="1152"/>
      <c r="H1116" s="1153"/>
      <c r="I1116" s="1152"/>
      <c r="J1116" s="1153"/>
      <c r="K1116" s="1152"/>
      <c r="L1116" s="1153"/>
      <c r="M1116" s="1152"/>
      <c r="N1116" s="1152"/>
      <c r="O1116" s="732">
        <f t="shared" si="141"/>
        <v>0</v>
      </c>
      <c r="P1116" s="1153"/>
      <c r="Q1116" s="1153"/>
      <c r="R1116" s="733">
        <f t="shared" si="144"/>
        <v>0</v>
      </c>
      <c r="S1116" s="732">
        <f t="shared" si="145"/>
        <v>0</v>
      </c>
      <c r="T1116" s="733">
        <f t="shared" si="146"/>
        <v>0</v>
      </c>
      <c r="U1116" s="1152"/>
      <c r="V1116" s="1153"/>
      <c r="W1116" s="1152"/>
      <c r="X1116" s="1152"/>
      <c r="Y1116" s="732">
        <f t="shared" si="142"/>
        <v>0</v>
      </c>
      <c r="Z1116" s="1153"/>
      <c r="AA1116" s="1153"/>
      <c r="AB1116" s="733">
        <f t="shared" si="143"/>
        <v>0</v>
      </c>
      <c r="AC1116" s="1152"/>
      <c r="AD1116" s="1153"/>
      <c r="AE1116" s="1152"/>
      <c r="AF1116" s="1152"/>
      <c r="AG1116" s="1153"/>
      <c r="AH1116" s="1153"/>
      <c r="AI1116" s="732">
        <f t="shared" si="147"/>
        <v>0</v>
      </c>
      <c r="AJ1116" s="733">
        <f t="shared" si="148"/>
        <v>0</v>
      </c>
    </row>
    <row r="1117" spans="1:36">
      <c r="A1117" s="746" t="s">
        <v>549</v>
      </c>
      <c r="B1117" s="738" t="s">
        <v>170</v>
      </c>
      <c r="C1117" s="752" t="s">
        <v>171</v>
      </c>
      <c r="D1117" s="751"/>
      <c r="E1117" s="741"/>
      <c r="F1117" s="741">
        <v>99</v>
      </c>
      <c r="G1117" s="1152"/>
      <c r="H1117" s="1153"/>
      <c r="I1117" s="1152"/>
      <c r="J1117" s="1153"/>
      <c r="K1117" s="1152"/>
      <c r="L1117" s="1153"/>
      <c r="M1117" s="1152"/>
      <c r="N1117" s="1152"/>
      <c r="O1117" s="732">
        <f t="shared" si="141"/>
        <v>0</v>
      </c>
      <c r="P1117" s="1153"/>
      <c r="Q1117" s="1153"/>
      <c r="R1117" s="733">
        <f t="shared" si="144"/>
        <v>0</v>
      </c>
      <c r="S1117" s="732">
        <f t="shared" si="145"/>
        <v>0</v>
      </c>
      <c r="T1117" s="733">
        <f t="shared" si="146"/>
        <v>0</v>
      </c>
      <c r="U1117" s="1152"/>
      <c r="V1117" s="1153"/>
      <c r="W1117" s="1152"/>
      <c r="X1117" s="1152"/>
      <c r="Y1117" s="732">
        <f t="shared" si="142"/>
        <v>0</v>
      </c>
      <c r="Z1117" s="1153"/>
      <c r="AA1117" s="1153"/>
      <c r="AB1117" s="733">
        <f t="shared" si="143"/>
        <v>0</v>
      </c>
      <c r="AC1117" s="1152"/>
      <c r="AD1117" s="1153"/>
      <c r="AE1117" s="1152"/>
      <c r="AF1117" s="1152"/>
      <c r="AG1117" s="1153"/>
      <c r="AH1117" s="1153"/>
      <c r="AI1117" s="732">
        <f t="shared" si="147"/>
        <v>0</v>
      </c>
      <c r="AJ1117" s="733">
        <f t="shared" si="148"/>
        <v>0</v>
      </c>
    </row>
    <row r="1118" spans="1:36">
      <c r="A1118" s="746" t="s">
        <v>549</v>
      </c>
      <c r="B1118" s="738" t="s">
        <v>172</v>
      </c>
      <c r="C1118" s="752" t="s">
        <v>165</v>
      </c>
      <c r="D1118" s="751"/>
      <c r="E1118" s="741"/>
      <c r="F1118" s="741">
        <v>99</v>
      </c>
      <c r="G1118" s="1152"/>
      <c r="H1118" s="1153"/>
      <c r="I1118" s="1152"/>
      <c r="J1118" s="1153"/>
      <c r="K1118" s="1152"/>
      <c r="L1118" s="1153"/>
      <c r="M1118" s="1152"/>
      <c r="N1118" s="1152"/>
      <c r="O1118" s="732">
        <f t="shared" si="141"/>
        <v>0</v>
      </c>
      <c r="P1118" s="1153"/>
      <c r="Q1118" s="1153"/>
      <c r="R1118" s="733">
        <f t="shared" si="144"/>
        <v>0</v>
      </c>
      <c r="S1118" s="732">
        <f t="shared" si="145"/>
        <v>0</v>
      </c>
      <c r="T1118" s="733">
        <f t="shared" si="146"/>
        <v>0</v>
      </c>
      <c r="U1118" s="1152"/>
      <c r="V1118" s="1153"/>
      <c r="W1118" s="1152"/>
      <c r="X1118" s="1152"/>
      <c r="Y1118" s="732">
        <f t="shared" si="142"/>
        <v>0</v>
      </c>
      <c r="Z1118" s="1153"/>
      <c r="AA1118" s="1153"/>
      <c r="AB1118" s="733">
        <f t="shared" si="143"/>
        <v>0</v>
      </c>
      <c r="AC1118" s="1152"/>
      <c r="AD1118" s="1153"/>
      <c r="AE1118" s="1152"/>
      <c r="AF1118" s="1152"/>
      <c r="AG1118" s="1153"/>
      <c r="AH1118" s="1153"/>
      <c r="AI1118" s="732">
        <f t="shared" si="147"/>
        <v>0</v>
      </c>
      <c r="AJ1118" s="733">
        <f t="shared" si="148"/>
        <v>0</v>
      </c>
    </row>
    <row r="1119" spans="1:36">
      <c r="A1119" s="746" t="s">
        <v>549</v>
      </c>
      <c r="B1119" s="738" t="s">
        <v>166</v>
      </c>
      <c r="C1119" s="752" t="s">
        <v>167</v>
      </c>
      <c r="D1119" s="751"/>
      <c r="E1119" s="741"/>
      <c r="F1119" s="741">
        <v>99</v>
      </c>
      <c r="G1119" s="1152"/>
      <c r="H1119" s="1153"/>
      <c r="I1119" s="1152"/>
      <c r="J1119" s="1153"/>
      <c r="K1119" s="1152"/>
      <c r="L1119" s="1153"/>
      <c r="M1119" s="1152"/>
      <c r="N1119" s="1152"/>
      <c r="O1119" s="732">
        <f t="shared" si="141"/>
        <v>0</v>
      </c>
      <c r="P1119" s="1153"/>
      <c r="Q1119" s="1153"/>
      <c r="R1119" s="733">
        <f t="shared" si="144"/>
        <v>0</v>
      </c>
      <c r="S1119" s="732">
        <f t="shared" si="145"/>
        <v>0</v>
      </c>
      <c r="T1119" s="733">
        <f t="shared" si="146"/>
        <v>0</v>
      </c>
      <c r="U1119" s="1152">
        <v>820798</v>
      </c>
      <c r="V1119" s="1155">
        <v>1751705</v>
      </c>
      <c r="W1119" s="1152"/>
      <c r="X1119" s="1152"/>
      <c r="Y1119" s="732">
        <f t="shared" si="142"/>
        <v>0</v>
      </c>
      <c r="Z1119" s="1153"/>
      <c r="AA1119" s="1153"/>
      <c r="AB1119" s="733">
        <f t="shared" si="143"/>
        <v>0</v>
      </c>
      <c r="AC1119" s="1152"/>
      <c r="AD1119" s="1153"/>
      <c r="AE1119" s="1152"/>
      <c r="AF1119" s="1152"/>
      <c r="AG1119" s="1153"/>
      <c r="AH1119" s="1153"/>
      <c r="AI1119" s="732">
        <f t="shared" si="147"/>
        <v>820798</v>
      </c>
      <c r="AJ1119" s="733">
        <f t="shared" si="148"/>
        <v>1751705</v>
      </c>
    </row>
    <row r="1120" spans="1:36">
      <c r="A1120" s="746" t="s">
        <v>549</v>
      </c>
      <c r="B1120" s="738" t="s">
        <v>176</v>
      </c>
      <c r="C1120" s="752" t="s">
        <v>177</v>
      </c>
      <c r="D1120" s="751"/>
      <c r="E1120" s="741"/>
      <c r="F1120" s="741">
        <v>99</v>
      </c>
      <c r="G1120" s="1152"/>
      <c r="H1120" s="1153"/>
      <c r="I1120" s="1152"/>
      <c r="J1120" s="1153"/>
      <c r="K1120" s="1152"/>
      <c r="L1120" s="1153"/>
      <c r="M1120" s="1152"/>
      <c r="N1120" s="1152"/>
      <c r="O1120" s="732">
        <f t="shared" si="141"/>
        <v>0</v>
      </c>
      <c r="P1120" s="1153"/>
      <c r="Q1120" s="1153"/>
      <c r="R1120" s="733">
        <f t="shared" si="144"/>
        <v>0</v>
      </c>
      <c r="S1120" s="732">
        <f t="shared" si="145"/>
        <v>0</v>
      </c>
      <c r="T1120" s="733">
        <f t="shared" si="146"/>
        <v>0</v>
      </c>
      <c r="U1120" s="1152"/>
      <c r="V1120" s="1153"/>
      <c r="W1120" s="1152"/>
      <c r="X1120" s="1152"/>
      <c r="Y1120" s="732">
        <f t="shared" si="142"/>
        <v>0</v>
      </c>
      <c r="Z1120" s="1153"/>
      <c r="AA1120" s="1153"/>
      <c r="AB1120" s="733">
        <f t="shared" si="143"/>
        <v>0</v>
      </c>
      <c r="AC1120" s="1152"/>
      <c r="AD1120" s="1153"/>
      <c r="AE1120" s="1152"/>
      <c r="AF1120" s="1152"/>
      <c r="AG1120" s="1153"/>
      <c r="AH1120" s="1153"/>
      <c r="AI1120" s="732">
        <f t="shared" si="147"/>
        <v>0</v>
      </c>
      <c r="AJ1120" s="733">
        <f t="shared" si="148"/>
        <v>0</v>
      </c>
    </row>
    <row r="1121" spans="1:36">
      <c r="A1121" s="746" t="s">
        <v>549</v>
      </c>
      <c r="B1121" s="738" t="s">
        <v>180</v>
      </c>
      <c r="C1121" s="752" t="s">
        <v>165</v>
      </c>
      <c r="D1121" s="751"/>
      <c r="E1121" s="741"/>
      <c r="F1121" s="741">
        <v>99</v>
      </c>
      <c r="G1121" s="1152"/>
      <c r="H1121" s="1153"/>
      <c r="I1121" s="1152"/>
      <c r="J1121" s="1153"/>
      <c r="K1121" s="1152"/>
      <c r="L1121" s="1153"/>
      <c r="M1121" s="1152"/>
      <c r="N1121" s="1152"/>
      <c r="O1121" s="732">
        <f t="shared" si="141"/>
        <v>0</v>
      </c>
      <c r="P1121" s="1153"/>
      <c r="Q1121" s="1153"/>
      <c r="R1121" s="733">
        <f t="shared" si="144"/>
        <v>0</v>
      </c>
      <c r="S1121" s="732">
        <f t="shared" si="145"/>
        <v>0</v>
      </c>
      <c r="T1121" s="733">
        <f t="shared" si="146"/>
        <v>0</v>
      </c>
      <c r="U1121" s="1152"/>
      <c r="V1121" s="1153"/>
      <c r="W1121" s="1152"/>
      <c r="X1121" s="1152"/>
      <c r="Y1121" s="732">
        <f t="shared" si="142"/>
        <v>0</v>
      </c>
      <c r="Z1121" s="1153"/>
      <c r="AA1121" s="1153"/>
      <c r="AB1121" s="733">
        <f t="shared" si="143"/>
        <v>0</v>
      </c>
      <c r="AC1121" s="1152"/>
      <c r="AD1121" s="1153"/>
      <c r="AE1121" s="1152"/>
      <c r="AF1121" s="1152"/>
      <c r="AG1121" s="1153"/>
      <c r="AH1121" s="1153"/>
      <c r="AI1121" s="732">
        <f t="shared" si="147"/>
        <v>0</v>
      </c>
      <c r="AJ1121" s="733">
        <f t="shared" si="148"/>
        <v>0</v>
      </c>
    </row>
    <row r="1122" spans="1:36">
      <c r="A1122" s="746" t="s">
        <v>549</v>
      </c>
      <c r="B1122" s="738" t="s">
        <v>166</v>
      </c>
      <c r="C1122" s="752" t="s">
        <v>167</v>
      </c>
      <c r="D1122" s="751"/>
      <c r="E1122" s="741"/>
      <c r="F1122" s="741">
        <v>99</v>
      </c>
      <c r="G1122" s="1152"/>
      <c r="H1122" s="1153"/>
      <c r="I1122" s="1152"/>
      <c r="J1122" s="1153"/>
      <c r="K1122" s="1152"/>
      <c r="L1122" s="1153"/>
      <c r="M1122" s="1152"/>
      <c r="N1122" s="1152"/>
      <c r="O1122" s="732">
        <f t="shared" si="141"/>
        <v>0</v>
      </c>
      <c r="P1122" s="1153"/>
      <c r="Q1122" s="1153"/>
      <c r="R1122" s="733">
        <f t="shared" si="144"/>
        <v>0</v>
      </c>
      <c r="S1122" s="732">
        <f t="shared" si="145"/>
        <v>0</v>
      </c>
      <c r="T1122" s="733">
        <f t="shared" si="146"/>
        <v>0</v>
      </c>
      <c r="U1122" s="1152">
        <v>60309</v>
      </c>
      <c r="V1122" s="1153">
        <v>39708</v>
      </c>
      <c r="W1122" s="1152"/>
      <c r="X1122" s="1152"/>
      <c r="Y1122" s="732">
        <f t="shared" si="142"/>
        <v>0</v>
      </c>
      <c r="Z1122" s="1153"/>
      <c r="AA1122" s="1153"/>
      <c r="AB1122" s="733">
        <f t="shared" si="143"/>
        <v>0</v>
      </c>
      <c r="AC1122" s="1152"/>
      <c r="AD1122" s="1153"/>
      <c r="AE1122" s="1152"/>
      <c r="AF1122" s="1152"/>
      <c r="AG1122" s="1153"/>
      <c r="AH1122" s="1153"/>
      <c r="AI1122" s="732">
        <f t="shared" si="147"/>
        <v>60309</v>
      </c>
      <c r="AJ1122" s="733">
        <f t="shared" si="148"/>
        <v>39708</v>
      </c>
    </row>
    <row r="1123" spans="1:36">
      <c r="A1123" s="746" t="s">
        <v>549</v>
      </c>
      <c r="B1123" s="738" t="s">
        <v>191</v>
      </c>
      <c r="C1123" s="757" t="s">
        <v>1450</v>
      </c>
      <c r="D1123" s="744"/>
      <c r="E1123" s="741"/>
      <c r="F1123" s="741">
        <v>99</v>
      </c>
      <c r="G1123" s="1152"/>
      <c r="H1123" s="1153"/>
      <c r="I1123" s="1152"/>
      <c r="J1123" s="1153"/>
      <c r="K1123" s="1152"/>
      <c r="L1123" s="1153"/>
      <c r="M1123" s="1152"/>
      <c r="N1123" s="1152"/>
      <c r="O1123" s="732">
        <f t="shared" si="141"/>
        <v>0</v>
      </c>
      <c r="P1123" s="1153"/>
      <c r="Q1123" s="1153"/>
      <c r="R1123" s="733">
        <f t="shared" si="144"/>
        <v>0</v>
      </c>
      <c r="S1123" s="732">
        <f t="shared" si="145"/>
        <v>0</v>
      </c>
      <c r="T1123" s="733">
        <f t="shared" si="146"/>
        <v>0</v>
      </c>
      <c r="U1123" s="1152"/>
      <c r="V1123" s="1153"/>
      <c r="W1123" s="1152"/>
      <c r="X1123" s="1152"/>
      <c r="Y1123" s="732">
        <f t="shared" si="142"/>
        <v>0</v>
      </c>
      <c r="Z1123" s="1153"/>
      <c r="AA1123" s="1153"/>
      <c r="AB1123" s="733">
        <f t="shared" si="143"/>
        <v>0</v>
      </c>
      <c r="AC1123" s="1152"/>
      <c r="AD1123" s="1153"/>
      <c r="AE1123" s="1152"/>
      <c r="AF1123" s="1152"/>
      <c r="AG1123" s="1153"/>
      <c r="AH1123" s="1153"/>
      <c r="AI1123" s="732">
        <f t="shared" si="147"/>
        <v>0</v>
      </c>
      <c r="AJ1123" s="733">
        <f t="shared" si="148"/>
        <v>0</v>
      </c>
    </row>
    <row r="1124" spans="1:36">
      <c r="A1124" s="746" t="s">
        <v>549</v>
      </c>
      <c r="B1124" s="738" t="s">
        <v>170</v>
      </c>
      <c r="C1124" s="752" t="s">
        <v>171</v>
      </c>
      <c r="D1124" s="751"/>
      <c r="E1124" s="741"/>
      <c r="F1124" s="741">
        <v>99</v>
      </c>
      <c r="G1124" s="1152"/>
      <c r="H1124" s="1153"/>
      <c r="I1124" s="1152"/>
      <c r="J1124" s="1153"/>
      <c r="K1124" s="1152"/>
      <c r="L1124" s="1153"/>
      <c r="M1124" s="1152"/>
      <c r="N1124" s="1152"/>
      <c r="O1124" s="732">
        <f t="shared" si="141"/>
        <v>0</v>
      </c>
      <c r="P1124" s="1153"/>
      <c r="Q1124" s="1153"/>
      <c r="R1124" s="733">
        <f t="shared" si="144"/>
        <v>0</v>
      </c>
      <c r="S1124" s="732">
        <f t="shared" si="145"/>
        <v>0</v>
      </c>
      <c r="T1124" s="733">
        <f t="shared" si="146"/>
        <v>0</v>
      </c>
      <c r="U1124" s="1152"/>
      <c r="V1124" s="1153"/>
      <c r="W1124" s="1152"/>
      <c r="X1124" s="1152"/>
      <c r="Y1124" s="732">
        <f t="shared" si="142"/>
        <v>0</v>
      </c>
      <c r="Z1124" s="1153"/>
      <c r="AA1124" s="1153"/>
      <c r="AB1124" s="733">
        <f t="shared" si="143"/>
        <v>0</v>
      </c>
      <c r="AC1124" s="1152"/>
      <c r="AD1124" s="1153"/>
      <c r="AE1124" s="1152"/>
      <c r="AF1124" s="1152"/>
      <c r="AG1124" s="1153"/>
      <c r="AH1124" s="1153"/>
      <c r="AI1124" s="732">
        <f t="shared" si="147"/>
        <v>0</v>
      </c>
      <c r="AJ1124" s="733">
        <f t="shared" si="148"/>
        <v>0</v>
      </c>
    </row>
    <row r="1125" spans="1:36">
      <c r="A1125" s="746" t="s">
        <v>549</v>
      </c>
      <c r="B1125" s="738" t="s">
        <v>172</v>
      </c>
      <c r="C1125" s="752" t="s">
        <v>165</v>
      </c>
      <c r="D1125" s="751"/>
      <c r="E1125" s="741"/>
      <c r="F1125" s="741">
        <v>99</v>
      </c>
      <c r="G1125" s="1152"/>
      <c r="H1125" s="1153"/>
      <c r="I1125" s="1152"/>
      <c r="J1125" s="1153"/>
      <c r="K1125" s="1152"/>
      <c r="L1125" s="1153"/>
      <c r="M1125" s="1152"/>
      <c r="N1125" s="1152"/>
      <c r="O1125" s="732">
        <f t="shared" si="141"/>
        <v>0</v>
      </c>
      <c r="P1125" s="1153"/>
      <c r="Q1125" s="1153"/>
      <c r="R1125" s="733">
        <f t="shared" si="144"/>
        <v>0</v>
      </c>
      <c r="S1125" s="732">
        <f t="shared" si="145"/>
        <v>0</v>
      </c>
      <c r="T1125" s="733">
        <f t="shared" si="146"/>
        <v>0</v>
      </c>
      <c r="U1125" s="1152"/>
      <c r="V1125" s="1153"/>
      <c r="W1125" s="1152"/>
      <c r="X1125" s="1152"/>
      <c r="Y1125" s="732">
        <f t="shared" si="142"/>
        <v>0</v>
      </c>
      <c r="Z1125" s="1153"/>
      <c r="AA1125" s="1153"/>
      <c r="AB1125" s="733">
        <f t="shared" si="143"/>
        <v>0</v>
      </c>
      <c r="AC1125" s="1152"/>
      <c r="AD1125" s="1153"/>
      <c r="AE1125" s="1152"/>
      <c r="AF1125" s="1152"/>
      <c r="AG1125" s="1153"/>
      <c r="AH1125" s="1153"/>
      <c r="AI1125" s="732">
        <f t="shared" si="147"/>
        <v>0</v>
      </c>
      <c r="AJ1125" s="733">
        <f t="shared" si="148"/>
        <v>0</v>
      </c>
    </row>
    <row r="1126" spans="1:36">
      <c r="A1126" s="746" t="s">
        <v>549</v>
      </c>
      <c r="B1126" s="738" t="s">
        <v>191</v>
      </c>
      <c r="C1126" s="752" t="s">
        <v>167</v>
      </c>
      <c r="D1126" s="751"/>
      <c r="E1126" s="741"/>
      <c r="F1126" s="741">
        <v>99</v>
      </c>
      <c r="G1126" s="1152"/>
      <c r="H1126" s="1153"/>
      <c r="I1126" s="1152"/>
      <c r="J1126" s="1153"/>
      <c r="K1126" s="1152"/>
      <c r="L1126" s="1153"/>
      <c r="M1126" s="1152"/>
      <c r="N1126" s="1152"/>
      <c r="O1126" s="732">
        <f t="shared" si="141"/>
        <v>0</v>
      </c>
      <c r="P1126" s="1153"/>
      <c r="Q1126" s="1153"/>
      <c r="R1126" s="733">
        <f t="shared" si="144"/>
        <v>0</v>
      </c>
      <c r="S1126" s="732">
        <f t="shared" si="145"/>
        <v>0</v>
      </c>
      <c r="T1126" s="733">
        <f t="shared" si="146"/>
        <v>0</v>
      </c>
      <c r="U1126" s="1152">
        <v>1000000</v>
      </c>
      <c r="V1126" s="1153">
        <v>918599</v>
      </c>
      <c r="W1126" s="1152"/>
      <c r="X1126" s="1152"/>
      <c r="Y1126" s="732">
        <f t="shared" si="142"/>
        <v>0</v>
      </c>
      <c r="Z1126" s="1153"/>
      <c r="AA1126" s="1153"/>
      <c r="AB1126" s="733">
        <f t="shared" si="143"/>
        <v>0</v>
      </c>
      <c r="AC1126" s="1152"/>
      <c r="AD1126" s="1153"/>
      <c r="AE1126" s="1152"/>
      <c r="AF1126" s="1152"/>
      <c r="AG1126" s="1153"/>
      <c r="AH1126" s="1153"/>
      <c r="AI1126" s="732">
        <f t="shared" si="147"/>
        <v>1000000</v>
      </c>
      <c r="AJ1126" s="733">
        <f t="shared" si="148"/>
        <v>918599</v>
      </c>
    </row>
    <row r="1127" spans="1:36">
      <c r="A1127" s="746" t="s">
        <v>549</v>
      </c>
      <c r="B1127" s="738" t="s">
        <v>176</v>
      </c>
      <c r="C1127" s="752" t="s">
        <v>177</v>
      </c>
      <c r="D1127" s="751"/>
      <c r="E1127" s="741"/>
      <c r="F1127" s="741">
        <v>99</v>
      </c>
      <c r="G1127" s="1152"/>
      <c r="H1127" s="1153"/>
      <c r="I1127" s="1152"/>
      <c r="J1127" s="1153"/>
      <c r="K1127" s="1152"/>
      <c r="L1127" s="1153"/>
      <c r="M1127" s="1152"/>
      <c r="N1127" s="1152"/>
      <c r="O1127" s="732">
        <f t="shared" si="141"/>
        <v>0</v>
      </c>
      <c r="P1127" s="1153"/>
      <c r="Q1127" s="1153"/>
      <c r="R1127" s="733">
        <f t="shared" si="144"/>
        <v>0</v>
      </c>
      <c r="S1127" s="732">
        <f t="shared" si="145"/>
        <v>0</v>
      </c>
      <c r="T1127" s="733">
        <f t="shared" si="146"/>
        <v>0</v>
      </c>
      <c r="U1127" s="1152"/>
      <c r="V1127" s="1153"/>
      <c r="W1127" s="1152"/>
      <c r="X1127" s="1152"/>
      <c r="Y1127" s="732">
        <f t="shared" si="142"/>
        <v>0</v>
      </c>
      <c r="Z1127" s="1153"/>
      <c r="AA1127" s="1153"/>
      <c r="AB1127" s="733">
        <f t="shared" si="143"/>
        <v>0</v>
      </c>
      <c r="AC1127" s="1152"/>
      <c r="AD1127" s="1153"/>
      <c r="AE1127" s="1152"/>
      <c r="AF1127" s="1152"/>
      <c r="AG1127" s="1153"/>
      <c r="AH1127" s="1153"/>
      <c r="AI1127" s="732">
        <f t="shared" si="147"/>
        <v>0</v>
      </c>
      <c r="AJ1127" s="733">
        <f t="shared" si="148"/>
        <v>0</v>
      </c>
    </row>
    <row r="1128" spans="1:36">
      <c r="A1128" s="746" t="s">
        <v>549</v>
      </c>
      <c r="B1128" s="738" t="s">
        <v>180</v>
      </c>
      <c r="C1128" s="752" t="s">
        <v>165</v>
      </c>
      <c r="D1128" s="751"/>
      <c r="E1128" s="741"/>
      <c r="F1128" s="741">
        <v>99</v>
      </c>
      <c r="G1128" s="1152"/>
      <c r="H1128" s="1153"/>
      <c r="I1128" s="1152"/>
      <c r="J1128" s="1153"/>
      <c r="K1128" s="1152"/>
      <c r="L1128" s="1153"/>
      <c r="M1128" s="1152"/>
      <c r="N1128" s="1152"/>
      <c r="O1128" s="732">
        <f t="shared" si="141"/>
        <v>0</v>
      </c>
      <c r="P1128" s="1153"/>
      <c r="Q1128" s="1153"/>
      <c r="R1128" s="733">
        <f t="shared" si="144"/>
        <v>0</v>
      </c>
      <c r="S1128" s="732">
        <f t="shared" si="145"/>
        <v>0</v>
      </c>
      <c r="T1128" s="733">
        <f t="shared" si="146"/>
        <v>0</v>
      </c>
      <c r="U1128" s="1152"/>
      <c r="V1128" s="1153"/>
      <c r="W1128" s="1152"/>
      <c r="X1128" s="1152"/>
      <c r="Y1128" s="732">
        <f t="shared" si="142"/>
        <v>0</v>
      </c>
      <c r="Z1128" s="1153"/>
      <c r="AA1128" s="1153"/>
      <c r="AB1128" s="733">
        <f t="shared" si="143"/>
        <v>0</v>
      </c>
      <c r="AC1128" s="1152"/>
      <c r="AD1128" s="1153"/>
      <c r="AE1128" s="1152"/>
      <c r="AF1128" s="1152"/>
      <c r="AG1128" s="1153"/>
      <c r="AH1128" s="1153"/>
      <c r="AI1128" s="732">
        <f t="shared" si="147"/>
        <v>0</v>
      </c>
      <c r="AJ1128" s="733">
        <f t="shared" si="148"/>
        <v>0</v>
      </c>
    </row>
    <row r="1129" spans="1:36">
      <c r="A1129" s="746" t="s">
        <v>549</v>
      </c>
      <c r="B1129" s="738" t="s">
        <v>166</v>
      </c>
      <c r="C1129" s="752" t="s">
        <v>167</v>
      </c>
      <c r="D1129" s="751"/>
      <c r="E1129" s="741"/>
      <c r="F1129" s="741">
        <v>99</v>
      </c>
      <c r="G1129" s="1152"/>
      <c r="H1129" s="1153"/>
      <c r="I1129" s="1152"/>
      <c r="J1129" s="1153"/>
      <c r="K1129" s="1152"/>
      <c r="L1129" s="1153"/>
      <c r="M1129" s="1152"/>
      <c r="N1129" s="1152"/>
      <c r="O1129" s="732">
        <f t="shared" si="141"/>
        <v>0</v>
      </c>
      <c r="P1129" s="1153"/>
      <c r="Q1129" s="1153"/>
      <c r="R1129" s="733">
        <f t="shared" si="144"/>
        <v>0</v>
      </c>
      <c r="S1129" s="732">
        <f t="shared" si="145"/>
        <v>0</v>
      </c>
      <c r="T1129" s="733">
        <f t="shared" si="146"/>
        <v>0</v>
      </c>
      <c r="U1129" s="1152"/>
      <c r="V1129" s="1153"/>
      <c r="W1129" s="1152"/>
      <c r="X1129" s="1152"/>
      <c r="Y1129" s="732">
        <f t="shared" si="142"/>
        <v>0</v>
      </c>
      <c r="Z1129" s="1153"/>
      <c r="AA1129" s="1153"/>
      <c r="AB1129" s="733">
        <f t="shared" si="143"/>
        <v>0</v>
      </c>
      <c r="AC1129" s="1152"/>
      <c r="AD1129" s="1153"/>
      <c r="AE1129" s="1152"/>
      <c r="AF1129" s="1152"/>
      <c r="AG1129" s="1153"/>
      <c r="AH1129" s="1153"/>
      <c r="AI1129" s="732">
        <f t="shared" si="147"/>
        <v>0</v>
      </c>
      <c r="AJ1129" s="733">
        <f t="shared" si="148"/>
        <v>0</v>
      </c>
    </row>
    <row r="1130" spans="1:36">
      <c r="A1130" s="746" t="s">
        <v>549</v>
      </c>
      <c r="B1130" s="738" t="s">
        <v>161</v>
      </c>
      <c r="C1130" s="752" t="s">
        <v>595</v>
      </c>
      <c r="D1130" s="751"/>
      <c r="E1130" s="741"/>
      <c r="F1130" s="741">
        <v>99</v>
      </c>
      <c r="G1130" s="1152"/>
      <c r="H1130" s="1153"/>
      <c r="I1130" s="1152"/>
      <c r="J1130" s="1153"/>
      <c r="K1130" s="1152"/>
      <c r="L1130" s="1153"/>
      <c r="M1130" s="1152"/>
      <c r="N1130" s="1152"/>
      <c r="O1130" s="732">
        <f t="shared" si="141"/>
        <v>0</v>
      </c>
      <c r="P1130" s="1153"/>
      <c r="Q1130" s="1153"/>
      <c r="R1130" s="733">
        <f t="shared" si="144"/>
        <v>0</v>
      </c>
      <c r="S1130" s="732">
        <f t="shared" si="145"/>
        <v>0</v>
      </c>
      <c r="T1130" s="733">
        <f t="shared" si="146"/>
        <v>0</v>
      </c>
      <c r="U1130" s="1152"/>
      <c r="V1130" s="1153"/>
      <c r="W1130" s="1152"/>
      <c r="X1130" s="1152"/>
      <c r="Y1130" s="732">
        <f t="shared" si="142"/>
        <v>0</v>
      </c>
      <c r="Z1130" s="1153"/>
      <c r="AA1130" s="1153"/>
      <c r="AB1130" s="733">
        <f t="shared" si="143"/>
        <v>0</v>
      </c>
      <c r="AC1130" s="1152"/>
      <c r="AD1130" s="1153"/>
      <c r="AE1130" s="1152"/>
      <c r="AF1130" s="1152"/>
      <c r="AG1130" s="1153"/>
      <c r="AH1130" s="1153"/>
      <c r="AI1130" s="732">
        <f t="shared" si="147"/>
        <v>0</v>
      </c>
      <c r="AJ1130" s="733">
        <f t="shared" si="148"/>
        <v>0</v>
      </c>
    </row>
    <row r="1131" spans="1:36">
      <c r="A1131" s="746" t="s">
        <v>549</v>
      </c>
      <c r="B1131" s="738" t="s">
        <v>170</v>
      </c>
      <c r="C1131" s="752" t="s">
        <v>171</v>
      </c>
      <c r="D1131" s="751"/>
      <c r="E1131" s="741"/>
      <c r="F1131" s="741">
        <v>99</v>
      </c>
      <c r="G1131" s="1152"/>
      <c r="H1131" s="1153"/>
      <c r="I1131" s="1152"/>
      <c r="J1131" s="1153"/>
      <c r="K1131" s="1152"/>
      <c r="L1131" s="1153"/>
      <c r="M1131" s="1152"/>
      <c r="N1131" s="1152"/>
      <c r="O1131" s="732">
        <f t="shared" si="141"/>
        <v>0</v>
      </c>
      <c r="P1131" s="1153"/>
      <c r="Q1131" s="1153"/>
      <c r="R1131" s="733">
        <f t="shared" si="144"/>
        <v>0</v>
      </c>
      <c r="S1131" s="732">
        <f t="shared" si="145"/>
        <v>0</v>
      </c>
      <c r="T1131" s="733">
        <f t="shared" si="146"/>
        <v>0</v>
      </c>
      <c r="U1131" s="1152"/>
      <c r="V1131" s="1153"/>
      <c r="W1131" s="1152"/>
      <c r="X1131" s="1152"/>
      <c r="Y1131" s="732">
        <f t="shared" si="142"/>
        <v>0</v>
      </c>
      <c r="Z1131" s="1153"/>
      <c r="AA1131" s="1153"/>
      <c r="AB1131" s="733">
        <f t="shared" si="143"/>
        <v>0</v>
      </c>
      <c r="AC1131" s="1152"/>
      <c r="AD1131" s="1153"/>
      <c r="AE1131" s="1152"/>
      <c r="AF1131" s="1152"/>
      <c r="AG1131" s="1153"/>
      <c r="AH1131" s="1153"/>
      <c r="AI1131" s="732">
        <f t="shared" si="147"/>
        <v>0</v>
      </c>
      <c r="AJ1131" s="733">
        <f t="shared" si="148"/>
        <v>0</v>
      </c>
    </row>
    <row r="1132" spans="1:36">
      <c r="A1132" s="746" t="s">
        <v>549</v>
      </c>
      <c r="B1132" s="738" t="s">
        <v>172</v>
      </c>
      <c r="C1132" s="757" t="s">
        <v>165</v>
      </c>
      <c r="D1132" s="744"/>
      <c r="E1132" s="741"/>
      <c r="F1132" s="741">
        <v>99</v>
      </c>
      <c r="G1132" s="1152"/>
      <c r="H1132" s="1153"/>
      <c r="I1132" s="1152"/>
      <c r="J1132" s="1153"/>
      <c r="K1132" s="1152"/>
      <c r="L1132" s="1153"/>
      <c r="M1132" s="1152"/>
      <c r="N1132" s="1152"/>
      <c r="O1132" s="732">
        <f t="shared" si="141"/>
        <v>0</v>
      </c>
      <c r="P1132" s="1153"/>
      <c r="Q1132" s="1153"/>
      <c r="R1132" s="733">
        <f t="shared" si="144"/>
        <v>0</v>
      </c>
      <c r="S1132" s="732">
        <f t="shared" si="145"/>
        <v>0</v>
      </c>
      <c r="T1132" s="733">
        <f t="shared" si="146"/>
        <v>0</v>
      </c>
      <c r="U1132" s="1152"/>
      <c r="V1132" s="1153"/>
      <c r="W1132" s="1152"/>
      <c r="X1132" s="1152"/>
      <c r="Y1132" s="732">
        <f t="shared" si="142"/>
        <v>0</v>
      </c>
      <c r="Z1132" s="1153"/>
      <c r="AA1132" s="1153"/>
      <c r="AB1132" s="733">
        <f t="shared" si="143"/>
        <v>0</v>
      </c>
      <c r="AC1132" s="1152"/>
      <c r="AD1132" s="1153"/>
      <c r="AE1132" s="1152"/>
      <c r="AF1132" s="1152"/>
      <c r="AG1132" s="1153"/>
      <c r="AH1132" s="1153"/>
      <c r="AI1132" s="732">
        <f t="shared" si="147"/>
        <v>0</v>
      </c>
      <c r="AJ1132" s="733">
        <f t="shared" si="148"/>
        <v>0</v>
      </c>
    </row>
    <row r="1133" spans="1:36">
      <c r="A1133" s="746" t="s">
        <v>549</v>
      </c>
      <c r="B1133" s="738" t="s">
        <v>173</v>
      </c>
      <c r="C1133" s="752" t="s">
        <v>587</v>
      </c>
      <c r="D1133" s="751"/>
      <c r="E1133" s="741"/>
      <c r="F1133" s="741">
        <v>99</v>
      </c>
      <c r="G1133" s="1152"/>
      <c r="H1133" s="1153"/>
      <c r="I1133" s="1152"/>
      <c r="J1133" s="1153"/>
      <c r="K1133" s="1152"/>
      <c r="L1133" s="1153"/>
      <c r="M1133" s="1152"/>
      <c r="N1133" s="1152"/>
      <c r="O1133" s="732">
        <f t="shared" si="141"/>
        <v>0</v>
      </c>
      <c r="P1133" s="1153"/>
      <c r="Q1133" s="1153"/>
      <c r="R1133" s="733">
        <f t="shared" si="144"/>
        <v>0</v>
      </c>
      <c r="S1133" s="732">
        <f t="shared" si="145"/>
        <v>0</v>
      </c>
      <c r="T1133" s="733">
        <f t="shared" si="146"/>
        <v>0</v>
      </c>
      <c r="U1133" s="1152">
        <v>1561957</v>
      </c>
      <c r="V1133" s="1153">
        <v>944927</v>
      </c>
      <c r="W1133" s="1152"/>
      <c r="X1133" s="1152"/>
      <c r="Y1133" s="732">
        <f t="shared" si="142"/>
        <v>0</v>
      </c>
      <c r="Z1133" s="1153"/>
      <c r="AA1133" s="1153"/>
      <c r="AB1133" s="733">
        <f t="shared" si="143"/>
        <v>0</v>
      </c>
      <c r="AC1133" s="1152"/>
      <c r="AD1133" s="1153"/>
      <c r="AE1133" s="1152"/>
      <c r="AF1133" s="1152"/>
      <c r="AG1133" s="1153"/>
      <c r="AH1133" s="1153"/>
      <c r="AI1133" s="732">
        <f t="shared" si="147"/>
        <v>1561957</v>
      </c>
      <c r="AJ1133" s="733">
        <f t="shared" si="148"/>
        <v>944927</v>
      </c>
    </row>
    <row r="1134" spans="1:36">
      <c r="A1134" s="746" t="s">
        <v>549</v>
      </c>
      <c r="B1134" s="738" t="s">
        <v>176</v>
      </c>
      <c r="C1134" s="752" t="s">
        <v>177</v>
      </c>
      <c r="D1134" s="751"/>
      <c r="E1134" s="741"/>
      <c r="F1134" s="741">
        <v>99</v>
      </c>
      <c r="G1134" s="1152"/>
      <c r="H1134" s="1153"/>
      <c r="I1134" s="1152"/>
      <c r="J1134" s="1153"/>
      <c r="K1134" s="1152"/>
      <c r="L1134" s="1153"/>
      <c r="M1134" s="1152"/>
      <c r="N1134" s="1152"/>
      <c r="O1134" s="732">
        <f t="shared" si="141"/>
        <v>0</v>
      </c>
      <c r="P1134" s="1153"/>
      <c r="Q1134" s="1153"/>
      <c r="R1134" s="733">
        <f t="shared" si="144"/>
        <v>0</v>
      </c>
      <c r="S1134" s="732">
        <f t="shared" si="145"/>
        <v>0</v>
      </c>
      <c r="T1134" s="733">
        <f t="shared" si="146"/>
        <v>0</v>
      </c>
      <c r="U1134" s="1152"/>
      <c r="V1134" s="1153"/>
      <c r="W1134" s="1152"/>
      <c r="X1134" s="1152"/>
      <c r="Y1134" s="732">
        <f t="shared" si="142"/>
        <v>0</v>
      </c>
      <c r="Z1134" s="1153"/>
      <c r="AA1134" s="1153"/>
      <c r="AB1134" s="733">
        <f t="shared" si="143"/>
        <v>0</v>
      </c>
      <c r="AC1134" s="1152"/>
      <c r="AD1134" s="1153"/>
      <c r="AE1134" s="1152"/>
      <c r="AF1134" s="1152"/>
      <c r="AG1134" s="1153"/>
      <c r="AH1134" s="1153"/>
      <c r="AI1134" s="732">
        <f t="shared" si="147"/>
        <v>0</v>
      </c>
      <c r="AJ1134" s="733">
        <f t="shared" si="148"/>
        <v>0</v>
      </c>
    </row>
    <row r="1135" spans="1:36">
      <c r="A1135" s="746" t="s">
        <v>549</v>
      </c>
      <c r="B1135" s="738" t="s">
        <v>180</v>
      </c>
      <c r="C1135" s="752" t="s">
        <v>165</v>
      </c>
      <c r="D1135" s="751"/>
      <c r="E1135" s="741"/>
      <c r="F1135" s="741">
        <v>99</v>
      </c>
      <c r="G1135" s="1152"/>
      <c r="H1135" s="1153"/>
      <c r="I1135" s="1152"/>
      <c r="J1135" s="1153"/>
      <c r="K1135" s="1152"/>
      <c r="L1135" s="1153"/>
      <c r="M1135" s="1152"/>
      <c r="N1135" s="1152"/>
      <c r="O1135" s="732">
        <f t="shared" si="141"/>
        <v>0</v>
      </c>
      <c r="P1135" s="1153"/>
      <c r="Q1135" s="1153"/>
      <c r="R1135" s="733">
        <f t="shared" si="144"/>
        <v>0</v>
      </c>
      <c r="S1135" s="732">
        <f t="shared" si="145"/>
        <v>0</v>
      </c>
      <c r="T1135" s="733">
        <f t="shared" si="146"/>
        <v>0</v>
      </c>
      <c r="U1135" s="1152"/>
      <c r="V1135" s="1153"/>
      <c r="W1135" s="1152"/>
      <c r="X1135" s="1152"/>
      <c r="Y1135" s="732">
        <f t="shared" si="142"/>
        <v>0</v>
      </c>
      <c r="Z1135" s="1153"/>
      <c r="AA1135" s="1153"/>
      <c r="AB1135" s="733">
        <f t="shared" si="143"/>
        <v>0</v>
      </c>
      <c r="AC1135" s="1152"/>
      <c r="AD1135" s="1153"/>
      <c r="AE1135" s="1152"/>
      <c r="AF1135" s="1152"/>
      <c r="AG1135" s="1153"/>
      <c r="AH1135" s="1153"/>
      <c r="AI1135" s="732">
        <f t="shared" si="147"/>
        <v>0</v>
      </c>
      <c r="AJ1135" s="733">
        <f t="shared" si="148"/>
        <v>0</v>
      </c>
    </row>
    <row r="1136" spans="1:36">
      <c r="A1136" s="746" t="s">
        <v>549</v>
      </c>
      <c r="B1136" s="738" t="s">
        <v>178</v>
      </c>
      <c r="C1136" s="752" t="s">
        <v>587</v>
      </c>
      <c r="D1136" s="751"/>
      <c r="E1136" s="741"/>
      <c r="F1136" s="741">
        <v>99</v>
      </c>
      <c r="G1136" s="1152"/>
      <c r="H1136" s="1153"/>
      <c r="I1136" s="1152"/>
      <c r="J1136" s="1153"/>
      <c r="K1136" s="1152"/>
      <c r="L1136" s="1153"/>
      <c r="M1136" s="1152"/>
      <c r="N1136" s="1152"/>
      <c r="O1136" s="732">
        <f t="shared" si="141"/>
        <v>0</v>
      </c>
      <c r="P1136" s="1153"/>
      <c r="Q1136" s="1153"/>
      <c r="R1136" s="733">
        <f t="shared" si="144"/>
        <v>0</v>
      </c>
      <c r="S1136" s="732">
        <f t="shared" si="145"/>
        <v>0</v>
      </c>
      <c r="T1136" s="733">
        <f t="shared" si="146"/>
        <v>0</v>
      </c>
      <c r="U1136" s="1152">
        <v>1486100</v>
      </c>
      <c r="V1136" s="1154">
        <v>0</v>
      </c>
      <c r="W1136" s="1152"/>
      <c r="X1136" s="1152"/>
      <c r="Y1136" s="732">
        <f t="shared" si="142"/>
        <v>0</v>
      </c>
      <c r="Z1136" s="1153"/>
      <c r="AA1136" s="1153"/>
      <c r="AB1136" s="733">
        <f t="shared" si="143"/>
        <v>0</v>
      </c>
      <c r="AC1136" s="1152"/>
      <c r="AD1136" s="1153"/>
      <c r="AE1136" s="1152"/>
      <c r="AF1136" s="1152"/>
      <c r="AG1136" s="1153"/>
      <c r="AH1136" s="1153"/>
      <c r="AI1136" s="732">
        <f t="shared" si="147"/>
        <v>1486100</v>
      </c>
      <c r="AJ1136" s="733">
        <f t="shared" si="148"/>
        <v>0</v>
      </c>
    </row>
    <row r="1137" spans="1:36">
      <c r="A1137" s="746" t="s">
        <v>549</v>
      </c>
      <c r="B1137" s="738" t="s">
        <v>161</v>
      </c>
      <c r="C1137" s="752" t="s">
        <v>596</v>
      </c>
      <c r="D1137" s="751"/>
      <c r="E1137" s="741"/>
      <c r="F1137" s="741">
        <v>99</v>
      </c>
      <c r="G1137" s="1152"/>
      <c r="H1137" s="1153"/>
      <c r="I1137" s="1152"/>
      <c r="J1137" s="1153"/>
      <c r="K1137" s="1152"/>
      <c r="L1137" s="1153"/>
      <c r="M1137" s="1152"/>
      <c r="N1137" s="1152"/>
      <c r="O1137" s="732">
        <f t="shared" si="141"/>
        <v>0</v>
      </c>
      <c r="P1137" s="1153"/>
      <c r="Q1137" s="1153"/>
      <c r="R1137" s="733">
        <f t="shared" si="144"/>
        <v>0</v>
      </c>
      <c r="S1137" s="732">
        <f t="shared" si="145"/>
        <v>0</v>
      </c>
      <c r="T1137" s="733">
        <f t="shared" si="146"/>
        <v>0</v>
      </c>
      <c r="U1137" s="1152"/>
      <c r="V1137" s="1153"/>
      <c r="W1137" s="1152"/>
      <c r="X1137" s="1152"/>
      <c r="Y1137" s="732">
        <f t="shared" si="142"/>
        <v>0</v>
      </c>
      <c r="Z1137" s="1153"/>
      <c r="AA1137" s="1153"/>
      <c r="AB1137" s="733">
        <f t="shared" si="143"/>
        <v>0</v>
      </c>
      <c r="AC1137" s="1152"/>
      <c r="AD1137" s="1153"/>
      <c r="AE1137" s="1152"/>
      <c r="AF1137" s="1152"/>
      <c r="AG1137" s="1153"/>
      <c r="AH1137" s="1153"/>
      <c r="AI1137" s="732">
        <f t="shared" si="147"/>
        <v>0</v>
      </c>
      <c r="AJ1137" s="733">
        <f t="shared" si="148"/>
        <v>0</v>
      </c>
    </row>
    <row r="1138" spans="1:36">
      <c r="A1138" s="746" t="s">
        <v>549</v>
      </c>
      <c r="B1138" s="738" t="s">
        <v>170</v>
      </c>
      <c r="C1138" s="752" t="s">
        <v>171</v>
      </c>
      <c r="D1138" s="751"/>
      <c r="E1138" s="741"/>
      <c r="F1138" s="741">
        <v>99</v>
      </c>
      <c r="G1138" s="1152"/>
      <c r="H1138" s="1153"/>
      <c r="I1138" s="1152"/>
      <c r="J1138" s="1153"/>
      <c r="K1138" s="1152"/>
      <c r="L1138" s="1153"/>
      <c r="M1138" s="1152"/>
      <c r="N1138" s="1152"/>
      <c r="O1138" s="732">
        <f t="shared" si="141"/>
        <v>0</v>
      </c>
      <c r="P1138" s="1153"/>
      <c r="Q1138" s="1153"/>
      <c r="R1138" s="733">
        <f t="shared" si="144"/>
        <v>0</v>
      </c>
      <c r="S1138" s="732">
        <f t="shared" si="145"/>
        <v>0</v>
      </c>
      <c r="T1138" s="733">
        <f t="shared" si="146"/>
        <v>0</v>
      </c>
      <c r="U1138" s="1152"/>
      <c r="V1138" s="1153"/>
      <c r="W1138" s="1152"/>
      <c r="X1138" s="1152"/>
      <c r="Y1138" s="732">
        <f t="shared" si="142"/>
        <v>0</v>
      </c>
      <c r="Z1138" s="1153"/>
      <c r="AA1138" s="1153"/>
      <c r="AB1138" s="733">
        <f t="shared" si="143"/>
        <v>0</v>
      </c>
      <c r="AC1138" s="1152"/>
      <c r="AD1138" s="1153"/>
      <c r="AE1138" s="1152"/>
      <c r="AF1138" s="1152"/>
      <c r="AG1138" s="1153"/>
      <c r="AH1138" s="1153"/>
      <c r="AI1138" s="732">
        <f t="shared" si="147"/>
        <v>0</v>
      </c>
      <c r="AJ1138" s="733">
        <f t="shared" si="148"/>
        <v>0</v>
      </c>
    </row>
    <row r="1139" spans="1:36">
      <c r="A1139" s="746" t="s">
        <v>549</v>
      </c>
      <c r="B1139" s="738" t="s">
        <v>172</v>
      </c>
      <c r="C1139" s="757" t="s">
        <v>165</v>
      </c>
      <c r="D1139" s="744"/>
      <c r="E1139" s="741"/>
      <c r="F1139" s="741">
        <v>99</v>
      </c>
      <c r="G1139" s="1152"/>
      <c r="H1139" s="1153"/>
      <c r="I1139" s="1152"/>
      <c r="J1139" s="1153"/>
      <c r="K1139" s="1152"/>
      <c r="L1139" s="1153"/>
      <c r="M1139" s="1152"/>
      <c r="N1139" s="1152"/>
      <c r="O1139" s="732">
        <f t="shared" si="141"/>
        <v>0</v>
      </c>
      <c r="P1139" s="1153"/>
      <c r="Q1139" s="1153"/>
      <c r="R1139" s="733">
        <f t="shared" si="144"/>
        <v>0</v>
      </c>
      <c r="S1139" s="732">
        <f t="shared" si="145"/>
        <v>0</v>
      </c>
      <c r="T1139" s="733">
        <f t="shared" si="146"/>
        <v>0</v>
      </c>
      <c r="U1139" s="1152"/>
      <c r="V1139" s="1153"/>
      <c r="W1139" s="1152"/>
      <c r="X1139" s="1152"/>
      <c r="Y1139" s="732">
        <f t="shared" si="142"/>
        <v>0</v>
      </c>
      <c r="Z1139" s="1153"/>
      <c r="AA1139" s="1153"/>
      <c r="AB1139" s="733">
        <f t="shared" si="143"/>
        <v>0</v>
      </c>
      <c r="AC1139" s="1152"/>
      <c r="AD1139" s="1153"/>
      <c r="AE1139" s="1152"/>
      <c r="AF1139" s="1152"/>
      <c r="AG1139" s="1153"/>
      <c r="AH1139" s="1153"/>
      <c r="AI1139" s="732">
        <f t="shared" si="147"/>
        <v>0</v>
      </c>
      <c r="AJ1139" s="733">
        <f t="shared" si="148"/>
        <v>0</v>
      </c>
    </row>
    <row r="1140" spans="1:36">
      <c r="A1140" s="746" t="s">
        <v>549</v>
      </c>
      <c r="B1140" s="738" t="s">
        <v>173</v>
      </c>
      <c r="C1140" s="752" t="s">
        <v>587</v>
      </c>
      <c r="D1140" s="751"/>
      <c r="E1140" s="741"/>
      <c r="F1140" s="741">
        <v>99</v>
      </c>
      <c r="G1140" s="1152"/>
      <c r="H1140" s="1153"/>
      <c r="I1140" s="1152"/>
      <c r="J1140" s="1153"/>
      <c r="K1140" s="1152"/>
      <c r="L1140" s="1153"/>
      <c r="M1140" s="1152"/>
      <c r="N1140" s="1152"/>
      <c r="O1140" s="732">
        <f t="shared" si="141"/>
        <v>0</v>
      </c>
      <c r="P1140" s="1153"/>
      <c r="Q1140" s="1153"/>
      <c r="R1140" s="733">
        <f t="shared" si="144"/>
        <v>0</v>
      </c>
      <c r="S1140" s="732">
        <f t="shared" si="145"/>
        <v>0</v>
      </c>
      <c r="T1140" s="733">
        <f t="shared" si="146"/>
        <v>0</v>
      </c>
      <c r="U1140" s="1152"/>
      <c r="V1140" s="1153"/>
      <c r="W1140" s="1152"/>
      <c r="X1140" s="1152"/>
      <c r="Y1140" s="732">
        <f t="shared" si="142"/>
        <v>0</v>
      </c>
      <c r="Z1140" s="1153"/>
      <c r="AA1140" s="1153"/>
      <c r="AB1140" s="733">
        <f t="shared" si="143"/>
        <v>0</v>
      </c>
      <c r="AC1140" s="1152"/>
      <c r="AD1140" s="1153"/>
      <c r="AE1140" s="1152"/>
      <c r="AF1140" s="1152"/>
      <c r="AG1140" s="1153"/>
      <c r="AH1140" s="1153"/>
      <c r="AI1140" s="732">
        <f t="shared" si="147"/>
        <v>0</v>
      </c>
      <c r="AJ1140" s="733">
        <f t="shared" si="148"/>
        <v>0</v>
      </c>
    </row>
    <row r="1141" spans="1:36">
      <c r="A1141" s="746" t="s">
        <v>549</v>
      </c>
      <c r="B1141" s="738" t="s">
        <v>176</v>
      </c>
      <c r="C1141" s="752" t="s">
        <v>177</v>
      </c>
      <c r="D1141" s="751"/>
      <c r="E1141" s="741"/>
      <c r="F1141" s="741">
        <v>99</v>
      </c>
      <c r="G1141" s="1152"/>
      <c r="H1141" s="1153"/>
      <c r="I1141" s="1152"/>
      <c r="J1141" s="1153"/>
      <c r="K1141" s="1152"/>
      <c r="L1141" s="1153"/>
      <c r="M1141" s="1152"/>
      <c r="N1141" s="1152"/>
      <c r="O1141" s="732">
        <f t="shared" si="141"/>
        <v>0</v>
      </c>
      <c r="P1141" s="1153"/>
      <c r="Q1141" s="1153"/>
      <c r="R1141" s="733">
        <f t="shared" si="144"/>
        <v>0</v>
      </c>
      <c r="S1141" s="732">
        <f t="shared" si="145"/>
        <v>0</v>
      </c>
      <c r="T1141" s="733">
        <f t="shared" si="146"/>
        <v>0</v>
      </c>
      <c r="U1141" s="1152"/>
      <c r="V1141" s="1153"/>
      <c r="W1141" s="1152"/>
      <c r="X1141" s="1152"/>
      <c r="Y1141" s="732">
        <f t="shared" si="142"/>
        <v>0</v>
      </c>
      <c r="Z1141" s="1153"/>
      <c r="AA1141" s="1153"/>
      <c r="AB1141" s="733">
        <f t="shared" si="143"/>
        <v>0</v>
      </c>
      <c r="AC1141" s="1152"/>
      <c r="AD1141" s="1153"/>
      <c r="AE1141" s="1152"/>
      <c r="AF1141" s="1152"/>
      <c r="AG1141" s="1153"/>
      <c r="AH1141" s="1153"/>
      <c r="AI1141" s="732">
        <f t="shared" si="147"/>
        <v>0</v>
      </c>
      <c r="AJ1141" s="733">
        <f t="shared" si="148"/>
        <v>0</v>
      </c>
    </row>
    <row r="1142" spans="1:36">
      <c r="A1142" s="746" t="s">
        <v>549</v>
      </c>
      <c r="B1142" s="738" t="s">
        <v>180</v>
      </c>
      <c r="C1142" s="752" t="s">
        <v>165</v>
      </c>
      <c r="D1142" s="751"/>
      <c r="E1142" s="741"/>
      <c r="F1142" s="741">
        <v>99</v>
      </c>
      <c r="G1142" s="1152"/>
      <c r="H1142" s="1153"/>
      <c r="I1142" s="1152"/>
      <c r="J1142" s="1153"/>
      <c r="K1142" s="1152"/>
      <c r="L1142" s="1153"/>
      <c r="M1142" s="1152"/>
      <c r="N1142" s="1152"/>
      <c r="O1142" s="732">
        <f t="shared" si="141"/>
        <v>0</v>
      </c>
      <c r="P1142" s="1153"/>
      <c r="Q1142" s="1153"/>
      <c r="R1142" s="733">
        <f t="shared" si="144"/>
        <v>0</v>
      </c>
      <c r="S1142" s="732">
        <f t="shared" si="145"/>
        <v>0</v>
      </c>
      <c r="T1142" s="733">
        <f t="shared" si="146"/>
        <v>0</v>
      </c>
      <c r="U1142" s="1152"/>
      <c r="V1142" s="1153"/>
      <c r="W1142" s="1152"/>
      <c r="X1142" s="1152"/>
      <c r="Y1142" s="732">
        <f t="shared" si="142"/>
        <v>0</v>
      </c>
      <c r="Z1142" s="1153"/>
      <c r="AA1142" s="1153"/>
      <c r="AB1142" s="733">
        <f t="shared" si="143"/>
        <v>0</v>
      </c>
      <c r="AC1142" s="1152"/>
      <c r="AD1142" s="1153"/>
      <c r="AE1142" s="1152"/>
      <c r="AF1142" s="1152"/>
      <c r="AG1142" s="1153"/>
      <c r="AH1142" s="1153"/>
      <c r="AI1142" s="732">
        <f t="shared" si="147"/>
        <v>0</v>
      </c>
      <c r="AJ1142" s="733">
        <f t="shared" si="148"/>
        <v>0</v>
      </c>
    </row>
    <row r="1143" spans="1:36">
      <c r="A1143" s="746" t="s">
        <v>549</v>
      </c>
      <c r="B1143" s="738" t="s">
        <v>178</v>
      </c>
      <c r="C1143" s="752" t="s">
        <v>587</v>
      </c>
      <c r="D1143" s="751"/>
      <c r="E1143" s="741"/>
      <c r="F1143" s="741">
        <v>99</v>
      </c>
      <c r="G1143" s="1152"/>
      <c r="H1143" s="1153"/>
      <c r="I1143" s="1152"/>
      <c r="J1143" s="1153"/>
      <c r="K1143" s="1152"/>
      <c r="L1143" s="1153"/>
      <c r="M1143" s="1152"/>
      <c r="N1143" s="1152"/>
      <c r="O1143" s="732">
        <f t="shared" si="141"/>
        <v>0</v>
      </c>
      <c r="P1143" s="1153"/>
      <c r="Q1143" s="1153"/>
      <c r="R1143" s="733">
        <f t="shared" si="144"/>
        <v>0</v>
      </c>
      <c r="S1143" s="732">
        <f t="shared" si="145"/>
        <v>0</v>
      </c>
      <c r="T1143" s="733">
        <f t="shared" si="146"/>
        <v>0</v>
      </c>
      <c r="U1143" s="1152"/>
      <c r="V1143" s="1153"/>
      <c r="W1143" s="1152"/>
      <c r="X1143" s="1152"/>
      <c r="Y1143" s="732">
        <f t="shared" si="142"/>
        <v>0</v>
      </c>
      <c r="Z1143" s="1153"/>
      <c r="AA1143" s="1153"/>
      <c r="AB1143" s="733">
        <f t="shared" si="143"/>
        <v>0</v>
      </c>
      <c r="AC1143" s="1152"/>
      <c r="AD1143" s="1153"/>
      <c r="AE1143" s="1152"/>
      <c r="AF1143" s="1152"/>
      <c r="AG1143" s="1153"/>
      <c r="AH1143" s="1153"/>
      <c r="AI1143" s="732">
        <f t="shared" si="147"/>
        <v>0</v>
      </c>
      <c r="AJ1143" s="733">
        <f t="shared" si="148"/>
        <v>0</v>
      </c>
    </row>
    <row r="1144" spans="1:36">
      <c r="A1144" s="746" t="s">
        <v>549</v>
      </c>
      <c r="B1144" s="738" t="s">
        <v>161</v>
      </c>
      <c r="C1144" s="752" t="s">
        <v>597</v>
      </c>
      <c r="D1144" s="751"/>
      <c r="E1144" s="741"/>
      <c r="F1144" s="741">
        <v>99</v>
      </c>
      <c r="G1144" s="1152"/>
      <c r="H1144" s="1153"/>
      <c r="I1144" s="1152"/>
      <c r="J1144" s="1153"/>
      <c r="K1144" s="1152"/>
      <c r="L1144" s="1153"/>
      <c r="M1144" s="1152"/>
      <c r="N1144" s="1152"/>
      <c r="O1144" s="732">
        <f t="shared" si="141"/>
        <v>0</v>
      </c>
      <c r="P1144" s="1153"/>
      <c r="Q1144" s="1153"/>
      <c r="R1144" s="733">
        <f t="shared" si="144"/>
        <v>0</v>
      </c>
      <c r="S1144" s="732">
        <f t="shared" si="145"/>
        <v>0</v>
      </c>
      <c r="T1144" s="733">
        <f t="shared" si="146"/>
        <v>0</v>
      </c>
      <c r="U1144" s="1152"/>
      <c r="V1144" s="1153"/>
      <c r="W1144" s="1152"/>
      <c r="X1144" s="1152"/>
      <c r="Y1144" s="732">
        <f t="shared" si="142"/>
        <v>0</v>
      </c>
      <c r="Z1144" s="1153"/>
      <c r="AA1144" s="1153"/>
      <c r="AB1144" s="733">
        <f t="shared" si="143"/>
        <v>0</v>
      </c>
      <c r="AC1144" s="1152"/>
      <c r="AD1144" s="1153"/>
      <c r="AE1144" s="1152"/>
      <c r="AF1144" s="1152"/>
      <c r="AG1144" s="1153"/>
      <c r="AH1144" s="1153"/>
      <c r="AI1144" s="732">
        <f t="shared" si="147"/>
        <v>0</v>
      </c>
      <c r="AJ1144" s="733">
        <f t="shared" si="148"/>
        <v>0</v>
      </c>
    </row>
    <row r="1145" spans="1:36">
      <c r="A1145" s="746" t="s">
        <v>549</v>
      </c>
      <c r="B1145" s="738" t="s">
        <v>170</v>
      </c>
      <c r="C1145" s="752" t="s">
        <v>171</v>
      </c>
      <c r="D1145" s="751"/>
      <c r="E1145" s="741"/>
      <c r="F1145" s="741">
        <v>99</v>
      </c>
      <c r="G1145" s="1152"/>
      <c r="H1145" s="1153"/>
      <c r="I1145" s="1152"/>
      <c r="J1145" s="1153"/>
      <c r="K1145" s="1152"/>
      <c r="L1145" s="1153"/>
      <c r="M1145" s="1152"/>
      <c r="N1145" s="1152"/>
      <c r="O1145" s="732">
        <f t="shared" si="141"/>
        <v>0</v>
      </c>
      <c r="P1145" s="1153"/>
      <c r="Q1145" s="1153"/>
      <c r="R1145" s="733">
        <f t="shared" si="144"/>
        <v>0</v>
      </c>
      <c r="S1145" s="732">
        <f t="shared" si="145"/>
        <v>0</v>
      </c>
      <c r="T1145" s="733">
        <f t="shared" si="146"/>
        <v>0</v>
      </c>
      <c r="U1145" s="1152"/>
      <c r="V1145" s="1153"/>
      <c r="W1145" s="1152"/>
      <c r="X1145" s="1152"/>
      <c r="Y1145" s="732">
        <f t="shared" si="142"/>
        <v>0</v>
      </c>
      <c r="Z1145" s="1153"/>
      <c r="AA1145" s="1153"/>
      <c r="AB1145" s="733">
        <f t="shared" si="143"/>
        <v>0</v>
      </c>
      <c r="AC1145" s="1152"/>
      <c r="AD1145" s="1153"/>
      <c r="AE1145" s="1152"/>
      <c r="AF1145" s="1152"/>
      <c r="AG1145" s="1153"/>
      <c r="AH1145" s="1153"/>
      <c r="AI1145" s="732">
        <f t="shared" si="147"/>
        <v>0</v>
      </c>
      <c r="AJ1145" s="733">
        <f t="shared" si="148"/>
        <v>0</v>
      </c>
    </row>
    <row r="1146" spans="1:36">
      <c r="A1146" s="746" t="s">
        <v>549</v>
      </c>
      <c r="B1146" s="738" t="s">
        <v>172</v>
      </c>
      <c r="C1146" s="757" t="s">
        <v>165</v>
      </c>
      <c r="D1146" s="744"/>
      <c r="E1146" s="741"/>
      <c r="F1146" s="741">
        <v>99</v>
      </c>
      <c r="G1146" s="1152"/>
      <c r="H1146" s="1153"/>
      <c r="I1146" s="1152"/>
      <c r="J1146" s="1153"/>
      <c r="K1146" s="1152"/>
      <c r="L1146" s="1153"/>
      <c r="M1146" s="1152"/>
      <c r="N1146" s="1152"/>
      <c r="O1146" s="732">
        <f t="shared" si="141"/>
        <v>0</v>
      </c>
      <c r="P1146" s="1153"/>
      <c r="Q1146" s="1153"/>
      <c r="R1146" s="733">
        <f t="shared" si="144"/>
        <v>0</v>
      </c>
      <c r="S1146" s="732">
        <f t="shared" si="145"/>
        <v>0</v>
      </c>
      <c r="T1146" s="733">
        <f t="shared" si="146"/>
        <v>0</v>
      </c>
      <c r="U1146" s="1152"/>
      <c r="V1146" s="1153"/>
      <c r="W1146" s="1152"/>
      <c r="X1146" s="1152"/>
      <c r="Y1146" s="732">
        <f t="shared" si="142"/>
        <v>0</v>
      </c>
      <c r="Z1146" s="1153"/>
      <c r="AA1146" s="1153"/>
      <c r="AB1146" s="733">
        <f t="shared" si="143"/>
        <v>0</v>
      </c>
      <c r="AC1146" s="1152"/>
      <c r="AD1146" s="1153"/>
      <c r="AE1146" s="1152"/>
      <c r="AF1146" s="1152"/>
      <c r="AG1146" s="1153"/>
      <c r="AH1146" s="1153"/>
      <c r="AI1146" s="732">
        <f t="shared" si="147"/>
        <v>0</v>
      </c>
      <c r="AJ1146" s="733">
        <f t="shared" si="148"/>
        <v>0</v>
      </c>
    </row>
    <row r="1147" spans="1:36">
      <c r="A1147" s="746" t="s">
        <v>549</v>
      </c>
      <c r="B1147" s="738" t="s">
        <v>173</v>
      </c>
      <c r="C1147" s="752" t="s">
        <v>587</v>
      </c>
      <c r="D1147" s="751"/>
      <c r="E1147" s="741"/>
      <c r="F1147" s="741">
        <v>99</v>
      </c>
      <c r="G1147" s="1152"/>
      <c r="H1147" s="1153"/>
      <c r="I1147" s="1152"/>
      <c r="J1147" s="1153"/>
      <c r="K1147" s="1152"/>
      <c r="L1147" s="1153"/>
      <c r="M1147" s="1152"/>
      <c r="N1147" s="1152"/>
      <c r="O1147" s="732">
        <f t="shared" si="141"/>
        <v>0</v>
      </c>
      <c r="P1147" s="1153"/>
      <c r="Q1147" s="1153"/>
      <c r="R1147" s="733">
        <f t="shared" si="144"/>
        <v>0</v>
      </c>
      <c r="S1147" s="732">
        <f t="shared" si="145"/>
        <v>0</v>
      </c>
      <c r="T1147" s="733">
        <f t="shared" si="146"/>
        <v>0</v>
      </c>
      <c r="U1147" s="1152">
        <v>563338</v>
      </c>
      <c r="V1147" s="1153">
        <v>616726</v>
      </c>
      <c r="W1147" s="1152"/>
      <c r="X1147" s="1152"/>
      <c r="Y1147" s="732">
        <f t="shared" si="142"/>
        <v>0</v>
      </c>
      <c r="Z1147" s="1153"/>
      <c r="AA1147" s="1153"/>
      <c r="AB1147" s="733">
        <f t="shared" si="143"/>
        <v>0</v>
      </c>
      <c r="AC1147" s="1152"/>
      <c r="AD1147" s="1153"/>
      <c r="AE1147" s="1152"/>
      <c r="AF1147" s="1152"/>
      <c r="AG1147" s="1153"/>
      <c r="AH1147" s="1153"/>
      <c r="AI1147" s="732">
        <f t="shared" si="147"/>
        <v>563338</v>
      </c>
      <c r="AJ1147" s="733">
        <f t="shared" si="148"/>
        <v>616726</v>
      </c>
    </row>
    <row r="1148" spans="1:36">
      <c r="A1148" s="746" t="s">
        <v>549</v>
      </c>
      <c r="B1148" s="738" t="s">
        <v>176</v>
      </c>
      <c r="C1148" s="752" t="s">
        <v>177</v>
      </c>
      <c r="D1148" s="751"/>
      <c r="E1148" s="741"/>
      <c r="F1148" s="741">
        <v>99</v>
      </c>
      <c r="G1148" s="1152"/>
      <c r="H1148" s="1153"/>
      <c r="I1148" s="1152"/>
      <c r="J1148" s="1153"/>
      <c r="K1148" s="1152"/>
      <c r="L1148" s="1153"/>
      <c r="M1148" s="1152"/>
      <c r="N1148" s="1152"/>
      <c r="O1148" s="732">
        <f t="shared" si="141"/>
        <v>0</v>
      </c>
      <c r="P1148" s="1153"/>
      <c r="Q1148" s="1153"/>
      <c r="R1148" s="733">
        <f t="shared" si="144"/>
        <v>0</v>
      </c>
      <c r="S1148" s="732">
        <f t="shared" si="145"/>
        <v>0</v>
      </c>
      <c r="T1148" s="733">
        <f t="shared" si="146"/>
        <v>0</v>
      </c>
      <c r="U1148" s="1152"/>
      <c r="V1148" s="1153"/>
      <c r="W1148" s="1152"/>
      <c r="X1148" s="1152"/>
      <c r="Y1148" s="732">
        <f t="shared" si="142"/>
        <v>0</v>
      </c>
      <c r="Z1148" s="1153"/>
      <c r="AA1148" s="1153"/>
      <c r="AB1148" s="733">
        <f t="shared" si="143"/>
        <v>0</v>
      </c>
      <c r="AC1148" s="1152"/>
      <c r="AD1148" s="1153"/>
      <c r="AE1148" s="1152"/>
      <c r="AF1148" s="1152"/>
      <c r="AG1148" s="1153"/>
      <c r="AH1148" s="1153"/>
      <c r="AI1148" s="732">
        <f t="shared" si="147"/>
        <v>0</v>
      </c>
      <c r="AJ1148" s="733">
        <f t="shared" si="148"/>
        <v>0</v>
      </c>
    </row>
    <row r="1149" spans="1:36">
      <c r="A1149" s="746" t="s">
        <v>549</v>
      </c>
      <c r="B1149" s="738" t="s">
        <v>180</v>
      </c>
      <c r="C1149" s="752" t="s">
        <v>165</v>
      </c>
      <c r="D1149" s="751"/>
      <c r="E1149" s="741"/>
      <c r="F1149" s="741">
        <v>99</v>
      </c>
      <c r="G1149" s="1152"/>
      <c r="H1149" s="1153"/>
      <c r="I1149" s="1152"/>
      <c r="J1149" s="1153"/>
      <c r="K1149" s="1152"/>
      <c r="L1149" s="1153"/>
      <c r="M1149" s="1152"/>
      <c r="N1149" s="1152"/>
      <c r="O1149" s="732">
        <f t="shared" si="141"/>
        <v>0</v>
      </c>
      <c r="P1149" s="1153"/>
      <c r="Q1149" s="1153"/>
      <c r="R1149" s="733">
        <f t="shared" si="144"/>
        <v>0</v>
      </c>
      <c r="S1149" s="732">
        <f t="shared" si="145"/>
        <v>0</v>
      </c>
      <c r="T1149" s="733">
        <f t="shared" si="146"/>
        <v>0</v>
      </c>
      <c r="U1149" s="1152"/>
      <c r="V1149" s="1153"/>
      <c r="W1149" s="1152"/>
      <c r="X1149" s="1152"/>
      <c r="Y1149" s="732">
        <f t="shared" si="142"/>
        <v>0</v>
      </c>
      <c r="Z1149" s="1153"/>
      <c r="AA1149" s="1153"/>
      <c r="AB1149" s="733">
        <f t="shared" si="143"/>
        <v>0</v>
      </c>
      <c r="AC1149" s="1152"/>
      <c r="AD1149" s="1153"/>
      <c r="AE1149" s="1152"/>
      <c r="AF1149" s="1152"/>
      <c r="AG1149" s="1153"/>
      <c r="AH1149" s="1153"/>
      <c r="AI1149" s="732">
        <f t="shared" si="147"/>
        <v>0</v>
      </c>
      <c r="AJ1149" s="733">
        <f t="shared" si="148"/>
        <v>0</v>
      </c>
    </row>
    <row r="1150" spans="1:36">
      <c r="A1150" s="746" t="s">
        <v>549</v>
      </c>
      <c r="B1150" s="738" t="s">
        <v>178</v>
      </c>
      <c r="C1150" s="752" t="s">
        <v>587</v>
      </c>
      <c r="D1150" s="751"/>
      <c r="E1150" s="741"/>
      <c r="F1150" s="741">
        <v>99</v>
      </c>
      <c r="G1150" s="1152"/>
      <c r="H1150" s="1153"/>
      <c r="I1150" s="1152"/>
      <c r="J1150" s="1153"/>
      <c r="K1150" s="1152"/>
      <c r="L1150" s="1153"/>
      <c r="M1150" s="1152"/>
      <c r="N1150" s="1152"/>
      <c r="O1150" s="732">
        <f t="shared" si="141"/>
        <v>0</v>
      </c>
      <c r="P1150" s="1153"/>
      <c r="Q1150" s="1153"/>
      <c r="R1150" s="733">
        <f t="shared" si="144"/>
        <v>0</v>
      </c>
      <c r="S1150" s="732">
        <f t="shared" si="145"/>
        <v>0</v>
      </c>
      <c r="T1150" s="733">
        <f t="shared" si="146"/>
        <v>0</v>
      </c>
      <c r="U1150" s="1152">
        <v>73948</v>
      </c>
      <c r="V1150" s="1153">
        <v>90993</v>
      </c>
      <c r="W1150" s="1152"/>
      <c r="X1150" s="1152"/>
      <c r="Y1150" s="732">
        <f t="shared" si="142"/>
        <v>0</v>
      </c>
      <c r="Z1150" s="1153"/>
      <c r="AA1150" s="1153"/>
      <c r="AB1150" s="733">
        <f t="shared" si="143"/>
        <v>0</v>
      </c>
      <c r="AC1150" s="1152"/>
      <c r="AD1150" s="1153"/>
      <c r="AE1150" s="1152"/>
      <c r="AF1150" s="1152"/>
      <c r="AG1150" s="1153"/>
      <c r="AH1150" s="1153"/>
      <c r="AI1150" s="732">
        <f t="shared" si="147"/>
        <v>73948</v>
      </c>
      <c r="AJ1150" s="733">
        <f t="shared" si="148"/>
        <v>90993</v>
      </c>
    </row>
    <row r="1151" spans="1:36">
      <c r="A1151" s="746" t="s">
        <v>549</v>
      </c>
      <c r="B1151" s="738" t="s">
        <v>161</v>
      </c>
      <c r="C1151" s="752" t="s">
        <v>598</v>
      </c>
      <c r="D1151" s="751"/>
      <c r="E1151" s="741"/>
      <c r="F1151" s="741">
        <v>99</v>
      </c>
      <c r="G1151" s="1152"/>
      <c r="H1151" s="1153"/>
      <c r="I1151" s="1152"/>
      <c r="J1151" s="1153"/>
      <c r="K1151" s="1152"/>
      <c r="L1151" s="1153"/>
      <c r="M1151" s="1152"/>
      <c r="N1151" s="1152"/>
      <c r="O1151" s="732">
        <f t="shared" si="141"/>
        <v>0</v>
      </c>
      <c r="P1151" s="1153"/>
      <c r="Q1151" s="1153"/>
      <c r="R1151" s="733">
        <f t="shared" si="144"/>
        <v>0</v>
      </c>
      <c r="S1151" s="732">
        <f t="shared" si="145"/>
        <v>0</v>
      </c>
      <c r="T1151" s="733">
        <f t="shared" si="146"/>
        <v>0</v>
      </c>
      <c r="U1151" s="1152"/>
      <c r="V1151" s="1153"/>
      <c r="W1151" s="1152"/>
      <c r="X1151" s="1152"/>
      <c r="Y1151" s="732">
        <f t="shared" si="142"/>
        <v>0</v>
      </c>
      <c r="Z1151" s="1153"/>
      <c r="AA1151" s="1153"/>
      <c r="AB1151" s="733">
        <f t="shared" si="143"/>
        <v>0</v>
      </c>
      <c r="AC1151" s="1152"/>
      <c r="AD1151" s="1153"/>
      <c r="AE1151" s="1152"/>
      <c r="AF1151" s="1152"/>
      <c r="AG1151" s="1153"/>
      <c r="AH1151" s="1153"/>
      <c r="AI1151" s="732">
        <f t="shared" si="147"/>
        <v>0</v>
      </c>
      <c r="AJ1151" s="733">
        <f t="shared" si="148"/>
        <v>0</v>
      </c>
    </row>
    <row r="1152" spans="1:36">
      <c r="A1152" s="746" t="s">
        <v>549</v>
      </c>
      <c r="B1152" s="738" t="s">
        <v>170</v>
      </c>
      <c r="C1152" s="752" t="s">
        <v>171</v>
      </c>
      <c r="D1152" s="751"/>
      <c r="E1152" s="741"/>
      <c r="F1152" s="741">
        <v>99</v>
      </c>
      <c r="G1152" s="1152"/>
      <c r="H1152" s="1153"/>
      <c r="I1152" s="1152"/>
      <c r="J1152" s="1153"/>
      <c r="K1152" s="1152"/>
      <c r="L1152" s="1153"/>
      <c r="M1152" s="1152"/>
      <c r="N1152" s="1152"/>
      <c r="O1152" s="732">
        <f t="shared" si="141"/>
        <v>0</v>
      </c>
      <c r="P1152" s="1153"/>
      <c r="Q1152" s="1153"/>
      <c r="R1152" s="733">
        <f t="shared" si="144"/>
        <v>0</v>
      </c>
      <c r="S1152" s="732">
        <f t="shared" si="145"/>
        <v>0</v>
      </c>
      <c r="T1152" s="733">
        <f t="shared" si="146"/>
        <v>0</v>
      </c>
      <c r="U1152" s="1152"/>
      <c r="V1152" s="1153"/>
      <c r="W1152" s="1152"/>
      <c r="X1152" s="1152"/>
      <c r="Y1152" s="732">
        <f t="shared" si="142"/>
        <v>0</v>
      </c>
      <c r="Z1152" s="1153"/>
      <c r="AA1152" s="1153"/>
      <c r="AB1152" s="733">
        <f t="shared" si="143"/>
        <v>0</v>
      </c>
      <c r="AC1152" s="1152"/>
      <c r="AD1152" s="1153"/>
      <c r="AE1152" s="1152"/>
      <c r="AF1152" s="1152"/>
      <c r="AG1152" s="1153"/>
      <c r="AH1152" s="1153"/>
      <c r="AI1152" s="732">
        <f t="shared" si="147"/>
        <v>0</v>
      </c>
      <c r="AJ1152" s="733">
        <f t="shared" si="148"/>
        <v>0</v>
      </c>
    </row>
    <row r="1153" spans="1:36">
      <c r="A1153" s="746" t="s">
        <v>549</v>
      </c>
      <c r="B1153" s="738" t="s">
        <v>172</v>
      </c>
      <c r="C1153" s="757" t="s">
        <v>165</v>
      </c>
      <c r="D1153" s="744"/>
      <c r="E1153" s="741"/>
      <c r="F1153" s="741">
        <v>99</v>
      </c>
      <c r="G1153" s="1152"/>
      <c r="H1153" s="1153"/>
      <c r="I1153" s="1152"/>
      <c r="J1153" s="1153"/>
      <c r="K1153" s="1152"/>
      <c r="L1153" s="1153"/>
      <c r="M1153" s="1152"/>
      <c r="N1153" s="1152"/>
      <c r="O1153" s="732">
        <f t="shared" si="141"/>
        <v>0</v>
      </c>
      <c r="P1153" s="1153"/>
      <c r="Q1153" s="1153"/>
      <c r="R1153" s="733">
        <f t="shared" si="144"/>
        <v>0</v>
      </c>
      <c r="S1153" s="732">
        <f t="shared" si="145"/>
        <v>0</v>
      </c>
      <c r="T1153" s="733">
        <f t="shared" si="146"/>
        <v>0</v>
      </c>
      <c r="U1153" s="1152">
        <v>821500</v>
      </c>
      <c r="V1153" s="1153">
        <v>819000</v>
      </c>
      <c r="W1153" s="1152"/>
      <c r="X1153" s="1152"/>
      <c r="Y1153" s="732">
        <f t="shared" si="142"/>
        <v>0</v>
      </c>
      <c r="Z1153" s="1153"/>
      <c r="AA1153" s="1153"/>
      <c r="AB1153" s="733">
        <f t="shared" si="143"/>
        <v>0</v>
      </c>
      <c r="AC1153" s="1152"/>
      <c r="AD1153" s="1153"/>
      <c r="AE1153" s="1152"/>
      <c r="AF1153" s="1152"/>
      <c r="AG1153" s="1153"/>
      <c r="AH1153" s="1153"/>
      <c r="AI1153" s="732">
        <f t="shared" si="147"/>
        <v>821500</v>
      </c>
      <c r="AJ1153" s="733">
        <f t="shared" si="148"/>
        <v>819000</v>
      </c>
    </row>
    <row r="1154" spans="1:36">
      <c r="A1154" s="746" t="s">
        <v>549</v>
      </c>
      <c r="B1154" s="738" t="s">
        <v>173</v>
      </c>
      <c r="C1154" s="745" t="s">
        <v>587</v>
      </c>
      <c r="D1154" s="744"/>
      <c r="E1154" s="741"/>
      <c r="F1154" s="741">
        <v>99</v>
      </c>
      <c r="G1154" s="1152"/>
      <c r="H1154" s="1153"/>
      <c r="I1154" s="1152"/>
      <c r="J1154" s="1153"/>
      <c r="K1154" s="1152"/>
      <c r="L1154" s="1153"/>
      <c r="M1154" s="1152"/>
      <c r="N1154" s="1152"/>
      <c r="O1154" s="732">
        <f t="shared" si="141"/>
        <v>0</v>
      </c>
      <c r="P1154" s="1153"/>
      <c r="Q1154" s="1153"/>
      <c r="R1154" s="733">
        <f t="shared" si="144"/>
        <v>0</v>
      </c>
      <c r="S1154" s="732">
        <f t="shared" si="145"/>
        <v>0</v>
      </c>
      <c r="T1154" s="733">
        <f t="shared" si="146"/>
        <v>0</v>
      </c>
      <c r="U1154" s="1152"/>
      <c r="V1154" s="1153"/>
      <c r="W1154" s="1152"/>
      <c r="X1154" s="1152"/>
      <c r="Y1154" s="732">
        <f t="shared" si="142"/>
        <v>0</v>
      </c>
      <c r="Z1154" s="1153"/>
      <c r="AA1154" s="1153"/>
      <c r="AB1154" s="733">
        <f t="shared" si="143"/>
        <v>0</v>
      </c>
      <c r="AC1154" s="1152"/>
      <c r="AD1154" s="1153"/>
      <c r="AE1154" s="1152"/>
      <c r="AF1154" s="1152"/>
      <c r="AG1154" s="1153"/>
      <c r="AH1154" s="1153"/>
      <c r="AI1154" s="732">
        <f t="shared" si="147"/>
        <v>0</v>
      </c>
      <c r="AJ1154" s="733">
        <f t="shared" si="148"/>
        <v>0</v>
      </c>
    </row>
    <row r="1155" spans="1:36">
      <c r="A1155" s="746" t="s">
        <v>549</v>
      </c>
      <c r="B1155" s="738" t="s">
        <v>176</v>
      </c>
      <c r="C1155" s="745" t="s">
        <v>177</v>
      </c>
      <c r="D1155" s="744"/>
      <c r="E1155" s="741"/>
      <c r="F1155" s="741">
        <v>99</v>
      </c>
      <c r="G1155" s="1152"/>
      <c r="H1155" s="1153"/>
      <c r="I1155" s="1152"/>
      <c r="J1155" s="1153"/>
      <c r="K1155" s="1152"/>
      <c r="L1155" s="1153"/>
      <c r="M1155" s="1152"/>
      <c r="N1155" s="1152"/>
      <c r="O1155" s="732">
        <f t="shared" si="141"/>
        <v>0</v>
      </c>
      <c r="P1155" s="1153"/>
      <c r="Q1155" s="1153"/>
      <c r="R1155" s="733">
        <f t="shared" si="144"/>
        <v>0</v>
      </c>
      <c r="S1155" s="732">
        <f t="shared" si="145"/>
        <v>0</v>
      </c>
      <c r="T1155" s="733">
        <f t="shared" si="146"/>
        <v>0</v>
      </c>
      <c r="U1155" s="1152"/>
      <c r="V1155" s="1153"/>
      <c r="W1155" s="1152"/>
      <c r="X1155" s="1152"/>
      <c r="Y1155" s="732">
        <f t="shared" si="142"/>
        <v>0</v>
      </c>
      <c r="Z1155" s="1153"/>
      <c r="AA1155" s="1153"/>
      <c r="AB1155" s="733">
        <f t="shared" si="143"/>
        <v>0</v>
      </c>
      <c r="AC1155" s="1152"/>
      <c r="AD1155" s="1153"/>
      <c r="AE1155" s="1152"/>
      <c r="AF1155" s="1152"/>
      <c r="AG1155" s="1153"/>
      <c r="AH1155" s="1153"/>
      <c r="AI1155" s="732">
        <f t="shared" si="147"/>
        <v>0</v>
      </c>
      <c r="AJ1155" s="733">
        <f t="shared" si="148"/>
        <v>0</v>
      </c>
    </row>
    <row r="1156" spans="1:36">
      <c r="A1156" s="746" t="s">
        <v>549</v>
      </c>
      <c r="B1156" s="738" t="s">
        <v>180</v>
      </c>
      <c r="C1156" s="758" t="s">
        <v>165</v>
      </c>
      <c r="D1156" s="744"/>
      <c r="E1156" s="741"/>
      <c r="F1156" s="741">
        <v>99</v>
      </c>
      <c r="G1156" s="1152"/>
      <c r="H1156" s="1153"/>
      <c r="I1156" s="1152"/>
      <c r="J1156" s="1153"/>
      <c r="K1156" s="1152"/>
      <c r="L1156" s="1153"/>
      <c r="M1156" s="1152"/>
      <c r="N1156" s="1152"/>
      <c r="O1156" s="732">
        <f t="shared" si="141"/>
        <v>0</v>
      </c>
      <c r="P1156" s="1153"/>
      <c r="Q1156" s="1153"/>
      <c r="R1156" s="733">
        <f t="shared" si="144"/>
        <v>0</v>
      </c>
      <c r="S1156" s="732">
        <f t="shared" si="145"/>
        <v>0</v>
      </c>
      <c r="T1156" s="733">
        <f t="shared" si="146"/>
        <v>0</v>
      </c>
      <c r="U1156" s="1152">
        <v>227500</v>
      </c>
      <c r="V1156" s="1153">
        <v>251000</v>
      </c>
      <c r="W1156" s="1152"/>
      <c r="X1156" s="1152"/>
      <c r="Y1156" s="732">
        <f t="shared" si="142"/>
        <v>0</v>
      </c>
      <c r="Z1156" s="1153"/>
      <c r="AA1156" s="1153"/>
      <c r="AB1156" s="733">
        <f t="shared" si="143"/>
        <v>0</v>
      </c>
      <c r="AC1156" s="1152"/>
      <c r="AD1156" s="1153"/>
      <c r="AE1156" s="1152"/>
      <c r="AF1156" s="1152"/>
      <c r="AG1156" s="1153"/>
      <c r="AH1156" s="1153"/>
      <c r="AI1156" s="732">
        <f t="shared" si="147"/>
        <v>227500</v>
      </c>
      <c r="AJ1156" s="733">
        <f t="shared" si="148"/>
        <v>251000</v>
      </c>
    </row>
    <row r="1157" spans="1:36">
      <c r="A1157" s="746" t="s">
        <v>549</v>
      </c>
      <c r="B1157" s="738" t="s">
        <v>178</v>
      </c>
      <c r="C1157" s="752" t="s">
        <v>587</v>
      </c>
      <c r="D1157" s="751"/>
      <c r="E1157" s="741"/>
      <c r="F1157" s="741">
        <v>99</v>
      </c>
      <c r="G1157" s="1152"/>
      <c r="H1157" s="1153"/>
      <c r="I1157" s="1152"/>
      <c r="J1157" s="1153"/>
      <c r="K1157" s="1152"/>
      <c r="L1157" s="1153"/>
      <c r="M1157" s="1152"/>
      <c r="N1157" s="1152"/>
      <c r="O1157" s="732">
        <f t="shared" si="141"/>
        <v>0</v>
      </c>
      <c r="P1157" s="1153"/>
      <c r="Q1157" s="1153"/>
      <c r="R1157" s="733">
        <f t="shared" si="144"/>
        <v>0</v>
      </c>
      <c r="S1157" s="732">
        <f t="shared" si="145"/>
        <v>0</v>
      </c>
      <c r="T1157" s="733">
        <f t="shared" si="146"/>
        <v>0</v>
      </c>
      <c r="U1157" s="1152"/>
      <c r="V1157" s="1153"/>
      <c r="W1157" s="1152"/>
      <c r="X1157" s="1152"/>
      <c r="Y1157" s="732">
        <f t="shared" si="142"/>
        <v>0</v>
      </c>
      <c r="Z1157" s="1153"/>
      <c r="AA1157" s="1153"/>
      <c r="AB1157" s="733">
        <f t="shared" si="143"/>
        <v>0</v>
      </c>
      <c r="AC1157" s="1152"/>
      <c r="AD1157" s="1153"/>
      <c r="AE1157" s="1152"/>
      <c r="AF1157" s="1152"/>
      <c r="AG1157" s="1153"/>
      <c r="AH1157" s="1153"/>
      <c r="AI1157" s="732">
        <f t="shared" si="147"/>
        <v>0</v>
      </c>
      <c r="AJ1157" s="733">
        <f t="shared" si="148"/>
        <v>0</v>
      </c>
    </row>
    <row r="1158" spans="1:36" customFormat="1" ht="25.5" customHeight="1">
      <c r="A1158" s="746" t="s">
        <v>549</v>
      </c>
      <c r="B1158" s="738"/>
      <c r="C1158" s="769" t="s">
        <v>1667</v>
      </c>
      <c r="D1158" s="751"/>
      <c r="E1158" s="741"/>
      <c r="F1158" s="741"/>
      <c r="G1158" s="1158"/>
      <c r="H1158" s="1159"/>
      <c r="I1158" s="1158"/>
      <c r="J1158" s="1159"/>
      <c r="K1158" s="1158"/>
      <c r="L1158" s="1159"/>
      <c r="M1158" s="1158"/>
      <c r="N1158" s="1158"/>
      <c r="O1158" s="732">
        <f t="shared" si="141"/>
        <v>0</v>
      </c>
      <c r="P1158" s="1159"/>
      <c r="Q1158" s="1159"/>
      <c r="R1158" s="733">
        <f t="shared" si="144"/>
        <v>0</v>
      </c>
      <c r="S1158" s="732">
        <f t="shared" si="145"/>
        <v>0</v>
      </c>
      <c r="T1158" s="733">
        <f t="shared" si="146"/>
        <v>0</v>
      </c>
      <c r="U1158" s="1158"/>
      <c r="V1158" s="1159"/>
      <c r="W1158" s="1158"/>
      <c r="X1158" s="1158"/>
      <c r="Y1158" s="732">
        <f t="shared" si="142"/>
        <v>0</v>
      </c>
      <c r="Z1158" s="1159"/>
      <c r="AA1158" s="1159"/>
      <c r="AB1158" s="733">
        <f t="shared" si="143"/>
        <v>0</v>
      </c>
      <c r="AC1158" s="1158"/>
      <c r="AD1158" s="1159"/>
      <c r="AE1158" s="1158"/>
      <c r="AF1158" s="1158"/>
      <c r="AG1158" s="1159"/>
      <c r="AH1158" s="1159"/>
      <c r="AI1158" s="732">
        <f t="shared" si="147"/>
        <v>0</v>
      </c>
      <c r="AJ1158" s="733">
        <f t="shared" si="148"/>
        <v>0</v>
      </c>
    </row>
    <row r="1159" spans="1:36">
      <c r="A1159" s="746" t="s">
        <v>549</v>
      </c>
      <c r="B1159" s="738"/>
      <c r="C1159" s="745" t="s">
        <v>171</v>
      </c>
      <c r="D1159" s="751"/>
      <c r="E1159" s="741"/>
      <c r="F1159" s="741"/>
      <c r="G1159" s="1158"/>
      <c r="H1159" s="1159"/>
      <c r="I1159" s="1158"/>
      <c r="J1159" s="1159"/>
      <c r="K1159" s="1158"/>
      <c r="L1159" s="1159"/>
      <c r="M1159" s="1158"/>
      <c r="N1159" s="1158"/>
      <c r="O1159" s="732">
        <f t="shared" si="141"/>
        <v>0</v>
      </c>
      <c r="P1159" s="1159"/>
      <c r="Q1159" s="1159"/>
      <c r="R1159" s="733">
        <f t="shared" si="144"/>
        <v>0</v>
      </c>
      <c r="S1159" s="732">
        <f t="shared" si="145"/>
        <v>0</v>
      </c>
      <c r="T1159" s="733">
        <f t="shared" si="146"/>
        <v>0</v>
      </c>
      <c r="U1159" s="1158"/>
      <c r="V1159" s="1159"/>
      <c r="W1159" s="1158"/>
      <c r="X1159" s="1158"/>
      <c r="Y1159" s="732">
        <f t="shared" si="142"/>
        <v>0</v>
      </c>
      <c r="Z1159" s="1159"/>
      <c r="AA1159" s="1159"/>
      <c r="AB1159" s="733">
        <f t="shared" si="143"/>
        <v>0</v>
      </c>
      <c r="AC1159" s="1158"/>
      <c r="AD1159" s="1159"/>
      <c r="AE1159" s="1158"/>
      <c r="AF1159" s="1158"/>
      <c r="AG1159" s="1159"/>
      <c r="AH1159" s="1159"/>
      <c r="AI1159" s="732">
        <f t="shared" si="147"/>
        <v>0</v>
      </c>
      <c r="AJ1159" s="733">
        <f t="shared" si="148"/>
        <v>0</v>
      </c>
    </row>
    <row r="1160" spans="1:36">
      <c r="A1160" s="746" t="s">
        <v>549</v>
      </c>
      <c r="B1160" s="738"/>
      <c r="C1160" s="745" t="s">
        <v>165</v>
      </c>
      <c r="D1160" s="751"/>
      <c r="E1160" s="741"/>
      <c r="F1160" s="741"/>
      <c r="G1160" s="1158"/>
      <c r="H1160" s="1159"/>
      <c r="I1160" s="1158"/>
      <c r="J1160" s="1159"/>
      <c r="K1160" s="1158"/>
      <c r="L1160" s="1159"/>
      <c r="M1160" s="1158"/>
      <c r="N1160" s="1158"/>
      <c r="O1160" s="732">
        <f t="shared" si="141"/>
        <v>0</v>
      </c>
      <c r="P1160" s="1159"/>
      <c r="Q1160" s="1159"/>
      <c r="R1160" s="733">
        <f t="shared" si="144"/>
        <v>0</v>
      </c>
      <c r="S1160" s="732">
        <f t="shared" si="145"/>
        <v>0</v>
      </c>
      <c r="T1160" s="733">
        <f t="shared" si="146"/>
        <v>0</v>
      </c>
      <c r="U1160" s="1158"/>
      <c r="V1160" s="1159">
        <v>6222164</v>
      </c>
      <c r="W1160" s="1158"/>
      <c r="X1160" s="1158"/>
      <c r="Y1160" s="732">
        <f t="shared" si="142"/>
        <v>0</v>
      </c>
      <c r="Z1160" s="1159"/>
      <c r="AA1160" s="1159"/>
      <c r="AB1160" s="733">
        <f t="shared" si="143"/>
        <v>0</v>
      </c>
      <c r="AC1160" s="1158"/>
      <c r="AD1160" s="1159"/>
      <c r="AE1160" s="1158"/>
      <c r="AF1160" s="1158"/>
      <c r="AG1160" s="1159"/>
      <c r="AH1160" s="1159"/>
      <c r="AI1160" s="732">
        <f t="shared" si="147"/>
        <v>0</v>
      </c>
      <c r="AJ1160" s="733">
        <f t="shared" si="148"/>
        <v>6222164</v>
      </c>
    </row>
    <row r="1161" spans="1:36">
      <c r="A1161" s="746" t="s">
        <v>549</v>
      </c>
      <c r="B1161" s="738"/>
      <c r="C1161" s="745" t="s">
        <v>587</v>
      </c>
      <c r="D1161" s="751"/>
      <c r="E1161" s="741"/>
      <c r="F1161" s="741"/>
      <c r="G1161" s="1158"/>
      <c r="H1161" s="1159"/>
      <c r="I1161" s="1158"/>
      <c r="J1161" s="1159"/>
      <c r="K1161" s="1158"/>
      <c r="L1161" s="1159"/>
      <c r="M1161" s="1158"/>
      <c r="N1161" s="1158"/>
      <c r="O1161" s="732">
        <f t="shared" si="141"/>
        <v>0</v>
      </c>
      <c r="P1161" s="1159"/>
      <c r="Q1161" s="1159"/>
      <c r="R1161" s="733">
        <f t="shared" si="144"/>
        <v>0</v>
      </c>
      <c r="S1161" s="732">
        <f t="shared" si="145"/>
        <v>0</v>
      </c>
      <c r="T1161" s="733">
        <f t="shared" si="146"/>
        <v>0</v>
      </c>
      <c r="U1161" s="1158"/>
      <c r="V1161" s="1159"/>
      <c r="W1161" s="1158"/>
      <c r="X1161" s="1158"/>
      <c r="Y1161" s="732">
        <f t="shared" si="142"/>
        <v>0</v>
      </c>
      <c r="Z1161" s="1159"/>
      <c r="AA1161" s="1159"/>
      <c r="AB1161" s="733">
        <f t="shared" si="143"/>
        <v>0</v>
      </c>
      <c r="AC1161" s="1158"/>
      <c r="AD1161" s="1159"/>
      <c r="AE1161" s="1158"/>
      <c r="AF1161" s="1158"/>
      <c r="AG1161" s="1159"/>
      <c r="AH1161" s="1159"/>
      <c r="AI1161" s="732">
        <f t="shared" si="147"/>
        <v>0</v>
      </c>
      <c r="AJ1161" s="733">
        <f t="shared" si="148"/>
        <v>0</v>
      </c>
    </row>
    <row r="1162" spans="1:36">
      <c r="A1162" s="746" t="s">
        <v>549</v>
      </c>
      <c r="B1162" s="738"/>
      <c r="C1162" s="745" t="s">
        <v>177</v>
      </c>
      <c r="D1162" s="751"/>
      <c r="E1162" s="741"/>
      <c r="F1162" s="741"/>
      <c r="G1162" s="1158"/>
      <c r="H1162" s="1159"/>
      <c r="I1162" s="1158"/>
      <c r="J1162" s="1159"/>
      <c r="K1162" s="1158"/>
      <c r="L1162" s="1159"/>
      <c r="M1162" s="1158"/>
      <c r="N1162" s="1158"/>
      <c r="O1162" s="732">
        <f t="shared" ref="O1162:O1225" si="149">SUM(M1162:N1162)</f>
        <v>0</v>
      </c>
      <c r="P1162" s="1159"/>
      <c r="Q1162" s="1159"/>
      <c r="R1162" s="733">
        <f t="shared" si="144"/>
        <v>0</v>
      </c>
      <c r="S1162" s="732">
        <f t="shared" si="145"/>
        <v>0</v>
      </c>
      <c r="T1162" s="733">
        <f t="shared" si="146"/>
        <v>0</v>
      </c>
      <c r="U1162" s="1158"/>
      <c r="V1162" s="1159"/>
      <c r="W1162" s="1158"/>
      <c r="X1162" s="1158"/>
      <c r="Y1162" s="732">
        <f t="shared" ref="Y1162:Y1225" si="150">SUM(W1162:X1162)</f>
        <v>0</v>
      </c>
      <c r="Z1162" s="1159"/>
      <c r="AA1162" s="1159"/>
      <c r="AB1162" s="733">
        <f t="shared" ref="AB1162:AB1225" si="151">SUM(Z1162:AA1162)</f>
        <v>0</v>
      </c>
      <c r="AC1162" s="1158"/>
      <c r="AD1162" s="1159"/>
      <c r="AE1162" s="1158"/>
      <c r="AF1162" s="1158"/>
      <c r="AG1162" s="1159"/>
      <c r="AH1162" s="1159"/>
      <c r="AI1162" s="732">
        <f t="shared" si="147"/>
        <v>0</v>
      </c>
      <c r="AJ1162" s="733">
        <f t="shared" si="148"/>
        <v>0</v>
      </c>
    </row>
    <row r="1163" spans="1:36">
      <c r="A1163" s="746" t="s">
        <v>549</v>
      </c>
      <c r="B1163" s="738"/>
      <c r="C1163" s="745" t="s">
        <v>165</v>
      </c>
      <c r="D1163" s="751"/>
      <c r="E1163" s="741"/>
      <c r="F1163" s="741"/>
      <c r="G1163" s="1158"/>
      <c r="H1163" s="1159"/>
      <c r="I1163" s="1158"/>
      <c r="J1163" s="1159"/>
      <c r="K1163" s="1158"/>
      <c r="L1163" s="1159"/>
      <c r="M1163" s="1158"/>
      <c r="N1163" s="1158"/>
      <c r="O1163" s="732">
        <f t="shared" si="149"/>
        <v>0</v>
      </c>
      <c r="P1163" s="1159"/>
      <c r="Q1163" s="1159"/>
      <c r="R1163" s="733">
        <f t="shared" ref="R1163:R1226" si="152">SUM(P1163:Q1163)</f>
        <v>0</v>
      </c>
      <c r="S1163" s="732">
        <f t="shared" ref="S1163:S1226" si="153">SUM(G1163,I1163,K1163,M1163)</f>
        <v>0</v>
      </c>
      <c r="T1163" s="733">
        <f t="shared" ref="T1163:T1226" si="154">SUM(H1163,J1163,L1163,P1163)</f>
        <v>0</v>
      </c>
      <c r="U1163" s="1158"/>
      <c r="V1163" s="1160"/>
      <c r="W1163" s="1158"/>
      <c r="X1163" s="1158"/>
      <c r="Y1163" s="732">
        <f t="shared" si="150"/>
        <v>0</v>
      </c>
      <c r="Z1163" s="1159"/>
      <c r="AA1163" s="1159"/>
      <c r="AB1163" s="733">
        <f t="shared" si="151"/>
        <v>0</v>
      </c>
      <c r="AC1163" s="1158"/>
      <c r="AD1163" s="1159"/>
      <c r="AE1163" s="1158"/>
      <c r="AF1163" s="1158"/>
      <c r="AG1163" s="1159"/>
      <c r="AH1163" s="1159"/>
      <c r="AI1163" s="732">
        <f t="shared" ref="AI1163:AI1226" si="155">SUM(S1163,U1163,W1163,AC1163,AE1163)</f>
        <v>0</v>
      </c>
      <c r="AJ1163" s="733">
        <f t="shared" ref="AJ1163:AJ1226" si="156">SUM(T1163,V1163,Z1163,AD1163,AG1163)</f>
        <v>0</v>
      </c>
    </row>
    <row r="1164" spans="1:36">
      <c r="A1164" s="746" t="s">
        <v>549</v>
      </c>
      <c r="B1164" s="738"/>
      <c r="C1164" s="745" t="s">
        <v>587</v>
      </c>
      <c r="D1164" s="751"/>
      <c r="E1164" s="741"/>
      <c r="F1164" s="741"/>
      <c r="G1164" s="1158"/>
      <c r="H1164" s="1159"/>
      <c r="I1164" s="1158"/>
      <c r="J1164" s="1159"/>
      <c r="K1164" s="1158"/>
      <c r="L1164" s="1159"/>
      <c r="M1164" s="1158"/>
      <c r="N1164" s="1158"/>
      <c r="O1164" s="732">
        <f t="shared" si="149"/>
        <v>0</v>
      </c>
      <c r="P1164" s="1159"/>
      <c r="Q1164" s="1159"/>
      <c r="R1164" s="733">
        <f t="shared" si="152"/>
        <v>0</v>
      </c>
      <c r="S1164" s="732">
        <f t="shared" si="153"/>
        <v>0</v>
      </c>
      <c r="T1164" s="733">
        <f t="shared" si="154"/>
        <v>0</v>
      </c>
      <c r="U1164" s="1158"/>
      <c r="V1164" s="1159"/>
      <c r="W1164" s="1158"/>
      <c r="X1164" s="1158"/>
      <c r="Y1164" s="732">
        <f t="shared" si="150"/>
        <v>0</v>
      </c>
      <c r="Z1164" s="1159"/>
      <c r="AA1164" s="1159"/>
      <c r="AB1164" s="733">
        <f t="shared" si="151"/>
        <v>0</v>
      </c>
      <c r="AC1164" s="1158"/>
      <c r="AD1164" s="1159"/>
      <c r="AE1164" s="1158"/>
      <c r="AF1164" s="1158"/>
      <c r="AG1164" s="1159"/>
      <c r="AH1164" s="1159"/>
      <c r="AI1164" s="732">
        <f t="shared" si="155"/>
        <v>0</v>
      </c>
      <c r="AJ1164" s="733">
        <f t="shared" si="156"/>
        <v>0</v>
      </c>
    </row>
    <row r="1165" spans="1:36">
      <c r="A1165" s="746" t="s">
        <v>549</v>
      </c>
      <c r="B1165" s="738"/>
      <c r="C1165" s="769" t="s">
        <v>1668</v>
      </c>
      <c r="D1165" s="751"/>
      <c r="E1165" s="741"/>
      <c r="F1165" s="741"/>
      <c r="G1165" s="1158"/>
      <c r="H1165" s="1159"/>
      <c r="I1165" s="1158"/>
      <c r="J1165" s="1159"/>
      <c r="K1165" s="1158"/>
      <c r="L1165" s="1159"/>
      <c r="M1165" s="1158"/>
      <c r="N1165" s="1158"/>
      <c r="O1165" s="732">
        <f t="shared" si="149"/>
        <v>0</v>
      </c>
      <c r="P1165" s="1159"/>
      <c r="Q1165" s="1159"/>
      <c r="R1165" s="733">
        <f t="shared" si="152"/>
        <v>0</v>
      </c>
      <c r="S1165" s="732">
        <f t="shared" si="153"/>
        <v>0</v>
      </c>
      <c r="T1165" s="733">
        <f t="shared" si="154"/>
        <v>0</v>
      </c>
      <c r="U1165" s="1158"/>
      <c r="V1165" s="1159"/>
      <c r="W1165" s="1158"/>
      <c r="X1165" s="1158"/>
      <c r="Y1165" s="732">
        <f t="shared" si="150"/>
        <v>0</v>
      </c>
      <c r="Z1165" s="1159"/>
      <c r="AA1165" s="1159"/>
      <c r="AB1165" s="733">
        <f t="shared" si="151"/>
        <v>0</v>
      </c>
      <c r="AC1165" s="1158"/>
      <c r="AD1165" s="1159"/>
      <c r="AE1165" s="1158"/>
      <c r="AF1165" s="1158"/>
      <c r="AG1165" s="1159"/>
      <c r="AH1165" s="1159"/>
      <c r="AI1165" s="732">
        <f t="shared" si="155"/>
        <v>0</v>
      </c>
      <c r="AJ1165" s="733">
        <f t="shared" si="156"/>
        <v>0</v>
      </c>
    </row>
    <row r="1166" spans="1:36">
      <c r="A1166" s="746" t="s">
        <v>549</v>
      </c>
      <c r="B1166" s="738"/>
      <c r="C1166" s="745" t="s">
        <v>171</v>
      </c>
      <c r="D1166" s="751"/>
      <c r="E1166" s="741"/>
      <c r="F1166" s="741"/>
      <c r="G1166" s="1158"/>
      <c r="H1166" s="1159"/>
      <c r="I1166" s="1158"/>
      <c r="J1166" s="1159"/>
      <c r="K1166" s="1158"/>
      <c r="L1166" s="1159"/>
      <c r="M1166" s="1158"/>
      <c r="N1166" s="1158"/>
      <c r="O1166" s="732">
        <f t="shared" si="149"/>
        <v>0</v>
      </c>
      <c r="P1166" s="1159"/>
      <c r="Q1166" s="1159"/>
      <c r="R1166" s="733">
        <f t="shared" si="152"/>
        <v>0</v>
      </c>
      <c r="S1166" s="732">
        <f t="shared" si="153"/>
        <v>0</v>
      </c>
      <c r="T1166" s="733">
        <f t="shared" si="154"/>
        <v>0</v>
      </c>
      <c r="U1166" s="1158"/>
      <c r="V1166" s="1159"/>
      <c r="W1166" s="1158"/>
      <c r="X1166" s="1158"/>
      <c r="Y1166" s="732">
        <f t="shared" si="150"/>
        <v>0</v>
      </c>
      <c r="Z1166" s="1159"/>
      <c r="AA1166" s="1159"/>
      <c r="AB1166" s="733">
        <f t="shared" si="151"/>
        <v>0</v>
      </c>
      <c r="AC1166" s="1158"/>
      <c r="AD1166" s="1159"/>
      <c r="AE1166" s="1158"/>
      <c r="AF1166" s="1158"/>
      <c r="AG1166" s="1159"/>
      <c r="AH1166" s="1159"/>
      <c r="AI1166" s="732">
        <f t="shared" si="155"/>
        <v>0</v>
      </c>
      <c r="AJ1166" s="733">
        <f t="shared" si="156"/>
        <v>0</v>
      </c>
    </row>
    <row r="1167" spans="1:36">
      <c r="A1167" s="746" t="s">
        <v>549</v>
      </c>
      <c r="B1167" s="738"/>
      <c r="C1167" s="745" t="s">
        <v>165</v>
      </c>
      <c r="D1167" s="751"/>
      <c r="E1167" s="741"/>
      <c r="F1167" s="741"/>
      <c r="G1167" s="1158"/>
      <c r="H1167" s="1159"/>
      <c r="I1167" s="1158"/>
      <c r="J1167" s="1159"/>
      <c r="K1167" s="1158"/>
      <c r="L1167" s="1159"/>
      <c r="M1167" s="1158"/>
      <c r="N1167" s="1158"/>
      <c r="O1167" s="732">
        <f t="shared" si="149"/>
        <v>0</v>
      </c>
      <c r="P1167" s="1159"/>
      <c r="Q1167" s="1159"/>
      <c r="R1167" s="733">
        <f t="shared" si="152"/>
        <v>0</v>
      </c>
      <c r="S1167" s="732">
        <f t="shared" si="153"/>
        <v>0</v>
      </c>
      <c r="T1167" s="733">
        <f t="shared" si="154"/>
        <v>0</v>
      </c>
      <c r="U1167" s="1158"/>
      <c r="V1167" s="1159">
        <v>843820</v>
      </c>
      <c r="W1167" s="1158"/>
      <c r="X1167" s="1158"/>
      <c r="Y1167" s="732">
        <f t="shared" si="150"/>
        <v>0</v>
      </c>
      <c r="Z1167" s="1159"/>
      <c r="AA1167" s="1159"/>
      <c r="AB1167" s="733">
        <f t="shared" si="151"/>
        <v>0</v>
      </c>
      <c r="AC1167" s="1158"/>
      <c r="AD1167" s="1159"/>
      <c r="AE1167" s="1158"/>
      <c r="AF1167" s="1158"/>
      <c r="AG1167" s="1159"/>
      <c r="AH1167" s="1159"/>
      <c r="AI1167" s="732">
        <f t="shared" si="155"/>
        <v>0</v>
      </c>
      <c r="AJ1167" s="733">
        <f t="shared" si="156"/>
        <v>843820</v>
      </c>
    </row>
    <row r="1168" spans="1:36">
      <c r="A1168" s="746" t="s">
        <v>549</v>
      </c>
      <c r="B1168" s="738"/>
      <c r="C1168" s="745" t="s">
        <v>587</v>
      </c>
      <c r="D1168" s="751"/>
      <c r="E1168" s="741"/>
      <c r="F1168" s="741"/>
      <c r="G1168" s="1158"/>
      <c r="H1168" s="1159"/>
      <c r="I1168" s="1158"/>
      <c r="J1168" s="1159"/>
      <c r="K1168" s="1158"/>
      <c r="L1168" s="1159"/>
      <c r="M1168" s="1158"/>
      <c r="N1168" s="1158"/>
      <c r="O1168" s="732">
        <f t="shared" si="149"/>
        <v>0</v>
      </c>
      <c r="P1168" s="1159"/>
      <c r="Q1168" s="1159"/>
      <c r="R1168" s="733">
        <f t="shared" si="152"/>
        <v>0</v>
      </c>
      <c r="S1168" s="732">
        <f t="shared" si="153"/>
        <v>0</v>
      </c>
      <c r="T1168" s="733">
        <f t="shared" si="154"/>
        <v>0</v>
      </c>
      <c r="U1168" s="1158"/>
      <c r="V1168" s="1159"/>
      <c r="W1168" s="1158"/>
      <c r="X1168" s="1158"/>
      <c r="Y1168" s="732">
        <f t="shared" si="150"/>
        <v>0</v>
      </c>
      <c r="Z1168" s="1159"/>
      <c r="AA1168" s="1159"/>
      <c r="AB1168" s="733">
        <f t="shared" si="151"/>
        <v>0</v>
      </c>
      <c r="AC1168" s="1158"/>
      <c r="AD1168" s="1159"/>
      <c r="AE1168" s="1158"/>
      <c r="AF1168" s="1158"/>
      <c r="AG1168" s="1159"/>
      <c r="AH1168" s="1159"/>
      <c r="AI1168" s="732">
        <f t="shared" si="155"/>
        <v>0</v>
      </c>
      <c r="AJ1168" s="733">
        <f t="shared" si="156"/>
        <v>0</v>
      </c>
    </row>
    <row r="1169" spans="1:36">
      <c r="A1169" s="746" t="s">
        <v>549</v>
      </c>
      <c r="B1169" s="738"/>
      <c r="C1169" s="745" t="s">
        <v>177</v>
      </c>
      <c r="D1169" s="751"/>
      <c r="E1169" s="741"/>
      <c r="F1169" s="741"/>
      <c r="G1169" s="1158"/>
      <c r="H1169" s="1159"/>
      <c r="I1169" s="1158"/>
      <c r="J1169" s="1159"/>
      <c r="K1169" s="1158"/>
      <c r="L1169" s="1159"/>
      <c r="M1169" s="1158"/>
      <c r="N1169" s="1158"/>
      <c r="O1169" s="732">
        <f t="shared" si="149"/>
        <v>0</v>
      </c>
      <c r="P1169" s="1159"/>
      <c r="Q1169" s="1159"/>
      <c r="R1169" s="733">
        <f t="shared" si="152"/>
        <v>0</v>
      </c>
      <c r="S1169" s="732">
        <f t="shared" si="153"/>
        <v>0</v>
      </c>
      <c r="T1169" s="733">
        <f t="shared" si="154"/>
        <v>0</v>
      </c>
      <c r="U1169" s="1158"/>
      <c r="V1169" s="1159"/>
      <c r="W1169" s="1158"/>
      <c r="X1169" s="1158"/>
      <c r="Y1169" s="732">
        <f t="shared" si="150"/>
        <v>0</v>
      </c>
      <c r="Z1169" s="1159"/>
      <c r="AA1169" s="1159"/>
      <c r="AB1169" s="733">
        <f t="shared" si="151"/>
        <v>0</v>
      </c>
      <c r="AC1169" s="1158"/>
      <c r="AD1169" s="1159"/>
      <c r="AE1169" s="1158"/>
      <c r="AF1169" s="1158"/>
      <c r="AG1169" s="1159"/>
      <c r="AH1169" s="1159"/>
      <c r="AI1169" s="732">
        <f t="shared" si="155"/>
        <v>0</v>
      </c>
      <c r="AJ1169" s="733">
        <f t="shared" si="156"/>
        <v>0</v>
      </c>
    </row>
    <row r="1170" spans="1:36">
      <c r="A1170" s="746" t="s">
        <v>549</v>
      </c>
      <c r="B1170" s="738"/>
      <c r="C1170" s="745" t="s">
        <v>165</v>
      </c>
      <c r="D1170" s="751"/>
      <c r="E1170" s="741"/>
      <c r="F1170" s="741"/>
      <c r="G1170" s="1158"/>
      <c r="H1170" s="1159"/>
      <c r="I1170" s="1158"/>
      <c r="J1170" s="1159"/>
      <c r="K1170" s="1158"/>
      <c r="L1170" s="1159"/>
      <c r="M1170" s="1158"/>
      <c r="N1170" s="1158"/>
      <c r="O1170" s="732">
        <f t="shared" si="149"/>
        <v>0</v>
      </c>
      <c r="P1170" s="1159"/>
      <c r="Q1170" s="1159"/>
      <c r="R1170" s="733">
        <f t="shared" si="152"/>
        <v>0</v>
      </c>
      <c r="S1170" s="732">
        <f t="shared" si="153"/>
        <v>0</v>
      </c>
      <c r="T1170" s="733">
        <f t="shared" si="154"/>
        <v>0</v>
      </c>
      <c r="U1170" s="1158"/>
      <c r="V1170" s="1159">
        <v>181245</v>
      </c>
      <c r="W1170" s="1158"/>
      <c r="X1170" s="1158"/>
      <c r="Y1170" s="732">
        <f t="shared" si="150"/>
        <v>0</v>
      </c>
      <c r="Z1170" s="1159"/>
      <c r="AA1170" s="1159"/>
      <c r="AB1170" s="733">
        <f t="shared" si="151"/>
        <v>0</v>
      </c>
      <c r="AC1170" s="1158"/>
      <c r="AD1170" s="1159"/>
      <c r="AE1170" s="1158"/>
      <c r="AF1170" s="1158"/>
      <c r="AG1170" s="1159"/>
      <c r="AH1170" s="1159"/>
      <c r="AI1170" s="732">
        <f t="shared" si="155"/>
        <v>0</v>
      </c>
      <c r="AJ1170" s="733">
        <f t="shared" si="156"/>
        <v>181245</v>
      </c>
    </row>
    <row r="1171" spans="1:36">
      <c r="A1171" s="746" t="s">
        <v>549</v>
      </c>
      <c r="B1171" s="738"/>
      <c r="C1171" s="745" t="s">
        <v>587</v>
      </c>
      <c r="D1171" s="751"/>
      <c r="E1171" s="741"/>
      <c r="F1171" s="741"/>
      <c r="G1171" s="1158"/>
      <c r="H1171" s="1159"/>
      <c r="I1171" s="1158"/>
      <c r="J1171" s="1159"/>
      <c r="K1171" s="1158"/>
      <c r="L1171" s="1159"/>
      <c r="M1171" s="1158"/>
      <c r="N1171" s="1158"/>
      <c r="O1171" s="732">
        <f t="shared" si="149"/>
        <v>0</v>
      </c>
      <c r="P1171" s="1159"/>
      <c r="Q1171" s="1159"/>
      <c r="R1171" s="733">
        <f t="shared" si="152"/>
        <v>0</v>
      </c>
      <c r="S1171" s="732">
        <f t="shared" si="153"/>
        <v>0</v>
      </c>
      <c r="T1171" s="733">
        <f t="shared" si="154"/>
        <v>0</v>
      </c>
      <c r="U1171" s="1158"/>
      <c r="V1171" s="1159"/>
      <c r="W1171" s="1158"/>
      <c r="X1171" s="1158"/>
      <c r="Y1171" s="732">
        <f t="shared" si="150"/>
        <v>0</v>
      </c>
      <c r="Z1171" s="1159"/>
      <c r="AA1171" s="1159"/>
      <c r="AB1171" s="733">
        <f t="shared" si="151"/>
        <v>0</v>
      </c>
      <c r="AC1171" s="1158"/>
      <c r="AD1171" s="1159"/>
      <c r="AE1171" s="1158"/>
      <c r="AF1171" s="1158"/>
      <c r="AG1171" s="1159"/>
      <c r="AH1171" s="1159"/>
      <c r="AI1171" s="732">
        <f t="shared" si="155"/>
        <v>0</v>
      </c>
      <c r="AJ1171" s="733">
        <f t="shared" si="156"/>
        <v>0</v>
      </c>
    </row>
    <row r="1172" spans="1:36">
      <c r="A1172" s="746" t="s">
        <v>549</v>
      </c>
      <c r="B1172" s="738"/>
      <c r="C1172" s="769" t="s">
        <v>1669</v>
      </c>
      <c r="D1172" s="751"/>
      <c r="E1172" s="741"/>
      <c r="F1172" s="741"/>
      <c r="G1172" s="1158"/>
      <c r="H1172" s="1159"/>
      <c r="I1172" s="1158"/>
      <c r="J1172" s="1159"/>
      <c r="K1172" s="1158"/>
      <c r="L1172" s="1159"/>
      <c r="M1172" s="1158"/>
      <c r="N1172" s="1158"/>
      <c r="O1172" s="732">
        <f t="shared" si="149"/>
        <v>0</v>
      </c>
      <c r="P1172" s="1159"/>
      <c r="Q1172" s="1159"/>
      <c r="R1172" s="733">
        <f t="shared" si="152"/>
        <v>0</v>
      </c>
      <c r="S1172" s="732">
        <f t="shared" si="153"/>
        <v>0</v>
      </c>
      <c r="T1172" s="733">
        <f t="shared" si="154"/>
        <v>0</v>
      </c>
      <c r="U1172" s="1158"/>
      <c r="V1172" s="1159"/>
      <c r="W1172" s="1158"/>
      <c r="X1172" s="1158"/>
      <c r="Y1172" s="732">
        <f t="shared" si="150"/>
        <v>0</v>
      </c>
      <c r="Z1172" s="1159"/>
      <c r="AA1172" s="1159"/>
      <c r="AB1172" s="733">
        <f t="shared" si="151"/>
        <v>0</v>
      </c>
      <c r="AC1172" s="1158"/>
      <c r="AD1172" s="1159"/>
      <c r="AE1172" s="1158"/>
      <c r="AF1172" s="1158"/>
      <c r="AG1172" s="1159"/>
      <c r="AH1172" s="1159"/>
      <c r="AI1172" s="732">
        <f t="shared" si="155"/>
        <v>0</v>
      </c>
      <c r="AJ1172" s="733">
        <f t="shared" si="156"/>
        <v>0</v>
      </c>
    </row>
    <row r="1173" spans="1:36">
      <c r="A1173" s="746" t="s">
        <v>549</v>
      </c>
      <c r="B1173" s="738"/>
      <c r="C1173" s="745" t="s">
        <v>171</v>
      </c>
      <c r="D1173" s="751"/>
      <c r="E1173" s="741"/>
      <c r="F1173" s="741"/>
      <c r="G1173" s="1158"/>
      <c r="H1173" s="1159"/>
      <c r="I1173" s="1158"/>
      <c r="J1173" s="1159"/>
      <c r="K1173" s="1158"/>
      <c r="L1173" s="1159"/>
      <c r="M1173" s="1158"/>
      <c r="N1173" s="1158"/>
      <c r="O1173" s="732">
        <f t="shared" si="149"/>
        <v>0</v>
      </c>
      <c r="P1173" s="1159"/>
      <c r="Q1173" s="1159"/>
      <c r="R1173" s="733">
        <f t="shared" si="152"/>
        <v>0</v>
      </c>
      <c r="S1173" s="732">
        <f t="shared" si="153"/>
        <v>0</v>
      </c>
      <c r="T1173" s="733">
        <f t="shared" si="154"/>
        <v>0</v>
      </c>
      <c r="U1173" s="1158"/>
      <c r="V1173" s="1159"/>
      <c r="W1173" s="1158"/>
      <c r="X1173" s="1158"/>
      <c r="Y1173" s="732">
        <f t="shared" si="150"/>
        <v>0</v>
      </c>
      <c r="Z1173" s="1159"/>
      <c r="AA1173" s="1159"/>
      <c r="AB1173" s="733">
        <f t="shared" si="151"/>
        <v>0</v>
      </c>
      <c r="AC1173" s="1158"/>
      <c r="AD1173" s="1159"/>
      <c r="AE1173" s="1158"/>
      <c r="AF1173" s="1158"/>
      <c r="AG1173" s="1159"/>
      <c r="AH1173" s="1159"/>
      <c r="AI1173" s="732">
        <f t="shared" si="155"/>
        <v>0</v>
      </c>
      <c r="AJ1173" s="733">
        <f t="shared" si="156"/>
        <v>0</v>
      </c>
    </row>
    <row r="1174" spans="1:36">
      <c r="A1174" s="746" t="s">
        <v>549</v>
      </c>
      <c r="B1174" s="738"/>
      <c r="C1174" s="745" t="s">
        <v>165</v>
      </c>
      <c r="D1174" s="751"/>
      <c r="E1174" s="741"/>
      <c r="F1174" s="741"/>
      <c r="G1174" s="1158"/>
      <c r="H1174" s="1159"/>
      <c r="I1174" s="1158"/>
      <c r="J1174" s="1159"/>
      <c r="K1174" s="1158"/>
      <c r="L1174" s="1159"/>
      <c r="M1174" s="1158"/>
      <c r="N1174" s="1158"/>
      <c r="O1174" s="732">
        <f t="shared" si="149"/>
        <v>0</v>
      </c>
      <c r="P1174" s="1159"/>
      <c r="Q1174" s="1159"/>
      <c r="R1174" s="733">
        <f t="shared" si="152"/>
        <v>0</v>
      </c>
      <c r="S1174" s="732">
        <f t="shared" si="153"/>
        <v>0</v>
      </c>
      <c r="T1174" s="733">
        <f t="shared" si="154"/>
        <v>0</v>
      </c>
      <c r="U1174" s="1158"/>
      <c r="V1174" s="1159">
        <v>5008150</v>
      </c>
      <c r="W1174" s="1158"/>
      <c r="X1174" s="1158"/>
      <c r="Y1174" s="732">
        <f t="shared" si="150"/>
        <v>0</v>
      </c>
      <c r="Z1174" s="1159"/>
      <c r="AA1174" s="1159"/>
      <c r="AB1174" s="733">
        <f t="shared" si="151"/>
        <v>0</v>
      </c>
      <c r="AC1174" s="1158"/>
      <c r="AD1174" s="1159"/>
      <c r="AE1174" s="1158"/>
      <c r="AF1174" s="1158"/>
      <c r="AG1174" s="1159"/>
      <c r="AH1174" s="1159"/>
      <c r="AI1174" s="732">
        <f t="shared" si="155"/>
        <v>0</v>
      </c>
      <c r="AJ1174" s="733">
        <f t="shared" si="156"/>
        <v>5008150</v>
      </c>
    </row>
    <row r="1175" spans="1:36">
      <c r="A1175" s="746" t="s">
        <v>549</v>
      </c>
      <c r="B1175" s="738"/>
      <c r="C1175" s="745" t="s">
        <v>587</v>
      </c>
      <c r="D1175" s="751"/>
      <c r="E1175" s="741"/>
      <c r="F1175" s="741"/>
      <c r="G1175" s="1158"/>
      <c r="H1175" s="1159"/>
      <c r="I1175" s="1158"/>
      <c r="J1175" s="1159"/>
      <c r="K1175" s="1158"/>
      <c r="L1175" s="1159"/>
      <c r="M1175" s="1158"/>
      <c r="N1175" s="1158"/>
      <c r="O1175" s="732">
        <f t="shared" si="149"/>
        <v>0</v>
      </c>
      <c r="P1175" s="1159"/>
      <c r="Q1175" s="1159"/>
      <c r="R1175" s="733">
        <f t="shared" si="152"/>
        <v>0</v>
      </c>
      <c r="S1175" s="732">
        <f t="shared" si="153"/>
        <v>0</v>
      </c>
      <c r="T1175" s="733">
        <f t="shared" si="154"/>
        <v>0</v>
      </c>
      <c r="U1175" s="1158"/>
      <c r="V1175" s="1159"/>
      <c r="W1175" s="1158"/>
      <c r="X1175" s="1158"/>
      <c r="Y1175" s="732">
        <f t="shared" si="150"/>
        <v>0</v>
      </c>
      <c r="Z1175" s="1159"/>
      <c r="AA1175" s="1159"/>
      <c r="AB1175" s="733">
        <f t="shared" si="151"/>
        <v>0</v>
      </c>
      <c r="AC1175" s="1158"/>
      <c r="AD1175" s="1159"/>
      <c r="AE1175" s="1158"/>
      <c r="AF1175" s="1158"/>
      <c r="AG1175" s="1159"/>
      <c r="AH1175" s="1159"/>
      <c r="AI1175" s="732">
        <f t="shared" si="155"/>
        <v>0</v>
      </c>
      <c r="AJ1175" s="733">
        <f t="shared" si="156"/>
        <v>0</v>
      </c>
    </row>
    <row r="1176" spans="1:36">
      <c r="A1176" s="746" t="s">
        <v>549</v>
      </c>
      <c r="B1176" s="738"/>
      <c r="C1176" s="745" t="s">
        <v>177</v>
      </c>
      <c r="D1176" s="751"/>
      <c r="E1176" s="741"/>
      <c r="F1176" s="741"/>
      <c r="G1176" s="1158"/>
      <c r="H1176" s="1159"/>
      <c r="I1176" s="1158"/>
      <c r="J1176" s="1159"/>
      <c r="K1176" s="1158"/>
      <c r="L1176" s="1159"/>
      <c r="M1176" s="1158"/>
      <c r="N1176" s="1158"/>
      <c r="O1176" s="732">
        <f t="shared" si="149"/>
        <v>0</v>
      </c>
      <c r="P1176" s="1159"/>
      <c r="Q1176" s="1159"/>
      <c r="R1176" s="733">
        <f t="shared" si="152"/>
        <v>0</v>
      </c>
      <c r="S1176" s="732">
        <f t="shared" si="153"/>
        <v>0</v>
      </c>
      <c r="T1176" s="733">
        <f t="shared" si="154"/>
        <v>0</v>
      </c>
      <c r="U1176" s="1158"/>
      <c r="V1176" s="1159"/>
      <c r="W1176" s="1158"/>
      <c r="X1176" s="1158"/>
      <c r="Y1176" s="732">
        <f t="shared" si="150"/>
        <v>0</v>
      </c>
      <c r="Z1176" s="1159"/>
      <c r="AA1176" s="1159"/>
      <c r="AB1176" s="733">
        <f t="shared" si="151"/>
        <v>0</v>
      </c>
      <c r="AC1176" s="1158"/>
      <c r="AD1176" s="1159"/>
      <c r="AE1176" s="1158"/>
      <c r="AF1176" s="1158"/>
      <c r="AG1176" s="1159"/>
      <c r="AH1176" s="1159"/>
      <c r="AI1176" s="732">
        <f t="shared" si="155"/>
        <v>0</v>
      </c>
      <c r="AJ1176" s="733">
        <f t="shared" si="156"/>
        <v>0</v>
      </c>
    </row>
    <row r="1177" spans="1:36">
      <c r="A1177" s="746" t="s">
        <v>549</v>
      </c>
      <c r="B1177" s="738"/>
      <c r="C1177" s="745" t="s">
        <v>165</v>
      </c>
      <c r="D1177" s="751"/>
      <c r="E1177" s="741"/>
      <c r="F1177" s="741"/>
      <c r="G1177" s="1158"/>
      <c r="H1177" s="1159"/>
      <c r="I1177" s="1158"/>
      <c r="J1177" s="1159"/>
      <c r="K1177" s="1158"/>
      <c r="L1177" s="1159"/>
      <c r="M1177" s="1158"/>
      <c r="N1177" s="1158"/>
      <c r="O1177" s="732">
        <f t="shared" si="149"/>
        <v>0</v>
      </c>
      <c r="P1177" s="1159"/>
      <c r="Q1177" s="1159"/>
      <c r="R1177" s="733">
        <f t="shared" si="152"/>
        <v>0</v>
      </c>
      <c r="S1177" s="732">
        <f t="shared" si="153"/>
        <v>0</v>
      </c>
      <c r="T1177" s="733">
        <f t="shared" si="154"/>
        <v>0</v>
      </c>
      <c r="U1177" s="1158"/>
      <c r="V1177" s="1159">
        <v>60355</v>
      </c>
      <c r="W1177" s="1158"/>
      <c r="X1177" s="1158"/>
      <c r="Y1177" s="732">
        <f t="shared" si="150"/>
        <v>0</v>
      </c>
      <c r="Z1177" s="1159"/>
      <c r="AA1177" s="1159"/>
      <c r="AB1177" s="733">
        <f t="shared" si="151"/>
        <v>0</v>
      </c>
      <c r="AC1177" s="1158"/>
      <c r="AD1177" s="1159"/>
      <c r="AE1177" s="1158"/>
      <c r="AF1177" s="1158"/>
      <c r="AG1177" s="1159"/>
      <c r="AH1177" s="1159"/>
      <c r="AI1177" s="732">
        <f t="shared" si="155"/>
        <v>0</v>
      </c>
      <c r="AJ1177" s="733">
        <f t="shared" si="156"/>
        <v>60355</v>
      </c>
    </row>
    <row r="1178" spans="1:36">
      <c r="A1178" s="746" t="s">
        <v>549</v>
      </c>
      <c r="B1178" s="738"/>
      <c r="C1178" s="745" t="s">
        <v>587</v>
      </c>
      <c r="D1178" s="751"/>
      <c r="E1178" s="741"/>
      <c r="F1178" s="741"/>
      <c r="G1178" s="1158"/>
      <c r="H1178" s="1159"/>
      <c r="I1178" s="1158"/>
      <c r="J1178" s="1159"/>
      <c r="K1178" s="1158"/>
      <c r="L1178" s="1159"/>
      <c r="M1178" s="1158"/>
      <c r="N1178" s="1158"/>
      <c r="O1178" s="732">
        <f t="shared" si="149"/>
        <v>0</v>
      </c>
      <c r="P1178" s="1159"/>
      <c r="Q1178" s="1159"/>
      <c r="R1178" s="733">
        <f t="shared" si="152"/>
        <v>0</v>
      </c>
      <c r="S1178" s="732">
        <f t="shared" si="153"/>
        <v>0</v>
      </c>
      <c r="T1178" s="733">
        <f t="shared" si="154"/>
        <v>0</v>
      </c>
      <c r="U1178" s="1158"/>
      <c r="V1178" s="1159"/>
      <c r="W1178" s="1158"/>
      <c r="X1178" s="1158"/>
      <c r="Y1178" s="732">
        <f t="shared" si="150"/>
        <v>0</v>
      </c>
      <c r="Z1178" s="1159"/>
      <c r="AA1178" s="1159"/>
      <c r="AB1178" s="733">
        <f t="shared" si="151"/>
        <v>0</v>
      </c>
      <c r="AC1178" s="1158"/>
      <c r="AD1178" s="1159"/>
      <c r="AE1178" s="1158"/>
      <c r="AF1178" s="1158"/>
      <c r="AG1178" s="1159"/>
      <c r="AH1178" s="1159"/>
      <c r="AI1178" s="732">
        <f t="shared" si="155"/>
        <v>0</v>
      </c>
      <c r="AJ1178" s="733">
        <f t="shared" si="156"/>
        <v>0</v>
      </c>
    </row>
    <row r="1179" spans="1:36">
      <c r="A1179" s="746" t="s">
        <v>549</v>
      </c>
      <c r="B1179" s="738"/>
      <c r="C1179" s="769" t="s">
        <v>1670</v>
      </c>
      <c r="D1179" s="751"/>
      <c r="E1179" s="741"/>
      <c r="F1179" s="741"/>
      <c r="G1179" s="1158"/>
      <c r="H1179" s="1159"/>
      <c r="I1179" s="1158"/>
      <c r="J1179" s="1159"/>
      <c r="K1179" s="1158"/>
      <c r="L1179" s="1159"/>
      <c r="M1179" s="1158"/>
      <c r="N1179" s="1158"/>
      <c r="O1179" s="732">
        <f t="shared" si="149"/>
        <v>0</v>
      </c>
      <c r="P1179" s="1159"/>
      <c r="Q1179" s="1159"/>
      <c r="R1179" s="733">
        <f t="shared" si="152"/>
        <v>0</v>
      </c>
      <c r="S1179" s="732">
        <f t="shared" si="153"/>
        <v>0</v>
      </c>
      <c r="T1179" s="733">
        <f t="shared" si="154"/>
        <v>0</v>
      </c>
      <c r="U1179" s="1158"/>
      <c r="V1179" s="1159"/>
      <c r="W1179" s="1158"/>
      <c r="X1179" s="1158"/>
      <c r="Y1179" s="732">
        <f t="shared" si="150"/>
        <v>0</v>
      </c>
      <c r="Z1179" s="1159"/>
      <c r="AA1179" s="1159"/>
      <c r="AB1179" s="733">
        <f t="shared" si="151"/>
        <v>0</v>
      </c>
      <c r="AC1179" s="1158"/>
      <c r="AD1179" s="1159"/>
      <c r="AE1179" s="1158"/>
      <c r="AF1179" s="1158"/>
      <c r="AG1179" s="1159"/>
      <c r="AH1179" s="1159"/>
      <c r="AI1179" s="732">
        <f t="shared" si="155"/>
        <v>0</v>
      </c>
      <c r="AJ1179" s="733">
        <f t="shared" si="156"/>
        <v>0</v>
      </c>
    </row>
    <row r="1180" spans="1:36">
      <c r="A1180" s="746" t="s">
        <v>549</v>
      </c>
      <c r="B1180" s="738"/>
      <c r="C1180" s="745" t="s">
        <v>171</v>
      </c>
      <c r="D1180" s="751"/>
      <c r="E1180" s="741"/>
      <c r="F1180" s="741"/>
      <c r="G1180" s="1158"/>
      <c r="H1180" s="1159"/>
      <c r="I1180" s="1158"/>
      <c r="J1180" s="1159"/>
      <c r="K1180" s="1158"/>
      <c r="L1180" s="1159"/>
      <c r="M1180" s="1158"/>
      <c r="N1180" s="1158"/>
      <c r="O1180" s="732">
        <f t="shared" si="149"/>
        <v>0</v>
      </c>
      <c r="P1180" s="1159"/>
      <c r="Q1180" s="1159"/>
      <c r="R1180" s="733">
        <f t="shared" si="152"/>
        <v>0</v>
      </c>
      <c r="S1180" s="732">
        <f t="shared" si="153"/>
        <v>0</v>
      </c>
      <c r="T1180" s="733">
        <f t="shared" si="154"/>
        <v>0</v>
      </c>
      <c r="U1180" s="1158"/>
      <c r="V1180" s="1159"/>
      <c r="W1180" s="1158"/>
      <c r="X1180" s="1158"/>
      <c r="Y1180" s="732">
        <f t="shared" si="150"/>
        <v>0</v>
      </c>
      <c r="Z1180" s="1159"/>
      <c r="AA1180" s="1159"/>
      <c r="AB1180" s="733">
        <f t="shared" si="151"/>
        <v>0</v>
      </c>
      <c r="AC1180" s="1158"/>
      <c r="AD1180" s="1159"/>
      <c r="AE1180" s="1158"/>
      <c r="AF1180" s="1158"/>
      <c r="AG1180" s="1159"/>
      <c r="AH1180" s="1159"/>
      <c r="AI1180" s="732">
        <f t="shared" si="155"/>
        <v>0</v>
      </c>
      <c r="AJ1180" s="733">
        <f t="shared" si="156"/>
        <v>0</v>
      </c>
    </row>
    <row r="1181" spans="1:36">
      <c r="A1181" s="746" t="s">
        <v>549</v>
      </c>
      <c r="B1181" s="738"/>
      <c r="C1181" s="745" t="s">
        <v>165</v>
      </c>
      <c r="D1181" s="751"/>
      <c r="E1181" s="741"/>
      <c r="F1181" s="741"/>
      <c r="G1181" s="1158"/>
      <c r="H1181" s="1159"/>
      <c r="I1181" s="1158"/>
      <c r="J1181" s="1159"/>
      <c r="K1181" s="1158"/>
      <c r="L1181" s="1159"/>
      <c r="M1181" s="1158"/>
      <c r="N1181" s="1158"/>
      <c r="O1181" s="732">
        <f t="shared" si="149"/>
        <v>0</v>
      </c>
      <c r="P1181" s="1159"/>
      <c r="Q1181" s="1159"/>
      <c r="R1181" s="733">
        <f t="shared" si="152"/>
        <v>0</v>
      </c>
      <c r="S1181" s="732">
        <f t="shared" si="153"/>
        <v>0</v>
      </c>
      <c r="T1181" s="733">
        <f t="shared" si="154"/>
        <v>0</v>
      </c>
      <c r="U1181" s="1158"/>
      <c r="V1181" s="1159">
        <v>253000</v>
      </c>
      <c r="W1181" s="1158"/>
      <c r="X1181" s="1158"/>
      <c r="Y1181" s="732">
        <f t="shared" si="150"/>
        <v>0</v>
      </c>
      <c r="Z1181" s="1159"/>
      <c r="AA1181" s="1159"/>
      <c r="AB1181" s="733">
        <f t="shared" si="151"/>
        <v>0</v>
      </c>
      <c r="AC1181" s="1158"/>
      <c r="AD1181" s="1159"/>
      <c r="AE1181" s="1158"/>
      <c r="AF1181" s="1158"/>
      <c r="AG1181" s="1159"/>
      <c r="AH1181" s="1159"/>
      <c r="AI1181" s="732">
        <f t="shared" si="155"/>
        <v>0</v>
      </c>
      <c r="AJ1181" s="733">
        <f t="shared" si="156"/>
        <v>253000</v>
      </c>
    </row>
    <row r="1182" spans="1:36">
      <c r="A1182" s="746" t="s">
        <v>549</v>
      </c>
      <c r="B1182" s="738"/>
      <c r="C1182" s="745" t="s">
        <v>587</v>
      </c>
      <c r="D1182" s="751"/>
      <c r="E1182" s="741"/>
      <c r="F1182" s="741"/>
      <c r="G1182" s="1158"/>
      <c r="H1182" s="1159"/>
      <c r="I1182" s="1158"/>
      <c r="J1182" s="1159"/>
      <c r="K1182" s="1158"/>
      <c r="L1182" s="1159"/>
      <c r="M1182" s="1158"/>
      <c r="N1182" s="1158"/>
      <c r="O1182" s="732">
        <f t="shared" si="149"/>
        <v>0</v>
      </c>
      <c r="P1182" s="1159"/>
      <c r="Q1182" s="1159"/>
      <c r="R1182" s="733">
        <f t="shared" si="152"/>
        <v>0</v>
      </c>
      <c r="S1182" s="732">
        <f t="shared" si="153"/>
        <v>0</v>
      </c>
      <c r="T1182" s="733">
        <f t="shared" si="154"/>
        <v>0</v>
      </c>
      <c r="U1182" s="1158"/>
      <c r="V1182" s="1159"/>
      <c r="W1182" s="1158"/>
      <c r="X1182" s="1158"/>
      <c r="Y1182" s="732">
        <f t="shared" si="150"/>
        <v>0</v>
      </c>
      <c r="Z1182" s="1159"/>
      <c r="AA1182" s="1159"/>
      <c r="AB1182" s="733">
        <f t="shared" si="151"/>
        <v>0</v>
      </c>
      <c r="AC1182" s="1158"/>
      <c r="AD1182" s="1159"/>
      <c r="AE1182" s="1158"/>
      <c r="AF1182" s="1158"/>
      <c r="AG1182" s="1159"/>
      <c r="AH1182" s="1159"/>
      <c r="AI1182" s="732">
        <f t="shared" si="155"/>
        <v>0</v>
      </c>
      <c r="AJ1182" s="733">
        <f t="shared" si="156"/>
        <v>0</v>
      </c>
    </row>
    <row r="1183" spans="1:36">
      <c r="A1183" s="746" t="s">
        <v>549</v>
      </c>
      <c r="B1183" s="738"/>
      <c r="C1183" s="745" t="s">
        <v>177</v>
      </c>
      <c r="D1183" s="751"/>
      <c r="E1183" s="741"/>
      <c r="F1183" s="741"/>
      <c r="G1183" s="1158"/>
      <c r="H1183" s="1159"/>
      <c r="I1183" s="1158"/>
      <c r="J1183" s="1159"/>
      <c r="K1183" s="1158"/>
      <c r="L1183" s="1159"/>
      <c r="M1183" s="1158"/>
      <c r="N1183" s="1158"/>
      <c r="O1183" s="732">
        <f t="shared" si="149"/>
        <v>0</v>
      </c>
      <c r="P1183" s="1159"/>
      <c r="Q1183" s="1159"/>
      <c r="R1183" s="733">
        <f t="shared" si="152"/>
        <v>0</v>
      </c>
      <c r="S1183" s="732">
        <f t="shared" si="153"/>
        <v>0</v>
      </c>
      <c r="T1183" s="733">
        <f t="shared" si="154"/>
        <v>0</v>
      </c>
      <c r="U1183" s="1158"/>
      <c r="V1183" s="1159"/>
      <c r="W1183" s="1158"/>
      <c r="X1183" s="1158"/>
      <c r="Y1183" s="732">
        <f t="shared" si="150"/>
        <v>0</v>
      </c>
      <c r="Z1183" s="1159"/>
      <c r="AA1183" s="1159"/>
      <c r="AB1183" s="733">
        <f t="shared" si="151"/>
        <v>0</v>
      </c>
      <c r="AC1183" s="1158"/>
      <c r="AD1183" s="1159"/>
      <c r="AE1183" s="1158"/>
      <c r="AF1183" s="1158"/>
      <c r="AG1183" s="1159"/>
      <c r="AH1183" s="1159"/>
      <c r="AI1183" s="732">
        <f t="shared" si="155"/>
        <v>0</v>
      </c>
      <c r="AJ1183" s="733">
        <f t="shared" si="156"/>
        <v>0</v>
      </c>
    </row>
    <row r="1184" spans="1:36">
      <c r="A1184" s="746" t="s">
        <v>549</v>
      </c>
      <c r="B1184" s="738"/>
      <c r="C1184" s="745" t="s">
        <v>165</v>
      </c>
      <c r="D1184" s="751"/>
      <c r="E1184" s="741"/>
      <c r="F1184" s="741"/>
      <c r="G1184" s="1158"/>
      <c r="H1184" s="1159"/>
      <c r="I1184" s="1158"/>
      <c r="J1184" s="1159"/>
      <c r="K1184" s="1158"/>
      <c r="L1184" s="1159"/>
      <c r="M1184" s="1158"/>
      <c r="N1184" s="1158"/>
      <c r="O1184" s="732">
        <f t="shared" si="149"/>
        <v>0</v>
      </c>
      <c r="P1184" s="1159"/>
      <c r="Q1184" s="1159"/>
      <c r="R1184" s="733">
        <f t="shared" si="152"/>
        <v>0</v>
      </c>
      <c r="S1184" s="732">
        <f t="shared" si="153"/>
        <v>0</v>
      </c>
      <c r="T1184" s="733">
        <f t="shared" si="154"/>
        <v>0</v>
      </c>
      <c r="U1184" s="1158"/>
      <c r="V1184" s="1159">
        <v>24500</v>
      </c>
      <c r="W1184" s="1158"/>
      <c r="X1184" s="1158"/>
      <c r="Y1184" s="732">
        <f t="shared" si="150"/>
        <v>0</v>
      </c>
      <c r="Z1184" s="1159"/>
      <c r="AA1184" s="1159"/>
      <c r="AB1184" s="733">
        <f t="shared" si="151"/>
        <v>0</v>
      </c>
      <c r="AC1184" s="1158"/>
      <c r="AD1184" s="1159"/>
      <c r="AE1184" s="1158"/>
      <c r="AF1184" s="1158"/>
      <c r="AG1184" s="1159"/>
      <c r="AH1184" s="1159"/>
      <c r="AI1184" s="732">
        <f t="shared" si="155"/>
        <v>0</v>
      </c>
      <c r="AJ1184" s="733">
        <f t="shared" si="156"/>
        <v>24500</v>
      </c>
    </row>
    <row r="1185" spans="1:36">
      <c r="A1185" s="746" t="s">
        <v>549</v>
      </c>
      <c r="B1185" s="738"/>
      <c r="C1185" s="745" t="s">
        <v>587</v>
      </c>
      <c r="D1185" s="751"/>
      <c r="E1185" s="741"/>
      <c r="F1185" s="741"/>
      <c r="G1185" s="1158"/>
      <c r="H1185" s="1159"/>
      <c r="I1185" s="1158"/>
      <c r="J1185" s="1159"/>
      <c r="K1185" s="1158"/>
      <c r="L1185" s="1159"/>
      <c r="M1185" s="1158"/>
      <c r="N1185" s="1158"/>
      <c r="O1185" s="732">
        <f t="shared" si="149"/>
        <v>0</v>
      </c>
      <c r="P1185" s="1159"/>
      <c r="Q1185" s="1159"/>
      <c r="R1185" s="733">
        <f t="shared" si="152"/>
        <v>0</v>
      </c>
      <c r="S1185" s="732">
        <f t="shared" si="153"/>
        <v>0</v>
      </c>
      <c r="T1185" s="733">
        <f t="shared" si="154"/>
        <v>0</v>
      </c>
      <c r="U1185" s="1158"/>
      <c r="V1185" s="1159"/>
      <c r="W1185" s="1158"/>
      <c r="X1185" s="1158"/>
      <c r="Y1185" s="732">
        <f t="shared" si="150"/>
        <v>0</v>
      </c>
      <c r="Z1185" s="1159"/>
      <c r="AA1185" s="1159"/>
      <c r="AB1185" s="733">
        <f t="shared" si="151"/>
        <v>0</v>
      </c>
      <c r="AC1185" s="1158"/>
      <c r="AD1185" s="1159"/>
      <c r="AE1185" s="1158"/>
      <c r="AF1185" s="1158"/>
      <c r="AG1185" s="1159"/>
      <c r="AH1185" s="1159"/>
      <c r="AI1185" s="732">
        <f t="shared" si="155"/>
        <v>0</v>
      </c>
      <c r="AJ1185" s="733">
        <f t="shared" si="156"/>
        <v>0</v>
      </c>
    </row>
    <row r="1186" spans="1:36">
      <c r="A1186" s="746" t="s">
        <v>549</v>
      </c>
      <c r="B1186" s="738"/>
      <c r="C1186" s="769" t="s">
        <v>1671</v>
      </c>
      <c r="D1186" s="751"/>
      <c r="E1186" s="741"/>
      <c r="F1186" s="741"/>
      <c r="G1186" s="1158"/>
      <c r="H1186" s="1159"/>
      <c r="I1186" s="1158"/>
      <c r="J1186" s="1159"/>
      <c r="K1186" s="1158"/>
      <c r="L1186" s="1159"/>
      <c r="M1186" s="1158"/>
      <c r="N1186" s="1158"/>
      <c r="O1186" s="732">
        <f t="shared" si="149"/>
        <v>0</v>
      </c>
      <c r="P1186" s="1159"/>
      <c r="Q1186" s="1159"/>
      <c r="R1186" s="733">
        <f t="shared" si="152"/>
        <v>0</v>
      </c>
      <c r="S1186" s="732">
        <f t="shared" si="153"/>
        <v>0</v>
      </c>
      <c r="T1186" s="733">
        <f t="shared" si="154"/>
        <v>0</v>
      </c>
      <c r="U1186" s="1158"/>
      <c r="V1186" s="1159"/>
      <c r="W1186" s="1158"/>
      <c r="X1186" s="1158"/>
      <c r="Y1186" s="732">
        <f t="shared" si="150"/>
        <v>0</v>
      </c>
      <c r="Z1186" s="1159"/>
      <c r="AA1186" s="1159"/>
      <c r="AB1186" s="733">
        <f t="shared" si="151"/>
        <v>0</v>
      </c>
      <c r="AC1186" s="1158"/>
      <c r="AD1186" s="1159"/>
      <c r="AE1186" s="1158"/>
      <c r="AF1186" s="1158"/>
      <c r="AG1186" s="1159"/>
      <c r="AH1186" s="1159"/>
      <c r="AI1186" s="732">
        <f t="shared" si="155"/>
        <v>0</v>
      </c>
      <c r="AJ1186" s="733">
        <f t="shared" si="156"/>
        <v>0</v>
      </c>
    </row>
    <row r="1187" spans="1:36">
      <c r="A1187" s="746" t="s">
        <v>549</v>
      </c>
      <c r="B1187" s="738"/>
      <c r="C1187" s="745" t="s">
        <v>171</v>
      </c>
      <c r="D1187" s="751"/>
      <c r="E1187" s="741"/>
      <c r="F1187" s="741"/>
      <c r="G1187" s="1158"/>
      <c r="H1187" s="1159"/>
      <c r="I1187" s="1158"/>
      <c r="J1187" s="1159"/>
      <c r="K1187" s="1158"/>
      <c r="L1187" s="1159"/>
      <c r="M1187" s="1158"/>
      <c r="N1187" s="1158"/>
      <c r="O1187" s="732">
        <f t="shared" si="149"/>
        <v>0</v>
      </c>
      <c r="P1187" s="1159"/>
      <c r="Q1187" s="1159"/>
      <c r="R1187" s="733">
        <f t="shared" si="152"/>
        <v>0</v>
      </c>
      <c r="S1187" s="732">
        <f t="shared" si="153"/>
        <v>0</v>
      </c>
      <c r="T1187" s="733">
        <f t="shared" si="154"/>
        <v>0</v>
      </c>
      <c r="U1187" s="1158"/>
      <c r="V1187" s="1159"/>
      <c r="W1187" s="1158"/>
      <c r="X1187" s="1158"/>
      <c r="Y1187" s="732">
        <f t="shared" si="150"/>
        <v>0</v>
      </c>
      <c r="Z1187" s="1159"/>
      <c r="AA1187" s="1159"/>
      <c r="AB1187" s="733">
        <f t="shared" si="151"/>
        <v>0</v>
      </c>
      <c r="AC1187" s="1158"/>
      <c r="AD1187" s="1159"/>
      <c r="AE1187" s="1158"/>
      <c r="AF1187" s="1158"/>
      <c r="AG1187" s="1159"/>
      <c r="AH1187" s="1159"/>
      <c r="AI1187" s="732">
        <f t="shared" si="155"/>
        <v>0</v>
      </c>
      <c r="AJ1187" s="733">
        <f t="shared" si="156"/>
        <v>0</v>
      </c>
    </row>
    <row r="1188" spans="1:36">
      <c r="A1188" s="746" t="s">
        <v>549</v>
      </c>
      <c r="B1188" s="738"/>
      <c r="C1188" s="745" t="s">
        <v>165</v>
      </c>
      <c r="D1188" s="751"/>
      <c r="E1188" s="741"/>
      <c r="F1188" s="741"/>
      <c r="G1188" s="1158"/>
      <c r="H1188" s="1159"/>
      <c r="I1188" s="1158"/>
      <c r="J1188" s="1159"/>
      <c r="K1188" s="1158"/>
      <c r="L1188" s="1159"/>
      <c r="M1188" s="1158"/>
      <c r="N1188" s="1158"/>
      <c r="O1188" s="732">
        <f t="shared" si="149"/>
        <v>0</v>
      </c>
      <c r="P1188" s="1159"/>
      <c r="Q1188" s="1159"/>
      <c r="R1188" s="733">
        <f t="shared" si="152"/>
        <v>0</v>
      </c>
      <c r="S1188" s="732">
        <f t="shared" si="153"/>
        <v>0</v>
      </c>
      <c r="T1188" s="733">
        <f t="shared" si="154"/>
        <v>0</v>
      </c>
      <c r="U1188" s="1158"/>
      <c r="V1188" s="1159">
        <v>5682</v>
      </c>
      <c r="W1188" s="1158"/>
      <c r="X1188" s="1158"/>
      <c r="Y1188" s="732">
        <f t="shared" si="150"/>
        <v>0</v>
      </c>
      <c r="Z1188" s="1159"/>
      <c r="AA1188" s="1159"/>
      <c r="AB1188" s="733">
        <f t="shared" si="151"/>
        <v>0</v>
      </c>
      <c r="AC1188" s="1158"/>
      <c r="AD1188" s="1159"/>
      <c r="AE1188" s="1158"/>
      <c r="AF1188" s="1158"/>
      <c r="AG1188" s="1159"/>
      <c r="AH1188" s="1159"/>
      <c r="AI1188" s="732">
        <f t="shared" si="155"/>
        <v>0</v>
      </c>
      <c r="AJ1188" s="733">
        <f t="shared" si="156"/>
        <v>5682</v>
      </c>
    </row>
    <row r="1189" spans="1:36">
      <c r="A1189" s="746" t="s">
        <v>549</v>
      </c>
      <c r="B1189" s="738"/>
      <c r="C1189" s="745" t="s">
        <v>587</v>
      </c>
      <c r="D1189" s="751"/>
      <c r="E1189" s="741"/>
      <c r="F1189" s="741"/>
      <c r="G1189" s="1158"/>
      <c r="H1189" s="1159"/>
      <c r="I1189" s="1158"/>
      <c r="J1189" s="1159"/>
      <c r="K1189" s="1158"/>
      <c r="L1189" s="1159"/>
      <c r="M1189" s="1158"/>
      <c r="N1189" s="1158"/>
      <c r="O1189" s="732">
        <f t="shared" si="149"/>
        <v>0</v>
      </c>
      <c r="P1189" s="1159"/>
      <c r="Q1189" s="1159"/>
      <c r="R1189" s="733">
        <f t="shared" si="152"/>
        <v>0</v>
      </c>
      <c r="S1189" s="732">
        <f t="shared" si="153"/>
        <v>0</v>
      </c>
      <c r="T1189" s="733">
        <f t="shared" si="154"/>
        <v>0</v>
      </c>
      <c r="U1189" s="1158"/>
      <c r="V1189" s="1159"/>
      <c r="W1189" s="1158"/>
      <c r="X1189" s="1158"/>
      <c r="Y1189" s="732">
        <f t="shared" si="150"/>
        <v>0</v>
      </c>
      <c r="Z1189" s="1159"/>
      <c r="AA1189" s="1159"/>
      <c r="AB1189" s="733">
        <f t="shared" si="151"/>
        <v>0</v>
      </c>
      <c r="AC1189" s="1158"/>
      <c r="AD1189" s="1159"/>
      <c r="AE1189" s="1158"/>
      <c r="AF1189" s="1158"/>
      <c r="AG1189" s="1159"/>
      <c r="AH1189" s="1159"/>
      <c r="AI1189" s="732">
        <f t="shared" si="155"/>
        <v>0</v>
      </c>
      <c r="AJ1189" s="733">
        <f t="shared" si="156"/>
        <v>0</v>
      </c>
    </row>
    <row r="1190" spans="1:36">
      <c r="A1190" s="746" t="s">
        <v>549</v>
      </c>
      <c r="B1190" s="738"/>
      <c r="C1190" s="745" t="s">
        <v>177</v>
      </c>
      <c r="D1190" s="751"/>
      <c r="E1190" s="741"/>
      <c r="F1190" s="741"/>
      <c r="G1190" s="1158"/>
      <c r="H1190" s="1159"/>
      <c r="I1190" s="1158"/>
      <c r="J1190" s="1159"/>
      <c r="K1190" s="1158"/>
      <c r="L1190" s="1159"/>
      <c r="M1190" s="1158"/>
      <c r="N1190" s="1158"/>
      <c r="O1190" s="732">
        <f t="shared" si="149"/>
        <v>0</v>
      </c>
      <c r="P1190" s="1159"/>
      <c r="Q1190" s="1159"/>
      <c r="R1190" s="733">
        <f t="shared" si="152"/>
        <v>0</v>
      </c>
      <c r="S1190" s="732">
        <f t="shared" si="153"/>
        <v>0</v>
      </c>
      <c r="T1190" s="733">
        <f t="shared" si="154"/>
        <v>0</v>
      </c>
      <c r="U1190" s="1158"/>
      <c r="V1190" s="1159"/>
      <c r="W1190" s="1158"/>
      <c r="X1190" s="1158"/>
      <c r="Y1190" s="732">
        <f t="shared" si="150"/>
        <v>0</v>
      </c>
      <c r="Z1190" s="1159"/>
      <c r="AA1190" s="1159"/>
      <c r="AB1190" s="733">
        <f t="shared" si="151"/>
        <v>0</v>
      </c>
      <c r="AC1190" s="1158"/>
      <c r="AD1190" s="1159"/>
      <c r="AE1190" s="1158"/>
      <c r="AF1190" s="1158"/>
      <c r="AG1190" s="1159"/>
      <c r="AH1190" s="1159"/>
      <c r="AI1190" s="732">
        <f t="shared" si="155"/>
        <v>0</v>
      </c>
      <c r="AJ1190" s="733">
        <f t="shared" si="156"/>
        <v>0</v>
      </c>
    </row>
    <row r="1191" spans="1:36">
      <c r="A1191" s="746" t="s">
        <v>549</v>
      </c>
      <c r="B1191" s="738"/>
      <c r="C1191" s="745" t="s">
        <v>165</v>
      </c>
      <c r="D1191" s="751"/>
      <c r="E1191" s="741"/>
      <c r="F1191" s="741"/>
      <c r="G1191" s="1158"/>
      <c r="H1191" s="1159"/>
      <c r="I1191" s="1158"/>
      <c r="J1191" s="1159"/>
      <c r="K1191" s="1158"/>
      <c r="L1191" s="1159"/>
      <c r="M1191" s="1158"/>
      <c r="N1191" s="1158"/>
      <c r="O1191" s="732">
        <f t="shared" si="149"/>
        <v>0</v>
      </c>
      <c r="P1191" s="1159"/>
      <c r="Q1191" s="1159"/>
      <c r="R1191" s="733">
        <f t="shared" si="152"/>
        <v>0</v>
      </c>
      <c r="S1191" s="732">
        <f t="shared" si="153"/>
        <v>0</v>
      </c>
      <c r="T1191" s="733">
        <f t="shared" si="154"/>
        <v>0</v>
      </c>
      <c r="U1191" s="1158"/>
      <c r="V1191" s="1159"/>
      <c r="W1191" s="1158"/>
      <c r="X1191" s="1158"/>
      <c r="Y1191" s="732">
        <f t="shared" si="150"/>
        <v>0</v>
      </c>
      <c r="Z1191" s="1159"/>
      <c r="AA1191" s="1159"/>
      <c r="AB1191" s="733">
        <f t="shared" si="151"/>
        <v>0</v>
      </c>
      <c r="AC1191" s="1158"/>
      <c r="AD1191" s="1159"/>
      <c r="AE1191" s="1158"/>
      <c r="AF1191" s="1158"/>
      <c r="AG1191" s="1159"/>
      <c r="AH1191" s="1159"/>
      <c r="AI1191" s="732">
        <f t="shared" si="155"/>
        <v>0</v>
      </c>
      <c r="AJ1191" s="733">
        <f t="shared" si="156"/>
        <v>0</v>
      </c>
    </row>
    <row r="1192" spans="1:36">
      <c r="A1192" s="746" t="s">
        <v>549</v>
      </c>
      <c r="B1192" s="738"/>
      <c r="C1192" s="745" t="s">
        <v>587</v>
      </c>
      <c r="D1192" s="751"/>
      <c r="E1192" s="741"/>
      <c r="F1192" s="741"/>
      <c r="G1192" s="1158"/>
      <c r="H1192" s="1159"/>
      <c r="I1192" s="1158"/>
      <c r="J1192" s="1159"/>
      <c r="K1192" s="1158"/>
      <c r="L1192" s="1159"/>
      <c r="M1192" s="1158"/>
      <c r="N1192" s="1158"/>
      <c r="O1192" s="732">
        <f t="shared" si="149"/>
        <v>0</v>
      </c>
      <c r="P1192" s="1159"/>
      <c r="Q1192" s="1159"/>
      <c r="R1192" s="733">
        <f t="shared" si="152"/>
        <v>0</v>
      </c>
      <c r="S1192" s="732">
        <f t="shared" si="153"/>
        <v>0</v>
      </c>
      <c r="T1192" s="733">
        <f t="shared" si="154"/>
        <v>0</v>
      </c>
      <c r="U1192" s="1158"/>
      <c r="V1192" s="1159"/>
      <c r="W1192" s="1158"/>
      <c r="X1192" s="1158"/>
      <c r="Y1192" s="732">
        <f t="shared" si="150"/>
        <v>0</v>
      </c>
      <c r="Z1192" s="1159"/>
      <c r="AA1192" s="1159"/>
      <c r="AB1192" s="733">
        <f t="shared" si="151"/>
        <v>0</v>
      </c>
      <c r="AC1192" s="1158"/>
      <c r="AD1192" s="1159"/>
      <c r="AE1192" s="1158"/>
      <c r="AF1192" s="1158"/>
      <c r="AG1192" s="1159"/>
      <c r="AH1192" s="1159"/>
      <c r="AI1192" s="732">
        <f t="shared" si="155"/>
        <v>0</v>
      </c>
      <c r="AJ1192" s="733">
        <f t="shared" si="156"/>
        <v>0</v>
      </c>
    </row>
    <row r="1193" spans="1:36">
      <c r="A1193" s="746" t="s">
        <v>549</v>
      </c>
      <c r="B1193" s="738"/>
      <c r="C1193" s="745"/>
      <c r="D1193" s="751"/>
      <c r="E1193" s="741"/>
      <c r="F1193" s="741"/>
      <c r="G1193" s="1158"/>
      <c r="H1193" s="1159"/>
      <c r="I1193" s="1158"/>
      <c r="J1193" s="1159"/>
      <c r="K1193" s="1158"/>
      <c r="L1193" s="1159"/>
      <c r="M1193" s="1158"/>
      <c r="N1193" s="1158"/>
      <c r="O1193" s="732">
        <f t="shared" si="149"/>
        <v>0</v>
      </c>
      <c r="P1193" s="1159"/>
      <c r="Q1193" s="1159"/>
      <c r="R1193" s="733">
        <f t="shared" si="152"/>
        <v>0</v>
      </c>
      <c r="S1193" s="732">
        <f t="shared" si="153"/>
        <v>0</v>
      </c>
      <c r="T1193" s="733">
        <f t="shared" si="154"/>
        <v>0</v>
      </c>
      <c r="U1193" s="1158"/>
      <c r="V1193" s="1159"/>
      <c r="W1193" s="1158"/>
      <c r="X1193" s="1158"/>
      <c r="Y1193" s="732">
        <f t="shared" si="150"/>
        <v>0</v>
      </c>
      <c r="Z1193" s="1159"/>
      <c r="AA1193" s="1159"/>
      <c r="AB1193" s="733">
        <f t="shared" si="151"/>
        <v>0</v>
      </c>
      <c r="AC1193" s="1158"/>
      <c r="AD1193" s="1159"/>
      <c r="AE1193" s="1158"/>
      <c r="AF1193" s="1158"/>
      <c r="AG1193" s="1159"/>
      <c r="AH1193" s="1159"/>
      <c r="AI1193" s="732">
        <f t="shared" si="155"/>
        <v>0</v>
      </c>
      <c r="AJ1193" s="733">
        <f t="shared" si="156"/>
        <v>0</v>
      </c>
    </row>
    <row r="1194" spans="1:36">
      <c r="A1194" s="746" t="s">
        <v>549</v>
      </c>
      <c r="B1194" s="738" t="s">
        <v>187</v>
      </c>
      <c r="C1194" s="752" t="s">
        <v>188</v>
      </c>
      <c r="D1194" s="751"/>
      <c r="E1194" s="741"/>
      <c r="F1194" s="741">
        <v>99</v>
      </c>
      <c r="G1194" s="1158"/>
      <c r="H1194" s="1159"/>
      <c r="I1194" s="1158"/>
      <c r="J1194" s="1159"/>
      <c r="K1194" s="1158"/>
      <c r="L1194" s="1159"/>
      <c r="M1194" s="1158"/>
      <c r="N1194" s="1158"/>
      <c r="O1194" s="732">
        <f t="shared" si="149"/>
        <v>0</v>
      </c>
      <c r="P1194" s="1159"/>
      <c r="Q1194" s="1159"/>
      <c r="R1194" s="733">
        <f t="shared" si="152"/>
        <v>0</v>
      </c>
      <c r="S1194" s="732">
        <f t="shared" si="153"/>
        <v>0</v>
      </c>
      <c r="T1194" s="733">
        <f t="shared" si="154"/>
        <v>0</v>
      </c>
      <c r="U1194" s="1158"/>
      <c r="V1194" s="1159"/>
      <c r="W1194" s="1158"/>
      <c r="X1194" s="1158"/>
      <c r="Y1194" s="732">
        <f t="shared" si="150"/>
        <v>0</v>
      </c>
      <c r="Z1194" s="1159"/>
      <c r="AA1194" s="1159"/>
      <c r="AB1194" s="733">
        <f t="shared" si="151"/>
        <v>0</v>
      </c>
      <c r="AC1194" s="1158"/>
      <c r="AD1194" s="1159"/>
      <c r="AE1194" s="1158"/>
      <c r="AF1194" s="1158"/>
      <c r="AG1194" s="1159"/>
      <c r="AH1194" s="1159"/>
      <c r="AI1194" s="732">
        <f t="shared" si="155"/>
        <v>0</v>
      </c>
      <c r="AJ1194" s="733">
        <f t="shared" si="156"/>
        <v>0</v>
      </c>
    </row>
    <row r="1195" spans="1:36">
      <c r="A1195" s="746" t="s">
        <v>549</v>
      </c>
      <c r="B1195" s="738" t="s">
        <v>190</v>
      </c>
      <c r="C1195" s="752" t="s">
        <v>165</v>
      </c>
      <c r="D1195" s="751"/>
      <c r="E1195" s="741"/>
      <c r="F1195" s="741">
        <v>99</v>
      </c>
      <c r="G1195" s="1158"/>
      <c r="H1195" s="1159"/>
      <c r="I1195" s="1158"/>
      <c r="J1195" s="1159"/>
      <c r="K1195" s="1158"/>
      <c r="L1195" s="1159"/>
      <c r="M1195" s="1158"/>
      <c r="N1195" s="1158"/>
      <c r="O1195" s="732">
        <f t="shared" si="149"/>
        <v>0</v>
      </c>
      <c r="P1195" s="1159"/>
      <c r="Q1195" s="1159"/>
      <c r="R1195" s="733">
        <f t="shared" si="152"/>
        <v>0</v>
      </c>
      <c r="S1195" s="732">
        <f t="shared" si="153"/>
        <v>0</v>
      </c>
      <c r="T1195" s="733">
        <f t="shared" si="154"/>
        <v>0</v>
      </c>
      <c r="U1195" s="1161">
        <f>U1153+U1054+U1031+U1022+U1015</f>
        <v>76865911</v>
      </c>
      <c r="V1195" s="1161">
        <f>V1153+V1054+V1031+V1022+V1015</f>
        <v>67941352</v>
      </c>
      <c r="W1195" s="1158"/>
      <c r="X1195" s="1158"/>
      <c r="Y1195" s="732">
        <f t="shared" si="150"/>
        <v>0</v>
      </c>
      <c r="Z1195" s="1159"/>
      <c r="AA1195" s="1159"/>
      <c r="AB1195" s="733">
        <f t="shared" si="151"/>
        <v>0</v>
      </c>
      <c r="AC1195" s="1158"/>
      <c r="AD1195" s="1159"/>
      <c r="AE1195" s="1158"/>
      <c r="AF1195" s="1158"/>
      <c r="AG1195" s="1159"/>
      <c r="AH1195" s="1159"/>
      <c r="AI1195" s="732">
        <f t="shared" si="155"/>
        <v>76865911</v>
      </c>
      <c r="AJ1195" s="733">
        <f t="shared" si="156"/>
        <v>67941352</v>
      </c>
    </row>
    <row r="1196" spans="1:36">
      <c r="A1196" s="746" t="s">
        <v>549</v>
      </c>
      <c r="B1196" s="738" t="s">
        <v>191</v>
      </c>
      <c r="C1196" s="752" t="s">
        <v>167</v>
      </c>
      <c r="D1196" s="751"/>
      <c r="E1196" s="741"/>
      <c r="F1196" s="741">
        <v>99</v>
      </c>
      <c r="G1196" s="1158"/>
      <c r="H1196" s="1159"/>
      <c r="I1196" s="1158"/>
      <c r="J1196" s="1159"/>
      <c r="K1196" s="1158"/>
      <c r="L1196" s="1159"/>
      <c r="M1196" s="1158"/>
      <c r="N1196" s="1158"/>
      <c r="O1196" s="732">
        <f t="shared" si="149"/>
        <v>0</v>
      </c>
      <c r="P1196" s="1159"/>
      <c r="Q1196" s="1159"/>
      <c r="R1196" s="733">
        <f t="shared" si="152"/>
        <v>0</v>
      </c>
      <c r="S1196" s="732">
        <f t="shared" si="153"/>
        <v>0</v>
      </c>
      <c r="T1196" s="733">
        <f t="shared" si="154"/>
        <v>0</v>
      </c>
      <c r="U1196" s="1162">
        <f>U1147+U1126+U1119+U1112+U1105+U1048+U1039+U1133</f>
        <v>11968244.620000001</v>
      </c>
      <c r="V1196" s="1162">
        <f>V1147+V1126+V1119+V1112+V1105+V1048+V1039+V1133</f>
        <v>13309511</v>
      </c>
      <c r="W1196" s="1158"/>
      <c r="X1196" s="1158"/>
      <c r="Y1196" s="732">
        <f t="shared" si="150"/>
        <v>0</v>
      </c>
      <c r="Z1196" s="1159"/>
      <c r="AA1196" s="1159"/>
      <c r="AB1196" s="733">
        <f t="shared" si="151"/>
        <v>0</v>
      </c>
      <c r="AC1196" s="1158"/>
      <c r="AD1196" s="1159"/>
      <c r="AE1196" s="1158"/>
      <c r="AF1196" s="1158"/>
      <c r="AG1196" s="1159"/>
      <c r="AH1196" s="1159"/>
      <c r="AI1196" s="732">
        <f t="shared" si="155"/>
        <v>11968244.620000001</v>
      </c>
      <c r="AJ1196" s="733">
        <f t="shared" si="156"/>
        <v>13309511</v>
      </c>
    </row>
    <row r="1197" spans="1:36">
      <c r="A1197" s="746" t="s">
        <v>549</v>
      </c>
      <c r="B1197" s="738" t="s">
        <v>192</v>
      </c>
      <c r="C1197" s="752" t="s">
        <v>332</v>
      </c>
      <c r="D1197" s="751"/>
      <c r="E1197" s="741"/>
      <c r="F1197" s="741">
        <v>99</v>
      </c>
      <c r="G1197" s="1158"/>
      <c r="H1197" s="1159"/>
      <c r="I1197" s="1158"/>
      <c r="J1197" s="1159"/>
      <c r="K1197" s="1158"/>
      <c r="L1197" s="1159"/>
      <c r="M1197" s="1158"/>
      <c r="N1197" s="1158"/>
      <c r="O1197" s="732">
        <f t="shared" si="149"/>
        <v>0</v>
      </c>
      <c r="P1197" s="1159"/>
      <c r="Q1197" s="1159"/>
      <c r="R1197" s="733">
        <f t="shared" si="152"/>
        <v>0</v>
      </c>
      <c r="S1197" s="732">
        <f t="shared" si="153"/>
        <v>0</v>
      </c>
      <c r="T1197" s="733">
        <f t="shared" si="154"/>
        <v>0</v>
      </c>
      <c r="U1197" s="1163">
        <f>U1040+U1049+U1106+U1120</f>
        <v>0</v>
      </c>
      <c r="V1197" s="1164">
        <f>V1040+V1049+V1106+V1120</f>
        <v>0</v>
      </c>
      <c r="W1197" s="1158"/>
      <c r="X1197" s="1158"/>
      <c r="Y1197" s="732">
        <f t="shared" si="150"/>
        <v>0</v>
      </c>
      <c r="Z1197" s="1159"/>
      <c r="AA1197" s="1159"/>
      <c r="AB1197" s="733">
        <f t="shared" si="151"/>
        <v>0</v>
      </c>
      <c r="AC1197" s="1158"/>
      <c r="AD1197" s="1159"/>
      <c r="AE1197" s="1158"/>
      <c r="AF1197" s="1158"/>
      <c r="AG1197" s="1159"/>
      <c r="AH1197" s="1159"/>
      <c r="AI1197" s="732">
        <f t="shared" si="155"/>
        <v>0</v>
      </c>
      <c r="AJ1197" s="733">
        <f t="shared" si="156"/>
        <v>0</v>
      </c>
    </row>
    <row r="1198" spans="1:36">
      <c r="A1198" s="746" t="s">
        <v>549</v>
      </c>
      <c r="B1198" s="738" t="s">
        <v>195</v>
      </c>
      <c r="C1198" s="757" t="s">
        <v>165</v>
      </c>
      <c r="D1198" s="744"/>
      <c r="E1198" s="741"/>
      <c r="F1198" s="741">
        <v>99</v>
      </c>
      <c r="G1198" s="1158"/>
      <c r="H1198" s="1159"/>
      <c r="I1198" s="1158"/>
      <c r="J1198" s="1159"/>
      <c r="K1198" s="1158"/>
      <c r="L1198" s="1159"/>
      <c r="M1198" s="1158"/>
      <c r="N1198" s="1158"/>
      <c r="O1198" s="732">
        <f t="shared" si="149"/>
        <v>0</v>
      </c>
      <c r="P1198" s="1159"/>
      <c r="Q1198" s="1159"/>
      <c r="R1198" s="733">
        <f t="shared" si="152"/>
        <v>0</v>
      </c>
      <c r="S1198" s="732">
        <f t="shared" si="153"/>
        <v>0</v>
      </c>
      <c r="T1198" s="733">
        <f t="shared" si="154"/>
        <v>0</v>
      </c>
      <c r="U1198" s="1163">
        <f>U1156+U1071+U1034+U1025+U1018</f>
        <v>17743264</v>
      </c>
      <c r="V1198" s="1163">
        <f>V1156+V1071+V1034+V1025+V1018</f>
        <v>18360775</v>
      </c>
      <c r="W1198" s="1158"/>
      <c r="X1198" s="1158"/>
      <c r="Y1198" s="732">
        <f t="shared" si="150"/>
        <v>0</v>
      </c>
      <c r="Z1198" s="1159"/>
      <c r="AA1198" s="1159"/>
      <c r="AB1198" s="733">
        <f t="shared" si="151"/>
        <v>0</v>
      </c>
      <c r="AC1198" s="1158"/>
      <c r="AD1198" s="1159"/>
      <c r="AE1198" s="1158"/>
      <c r="AF1198" s="1158"/>
      <c r="AG1198" s="1159"/>
      <c r="AH1198" s="1159"/>
      <c r="AI1198" s="732">
        <f t="shared" si="155"/>
        <v>17743264</v>
      </c>
      <c r="AJ1198" s="733">
        <f t="shared" si="156"/>
        <v>18360775</v>
      </c>
    </row>
    <row r="1199" spans="1:36">
      <c r="A1199" s="746" t="s">
        <v>549</v>
      </c>
      <c r="B1199" s="738" t="s">
        <v>196</v>
      </c>
      <c r="C1199" s="745" t="s">
        <v>167</v>
      </c>
      <c r="D1199" s="744"/>
      <c r="E1199" s="741"/>
      <c r="F1199" s="741">
        <v>99</v>
      </c>
      <c r="G1199" s="1158"/>
      <c r="H1199" s="1159"/>
      <c r="I1199" s="1158"/>
      <c r="J1199" s="1159"/>
      <c r="K1199" s="1158"/>
      <c r="L1199" s="1159"/>
      <c r="M1199" s="1158"/>
      <c r="N1199" s="1158"/>
      <c r="O1199" s="732">
        <f t="shared" si="149"/>
        <v>0</v>
      </c>
      <c r="P1199" s="1159"/>
      <c r="Q1199" s="1159"/>
      <c r="R1199" s="733">
        <f t="shared" si="152"/>
        <v>0</v>
      </c>
      <c r="S1199" s="732">
        <f t="shared" si="153"/>
        <v>0</v>
      </c>
      <c r="T1199" s="733">
        <f t="shared" si="154"/>
        <v>0</v>
      </c>
      <c r="U1199" s="1163">
        <f>U1150+U1136+U1051+U1042</f>
        <v>3118941</v>
      </c>
      <c r="V1199" s="1163">
        <f>V1150+V1136+V1051+V1042</f>
        <v>1566789</v>
      </c>
      <c r="W1199" s="1158"/>
      <c r="X1199" s="1158"/>
      <c r="Y1199" s="732">
        <f t="shared" si="150"/>
        <v>0</v>
      </c>
      <c r="Z1199" s="1159"/>
      <c r="AA1199" s="1159"/>
      <c r="AB1199" s="733">
        <f t="shared" si="151"/>
        <v>0</v>
      </c>
      <c r="AC1199" s="1158"/>
      <c r="AD1199" s="1159"/>
      <c r="AE1199" s="1158"/>
      <c r="AF1199" s="1158"/>
      <c r="AG1199" s="1159"/>
      <c r="AH1199" s="1159"/>
      <c r="AI1199" s="732">
        <f t="shared" si="155"/>
        <v>3118941</v>
      </c>
      <c r="AJ1199" s="733">
        <f t="shared" si="156"/>
        <v>1566789</v>
      </c>
    </row>
    <row r="1200" spans="1:36">
      <c r="A1200" s="719" t="s">
        <v>599</v>
      </c>
      <c r="B1200" s="717" t="s">
        <v>62</v>
      </c>
      <c r="C1200" s="770" t="s">
        <v>600</v>
      </c>
      <c r="D1200" s="771"/>
      <c r="E1200" s="719">
        <v>176080</v>
      </c>
      <c r="F1200" s="719">
        <v>1</v>
      </c>
      <c r="G1200" s="1152">
        <v>94181267</v>
      </c>
      <c r="H1200" s="1153">
        <v>99722176</v>
      </c>
      <c r="I1200" s="1152"/>
      <c r="J1200" s="1153"/>
      <c r="K1200" s="1152"/>
      <c r="L1200" s="1153"/>
      <c r="M1200" s="1152">
        <v>266305240</v>
      </c>
      <c r="N1200" s="1152">
        <v>0</v>
      </c>
      <c r="O1200" s="732">
        <f t="shared" si="149"/>
        <v>266305240</v>
      </c>
      <c r="P1200" s="1153">
        <v>263948242</v>
      </c>
      <c r="Q1200" s="1153">
        <v>0</v>
      </c>
      <c r="R1200" s="733">
        <f t="shared" si="152"/>
        <v>263948242</v>
      </c>
      <c r="S1200" s="732">
        <f t="shared" si="153"/>
        <v>360486507</v>
      </c>
      <c r="T1200" s="733">
        <f t="shared" si="154"/>
        <v>363670418</v>
      </c>
      <c r="U1200" s="1152"/>
      <c r="V1200" s="1153"/>
      <c r="W1200" s="1152"/>
      <c r="X1200" s="1152"/>
      <c r="Y1200" s="732">
        <f t="shared" si="150"/>
        <v>0</v>
      </c>
      <c r="Z1200" s="1153"/>
      <c r="AA1200" s="1153"/>
      <c r="AB1200" s="733">
        <f t="shared" si="151"/>
        <v>0</v>
      </c>
      <c r="AC1200" s="1152"/>
      <c r="AD1200" s="1153"/>
      <c r="AE1200" s="1152"/>
      <c r="AF1200" s="1152"/>
      <c r="AG1200" s="1153"/>
      <c r="AH1200" s="1153"/>
      <c r="AI1200" s="732">
        <f t="shared" si="155"/>
        <v>360486507</v>
      </c>
      <c r="AJ1200" s="733">
        <f t="shared" si="156"/>
        <v>363670418</v>
      </c>
    </row>
    <row r="1201" spans="1:36">
      <c r="A1201" s="719" t="s">
        <v>599</v>
      </c>
      <c r="B1201" s="717" t="s">
        <v>64</v>
      </c>
      <c r="C1201" s="772" t="s">
        <v>601</v>
      </c>
      <c r="D1201" s="773"/>
      <c r="E1201" s="719">
        <v>176080</v>
      </c>
      <c r="F1201" s="719">
        <v>1</v>
      </c>
      <c r="G1201" s="1152"/>
      <c r="H1201" s="1153"/>
      <c r="I1201" s="1152"/>
      <c r="J1201" s="1153"/>
      <c r="K1201" s="1152"/>
      <c r="L1201" s="1153"/>
      <c r="M1201" s="1152"/>
      <c r="N1201" s="1152"/>
      <c r="O1201" s="732">
        <f t="shared" si="149"/>
        <v>0</v>
      </c>
      <c r="P1201" s="1153"/>
      <c r="Q1201" s="1153"/>
      <c r="R1201" s="733">
        <f t="shared" si="152"/>
        <v>0</v>
      </c>
      <c r="S1201" s="732">
        <f t="shared" si="153"/>
        <v>0</v>
      </c>
      <c r="T1201" s="733">
        <f t="shared" si="154"/>
        <v>0</v>
      </c>
      <c r="U1201" s="1152"/>
      <c r="V1201" s="1153"/>
      <c r="W1201" s="1152"/>
      <c r="X1201" s="1152"/>
      <c r="Y1201" s="732">
        <f t="shared" si="150"/>
        <v>0</v>
      </c>
      <c r="Z1201" s="1153"/>
      <c r="AA1201" s="1153"/>
      <c r="AB1201" s="733">
        <f t="shared" si="151"/>
        <v>0</v>
      </c>
      <c r="AC1201" s="1152">
        <v>18108170</v>
      </c>
      <c r="AD1201" s="1153">
        <v>17494212</v>
      </c>
      <c r="AE1201" s="1152">
        <v>14525489</v>
      </c>
      <c r="AF1201" s="1152">
        <v>0</v>
      </c>
      <c r="AG1201" s="1153">
        <v>14525489</v>
      </c>
      <c r="AH1201" s="1153">
        <v>0</v>
      </c>
      <c r="AI1201" s="732">
        <f t="shared" si="155"/>
        <v>32633659</v>
      </c>
      <c r="AJ1201" s="733">
        <f t="shared" si="156"/>
        <v>32019701</v>
      </c>
    </row>
    <row r="1202" spans="1:36">
      <c r="A1202" s="719" t="s">
        <v>599</v>
      </c>
      <c r="B1202" s="717" t="s">
        <v>74</v>
      </c>
      <c r="C1202" s="774" t="s">
        <v>602</v>
      </c>
      <c r="D1202" s="773"/>
      <c r="E1202" s="719">
        <v>176080</v>
      </c>
      <c r="F1202" s="719">
        <v>1</v>
      </c>
      <c r="G1202" s="1152"/>
      <c r="H1202" s="1153"/>
      <c r="I1202" s="1152">
        <v>30339497</v>
      </c>
      <c r="J1202" s="1153">
        <v>30189497</v>
      </c>
      <c r="K1202" s="1152"/>
      <c r="L1202" s="1153"/>
      <c r="M1202" s="1152"/>
      <c r="N1202" s="1152"/>
      <c r="O1202" s="732">
        <f t="shared" si="149"/>
        <v>0</v>
      </c>
      <c r="P1202" s="1153"/>
      <c r="Q1202" s="1153"/>
      <c r="R1202" s="733">
        <f t="shared" si="152"/>
        <v>0</v>
      </c>
      <c r="S1202" s="732">
        <f t="shared" si="153"/>
        <v>30339497</v>
      </c>
      <c r="T1202" s="733">
        <f t="shared" si="154"/>
        <v>30189497</v>
      </c>
      <c r="U1202" s="1152"/>
      <c r="V1202" s="1153"/>
      <c r="W1202" s="1152"/>
      <c r="X1202" s="1152"/>
      <c r="Y1202" s="732">
        <f t="shared" si="150"/>
        <v>0</v>
      </c>
      <c r="Z1202" s="1153"/>
      <c r="AA1202" s="1153"/>
      <c r="AB1202" s="733">
        <f t="shared" si="151"/>
        <v>0</v>
      </c>
      <c r="AC1202" s="1152"/>
      <c r="AD1202" s="1153"/>
      <c r="AE1202" s="1152"/>
      <c r="AF1202" s="1152"/>
      <c r="AG1202" s="1153"/>
      <c r="AH1202" s="1153"/>
      <c r="AI1202" s="732">
        <f t="shared" si="155"/>
        <v>30339497</v>
      </c>
      <c r="AJ1202" s="733">
        <f t="shared" si="156"/>
        <v>30189497</v>
      </c>
    </row>
    <row r="1203" spans="1:36">
      <c r="A1203" s="719" t="s">
        <v>599</v>
      </c>
      <c r="B1203" s="717" t="s">
        <v>76</v>
      </c>
      <c r="C1203" s="774" t="s">
        <v>603</v>
      </c>
      <c r="D1203" s="773"/>
      <c r="E1203" s="719">
        <v>176080</v>
      </c>
      <c r="F1203" s="719">
        <v>1</v>
      </c>
      <c r="G1203" s="1152"/>
      <c r="H1203" s="1153"/>
      <c r="I1203" s="1152">
        <v>23338327</v>
      </c>
      <c r="J1203" s="1153">
        <v>22566445</v>
      </c>
      <c r="K1203" s="1152"/>
      <c r="L1203" s="1153"/>
      <c r="M1203" s="1152"/>
      <c r="N1203" s="1152"/>
      <c r="O1203" s="732">
        <f t="shared" si="149"/>
        <v>0</v>
      </c>
      <c r="P1203" s="1153"/>
      <c r="Q1203" s="1153"/>
      <c r="R1203" s="733">
        <f t="shared" si="152"/>
        <v>0</v>
      </c>
      <c r="S1203" s="732">
        <f t="shared" si="153"/>
        <v>23338327</v>
      </c>
      <c r="T1203" s="733">
        <f t="shared" si="154"/>
        <v>22566445</v>
      </c>
      <c r="U1203" s="1152"/>
      <c r="V1203" s="1153"/>
      <c r="W1203" s="1152"/>
      <c r="X1203" s="1152"/>
      <c r="Y1203" s="732">
        <f t="shared" si="150"/>
        <v>0</v>
      </c>
      <c r="Z1203" s="1153"/>
      <c r="AA1203" s="1153"/>
      <c r="AB1203" s="733">
        <f t="shared" si="151"/>
        <v>0</v>
      </c>
      <c r="AC1203" s="1152"/>
      <c r="AD1203" s="1153"/>
      <c r="AE1203" s="1152"/>
      <c r="AF1203" s="1152"/>
      <c r="AG1203" s="1153"/>
      <c r="AH1203" s="1153"/>
      <c r="AI1203" s="732">
        <f t="shared" si="155"/>
        <v>23338327</v>
      </c>
      <c r="AJ1203" s="733">
        <f t="shared" si="156"/>
        <v>22566445</v>
      </c>
    </row>
    <row r="1204" spans="1:36">
      <c r="A1204" s="719" t="s">
        <v>599</v>
      </c>
      <c r="B1204" s="717" t="s">
        <v>78</v>
      </c>
      <c r="C1204" s="774" t="s">
        <v>374</v>
      </c>
      <c r="D1204" s="773"/>
      <c r="E1204" s="719">
        <v>176080</v>
      </c>
      <c r="F1204" s="719">
        <v>1</v>
      </c>
      <c r="G1204" s="1152"/>
      <c r="H1204" s="1153"/>
      <c r="I1204" s="1152"/>
      <c r="J1204" s="1153"/>
      <c r="K1204" s="1152"/>
      <c r="L1204" s="1153"/>
      <c r="M1204" s="1152"/>
      <c r="N1204" s="1152"/>
      <c r="O1204" s="732">
        <f t="shared" si="149"/>
        <v>0</v>
      </c>
      <c r="P1204" s="1153"/>
      <c r="Q1204" s="1153"/>
      <c r="R1204" s="733">
        <f t="shared" si="152"/>
        <v>0</v>
      </c>
      <c r="S1204" s="732">
        <f t="shared" si="153"/>
        <v>0</v>
      </c>
      <c r="T1204" s="733">
        <f t="shared" si="154"/>
        <v>0</v>
      </c>
      <c r="U1204" s="1152"/>
      <c r="V1204" s="1153"/>
      <c r="W1204" s="1152"/>
      <c r="X1204" s="1152"/>
      <c r="Y1204" s="732">
        <f t="shared" si="150"/>
        <v>0</v>
      </c>
      <c r="Z1204" s="1153"/>
      <c r="AA1204" s="1153"/>
      <c r="AB1204" s="733">
        <f t="shared" si="151"/>
        <v>0</v>
      </c>
      <c r="AC1204" s="1152"/>
      <c r="AD1204" s="1153"/>
      <c r="AE1204" s="1152"/>
      <c r="AF1204" s="1152"/>
      <c r="AG1204" s="1153"/>
      <c r="AH1204" s="1153"/>
      <c r="AI1204" s="732">
        <f t="shared" si="155"/>
        <v>0</v>
      </c>
      <c r="AJ1204" s="733">
        <f t="shared" si="156"/>
        <v>0</v>
      </c>
    </row>
    <row r="1205" spans="1:36">
      <c r="A1205" s="719" t="s">
        <v>599</v>
      </c>
      <c r="B1205" s="717" t="s">
        <v>78</v>
      </c>
      <c r="C1205" s="772" t="s">
        <v>604</v>
      </c>
      <c r="D1205" s="773"/>
      <c r="E1205" s="719">
        <v>176080</v>
      </c>
      <c r="F1205" s="719">
        <v>1</v>
      </c>
      <c r="G1205" s="1152"/>
      <c r="H1205" s="1153"/>
      <c r="I1205" s="1152">
        <v>1628395</v>
      </c>
      <c r="J1205" s="1153">
        <v>1573224</v>
      </c>
      <c r="K1205" s="1152"/>
      <c r="L1205" s="1153"/>
      <c r="M1205" s="1152"/>
      <c r="N1205" s="1152"/>
      <c r="O1205" s="732">
        <f t="shared" si="149"/>
        <v>0</v>
      </c>
      <c r="P1205" s="1153"/>
      <c r="Q1205" s="1153"/>
      <c r="R1205" s="733">
        <f t="shared" si="152"/>
        <v>0</v>
      </c>
      <c r="S1205" s="732">
        <f t="shared" si="153"/>
        <v>1628395</v>
      </c>
      <c r="T1205" s="733">
        <f t="shared" si="154"/>
        <v>1573224</v>
      </c>
      <c r="U1205" s="1152"/>
      <c r="V1205" s="1153"/>
      <c r="W1205" s="1152"/>
      <c r="X1205" s="1152"/>
      <c r="Y1205" s="732">
        <f t="shared" si="150"/>
        <v>0</v>
      </c>
      <c r="Z1205" s="1153"/>
      <c r="AA1205" s="1153"/>
      <c r="AB1205" s="733">
        <f t="shared" si="151"/>
        <v>0</v>
      </c>
      <c r="AC1205" s="1152"/>
      <c r="AD1205" s="1153"/>
      <c r="AE1205" s="1152"/>
      <c r="AF1205" s="1152"/>
      <c r="AG1205" s="1153"/>
      <c r="AH1205" s="1153"/>
      <c r="AI1205" s="732">
        <f t="shared" si="155"/>
        <v>1628395</v>
      </c>
      <c r="AJ1205" s="733">
        <f t="shared" si="156"/>
        <v>1573224</v>
      </c>
    </row>
    <row r="1206" spans="1:36">
      <c r="A1206" s="719" t="s">
        <v>599</v>
      </c>
      <c r="B1206" s="717" t="s">
        <v>78</v>
      </c>
      <c r="C1206" s="772" t="s">
        <v>605</v>
      </c>
      <c r="D1206" s="773"/>
      <c r="E1206" s="719">
        <v>176080</v>
      </c>
      <c r="F1206" s="719">
        <v>1</v>
      </c>
      <c r="G1206" s="1152"/>
      <c r="H1206" s="1153"/>
      <c r="I1206" s="1152">
        <v>5798433</v>
      </c>
      <c r="J1206" s="1153">
        <v>5632070</v>
      </c>
      <c r="K1206" s="1152"/>
      <c r="L1206" s="1153"/>
      <c r="M1206" s="1152"/>
      <c r="N1206" s="1152"/>
      <c r="O1206" s="732">
        <f t="shared" si="149"/>
        <v>0</v>
      </c>
      <c r="P1206" s="1153"/>
      <c r="Q1206" s="1153"/>
      <c r="R1206" s="733">
        <f t="shared" si="152"/>
        <v>0</v>
      </c>
      <c r="S1206" s="732">
        <f t="shared" si="153"/>
        <v>5798433</v>
      </c>
      <c r="T1206" s="733">
        <f t="shared" si="154"/>
        <v>5632070</v>
      </c>
      <c r="U1206" s="1152"/>
      <c r="V1206" s="1153"/>
      <c r="W1206" s="1152"/>
      <c r="X1206" s="1152"/>
      <c r="Y1206" s="732">
        <f t="shared" si="150"/>
        <v>0</v>
      </c>
      <c r="Z1206" s="1153"/>
      <c r="AA1206" s="1153"/>
      <c r="AB1206" s="733">
        <f t="shared" si="151"/>
        <v>0</v>
      </c>
      <c r="AC1206" s="1152"/>
      <c r="AD1206" s="1153"/>
      <c r="AE1206" s="1152"/>
      <c r="AF1206" s="1152"/>
      <c r="AG1206" s="1153"/>
      <c r="AH1206" s="1153"/>
      <c r="AI1206" s="732">
        <f t="shared" si="155"/>
        <v>5798433</v>
      </c>
      <c r="AJ1206" s="733">
        <f t="shared" si="156"/>
        <v>5632070</v>
      </c>
    </row>
    <row r="1207" spans="1:36">
      <c r="A1207" s="719" t="s">
        <v>599</v>
      </c>
      <c r="B1207" s="717" t="s">
        <v>78</v>
      </c>
      <c r="C1207" s="772" t="s">
        <v>606</v>
      </c>
      <c r="D1207" s="773"/>
      <c r="E1207" s="719">
        <v>176080</v>
      </c>
      <c r="F1207" s="719">
        <v>1</v>
      </c>
      <c r="G1207" s="1152"/>
      <c r="H1207" s="1153"/>
      <c r="I1207" s="1152">
        <v>357031</v>
      </c>
      <c r="J1207" s="1153">
        <v>351676</v>
      </c>
      <c r="K1207" s="1152"/>
      <c r="L1207" s="1153"/>
      <c r="M1207" s="1152"/>
      <c r="N1207" s="1152"/>
      <c r="O1207" s="732">
        <f t="shared" si="149"/>
        <v>0</v>
      </c>
      <c r="P1207" s="1153"/>
      <c r="Q1207" s="1153"/>
      <c r="R1207" s="733">
        <f t="shared" si="152"/>
        <v>0</v>
      </c>
      <c r="S1207" s="732">
        <f t="shared" si="153"/>
        <v>357031</v>
      </c>
      <c r="T1207" s="733">
        <f t="shared" si="154"/>
        <v>351676</v>
      </c>
      <c r="U1207" s="1152"/>
      <c r="V1207" s="1153"/>
      <c r="W1207" s="1152"/>
      <c r="X1207" s="1152"/>
      <c r="Y1207" s="732">
        <f t="shared" si="150"/>
        <v>0</v>
      </c>
      <c r="Z1207" s="1153"/>
      <c r="AA1207" s="1153"/>
      <c r="AB1207" s="733">
        <f t="shared" si="151"/>
        <v>0</v>
      </c>
      <c r="AC1207" s="1152"/>
      <c r="AD1207" s="1153"/>
      <c r="AE1207" s="1152"/>
      <c r="AF1207" s="1152"/>
      <c r="AG1207" s="1153"/>
      <c r="AH1207" s="1153"/>
      <c r="AI1207" s="732">
        <f t="shared" si="155"/>
        <v>357031</v>
      </c>
      <c r="AJ1207" s="733">
        <f t="shared" si="156"/>
        <v>351676</v>
      </c>
    </row>
    <row r="1208" spans="1:36">
      <c r="A1208" s="719" t="s">
        <v>599</v>
      </c>
      <c r="B1208" s="717" t="s">
        <v>78</v>
      </c>
      <c r="C1208" s="772" t="s">
        <v>607</v>
      </c>
      <c r="D1208" s="773"/>
      <c r="E1208" s="719">
        <v>176080</v>
      </c>
      <c r="F1208" s="719">
        <v>1</v>
      </c>
      <c r="G1208" s="1152"/>
      <c r="H1208" s="1153"/>
      <c r="I1208" s="1152">
        <v>759856</v>
      </c>
      <c r="J1208" s="1153">
        <v>734225</v>
      </c>
      <c r="K1208" s="1152"/>
      <c r="L1208" s="1153"/>
      <c r="M1208" s="1152"/>
      <c r="N1208" s="1152"/>
      <c r="O1208" s="732">
        <f t="shared" si="149"/>
        <v>0</v>
      </c>
      <c r="P1208" s="1153"/>
      <c r="Q1208" s="1153"/>
      <c r="R1208" s="733">
        <f t="shared" si="152"/>
        <v>0</v>
      </c>
      <c r="S1208" s="732">
        <f t="shared" si="153"/>
        <v>759856</v>
      </c>
      <c r="T1208" s="733">
        <f t="shared" si="154"/>
        <v>734225</v>
      </c>
      <c r="U1208" s="1152"/>
      <c r="V1208" s="1153"/>
      <c r="W1208" s="1152"/>
      <c r="X1208" s="1152"/>
      <c r="Y1208" s="732">
        <f t="shared" si="150"/>
        <v>0</v>
      </c>
      <c r="Z1208" s="1153"/>
      <c r="AA1208" s="1153"/>
      <c r="AB1208" s="733">
        <f t="shared" si="151"/>
        <v>0</v>
      </c>
      <c r="AC1208" s="1152"/>
      <c r="AD1208" s="1153"/>
      <c r="AE1208" s="1152"/>
      <c r="AF1208" s="1152"/>
      <c r="AG1208" s="1153"/>
      <c r="AH1208" s="1153"/>
      <c r="AI1208" s="732">
        <f t="shared" si="155"/>
        <v>759856</v>
      </c>
      <c r="AJ1208" s="733">
        <f t="shared" si="156"/>
        <v>734225</v>
      </c>
    </row>
    <row r="1209" spans="1:36">
      <c r="A1209" s="719" t="s">
        <v>599</v>
      </c>
      <c r="B1209" s="717" t="s">
        <v>78</v>
      </c>
      <c r="C1209" s="772" t="s">
        <v>608</v>
      </c>
      <c r="D1209" s="773"/>
      <c r="E1209" s="719">
        <v>176080</v>
      </c>
      <c r="F1209" s="719">
        <v>1</v>
      </c>
      <c r="G1209" s="1152"/>
      <c r="H1209" s="1153"/>
      <c r="I1209" s="1152">
        <v>4476980</v>
      </c>
      <c r="J1209" s="1153">
        <v>4382262</v>
      </c>
      <c r="K1209" s="1152"/>
      <c r="L1209" s="1153"/>
      <c r="M1209" s="1152"/>
      <c r="N1209" s="1152"/>
      <c r="O1209" s="732">
        <f t="shared" si="149"/>
        <v>0</v>
      </c>
      <c r="P1209" s="1153"/>
      <c r="Q1209" s="1153"/>
      <c r="R1209" s="733">
        <f t="shared" si="152"/>
        <v>0</v>
      </c>
      <c r="S1209" s="732">
        <f t="shared" si="153"/>
        <v>4476980</v>
      </c>
      <c r="T1209" s="733">
        <f t="shared" si="154"/>
        <v>4382262</v>
      </c>
      <c r="U1209" s="1152"/>
      <c r="V1209" s="1153"/>
      <c r="W1209" s="1152"/>
      <c r="X1209" s="1152"/>
      <c r="Y1209" s="732">
        <f t="shared" si="150"/>
        <v>0</v>
      </c>
      <c r="Z1209" s="1153"/>
      <c r="AA1209" s="1153"/>
      <c r="AB1209" s="733">
        <f t="shared" si="151"/>
        <v>0</v>
      </c>
      <c r="AC1209" s="1152"/>
      <c r="AD1209" s="1153"/>
      <c r="AE1209" s="1152"/>
      <c r="AF1209" s="1152"/>
      <c r="AG1209" s="1153"/>
      <c r="AH1209" s="1153"/>
      <c r="AI1209" s="732">
        <f t="shared" si="155"/>
        <v>4476980</v>
      </c>
      <c r="AJ1209" s="733">
        <f t="shared" si="156"/>
        <v>4382262</v>
      </c>
    </row>
    <row r="1210" spans="1:36" s="13" customFormat="1" ht="15.75" customHeight="1">
      <c r="A1210" s="719" t="s">
        <v>599</v>
      </c>
      <c r="B1210" s="717" t="s">
        <v>62</v>
      </c>
      <c r="C1210" s="770" t="s">
        <v>615</v>
      </c>
      <c r="D1210" s="728"/>
      <c r="E1210" s="719">
        <v>176017</v>
      </c>
      <c r="F1210" s="719">
        <v>1</v>
      </c>
      <c r="G1210" s="1152">
        <v>83687512</v>
      </c>
      <c r="H1210" s="1153">
        <v>90287712</v>
      </c>
      <c r="I1210" s="1152"/>
      <c r="J1210" s="1153"/>
      <c r="K1210" s="1152"/>
      <c r="L1210" s="1153"/>
      <c r="M1210" s="1152">
        <v>304574375</v>
      </c>
      <c r="N1210" s="1152">
        <v>0</v>
      </c>
      <c r="O1210" s="732">
        <f t="shared" si="149"/>
        <v>304574375</v>
      </c>
      <c r="P1210" s="1153">
        <v>296608727</v>
      </c>
      <c r="Q1210" s="1153">
        <v>0</v>
      </c>
      <c r="R1210" s="733">
        <f t="shared" si="152"/>
        <v>296608727</v>
      </c>
      <c r="S1210" s="732">
        <f t="shared" si="153"/>
        <v>388261887</v>
      </c>
      <c r="T1210" s="733">
        <f t="shared" si="154"/>
        <v>386896439</v>
      </c>
      <c r="U1210" s="1152"/>
      <c r="V1210" s="1153"/>
      <c r="W1210" s="1152"/>
      <c r="X1210" s="1152"/>
      <c r="Y1210" s="732">
        <f t="shared" si="150"/>
        <v>0</v>
      </c>
      <c r="Z1210" s="1153"/>
      <c r="AA1210" s="1153"/>
      <c r="AB1210" s="733">
        <f t="shared" si="151"/>
        <v>0</v>
      </c>
      <c r="AC1210" s="1152">
        <v>172873959</v>
      </c>
      <c r="AD1210" s="1153">
        <v>167469574</v>
      </c>
      <c r="AE1210" s="1152">
        <v>43262136</v>
      </c>
      <c r="AF1210" s="1152">
        <v>0</v>
      </c>
      <c r="AG1210" s="1153">
        <v>41473185</v>
      </c>
      <c r="AH1210" s="1153">
        <v>0</v>
      </c>
      <c r="AI1210" s="732">
        <f t="shared" si="155"/>
        <v>604397982</v>
      </c>
      <c r="AJ1210" s="733">
        <f t="shared" si="156"/>
        <v>595839198</v>
      </c>
    </row>
    <row r="1211" spans="1:36">
      <c r="A1211" s="719" t="s">
        <v>599</v>
      </c>
      <c r="B1211" s="717" t="s">
        <v>69</v>
      </c>
      <c r="C1211" s="774" t="s">
        <v>616</v>
      </c>
      <c r="D1211" s="771"/>
      <c r="E1211" s="719">
        <v>176017</v>
      </c>
      <c r="F1211" s="719">
        <v>1</v>
      </c>
      <c r="G1211" s="1152"/>
      <c r="H1211" s="1153"/>
      <c r="I1211" s="1152"/>
      <c r="J1211" s="1153"/>
      <c r="K1211" s="1152"/>
      <c r="L1211" s="1153"/>
      <c r="M1211" s="1152"/>
      <c r="N1211" s="1152"/>
      <c r="O1211" s="732">
        <f t="shared" si="149"/>
        <v>0</v>
      </c>
      <c r="P1211" s="1153"/>
      <c r="Q1211" s="1153"/>
      <c r="R1211" s="733">
        <f t="shared" si="152"/>
        <v>0</v>
      </c>
      <c r="S1211" s="732">
        <f t="shared" si="153"/>
        <v>0</v>
      </c>
      <c r="T1211" s="733">
        <f t="shared" si="154"/>
        <v>0</v>
      </c>
      <c r="U1211" s="1152"/>
      <c r="V1211" s="1153"/>
      <c r="W1211" s="1152"/>
      <c r="X1211" s="1152"/>
      <c r="Y1211" s="732">
        <f t="shared" si="150"/>
        <v>0</v>
      </c>
      <c r="Z1211" s="1153"/>
      <c r="AA1211" s="1153"/>
      <c r="AB1211" s="733">
        <f t="shared" si="151"/>
        <v>0</v>
      </c>
      <c r="AC1211" s="1152"/>
      <c r="AD1211" s="1153"/>
      <c r="AE1211" s="1152"/>
      <c r="AF1211" s="1152"/>
      <c r="AG1211" s="1153"/>
      <c r="AH1211" s="1153"/>
      <c r="AI1211" s="732">
        <f t="shared" si="155"/>
        <v>0</v>
      </c>
      <c r="AJ1211" s="733">
        <f t="shared" si="156"/>
        <v>0</v>
      </c>
    </row>
    <row r="1212" spans="1:36">
      <c r="A1212" s="719" t="s">
        <v>599</v>
      </c>
      <c r="B1212" s="717" t="s">
        <v>69</v>
      </c>
      <c r="C1212" s="772" t="s">
        <v>617</v>
      </c>
      <c r="D1212" s="773"/>
      <c r="E1212" s="719">
        <v>176017</v>
      </c>
      <c r="F1212" s="719">
        <v>1</v>
      </c>
      <c r="G1212" s="1152"/>
      <c r="H1212" s="1153"/>
      <c r="I1212" s="1152">
        <v>257571</v>
      </c>
      <c r="J1212" s="1153">
        <v>253707</v>
      </c>
      <c r="K1212" s="1152"/>
      <c r="L1212" s="1153"/>
      <c r="M1212" s="1152"/>
      <c r="N1212" s="1152"/>
      <c r="O1212" s="732">
        <f t="shared" si="149"/>
        <v>0</v>
      </c>
      <c r="P1212" s="1153"/>
      <c r="Q1212" s="1153"/>
      <c r="R1212" s="733">
        <f t="shared" si="152"/>
        <v>0</v>
      </c>
      <c r="S1212" s="732">
        <f t="shared" si="153"/>
        <v>257571</v>
      </c>
      <c r="T1212" s="733">
        <f t="shared" si="154"/>
        <v>253707</v>
      </c>
      <c r="U1212" s="1152"/>
      <c r="V1212" s="1153"/>
      <c r="W1212" s="1152"/>
      <c r="X1212" s="1152"/>
      <c r="Y1212" s="732">
        <f t="shared" si="150"/>
        <v>0</v>
      </c>
      <c r="Z1212" s="1153"/>
      <c r="AA1212" s="1153"/>
      <c r="AB1212" s="733">
        <f t="shared" si="151"/>
        <v>0</v>
      </c>
      <c r="AC1212" s="1152"/>
      <c r="AD1212" s="1153"/>
      <c r="AE1212" s="1152"/>
      <c r="AF1212" s="1152"/>
      <c r="AG1212" s="1153"/>
      <c r="AH1212" s="1153"/>
      <c r="AI1212" s="732">
        <f t="shared" si="155"/>
        <v>257571</v>
      </c>
      <c r="AJ1212" s="733">
        <f t="shared" si="156"/>
        <v>253707</v>
      </c>
    </row>
    <row r="1213" spans="1:36">
      <c r="A1213" s="719" t="s">
        <v>599</v>
      </c>
      <c r="B1213" s="717" t="s">
        <v>78</v>
      </c>
      <c r="C1213" s="774" t="s">
        <v>374</v>
      </c>
      <c r="D1213" s="773"/>
      <c r="E1213" s="719">
        <v>176017</v>
      </c>
      <c r="F1213" s="719">
        <v>1</v>
      </c>
      <c r="G1213" s="1152"/>
      <c r="H1213" s="1153"/>
      <c r="I1213" s="1152"/>
      <c r="J1213" s="1153"/>
      <c r="K1213" s="1152"/>
      <c r="L1213" s="1153"/>
      <c r="M1213" s="1152"/>
      <c r="N1213" s="1152"/>
      <c r="O1213" s="732">
        <f t="shared" si="149"/>
        <v>0</v>
      </c>
      <c r="P1213" s="1153"/>
      <c r="Q1213" s="1153"/>
      <c r="R1213" s="733">
        <f t="shared" si="152"/>
        <v>0</v>
      </c>
      <c r="S1213" s="732">
        <f t="shared" si="153"/>
        <v>0</v>
      </c>
      <c r="T1213" s="733">
        <f t="shared" si="154"/>
        <v>0</v>
      </c>
      <c r="U1213" s="1152"/>
      <c r="V1213" s="1153"/>
      <c r="W1213" s="1152"/>
      <c r="X1213" s="1152"/>
      <c r="Y1213" s="732">
        <f t="shared" si="150"/>
        <v>0</v>
      </c>
      <c r="Z1213" s="1153"/>
      <c r="AA1213" s="1153"/>
      <c r="AB1213" s="733">
        <f t="shared" si="151"/>
        <v>0</v>
      </c>
      <c r="AC1213" s="1152"/>
      <c r="AD1213" s="1153"/>
      <c r="AE1213" s="1152"/>
      <c r="AF1213" s="1152"/>
      <c r="AG1213" s="1153"/>
      <c r="AH1213" s="1153"/>
      <c r="AI1213" s="732">
        <f t="shared" si="155"/>
        <v>0</v>
      </c>
      <c r="AJ1213" s="733">
        <f t="shared" si="156"/>
        <v>0</v>
      </c>
    </row>
    <row r="1214" spans="1:36">
      <c r="A1214" s="719" t="s">
        <v>599</v>
      </c>
      <c r="B1214" s="717" t="s">
        <v>78</v>
      </c>
      <c r="C1214" s="772" t="s">
        <v>618</v>
      </c>
      <c r="D1214" s="773"/>
      <c r="E1214" s="719">
        <v>176017</v>
      </c>
      <c r="F1214" s="719">
        <v>1</v>
      </c>
      <c r="G1214" s="1152"/>
      <c r="H1214" s="1153"/>
      <c r="I1214" s="1152">
        <v>3333813</v>
      </c>
      <c r="J1214" s="1153">
        <v>3259181</v>
      </c>
      <c r="K1214" s="1152"/>
      <c r="L1214" s="1153"/>
      <c r="M1214" s="1152"/>
      <c r="N1214" s="1152"/>
      <c r="O1214" s="732">
        <f t="shared" si="149"/>
        <v>0</v>
      </c>
      <c r="P1214" s="1153"/>
      <c r="Q1214" s="1153"/>
      <c r="R1214" s="733">
        <f t="shared" si="152"/>
        <v>0</v>
      </c>
      <c r="S1214" s="732">
        <f t="shared" si="153"/>
        <v>3333813</v>
      </c>
      <c r="T1214" s="733">
        <f t="shared" si="154"/>
        <v>3259181</v>
      </c>
      <c r="U1214" s="1152"/>
      <c r="V1214" s="1153"/>
      <c r="W1214" s="1152"/>
      <c r="X1214" s="1152"/>
      <c r="Y1214" s="732">
        <f t="shared" si="150"/>
        <v>0</v>
      </c>
      <c r="Z1214" s="1153"/>
      <c r="AA1214" s="1153"/>
      <c r="AB1214" s="733">
        <f t="shared" si="151"/>
        <v>0</v>
      </c>
      <c r="AC1214" s="1152"/>
      <c r="AD1214" s="1153"/>
      <c r="AE1214" s="1152"/>
      <c r="AF1214" s="1152"/>
      <c r="AG1214" s="1153"/>
      <c r="AH1214" s="1153"/>
      <c r="AI1214" s="732">
        <f t="shared" si="155"/>
        <v>3333813</v>
      </c>
      <c r="AJ1214" s="733">
        <f t="shared" si="156"/>
        <v>3259181</v>
      </c>
    </row>
    <row r="1215" spans="1:36">
      <c r="A1215" s="719" t="s">
        <v>599</v>
      </c>
      <c r="B1215" s="717" t="s">
        <v>78</v>
      </c>
      <c r="C1215" s="772" t="s">
        <v>619</v>
      </c>
      <c r="D1215" s="773"/>
      <c r="E1215" s="719">
        <v>176017</v>
      </c>
      <c r="F1215" s="719">
        <v>1</v>
      </c>
      <c r="G1215" s="1152"/>
      <c r="H1215" s="1153"/>
      <c r="I1215" s="1152">
        <v>814188</v>
      </c>
      <c r="J1215" s="1153">
        <v>801975</v>
      </c>
      <c r="K1215" s="1152"/>
      <c r="L1215" s="1153"/>
      <c r="M1215" s="1152"/>
      <c r="N1215" s="1152"/>
      <c r="O1215" s="732">
        <f t="shared" si="149"/>
        <v>0</v>
      </c>
      <c r="P1215" s="1153"/>
      <c r="Q1215" s="1153"/>
      <c r="R1215" s="733">
        <f t="shared" si="152"/>
        <v>0</v>
      </c>
      <c r="S1215" s="732">
        <f t="shared" si="153"/>
        <v>814188</v>
      </c>
      <c r="T1215" s="733">
        <f t="shared" si="154"/>
        <v>801975</v>
      </c>
      <c r="U1215" s="1152"/>
      <c r="V1215" s="1153"/>
      <c r="W1215" s="1152"/>
      <c r="X1215" s="1152"/>
      <c r="Y1215" s="732">
        <f t="shared" si="150"/>
        <v>0</v>
      </c>
      <c r="Z1215" s="1153"/>
      <c r="AA1215" s="1153"/>
      <c r="AB1215" s="733">
        <f t="shared" si="151"/>
        <v>0</v>
      </c>
      <c r="AC1215" s="1152"/>
      <c r="AD1215" s="1153"/>
      <c r="AE1215" s="1152"/>
      <c r="AF1215" s="1152"/>
      <c r="AG1215" s="1153"/>
      <c r="AH1215" s="1153"/>
      <c r="AI1215" s="732">
        <f t="shared" si="155"/>
        <v>814188</v>
      </c>
      <c r="AJ1215" s="733">
        <f t="shared" si="156"/>
        <v>801975</v>
      </c>
    </row>
    <row r="1216" spans="1:36">
      <c r="A1216" s="719" t="s">
        <v>599</v>
      </c>
      <c r="B1216" s="717" t="s">
        <v>78</v>
      </c>
      <c r="C1216" s="772" t="s">
        <v>620</v>
      </c>
      <c r="D1216" s="773"/>
      <c r="E1216" s="719">
        <v>176017</v>
      </c>
      <c r="F1216" s="719">
        <v>1</v>
      </c>
      <c r="G1216" s="1152"/>
      <c r="H1216" s="1153"/>
      <c r="I1216" s="1152">
        <v>342520</v>
      </c>
      <c r="J1216" s="1153">
        <v>335281</v>
      </c>
      <c r="K1216" s="1152"/>
      <c r="L1216" s="1153"/>
      <c r="M1216" s="1152"/>
      <c r="N1216" s="1152"/>
      <c r="O1216" s="732">
        <f t="shared" si="149"/>
        <v>0</v>
      </c>
      <c r="P1216" s="1153"/>
      <c r="Q1216" s="1153"/>
      <c r="R1216" s="733">
        <f t="shared" si="152"/>
        <v>0</v>
      </c>
      <c r="S1216" s="732">
        <f t="shared" si="153"/>
        <v>342520</v>
      </c>
      <c r="T1216" s="733">
        <f t="shared" si="154"/>
        <v>335281</v>
      </c>
      <c r="U1216" s="1152"/>
      <c r="V1216" s="1153"/>
      <c r="W1216" s="1152"/>
      <c r="X1216" s="1152"/>
      <c r="Y1216" s="732">
        <f t="shared" si="150"/>
        <v>0</v>
      </c>
      <c r="Z1216" s="1153"/>
      <c r="AA1216" s="1153"/>
      <c r="AB1216" s="733">
        <f t="shared" si="151"/>
        <v>0</v>
      </c>
      <c r="AC1216" s="1152"/>
      <c r="AD1216" s="1153"/>
      <c r="AE1216" s="1152"/>
      <c r="AF1216" s="1152"/>
      <c r="AG1216" s="1153"/>
      <c r="AH1216" s="1153"/>
      <c r="AI1216" s="732">
        <f t="shared" si="155"/>
        <v>342520</v>
      </c>
      <c r="AJ1216" s="733">
        <f t="shared" si="156"/>
        <v>335281</v>
      </c>
    </row>
    <row r="1217" spans="1:36">
      <c r="A1217" s="719" t="s">
        <v>599</v>
      </c>
      <c r="B1217" s="717" t="s">
        <v>78</v>
      </c>
      <c r="C1217" s="772" t="s">
        <v>621</v>
      </c>
      <c r="D1217" s="773"/>
      <c r="E1217" s="719">
        <v>176017</v>
      </c>
      <c r="F1217" s="719">
        <v>1</v>
      </c>
      <c r="G1217" s="1152"/>
      <c r="H1217" s="1153"/>
      <c r="I1217" s="1152">
        <v>636986</v>
      </c>
      <c r="J1217" s="1153">
        <v>627431</v>
      </c>
      <c r="K1217" s="1152"/>
      <c r="L1217" s="1153"/>
      <c r="M1217" s="1152"/>
      <c r="N1217" s="1152"/>
      <c r="O1217" s="732">
        <f t="shared" si="149"/>
        <v>0</v>
      </c>
      <c r="P1217" s="1153"/>
      <c r="Q1217" s="1153"/>
      <c r="R1217" s="733">
        <f t="shared" si="152"/>
        <v>0</v>
      </c>
      <c r="S1217" s="732">
        <f t="shared" si="153"/>
        <v>636986</v>
      </c>
      <c r="T1217" s="733">
        <f t="shared" si="154"/>
        <v>627431</v>
      </c>
      <c r="U1217" s="1152"/>
      <c r="V1217" s="1153"/>
      <c r="W1217" s="1152"/>
      <c r="X1217" s="1152"/>
      <c r="Y1217" s="732">
        <f t="shared" si="150"/>
        <v>0</v>
      </c>
      <c r="Z1217" s="1153"/>
      <c r="AA1217" s="1153"/>
      <c r="AB1217" s="733">
        <f t="shared" si="151"/>
        <v>0</v>
      </c>
      <c r="AC1217" s="1152"/>
      <c r="AD1217" s="1153"/>
      <c r="AE1217" s="1152"/>
      <c r="AF1217" s="1152"/>
      <c r="AG1217" s="1153"/>
      <c r="AH1217" s="1153"/>
      <c r="AI1217" s="732">
        <f t="shared" si="155"/>
        <v>636986</v>
      </c>
      <c r="AJ1217" s="733">
        <f t="shared" si="156"/>
        <v>627431</v>
      </c>
    </row>
    <row r="1218" spans="1:36">
      <c r="A1218" s="719" t="s">
        <v>599</v>
      </c>
      <c r="B1218" s="717" t="s">
        <v>78</v>
      </c>
      <c r="C1218" s="772" t="s">
        <v>622</v>
      </c>
      <c r="D1218" s="773"/>
      <c r="E1218" s="719">
        <v>176017</v>
      </c>
      <c r="F1218" s="719">
        <v>1</v>
      </c>
      <c r="G1218" s="1152"/>
      <c r="H1218" s="1153"/>
      <c r="I1218" s="1152">
        <v>2736784</v>
      </c>
      <c r="J1218" s="1153">
        <v>2661973</v>
      </c>
      <c r="K1218" s="1152"/>
      <c r="L1218" s="1153"/>
      <c r="M1218" s="1152"/>
      <c r="N1218" s="1152"/>
      <c r="O1218" s="732">
        <f t="shared" si="149"/>
        <v>0</v>
      </c>
      <c r="P1218" s="1153"/>
      <c r="Q1218" s="1153"/>
      <c r="R1218" s="733">
        <f t="shared" si="152"/>
        <v>0</v>
      </c>
      <c r="S1218" s="732">
        <f t="shared" si="153"/>
        <v>2736784</v>
      </c>
      <c r="T1218" s="733">
        <f t="shared" si="154"/>
        <v>2661973</v>
      </c>
      <c r="U1218" s="1152"/>
      <c r="V1218" s="1153"/>
      <c r="W1218" s="1152"/>
      <c r="X1218" s="1152"/>
      <c r="Y1218" s="732">
        <f t="shared" si="150"/>
        <v>0</v>
      </c>
      <c r="Z1218" s="1153"/>
      <c r="AA1218" s="1153"/>
      <c r="AB1218" s="733">
        <f t="shared" si="151"/>
        <v>0</v>
      </c>
      <c r="AC1218" s="1152"/>
      <c r="AD1218" s="1153"/>
      <c r="AE1218" s="1152"/>
      <c r="AF1218" s="1152"/>
      <c r="AG1218" s="1153"/>
      <c r="AH1218" s="1153"/>
      <c r="AI1218" s="732">
        <f t="shared" si="155"/>
        <v>2736784</v>
      </c>
      <c r="AJ1218" s="733">
        <f t="shared" si="156"/>
        <v>2661973</v>
      </c>
    </row>
    <row r="1219" spans="1:36">
      <c r="A1219" s="719" t="s">
        <v>599</v>
      </c>
      <c r="B1219" s="717" t="s">
        <v>78</v>
      </c>
      <c r="C1219" s="772" t="s">
        <v>1067</v>
      </c>
      <c r="D1219" s="773"/>
      <c r="E1219" s="719">
        <v>176017</v>
      </c>
      <c r="F1219" s="719">
        <v>1</v>
      </c>
      <c r="G1219" s="1152"/>
      <c r="H1219" s="1153"/>
      <c r="I1219" s="1152">
        <v>1725680</v>
      </c>
      <c r="J1219" s="1153">
        <v>1699795</v>
      </c>
      <c r="K1219" s="1152"/>
      <c r="L1219" s="1153"/>
      <c r="M1219" s="1152"/>
      <c r="N1219" s="1152"/>
      <c r="O1219" s="732">
        <f t="shared" si="149"/>
        <v>0</v>
      </c>
      <c r="P1219" s="1153"/>
      <c r="Q1219" s="1153"/>
      <c r="R1219" s="733">
        <f t="shared" si="152"/>
        <v>0</v>
      </c>
      <c r="S1219" s="732">
        <f t="shared" si="153"/>
        <v>1725680</v>
      </c>
      <c r="T1219" s="733">
        <f t="shared" si="154"/>
        <v>1699795</v>
      </c>
      <c r="U1219" s="1152"/>
      <c r="V1219" s="1153"/>
      <c r="W1219" s="1152"/>
      <c r="X1219" s="1152"/>
      <c r="Y1219" s="732">
        <f t="shared" si="150"/>
        <v>0</v>
      </c>
      <c r="Z1219" s="1153"/>
      <c r="AA1219" s="1153"/>
      <c r="AB1219" s="733">
        <f t="shared" si="151"/>
        <v>0</v>
      </c>
      <c r="AC1219" s="1152"/>
      <c r="AD1219" s="1153"/>
      <c r="AE1219" s="1152"/>
      <c r="AF1219" s="1152"/>
      <c r="AG1219" s="1153"/>
      <c r="AH1219" s="1153"/>
      <c r="AI1219" s="732">
        <f t="shared" si="155"/>
        <v>1725680</v>
      </c>
      <c r="AJ1219" s="733">
        <f t="shared" si="156"/>
        <v>1699795</v>
      </c>
    </row>
    <row r="1220" spans="1:36">
      <c r="A1220" s="719" t="s">
        <v>599</v>
      </c>
      <c r="B1220" s="717" t="s">
        <v>62</v>
      </c>
      <c r="C1220" s="770" t="s">
        <v>609</v>
      </c>
      <c r="D1220" s="775"/>
      <c r="E1220" s="719">
        <v>176372</v>
      </c>
      <c r="F1220" s="719">
        <v>1</v>
      </c>
      <c r="G1220" s="1152">
        <v>79296115</v>
      </c>
      <c r="H1220" s="1153">
        <v>82472193</v>
      </c>
      <c r="I1220" s="1152"/>
      <c r="J1220" s="1153"/>
      <c r="K1220" s="1152"/>
      <c r="L1220" s="1153"/>
      <c r="M1220" s="1152">
        <v>120969043</v>
      </c>
      <c r="N1220" s="1152">
        <v>0</v>
      </c>
      <c r="O1220" s="732">
        <f t="shared" si="149"/>
        <v>120969043</v>
      </c>
      <c r="P1220" s="1153">
        <v>116029490</v>
      </c>
      <c r="Q1220" s="1153">
        <v>0</v>
      </c>
      <c r="R1220" s="733">
        <f t="shared" si="152"/>
        <v>116029490</v>
      </c>
      <c r="S1220" s="732">
        <f t="shared" si="153"/>
        <v>200265158</v>
      </c>
      <c r="T1220" s="733">
        <f t="shared" si="154"/>
        <v>198501683</v>
      </c>
      <c r="U1220" s="1152"/>
      <c r="V1220" s="1153"/>
      <c r="W1220" s="1152"/>
      <c r="X1220" s="1152"/>
      <c r="Y1220" s="732">
        <f t="shared" si="150"/>
        <v>0</v>
      </c>
      <c r="Z1220" s="1153"/>
      <c r="AA1220" s="1153"/>
      <c r="AB1220" s="733">
        <f t="shared" si="151"/>
        <v>0</v>
      </c>
      <c r="AC1220" s="1152"/>
      <c r="AD1220" s="1153"/>
      <c r="AE1220" s="1152"/>
      <c r="AF1220" s="1152"/>
      <c r="AG1220" s="1153"/>
      <c r="AH1220" s="1153"/>
      <c r="AI1220" s="732">
        <f t="shared" si="155"/>
        <v>200265158</v>
      </c>
      <c r="AJ1220" s="733">
        <f t="shared" si="156"/>
        <v>198501683</v>
      </c>
    </row>
    <row r="1221" spans="1:36">
      <c r="A1221" s="719" t="s">
        <v>599</v>
      </c>
      <c r="B1221" s="717" t="s">
        <v>78</v>
      </c>
      <c r="C1221" s="774" t="s">
        <v>374</v>
      </c>
      <c r="D1221" s="773"/>
      <c r="E1221" s="719">
        <v>176372</v>
      </c>
      <c r="F1221" s="719">
        <v>1</v>
      </c>
      <c r="G1221" s="1152"/>
      <c r="H1221" s="1153"/>
      <c r="I1221" s="1152"/>
      <c r="J1221" s="1153"/>
      <c r="K1221" s="1152"/>
      <c r="L1221" s="1153"/>
      <c r="M1221" s="1152"/>
      <c r="N1221" s="1152"/>
      <c r="O1221" s="732">
        <f t="shared" si="149"/>
        <v>0</v>
      </c>
      <c r="P1221" s="1153"/>
      <c r="Q1221" s="1153"/>
      <c r="R1221" s="733">
        <f t="shared" si="152"/>
        <v>0</v>
      </c>
      <c r="S1221" s="732">
        <f t="shared" si="153"/>
        <v>0</v>
      </c>
      <c r="T1221" s="733">
        <f t="shared" si="154"/>
        <v>0</v>
      </c>
      <c r="U1221" s="1152"/>
      <c r="V1221" s="1153"/>
      <c r="W1221" s="1152"/>
      <c r="X1221" s="1152"/>
      <c r="Y1221" s="732">
        <f t="shared" si="150"/>
        <v>0</v>
      </c>
      <c r="Z1221" s="1153"/>
      <c r="AA1221" s="1153"/>
      <c r="AB1221" s="733">
        <f t="shared" si="151"/>
        <v>0</v>
      </c>
      <c r="AC1221" s="1152"/>
      <c r="AD1221" s="1153"/>
      <c r="AE1221" s="1152"/>
      <c r="AF1221" s="1152"/>
      <c r="AG1221" s="1153"/>
      <c r="AH1221" s="1153"/>
      <c r="AI1221" s="732">
        <f t="shared" si="155"/>
        <v>0</v>
      </c>
      <c r="AJ1221" s="733">
        <f t="shared" si="156"/>
        <v>0</v>
      </c>
    </row>
    <row r="1222" spans="1:36">
      <c r="A1222" s="719" t="s">
        <v>599</v>
      </c>
      <c r="B1222" s="717" t="s">
        <v>78</v>
      </c>
      <c r="C1222" s="772" t="s">
        <v>610</v>
      </c>
      <c r="D1222" s="773"/>
      <c r="E1222" s="719">
        <v>176372</v>
      </c>
      <c r="F1222" s="719">
        <v>1</v>
      </c>
      <c r="G1222" s="1152"/>
      <c r="H1222" s="1153"/>
      <c r="I1222" s="1152">
        <v>8094965</v>
      </c>
      <c r="J1222" s="1153">
        <v>7954571</v>
      </c>
      <c r="K1222" s="1152"/>
      <c r="L1222" s="1153"/>
      <c r="M1222" s="1152">
        <v>399548</v>
      </c>
      <c r="N1222" s="1152">
        <v>0</v>
      </c>
      <c r="O1222" s="732">
        <f t="shared" si="149"/>
        <v>399548</v>
      </c>
      <c r="P1222" s="1153">
        <v>233874</v>
      </c>
      <c r="Q1222" s="1153">
        <v>0</v>
      </c>
      <c r="R1222" s="733">
        <f t="shared" si="152"/>
        <v>233874</v>
      </c>
      <c r="S1222" s="732">
        <f t="shared" si="153"/>
        <v>8494513</v>
      </c>
      <c r="T1222" s="733">
        <f t="shared" si="154"/>
        <v>8188445</v>
      </c>
      <c r="U1222" s="1152"/>
      <c r="V1222" s="1153"/>
      <c r="W1222" s="1152"/>
      <c r="X1222" s="1152"/>
      <c r="Y1222" s="732">
        <f t="shared" si="150"/>
        <v>0</v>
      </c>
      <c r="Z1222" s="1153"/>
      <c r="AA1222" s="1153"/>
      <c r="AB1222" s="733">
        <f t="shared" si="151"/>
        <v>0</v>
      </c>
      <c r="AC1222" s="1152"/>
      <c r="AD1222" s="1153"/>
      <c r="AE1222" s="1152"/>
      <c r="AF1222" s="1152"/>
      <c r="AG1222" s="1153"/>
      <c r="AH1222" s="1153"/>
      <c r="AI1222" s="732">
        <f t="shared" si="155"/>
        <v>8494513</v>
      </c>
      <c r="AJ1222" s="733">
        <f t="shared" si="156"/>
        <v>8188445</v>
      </c>
    </row>
    <row r="1223" spans="1:36">
      <c r="A1223" s="719" t="s">
        <v>599</v>
      </c>
      <c r="B1223" s="717" t="s">
        <v>78</v>
      </c>
      <c r="C1223" s="772" t="s">
        <v>611</v>
      </c>
      <c r="D1223" s="773"/>
      <c r="E1223" s="719">
        <v>176372</v>
      </c>
      <c r="F1223" s="719">
        <v>1</v>
      </c>
      <c r="G1223" s="1152"/>
      <c r="H1223" s="1153"/>
      <c r="I1223" s="1152">
        <v>608227</v>
      </c>
      <c r="J1223" s="1153">
        <v>599104</v>
      </c>
      <c r="K1223" s="1152"/>
      <c r="L1223" s="1153"/>
      <c r="M1223" s="1152"/>
      <c r="N1223" s="1152"/>
      <c r="O1223" s="732">
        <f t="shared" si="149"/>
        <v>0</v>
      </c>
      <c r="P1223" s="1153"/>
      <c r="Q1223" s="1153"/>
      <c r="R1223" s="733">
        <f t="shared" si="152"/>
        <v>0</v>
      </c>
      <c r="S1223" s="732">
        <f t="shared" si="153"/>
        <v>608227</v>
      </c>
      <c r="T1223" s="733">
        <f t="shared" si="154"/>
        <v>599104</v>
      </c>
      <c r="U1223" s="1152"/>
      <c r="V1223" s="1153"/>
      <c r="W1223" s="1152"/>
      <c r="X1223" s="1152"/>
      <c r="Y1223" s="732">
        <f t="shared" si="150"/>
        <v>0</v>
      </c>
      <c r="Z1223" s="1153"/>
      <c r="AA1223" s="1153"/>
      <c r="AB1223" s="733">
        <f t="shared" si="151"/>
        <v>0</v>
      </c>
      <c r="AC1223" s="1152"/>
      <c r="AD1223" s="1153"/>
      <c r="AE1223" s="1152"/>
      <c r="AF1223" s="1152"/>
      <c r="AG1223" s="1153"/>
      <c r="AH1223" s="1153"/>
      <c r="AI1223" s="732">
        <f t="shared" si="155"/>
        <v>608227</v>
      </c>
      <c r="AJ1223" s="733">
        <f t="shared" si="156"/>
        <v>599104</v>
      </c>
    </row>
    <row r="1224" spans="1:36">
      <c r="A1224" s="719" t="s">
        <v>599</v>
      </c>
      <c r="B1224" s="717" t="s">
        <v>78</v>
      </c>
      <c r="C1224" s="772" t="s">
        <v>612</v>
      </c>
      <c r="D1224" s="773"/>
      <c r="E1224" s="719">
        <v>176372</v>
      </c>
      <c r="F1224" s="719">
        <v>1</v>
      </c>
      <c r="G1224" s="1152"/>
      <c r="H1224" s="1153"/>
      <c r="I1224" s="1152">
        <v>347779</v>
      </c>
      <c r="J1224" s="1153">
        <v>342550</v>
      </c>
      <c r="K1224" s="1152"/>
      <c r="L1224" s="1153"/>
      <c r="M1224" s="1152"/>
      <c r="N1224" s="1152"/>
      <c r="O1224" s="732">
        <f t="shared" si="149"/>
        <v>0</v>
      </c>
      <c r="P1224" s="1153"/>
      <c r="Q1224" s="1153"/>
      <c r="R1224" s="733">
        <f t="shared" si="152"/>
        <v>0</v>
      </c>
      <c r="S1224" s="732">
        <f t="shared" si="153"/>
        <v>347779</v>
      </c>
      <c r="T1224" s="733">
        <f t="shared" si="154"/>
        <v>342550</v>
      </c>
      <c r="U1224" s="1152"/>
      <c r="V1224" s="1153"/>
      <c r="W1224" s="1152"/>
      <c r="X1224" s="1152"/>
      <c r="Y1224" s="732">
        <f t="shared" si="150"/>
        <v>0</v>
      </c>
      <c r="Z1224" s="1153"/>
      <c r="AA1224" s="1153"/>
      <c r="AB1224" s="733">
        <f t="shared" si="151"/>
        <v>0</v>
      </c>
      <c r="AC1224" s="1152"/>
      <c r="AD1224" s="1153"/>
      <c r="AE1224" s="1152"/>
      <c r="AF1224" s="1152"/>
      <c r="AG1224" s="1153"/>
      <c r="AH1224" s="1153"/>
      <c r="AI1224" s="732">
        <f t="shared" si="155"/>
        <v>347779</v>
      </c>
      <c r="AJ1224" s="733">
        <f t="shared" si="156"/>
        <v>342550</v>
      </c>
    </row>
    <row r="1225" spans="1:36">
      <c r="A1225" s="719" t="s">
        <v>599</v>
      </c>
      <c r="B1225" s="717" t="s">
        <v>62</v>
      </c>
      <c r="C1225" s="770" t="s">
        <v>613</v>
      </c>
      <c r="D1225" s="771"/>
      <c r="E1225" s="719">
        <v>175856</v>
      </c>
      <c r="F1225" s="719">
        <v>2</v>
      </c>
      <c r="G1225" s="1152">
        <v>43421765</v>
      </c>
      <c r="H1225" s="1153">
        <v>44313539</v>
      </c>
      <c r="I1225" s="1152"/>
      <c r="J1225" s="1153"/>
      <c r="K1225" s="1152"/>
      <c r="L1225" s="1153"/>
      <c r="M1225" s="1152">
        <v>53554355</v>
      </c>
      <c r="N1225" s="1152">
        <v>0</v>
      </c>
      <c r="O1225" s="732">
        <f t="shared" si="149"/>
        <v>53554355</v>
      </c>
      <c r="P1225" s="1153">
        <v>53554355</v>
      </c>
      <c r="Q1225" s="1153">
        <v>0</v>
      </c>
      <c r="R1225" s="733">
        <f t="shared" si="152"/>
        <v>53554355</v>
      </c>
      <c r="S1225" s="732">
        <f t="shared" si="153"/>
        <v>96976120</v>
      </c>
      <c r="T1225" s="733">
        <f t="shared" si="154"/>
        <v>97867894</v>
      </c>
      <c r="U1225" s="1152"/>
      <c r="V1225" s="1153"/>
      <c r="W1225" s="1152"/>
      <c r="X1225" s="1152"/>
      <c r="Y1225" s="732">
        <f t="shared" si="150"/>
        <v>0</v>
      </c>
      <c r="Z1225" s="1153"/>
      <c r="AA1225" s="1153"/>
      <c r="AB1225" s="733">
        <f t="shared" si="151"/>
        <v>0</v>
      </c>
      <c r="AC1225" s="1152"/>
      <c r="AD1225" s="1153"/>
      <c r="AE1225" s="1152"/>
      <c r="AF1225" s="1152"/>
      <c r="AG1225" s="1153"/>
      <c r="AH1225" s="1153"/>
      <c r="AI1225" s="732">
        <f t="shared" si="155"/>
        <v>96976120</v>
      </c>
      <c r="AJ1225" s="733">
        <f t="shared" si="156"/>
        <v>97867894</v>
      </c>
    </row>
    <row r="1226" spans="1:36">
      <c r="A1226" s="719" t="s">
        <v>599</v>
      </c>
      <c r="B1226" s="717" t="s">
        <v>78</v>
      </c>
      <c r="C1226" s="774" t="s">
        <v>614</v>
      </c>
      <c r="D1226" s="773"/>
      <c r="E1226" s="719">
        <v>175856</v>
      </c>
      <c r="F1226" s="719">
        <v>2</v>
      </c>
      <c r="G1226" s="1152"/>
      <c r="H1226" s="1153"/>
      <c r="I1226" s="1152">
        <v>457826</v>
      </c>
      <c r="J1226" s="1153">
        <v>450959</v>
      </c>
      <c r="K1226" s="1152"/>
      <c r="L1226" s="1153"/>
      <c r="M1226" s="1152"/>
      <c r="N1226" s="1152"/>
      <c r="O1226" s="732">
        <f t="shared" ref="O1226:O1289" si="157">SUM(M1226:N1226)</f>
        <v>0</v>
      </c>
      <c r="P1226" s="1153"/>
      <c r="Q1226" s="1153"/>
      <c r="R1226" s="733">
        <f t="shared" si="152"/>
        <v>0</v>
      </c>
      <c r="S1226" s="732">
        <f t="shared" si="153"/>
        <v>457826</v>
      </c>
      <c r="T1226" s="733">
        <f t="shared" si="154"/>
        <v>450959</v>
      </c>
      <c r="U1226" s="1152"/>
      <c r="V1226" s="1153"/>
      <c r="W1226" s="1152"/>
      <c r="X1226" s="1152"/>
      <c r="Y1226" s="732">
        <f t="shared" ref="Y1226:Y1289" si="158">SUM(W1226:X1226)</f>
        <v>0</v>
      </c>
      <c r="Z1226" s="1153"/>
      <c r="AA1226" s="1153"/>
      <c r="AB1226" s="733">
        <f t="shared" ref="AB1226:AB1289" si="159">SUM(Z1226:AA1226)</f>
        <v>0</v>
      </c>
      <c r="AC1226" s="1152"/>
      <c r="AD1226" s="1153"/>
      <c r="AE1226" s="1152"/>
      <c r="AF1226" s="1152"/>
      <c r="AG1226" s="1153"/>
      <c r="AH1226" s="1153"/>
      <c r="AI1226" s="732">
        <f t="shared" si="155"/>
        <v>457826</v>
      </c>
      <c r="AJ1226" s="733">
        <f t="shared" si="156"/>
        <v>450959</v>
      </c>
    </row>
    <row r="1227" spans="1:36">
      <c r="A1227" s="719" t="s">
        <v>599</v>
      </c>
      <c r="B1227" s="717" t="s">
        <v>62</v>
      </c>
      <c r="C1227" s="717" t="s">
        <v>623</v>
      </c>
      <c r="D1227" s="773"/>
      <c r="E1227" s="719">
        <v>175342</v>
      </c>
      <c r="F1227" s="719">
        <v>4</v>
      </c>
      <c r="G1227" s="1152">
        <v>21906147</v>
      </c>
      <c r="H1227" s="1153">
        <v>22292356</v>
      </c>
      <c r="I1227" s="1152"/>
      <c r="J1227" s="1153"/>
      <c r="K1227" s="1152"/>
      <c r="L1227" s="1153"/>
      <c r="M1227" s="1152">
        <v>24071119</v>
      </c>
      <c r="N1227" s="1152">
        <v>0</v>
      </c>
      <c r="O1227" s="732">
        <f t="shared" si="157"/>
        <v>24071119</v>
      </c>
      <c r="P1227" s="1153">
        <v>20057165</v>
      </c>
      <c r="Q1227" s="1153">
        <v>0</v>
      </c>
      <c r="R1227" s="733">
        <f t="shared" ref="R1227:R1290" si="160">SUM(P1227:Q1227)</f>
        <v>20057165</v>
      </c>
      <c r="S1227" s="732">
        <f t="shared" ref="S1227:S1290" si="161">SUM(G1227,I1227,K1227,M1227)</f>
        <v>45977266</v>
      </c>
      <c r="T1227" s="733">
        <f t="shared" ref="T1227:T1290" si="162">SUM(H1227,J1227,L1227,P1227)</f>
        <v>42349521</v>
      </c>
      <c r="U1227" s="1152"/>
      <c r="V1227" s="1153"/>
      <c r="W1227" s="1152"/>
      <c r="X1227" s="1152"/>
      <c r="Y1227" s="732">
        <f t="shared" si="158"/>
        <v>0</v>
      </c>
      <c r="Z1227" s="1153"/>
      <c r="AA1227" s="1153"/>
      <c r="AB1227" s="733">
        <f t="shared" si="159"/>
        <v>0</v>
      </c>
      <c r="AC1227" s="1152"/>
      <c r="AD1227" s="1153"/>
      <c r="AE1227" s="1152"/>
      <c r="AF1227" s="1152"/>
      <c r="AG1227" s="1153"/>
      <c r="AH1227" s="1153"/>
      <c r="AI1227" s="732">
        <f t="shared" ref="AI1227:AI1290" si="163">SUM(S1227,U1227,W1227,AC1227,AE1227)</f>
        <v>45977266</v>
      </c>
      <c r="AJ1227" s="733">
        <f t="shared" ref="AJ1227:AJ1290" si="164">SUM(T1227,V1227,Z1227,AD1227,AG1227)</f>
        <v>42349521</v>
      </c>
    </row>
    <row r="1228" spans="1:36">
      <c r="A1228" s="719" t="s">
        <v>599</v>
      </c>
      <c r="B1228" s="717" t="s">
        <v>74</v>
      </c>
      <c r="C1228" s="772" t="s">
        <v>624</v>
      </c>
      <c r="D1228" s="773"/>
      <c r="E1228" s="719">
        <v>175342</v>
      </c>
      <c r="F1228" s="719">
        <v>4</v>
      </c>
      <c r="G1228" s="1152"/>
      <c r="H1228" s="1153"/>
      <c r="I1228" s="1152">
        <v>6431464</v>
      </c>
      <c r="J1228" s="1153">
        <v>6273001</v>
      </c>
      <c r="K1228" s="1152"/>
      <c r="L1228" s="1153"/>
      <c r="M1228" s="1152"/>
      <c r="N1228" s="1152"/>
      <c r="O1228" s="732">
        <f t="shared" si="157"/>
        <v>0</v>
      </c>
      <c r="P1228" s="1153"/>
      <c r="Q1228" s="1153"/>
      <c r="R1228" s="733">
        <f t="shared" si="160"/>
        <v>0</v>
      </c>
      <c r="S1228" s="732">
        <f t="shared" si="161"/>
        <v>6431464</v>
      </c>
      <c r="T1228" s="733">
        <f t="shared" si="162"/>
        <v>6273001</v>
      </c>
      <c r="U1228" s="1152"/>
      <c r="V1228" s="1153"/>
      <c r="W1228" s="1152"/>
      <c r="X1228" s="1152"/>
      <c r="Y1228" s="732">
        <f t="shared" si="158"/>
        <v>0</v>
      </c>
      <c r="Z1228" s="1153"/>
      <c r="AA1228" s="1153"/>
      <c r="AB1228" s="733">
        <f t="shared" si="159"/>
        <v>0</v>
      </c>
      <c r="AC1228" s="1152"/>
      <c r="AD1228" s="1153"/>
      <c r="AE1228" s="1152"/>
      <c r="AF1228" s="1152"/>
      <c r="AG1228" s="1153"/>
      <c r="AH1228" s="1153"/>
      <c r="AI1228" s="732">
        <f t="shared" si="163"/>
        <v>6431464</v>
      </c>
      <c r="AJ1228" s="733">
        <f t="shared" si="164"/>
        <v>6273001</v>
      </c>
    </row>
    <row r="1229" spans="1:36">
      <c r="A1229" s="719" t="s">
        <v>599</v>
      </c>
      <c r="B1229" s="717" t="s">
        <v>62</v>
      </c>
      <c r="C1229" s="770" t="s">
        <v>625</v>
      </c>
      <c r="D1229" s="775"/>
      <c r="E1229" s="719">
        <v>175616</v>
      </c>
      <c r="F1229" s="719">
        <v>4</v>
      </c>
      <c r="G1229" s="1152">
        <v>21090062</v>
      </c>
      <c r="H1229" s="1153">
        <v>21890542</v>
      </c>
      <c r="I1229" s="1152"/>
      <c r="J1229" s="1153"/>
      <c r="K1229" s="1152"/>
      <c r="L1229" s="1153"/>
      <c r="M1229" s="1152">
        <v>22750686</v>
      </c>
      <c r="N1229" s="1152">
        <v>0</v>
      </c>
      <c r="O1229" s="732">
        <f t="shared" si="157"/>
        <v>22750686</v>
      </c>
      <c r="P1229" s="1153">
        <v>24019748</v>
      </c>
      <c r="Q1229" s="1153">
        <v>0</v>
      </c>
      <c r="R1229" s="733">
        <f t="shared" si="160"/>
        <v>24019748</v>
      </c>
      <c r="S1229" s="732">
        <f t="shared" si="161"/>
        <v>43840748</v>
      </c>
      <c r="T1229" s="733">
        <f t="shared" si="162"/>
        <v>45910290</v>
      </c>
      <c r="U1229" s="1152"/>
      <c r="V1229" s="1153"/>
      <c r="W1229" s="1152"/>
      <c r="X1229" s="1152"/>
      <c r="Y1229" s="732">
        <f t="shared" si="158"/>
        <v>0</v>
      </c>
      <c r="Z1229" s="1153"/>
      <c r="AA1229" s="1153"/>
      <c r="AB1229" s="733">
        <f t="shared" si="159"/>
        <v>0</v>
      </c>
      <c r="AC1229" s="1152"/>
      <c r="AD1229" s="1153"/>
      <c r="AE1229" s="1152"/>
      <c r="AF1229" s="1152"/>
      <c r="AG1229" s="1153"/>
      <c r="AH1229" s="1153"/>
      <c r="AI1229" s="732">
        <f t="shared" si="163"/>
        <v>43840748</v>
      </c>
      <c r="AJ1229" s="733">
        <f t="shared" si="164"/>
        <v>45910290</v>
      </c>
    </row>
    <row r="1230" spans="1:36">
      <c r="A1230" s="719" t="s">
        <v>599</v>
      </c>
      <c r="B1230" s="717" t="s">
        <v>62</v>
      </c>
      <c r="C1230" s="770" t="s">
        <v>627</v>
      </c>
      <c r="D1230" s="718"/>
      <c r="E1230" s="719">
        <v>176035</v>
      </c>
      <c r="F1230" s="719">
        <v>4</v>
      </c>
      <c r="G1230" s="1152">
        <v>15969991</v>
      </c>
      <c r="H1230" s="1153">
        <v>16570877</v>
      </c>
      <c r="I1230" s="1152"/>
      <c r="J1230" s="1153"/>
      <c r="K1230" s="1152"/>
      <c r="L1230" s="1153"/>
      <c r="M1230" s="1152">
        <v>22041936</v>
      </c>
      <c r="N1230" s="1152">
        <v>0</v>
      </c>
      <c r="O1230" s="732">
        <f t="shared" si="157"/>
        <v>22041936</v>
      </c>
      <c r="P1230" s="1153">
        <v>20994241</v>
      </c>
      <c r="Q1230" s="1153">
        <v>0</v>
      </c>
      <c r="R1230" s="733">
        <f t="shared" si="160"/>
        <v>20994241</v>
      </c>
      <c r="S1230" s="732">
        <f t="shared" si="161"/>
        <v>38011927</v>
      </c>
      <c r="T1230" s="733">
        <f t="shared" si="162"/>
        <v>37565118</v>
      </c>
      <c r="U1230" s="1152"/>
      <c r="V1230" s="1153"/>
      <c r="W1230" s="1152"/>
      <c r="X1230" s="1152"/>
      <c r="Y1230" s="732">
        <f t="shared" si="158"/>
        <v>0</v>
      </c>
      <c r="Z1230" s="1153"/>
      <c r="AA1230" s="1153"/>
      <c r="AB1230" s="733">
        <f t="shared" si="159"/>
        <v>0</v>
      </c>
      <c r="AC1230" s="1152"/>
      <c r="AD1230" s="1153"/>
      <c r="AE1230" s="1152"/>
      <c r="AF1230" s="1152"/>
      <c r="AG1230" s="1153"/>
      <c r="AH1230" s="1153"/>
      <c r="AI1230" s="732">
        <f t="shared" si="163"/>
        <v>38011927</v>
      </c>
      <c r="AJ1230" s="733">
        <f t="shared" si="164"/>
        <v>37565118</v>
      </c>
    </row>
    <row r="1231" spans="1:36">
      <c r="A1231" s="719" t="s">
        <v>599</v>
      </c>
      <c r="B1231" s="717" t="s">
        <v>62</v>
      </c>
      <c r="C1231" s="717" t="s">
        <v>626</v>
      </c>
      <c r="D1231" s="775"/>
      <c r="E1231" s="719">
        <v>176044</v>
      </c>
      <c r="F1231" s="719">
        <v>4</v>
      </c>
      <c r="G1231" s="1152">
        <v>16060233</v>
      </c>
      <c r="H1231" s="1153">
        <v>15700450</v>
      </c>
      <c r="I1231" s="1152"/>
      <c r="J1231" s="1153"/>
      <c r="K1231" s="1152"/>
      <c r="L1231" s="1153"/>
      <c r="M1231" s="1152">
        <v>14792950</v>
      </c>
      <c r="N1231" s="1152">
        <v>0</v>
      </c>
      <c r="O1231" s="732">
        <f t="shared" si="157"/>
        <v>14792950</v>
      </c>
      <c r="P1231" s="1153">
        <v>13610400</v>
      </c>
      <c r="Q1231" s="1153">
        <v>0</v>
      </c>
      <c r="R1231" s="733">
        <f t="shared" si="160"/>
        <v>13610400</v>
      </c>
      <c r="S1231" s="732">
        <f t="shared" si="161"/>
        <v>30853183</v>
      </c>
      <c r="T1231" s="733">
        <f t="shared" si="162"/>
        <v>29310850</v>
      </c>
      <c r="U1231" s="1152"/>
      <c r="V1231" s="1153"/>
      <c r="W1231" s="1152"/>
      <c r="X1231" s="1152"/>
      <c r="Y1231" s="732">
        <f t="shared" si="158"/>
        <v>0</v>
      </c>
      <c r="Z1231" s="1153"/>
      <c r="AA1231" s="1153"/>
      <c r="AB1231" s="733">
        <f t="shared" si="159"/>
        <v>0</v>
      </c>
      <c r="AC1231" s="1152"/>
      <c r="AD1231" s="1153"/>
      <c r="AE1231" s="1152"/>
      <c r="AF1231" s="1152"/>
      <c r="AG1231" s="1153"/>
      <c r="AH1231" s="1153"/>
      <c r="AI1231" s="732">
        <f t="shared" si="163"/>
        <v>30853183</v>
      </c>
      <c r="AJ1231" s="733">
        <f t="shared" si="164"/>
        <v>29310850</v>
      </c>
    </row>
    <row r="1232" spans="1:36" s="13" customFormat="1" ht="15" customHeight="1">
      <c r="A1232" s="719" t="s">
        <v>599</v>
      </c>
      <c r="B1232" s="717" t="s">
        <v>118</v>
      </c>
      <c r="C1232" s="771" t="s">
        <v>406</v>
      </c>
      <c r="D1232" s="771"/>
      <c r="E1232" s="719"/>
      <c r="F1232" s="719">
        <v>99</v>
      </c>
      <c r="G1232" s="1152"/>
      <c r="H1232" s="1153"/>
      <c r="I1232" s="1152"/>
      <c r="J1232" s="1153"/>
      <c r="K1232" s="1152"/>
      <c r="L1232" s="1153"/>
      <c r="M1232" s="1152"/>
      <c r="N1232" s="1152"/>
      <c r="O1232" s="732">
        <f t="shared" si="157"/>
        <v>0</v>
      </c>
      <c r="P1232" s="1153"/>
      <c r="Q1232" s="1153"/>
      <c r="R1232" s="733">
        <f t="shared" si="160"/>
        <v>0</v>
      </c>
      <c r="S1232" s="732">
        <f t="shared" si="161"/>
        <v>0</v>
      </c>
      <c r="T1232" s="733">
        <f t="shared" si="162"/>
        <v>0</v>
      </c>
      <c r="U1232" s="1152"/>
      <c r="V1232" s="1153"/>
      <c r="W1232" s="1152"/>
      <c r="X1232" s="1152"/>
      <c r="Y1232" s="732">
        <f t="shared" si="158"/>
        <v>0</v>
      </c>
      <c r="Z1232" s="1153"/>
      <c r="AA1232" s="1153"/>
      <c r="AB1232" s="733">
        <f t="shared" si="159"/>
        <v>0</v>
      </c>
      <c r="AC1232" s="1152"/>
      <c r="AD1232" s="1153"/>
      <c r="AE1232" s="1152"/>
      <c r="AF1232" s="1152"/>
      <c r="AG1232" s="1153"/>
      <c r="AH1232" s="1153"/>
      <c r="AI1232" s="732">
        <f t="shared" si="163"/>
        <v>0</v>
      </c>
      <c r="AJ1232" s="733">
        <f t="shared" si="164"/>
        <v>0</v>
      </c>
    </row>
    <row r="1233" spans="1:36">
      <c r="A1233" s="719" t="s">
        <v>599</v>
      </c>
      <c r="B1233" s="717" t="s">
        <v>336</v>
      </c>
      <c r="C1233" s="774" t="s">
        <v>70</v>
      </c>
      <c r="D1233" s="773"/>
      <c r="E1233" s="719"/>
      <c r="F1233" s="719">
        <v>99</v>
      </c>
      <c r="G1233" s="1152"/>
      <c r="H1233" s="1153"/>
      <c r="I1233" s="1152"/>
      <c r="J1233" s="1153"/>
      <c r="K1233" s="1152"/>
      <c r="L1233" s="1153"/>
      <c r="M1233" s="1152"/>
      <c r="N1233" s="1152"/>
      <c r="O1233" s="732">
        <f t="shared" si="157"/>
        <v>0</v>
      </c>
      <c r="P1233" s="1153"/>
      <c r="Q1233" s="1153"/>
      <c r="R1233" s="733">
        <f t="shared" si="160"/>
        <v>0</v>
      </c>
      <c r="S1233" s="732">
        <f t="shared" si="161"/>
        <v>0</v>
      </c>
      <c r="T1233" s="733">
        <f t="shared" si="162"/>
        <v>0</v>
      </c>
      <c r="U1233" s="1152"/>
      <c r="V1233" s="1153"/>
      <c r="W1233" s="1152"/>
      <c r="X1233" s="1152"/>
      <c r="Y1233" s="732">
        <f t="shared" si="158"/>
        <v>0</v>
      </c>
      <c r="Z1233" s="1153"/>
      <c r="AA1233" s="1153"/>
      <c r="AB1233" s="733">
        <f t="shared" si="159"/>
        <v>0</v>
      </c>
      <c r="AC1233" s="1152"/>
      <c r="AD1233" s="1153"/>
      <c r="AE1233" s="1152"/>
      <c r="AF1233" s="1152"/>
      <c r="AG1233" s="1153"/>
      <c r="AH1233" s="1153"/>
      <c r="AI1233" s="732">
        <f t="shared" si="163"/>
        <v>0</v>
      </c>
      <c r="AJ1233" s="733">
        <f t="shared" si="164"/>
        <v>0</v>
      </c>
    </row>
    <row r="1234" spans="1:36">
      <c r="A1234" s="719" t="s">
        <v>599</v>
      </c>
      <c r="B1234" s="717" t="s">
        <v>336</v>
      </c>
      <c r="C1234" s="772" t="s">
        <v>628</v>
      </c>
      <c r="D1234" s="773"/>
      <c r="E1234" s="719"/>
      <c r="F1234" s="719">
        <v>99</v>
      </c>
      <c r="G1234" s="1152"/>
      <c r="H1234" s="1153"/>
      <c r="I1234" s="1152"/>
      <c r="J1234" s="1153"/>
      <c r="K1234" s="1152"/>
      <c r="L1234" s="1153"/>
      <c r="M1234" s="1152"/>
      <c r="N1234" s="1152"/>
      <c r="O1234" s="732">
        <f t="shared" si="157"/>
        <v>0</v>
      </c>
      <c r="P1234" s="1153"/>
      <c r="Q1234" s="1153"/>
      <c r="R1234" s="733">
        <f t="shared" si="160"/>
        <v>0</v>
      </c>
      <c r="S1234" s="732">
        <f t="shared" si="161"/>
        <v>0</v>
      </c>
      <c r="T1234" s="733">
        <f t="shared" si="162"/>
        <v>0</v>
      </c>
      <c r="U1234" s="1152">
        <v>693876</v>
      </c>
      <c r="V1234" s="1153">
        <v>683468</v>
      </c>
      <c r="W1234" s="1152"/>
      <c r="X1234" s="1152"/>
      <c r="Y1234" s="732">
        <f t="shared" si="158"/>
        <v>0</v>
      </c>
      <c r="Z1234" s="1153"/>
      <c r="AA1234" s="1153"/>
      <c r="AB1234" s="733">
        <f t="shared" si="159"/>
        <v>0</v>
      </c>
      <c r="AC1234" s="1152"/>
      <c r="AD1234" s="1153"/>
      <c r="AE1234" s="1152"/>
      <c r="AF1234" s="1152"/>
      <c r="AG1234" s="1153"/>
      <c r="AH1234" s="1153"/>
      <c r="AI1234" s="732">
        <f t="shared" si="163"/>
        <v>693876</v>
      </c>
      <c r="AJ1234" s="733">
        <f t="shared" si="164"/>
        <v>683468</v>
      </c>
    </row>
    <row r="1235" spans="1:36">
      <c r="A1235" s="719" t="s">
        <v>599</v>
      </c>
      <c r="B1235" s="717" t="s">
        <v>132</v>
      </c>
      <c r="C1235" s="771" t="s">
        <v>476</v>
      </c>
      <c r="D1235" s="771"/>
      <c r="E1235" s="719"/>
      <c r="F1235" s="719">
        <v>99</v>
      </c>
      <c r="G1235" s="1152"/>
      <c r="H1235" s="1153"/>
      <c r="I1235" s="1152"/>
      <c r="J1235" s="1153"/>
      <c r="K1235" s="1152"/>
      <c r="L1235" s="1153"/>
      <c r="M1235" s="1152"/>
      <c r="N1235" s="1152"/>
      <c r="O1235" s="732">
        <f t="shared" si="157"/>
        <v>0</v>
      </c>
      <c r="P1235" s="1153"/>
      <c r="Q1235" s="1153"/>
      <c r="R1235" s="733">
        <f t="shared" si="160"/>
        <v>0</v>
      </c>
      <c r="S1235" s="732">
        <f t="shared" si="161"/>
        <v>0</v>
      </c>
      <c r="T1235" s="733">
        <f t="shared" si="162"/>
        <v>0</v>
      </c>
      <c r="U1235" s="1152"/>
      <c r="V1235" s="1153"/>
      <c r="W1235" s="1152"/>
      <c r="X1235" s="1152"/>
      <c r="Y1235" s="732">
        <f t="shared" si="158"/>
        <v>0</v>
      </c>
      <c r="Z1235" s="1153"/>
      <c r="AA1235" s="1153"/>
      <c r="AB1235" s="733">
        <f t="shared" si="159"/>
        <v>0</v>
      </c>
      <c r="AC1235" s="1152"/>
      <c r="AD1235" s="1153"/>
      <c r="AE1235" s="1152"/>
      <c r="AF1235" s="1152"/>
      <c r="AG1235" s="1153"/>
      <c r="AH1235" s="1153"/>
      <c r="AI1235" s="732">
        <f t="shared" si="163"/>
        <v>0</v>
      </c>
      <c r="AJ1235" s="733">
        <f t="shared" si="164"/>
        <v>0</v>
      </c>
    </row>
    <row r="1236" spans="1:36">
      <c r="A1236" s="719" t="s">
        <v>599</v>
      </c>
      <c r="B1236" s="717" t="s">
        <v>138</v>
      </c>
      <c r="C1236" s="771" t="s">
        <v>139</v>
      </c>
      <c r="D1236" s="771"/>
      <c r="E1236" s="719"/>
      <c r="F1236" s="719">
        <v>99</v>
      </c>
      <c r="G1236" s="1152"/>
      <c r="H1236" s="1153"/>
      <c r="I1236" s="1152"/>
      <c r="J1236" s="1153"/>
      <c r="K1236" s="1152"/>
      <c r="L1236" s="1153"/>
      <c r="M1236" s="1152"/>
      <c r="N1236" s="1152"/>
      <c r="O1236" s="732">
        <f t="shared" si="157"/>
        <v>0</v>
      </c>
      <c r="P1236" s="1153"/>
      <c r="Q1236" s="1153"/>
      <c r="R1236" s="733">
        <f t="shared" si="160"/>
        <v>0</v>
      </c>
      <c r="S1236" s="732">
        <f t="shared" si="161"/>
        <v>0</v>
      </c>
      <c r="T1236" s="733">
        <f t="shared" si="162"/>
        <v>0</v>
      </c>
      <c r="U1236" s="1152"/>
      <c r="V1236" s="1153"/>
      <c r="W1236" s="1152"/>
      <c r="X1236" s="1152"/>
      <c r="Y1236" s="732">
        <f t="shared" si="158"/>
        <v>0</v>
      </c>
      <c r="Z1236" s="1153"/>
      <c r="AA1236" s="1153"/>
      <c r="AB1236" s="733">
        <f t="shared" si="159"/>
        <v>0</v>
      </c>
      <c r="AC1236" s="1152"/>
      <c r="AD1236" s="1153"/>
      <c r="AE1236" s="1152"/>
      <c r="AF1236" s="1152"/>
      <c r="AG1236" s="1153"/>
      <c r="AH1236" s="1153"/>
      <c r="AI1236" s="732">
        <f t="shared" si="163"/>
        <v>0</v>
      </c>
      <c r="AJ1236" s="733">
        <f t="shared" si="164"/>
        <v>0</v>
      </c>
    </row>
    <row r="1237" spans="1:36">
      <c r="A1237" s="719" t="s">
        <v>599</v>
      </c>
      <c r="B1237" s="717" t="s">
        <v>140</v>
      </c>
      <c r="C1237" s="774" t="s">
        <v>141</v>
      </c>
      <c r="D1237" s="773"/>
      <c r="E1237" s="719"/>
      <c r="F1237" s="719">
        <v>99</v>
      </c>
      <c r="G1237" s="1152"/>
      <c r="H1237" s="1153"/>
      <c r="I1237" s="1152"/>
      <c r="J1237" s="1153"/>
      <c r="K1237" s="1152"/>
      <c r="L1237" s="1153"/>
      <c r="M1237" s="1152"/>
      <c r="N1237" s="1152"/>
      <c r="O1237" s="732">
        <f t="shared" si="157"/>
        <v>0</v>
      </c>
      <c r="P1237" s="1153"/>
      <c r="Q1237" s="1153"/>
      <c r="R1237" s="733">
        <f t="shared" si="160"/>
        <v>0</v>
      </c>
      <c r="S1237" s="732">
        <f t="shared" si="161"/>
        <v>0</v>
      </c>
      <c r="T1237" s="733">
        <f t="shared" si="162"/>
        <v>0</v>
      </c>
      <c r="U1237" s="1152"/>
      <c r="V1237" s="1153"/>
      <c r="W1237" s="1152"/>
      <c r="X1237" s="1152"/>
      <c r="Y1237" s="732">
        <f t="shared" si="158"/>
        <v>0</v>
      </c>
      <c r="Z1237" s="1153"/>
      <c r="AA1237" s="1153"/>
      <c r="AB1237" s="733">
        <f t="shared" si="159"/>
        <v>0</v>
      </c>
      <c r="AC1237" s="1152"/>
      <c r="AD1237" s="1153"/>
      <c r="AE1237" s="1152"/>
      <c r="AF1237" s="1152"/>
      <c r="AG1237" s="1153"/>
      <c r="AH1237" s="1153"/>
      <c r="AI1237" s="732">
        <f t="shared" si="163"/>
        <v>0</v>
      </c>
      <c r="AJ1237" s="733">
        <f t="shared" si="164"/>
        <v>0</v>
      </c>
    </row>
    <row r="1238" spans="1:36">
      <c r="A1238" s="719" t="s">
        <v>599</v>
      </c>
      <c r="B1238" s="717" t="s">
        <v>140</v>
      </c>
      <c r="C1238" s="772" t="s">
        <v>629</v>
      </c>
      <c r="D1238" s="773" t="s">
        <v>1672</v>
      </c>
      <c r="E1238" s="719"/>
      <c r="F1238" s="719">
        <v>99</v>
      </c>
      <c r="G1238" s="1152"/>
      <c r="H1238" s="1153"/>
      <c r="I1238" s="1152"/>
      <c r="J1238" s="1153"/>
      <c r="K1238" s="1152"/>
      <c r="L1238" s="1153"/>
      <c r="M1238" s="1152"/>
      <c r="N1238" s="1152"/>
      <c r="O1238" s="732">
        <f t="shared" si="157"/>
        <v>0</v>
      </c>
      <c r="P1238" s="1153"/>
      <c r="Q1238" s="1153"/>
      <c r="R1238" s="733">
        <f t="shared" si="160"/>
        <v>0</v>
      </c>
      <c r="S1238" s="732">
        <f t="shared" si="161"/>
        <v>0</v>
      </c>
      <c r="T1238" s="733">
        <f t="shared" si="162"/>
        <v>0</v>
      </c>
      <c r="U1238" s="1152">
        <v>7371089</v>
      </c>
      <c r="V1238" s="1153">
        <v>7241934</v>
      </c>
      <c r="W1238" s="1152"/>
      <c r="X1238" s="1152"/>
      <c r="Y1238" s="732">
        <f t="shared" si="158"/>
        <v>0</v>
      </c>
      <c r="Z1238" s="1153"/>
      <c r="AA1238" s="1153"/>
      <c r="AB1238" s="733">
        <f t="shared" si="159"/>
        <v>0</v>
      </c>
      <c r="AC1238" s="1152"/>
      <c r="AD1238" s="1153"/>
      <c r="AE1238" s="1152"/>
      <c r="AF1238" s="1152"/>
      <c r="AG1238" s="1153"/>
      <c r="AH1238" s="1153"/>
      <c r="AI1238" s="732">
        <f t="shared" si="163"/>
        <v>7371089</v>
      </c>
      <c r="AJ1238" s="733">
        <f t="shared" si="164"/>
        <v>7241934</v>
      </c>
    </row>
    <row r="1239" spans="1:36">
      <c r="A1239" s="719" t="s">
        <v>599</v>
      </c>
      <c r="B1239" s="717" t="s">
        <v>145</v>
      </c>
      <c r="C1239" s="774" t="s">
        <v>146</v>
      </c>
      <c r="D1239" s="773"/>
      <c r="E1239" s="719"/>
      <c r="F1239" s="719">
        <v>99</v>
      </c>
      <c r="G1239" s="1152"/>
      <c r="H1239" s="1153"/>
      <c r="I1239" s="1152"/>
      <c r="J1239" s="1153"/>
      <c r="K1239" s="1152"/>
      <c r="L1239" s="1153"/>
      <c r="M1239" s="1152"/>
      <c r="N1239" s="1152"/>
      <c r="O1239" s="732">
        <f t="shared" si="157"/>
        <v>0</v>
      </c>
      <c r="P1239" s="1153"/>
      <c r="Q1239" s="1153"/>
      <c r="R1239" s="733">
        <f t="shared" si="160"/>
        <v>0</v>
      </c>
      <c r="S1239" s="732">
        <f t="shared" si="161"/>
        <v>0</v>
      </c>
      <c r="T1239" s="733">
        <f t="shared" si="162"/>
        <v>0</v>
      </c>
      <c r="U1239" s="1152"/>
      <c r="V1239" s="1153"/>
      <c r="W1239" s="1152"/>
      <c r="X1239" s="1152"/>
      <c r="Y1239" s="732">
        <f t="shared" si="158"/>
        <v>0</v>
      </c>
      <c r="Z1239" s="1153"/>
      <c r="AA1239" s="1153"/>
      <c r="AB1239" s="733">
        <f t="shared" si="159"/>
        <v>0</v>
      </c>
      <c r="AC1239" s="1152"/>
      <c r="AD1239" s="1153"/>
      <c r="AE1239" s="1152"/>
      <c r="AF1239" s="1152"/>
      <c r="AG1239" s="1153"/>
      <c r="AH1239" s="1153"/>
      <c r="AI1239" s="732">
        <f t="shared" si="163"/>
        <v>0</v>
      </c>
      <c r="AJ1239" s="733">
        <f t="shared" si="164"/>
        <v>0</v>
      </c>
    </row>
    <row r="1240" spans="1:36">
      <c r="A1240" s="719" t="s">
        <v>599</v>
      </c>
      <c r="B1240" s="717" t="s">
        <v>145</v>
      </c>
      <c r="C1240" s="772" t="s">
        <v>304</v>
      </c>
      <c r="D1240" s="773"/>
      <c r="E1240" s="719"/>
      <c r="F1240" s="719">
        <v>99</v>
      </c>
      <c r="G1240" s="1152"/>
      <c r="H1240" s="1153"/>
      <c r="I1240" s="1152"/>
      <c r="J1240" s="1153"/>
      <c r="K1240" s="1152"/>
      <c r="L1240" s="1153"/>
      <c r="M1240" s="1152"/>
      <c r="N1240" s="1152"/>
      <c r="O1240" s="732">
        <f t="shared" si="157"/>
        <v>0</v>
      </c>
      <c r="P1240" s="1153"/>
      <c r="Q1240" s="1153"/>
      <c r="R1240" s="733">
        <f t="shared" si="160"/>
        <v>0</v>
      </c>
      <c r="S1240" s="732">
        <f t="shared" si="161"/>
        <v>0</v>
      </c>
      <c r="T1240" s="733">
        <f t="shared" si="162"/>
        <v>0</v>
      </c>
      <c r="U1240" s="1152"/>
      <c r="V1240" s="1153"/>
      <c r="W1240" s="1152"/>
      <c r="X1240" s="1152"/>
      <c r="Y1240" s="732">
        <f t="shared" si="158"/>
        <v>0</v>
      </c>
      <c r="Z1240" s="1153"/>
      <c r="AA1240" s="1153"/>
      <c r="AB1240" s="733">
        <f t="shared" si="159"/>
        <v>0</v>
      </c>
      <c r="AC1240" s="1152"/>
      <c r="AD1240" s="1153"/>
      <c r="AE1240" s="1152"/>
      <c r="AF1240" s="1152"/>
      <c r="AG1240" s="1153"/>
      <c r="AH1240" s="1153"/>
      <c r="AI1240" s="732">
        <f t="shared" si="163"/>
        <v>0</v>
      </c>
      <c r="AJ1240" s="733">
        <f t="shared" si="164"/>
        <v>0</v>
      </c>
    </row>
    <row r="1241" spans="1:36">
      <c r="A1241" s="719" t="s">
        <v>599</v>
      </c>
      <c r="B1241" s="717" t="s">
        <v>149</v>
      </c>
      <c r="C1241" s="774" t="s">
        <v>630</v>
      </c>
      <c r="D1241" s="773"/>
      <c r="E1241" s="719"/>
      <c r="F1241" s="719">
        <v>99</v>
      </c>
      <c r="G1241" s="1152"/>
      <c r="H1241" s="1153"/>
      <c r="I1241" s="1152"/>
      <c r="J1241" s="1153"/>
      <c r="K1241" s="1152"/>
      <c r="L1241" s="1153"/>
      <c r="M1241" s="1152"/>
      <c r="N1241" s="1152"/>
      <c r="O1241" s="732">
        <f t="shared" si="157"/>
        <v>0</v>
      </c>
      <c r="P1241" s="1153"/>
      <c r="Q1241" s="1153"/>
      <c r="R1241" s="733">
        <f t="shared" si="160"/>
        <v>0</v>
      </c>
      <c r="S1241" s="732">
        <f t="shared" si="161"/>
        <v>0</v>
      </c>
      <c r="T1241" s="733">
        <f t="shared" si="162"/>
        <v>0</v>
      </c>
      <c r="U1241" s="1152">
        <v>1144696.6299999999</v>
      </c>
      <c r="V1241" s="1153">
        <v>1114427</v>
      </c>
      <c r="W1241" s="1152"/>
      <c r="X1241" s="1152"/>
      <c r="Y1241" s="732">
        <f t="shared" si="158"/>
        <v>0</v>
      </c>
      <c r="Z1241" s="1153"/>
      <c r="AA1241" s="1153"/>
      <c r="AB1241" s="733">
        <f t="shared" si="159"/>
        <v>0</v>
      </c>
      <c r="AC1241" s="1152"/>
      <c r="AD1241" s="1153"/>
      <c r="AE1241" s="1152"/>
      <c r="AF1241" s="1152"/>
      <c r="AG1241" s="1153"/>
      <c r="AH1241" s="1153"/>
      <c r="AI1241" s="732">
        <f t="shared" si="163"/>
        <v>1144696.6299999999</v>
      </c>
      <c r="AJ1241" s="733">
        <f t="shared" si="164"/>
        <v>1114427</v>
      </c>
    </row>
    <row r="1242" spans="1:36">
      <c r="A1242" s="719" t="s">
        <v>599</v>
      </c>
      <c r="B1242" s="717" t="s">
        <v>151</v>
      </c>
      <c r="C1242" s="771" t="s">
        <v>152</v>
      </c>
      <c r="D1242" s="771"/>
      <c r="E1242" s="719"/>
      <c r="F1242" s="719">
        <v>99</v>
      </c>
      <c r="G1242" s="1152"/>
      <c r="H1242" s="1153"/>
      <c r="I1242" s="1152"/>
      <c r="J1242" s="1153"/>
      <c r="K1242" s="1152"/>
      <c r="L1242" s="1153"/>
      <c r="M1242" s="1152"/>
      <c r="N1242" s="1152"/>
      <c r="O1242" s="732">
        <f t="shared" si="157"/>
        <v>0</v>
      </c>
      <c r="P1242" s="1153"/>
      <c r="Q1242" s="1153"/>
      <c r="R1242" s="733">
        <f t="shared" si="160"/>
        <v>0</v>
      </c>
      <c r="S1242" s="732">
        <f t="shared" si="161"/>
        <v>0</v>
      </c>
      <c r="T1242" s="733">
        <f t="shared" si="162"/>
        <v>0</v>
      </c>
      <c r="U1242" s="1152"/>
      <c r="V1242" s="1153"/>
      <c r="W1242" s="1152"/>
      <c r="X1242" s="1152"/>
      <c r="Y1242" s="732">
        <f t="shared" si="158"/>
        <v>0</v>
      </c>
      <c r="Z1242" s="1153"/>
      <c r="AA1242" s="1153"/>
      <c r="AB1242" s="733">
        <f t="shared" si="159"/>
        <v>0</v>
      </c>
      <c r="AC1242" s="1152"/>
      <c r="AD1242" s="1153"/>
      <c r="AE1242" s="1152"/>
      <c r="AF1242" s="1152"/>
      <c r="AG1242" s="1153"/>
      <c r="AH1242" s="1153"/>
      <c r="AI1242" s="732">
        <f t="shared" si="163"/>
        <v>0</v>
      </c>
      <c r="AJ1242" s="733">
        <f t="shared" si="164"/>
        <v>0</v>
      </c>
    </row>
    <row r="1243" spans="1:36">
      <c r="A1243" s="719" t="s">
        <v>599</v>
      </c>
      <c r="B1243" s="717" t="s">
        <v>248</v>
      </c>
      <c r="C1243" s="771" t="s">
        <v>249</v>
      </c>
      <c r="D1243" s="771"/>
      <c r="E1243" s="719"/>
      <c r="F1243" s="719">
        <v>99</v>
      </c>
      <c r="G1243" s="1152"/>
      <c r="H1243" s="1153"/>
      <c r="I1243" s="1152"/>
      <c r="J1243" s="1153"/>
      <c r="K1243" s="1152"/>
      <c r="L1243" s="1153"/>
      <c r="M1243" s="1152"/>
      <c r="N1243" s="1152"/>
      <c r="O1243" s="732">
        <f t="shared" si="157"/>
        <v>0</v>
      </c>
      <c r="P1243" s="1153"/>
      <c r="Q1243" s="1153"/>
      <c r="R1243" s="733">
        <f t="shared" si="160"/>
        <v>0</v>
      </c>
      <c r="S1243" s="732">
        <f t="shared" si="161"/>
        <v>0</v>
      </c>
      <c r="T1243" s="733">
        <f t="shared" si="162"/>
        <v>0</v>
      </c>
      <c r="U1243" s="1152"/>
      <c r="V1243" s="1153"/>
      <c r="W1243" s="1152"/>
      <c r="X1243" s="1152"/>
      <c r="Y1243" s="732">
        <f t="shared" si="158"/>
        <v>0</v>
      </c>
      <c r="Z1243" s="1153"/>
      <c r="AA1243" s="1153"/>
      <c r="AB1243" s="733">
        <f t="shared" si="159"/>
        <v>0</v>
      </c>
      <c r="AC1243" s="1152"/>
      <c r="AD1243" s="1153"/>
      <c r="AE1243" s="1152"/>
      <c r="AF1243" s="1152"/>
      <c r="AG1243" s="1153"/>
      <c r="AH1243" s="1153"/>
      <c r="AI1243" s="732">
        <f t="shared" si="163"/>
        <v>0</v>
      </c>
      <c r="AJ1243" s="733">
        <f t="shared" si="164"/>
        <v>0</v>
      </c>
    </row>
    <row r="1244" spans="1:36">
      <c r="A1244" s="719" t="s">
        <v>599</v>
      </c>
      <c r="B1244" s="717" t="s">
        <v>250</v>
      </c>
      <c r="C1244" s="774" t="s">
        <v>251</v>
      </c>
      <c r="D1244" s="773"/>
      <c r="E1244" s="719"/>
      <c r="F1244" s="719">
        <v>99</v>
      </c>
      <c r="G1244" s="1152"/>
      <c r="H1244" s="1153"/>
      <c r="I1244" s="1152"/>
      <c r="J1244" s="1153"/>
      <c r="K1244" s="1152"/>
      <c r="L1244" s="1153"/>
      <c r="M1244" s="1152"/>
      <c r="N1244" s="1152"/>
      <c r="O1244" s="732">
        <f t="shared" si="157"/>
        <v>0</v>
      </c>
      <c r="P1244" s="1153"/>
      <c r="Q1244" s="1153"/>
      <c r="R1244" s="733">
        <f t="shared" si="160"/>
        <v>0</v>
      </c>
      <c r="S1244" s="732">
        <f t="shared" si="161"/>
        <v>0</v>
      </c>
      <c r="T1244" s="733">
        <f t="shared" si="162"/>
        <v>0</v>
      </c>
      <c r="U1244" s="1152"/>
      <c r="V1244" s="1153"/>
      <c r="W1244" s="1152"/>
      <c r="X1244" s="1152"/>
      <c r="Y1244" s="732">
        <f t="shared" si="158"/>
        <v>0</v>
      </c>
      <c r="Z1244" s="1153"/>
      <c r="AA1244" s="1153"/>
      <c r="AB1244" s="733">
        <f t="shared" si="159"/>
        <v>0</v>
      </c>
      <c r="AC1244" s="1152"/>
      <c r="AD1244" s="1153"/>
      <c r="AE1244" s="1152"/>
      <c r="AF1244" s="1152"/>
      <c r="AG1244" s="1153"/>
      <c r="AH1244" s="1153"/>
      <c r="AI1244" s="732">
        <f t="shared" si="163"/>
        <v>0</v>
      </c>
      <c r="AJ1244" s="733">
        <f t="shared" si="164"/>
        <v>0</v>
      </c>
    </row>
    <row r="1245" spans="1:36">
      <c r="A1245" s="719" t="s">
        <v>599</v>
      </c>
      <c r="B1245" s="717" t="s">
        <v>250</v>
      </c>
      <c r="C1245" s="772" t="s">
        <v>255</v>
      </c>
      <c r="D1245" s="773"/>
      <c r="E1245" s="719"/>
      <c r="F1245" s="719">
        <v>99</v>
      </c>
      <c r="G1245" s="1152"/>
      <c r="H1245" s="1153"/>
      <c r="I1245" s="1152"/>
      <c r="J1245" s="1153"/>
      <c r="K1245" s="1152"/>
      <c r="L1245" s="1153"/>
      <c r="M1245" s="1152"/>
      <c r="N1245" s="1152"/>
      <c r="O1245" s="732">
        <f t="shared" si="157"/>
        <v>0</v>
      </c>
      <c r="P1245" s="1153"/>
      <c r="Q1245" s="1153"/>
      <c r="R1245" s="733">
        <f t="shared" si="160"/>
        <v>0</v>
      </c>
      <c r="S1245" s="732">
        <f t="shared" si="161"/>
        <v>0</v>
      </c>
      <c r="T1245" s="733">
        <f t="shared" si="162"/>
        <v>0</v>
      </c>
      <c r="U1245" s="1152">
        <v>460800</v>
      </c>
      <c r="V1245" s="1153">
        <v>441600</v>
      </c>
      <c r="W1245" s="1152"/>
      <c r="X1245" s="1152"/>
      <c r="Y1245" s="732">
        <f t="shared" si="158"/>
        <v>0</v>
      </c>
      <c r="Z1245" s="1153"/>
      <c r="AA1245" s="1153"/>
      <c r="AB1245" s="733">
        <f t="shared" si="159"/>
        <v>0</v>
      </c>
      <c r="AC1245" s="1152"/>
      <c r="AD1245" s="1153"/>
      <c r="AE1245" s="1152"/>
      <c r="AF1245" s="1152"/>
      <c r="AG1245" s="1153"/>
      <c r="AH1245" s="1153"/>
      <c r="AI1245" s="732">
        <f t="shared" si="163"/>
        <v>460800</v>
      </c>
      <c r="AJ1245" s="733">
        <f t="shared" si="164"/>
        <v>441600</v>
      </c>
    </row>
    <row r="1246" spans="1:36">
      <c r="A1246" s="719" t="s">
        <v>599</v>
      </c>
      <c r="B1246" s="717" t="s">
        <v>258</v>
      </c>
      <c r="C1246" s="774" t="s">
        <v>259</v>
      </c>
      <c r="D1246" s="773"/>
      <c r="E1246" s="719"/>
      <c r="F1246" s="719">
        <v>99</v>
      </c>
      <c r="G1246" s="1152"/>
      <c r="H1246" s="1153"/>
      <c r="I1246" s="1152"/>
      <c r="J1246" s="1153"/>
      <c r="K1246" s="1152"/>
      <c r="L1246" s="1153"/>
      <c r="M1246" s="1152"/>
      <c r="N1246" s="1152"/>
      <c r="O1246" s="732">
        <f t="shared" si="157"/>
        <v>0</v>
      </c>
      <c r="P1246" s="1153"/>
      <c r="Q1246" s="1153"/>
      <c r="R1246" s="733">
        <f t="shared" si="160"/>
        <v>0</v>
      </c>
      <c r="S1246" s="732">
        <f t="shared" si="161"/>
        <v>0</v>
      </c>
      <c r="T1246" s="733">
        <f t="shared" si="162"/>
        <v>0</v>
      </c>
      <c r="U1246" s="1152"/>
      <c r="V1246" s="1153"/>
      <c r="W1246" s="1152"/>
      <c r="X1246" s="1152"/>
      <c r="Y1246" s="732">
        <f t="shared" si="158"/>
        <v>0</v>
      </c>
      <c r="Z1246" s="1153"/>
      <c r="AA1246" s="1153"/>
      <c r="AB1246" s="733">
        <f t="shared" si="159"/>
        <v>0</v>
      </c>
      <c r="AC1246" s="1152"/>
      <c r="AD1246" s="1153"/>
      <c r="AE1246" s="1152"/>
      <c r="AF1246" s="1152"/>
      <c r="AG1246" s="1153"/>
      <c r="AH1246" s="1153"/>
      <c r="AI1246" s="732">
        <f t="shared" si="163"/>
        <v>0</v>
      </c>
      <c r="AJ1246" s="733">
        <f t="shared" si="164"/>
        <v>0</v>
      </c>
    </row>
    <row r="1247" spans="1:36">
      <c r="A1247" s="719" t="s">
        <v>599</v>
      </c>
      <c r="B1247" s="717" t="s">
        <v>258</v>
      </c>
      <c r="C1247" s="772" t="s">
        <v>485</v>
      </c>
      <c r="D1247" s="773"/>
      <c r="E1247" s="719"/>
      <c r="F1247" s="719">
        <v>99</v>
      </c>
      <c r="G1247" s="1152"/>
      <c r="H1247" s="1153"/>
      <c r="I1247" s="1152"/>
      <c r="J1247" s="1153"/>
      <c r="K1247" s="1152"/>
      <c r="L1247" s="1153"/>
      <c r="M1247" s="1152"/>
      <c r="N1247" s="1152"/>
      <c r="O1247" s="732">
        <f t="shared" si="157"/>
        <v>0</v>
      </c>
      <c r="P1247" s="1153"/>
      <c r="Q1247" s="1153"/>
      <c r="R1247" s="733">
        <f t="shared" si="160"/>
        <v>0</v>
      </c>
      <c r="S1247" s="732">
        <f t="shared" si="161"/>
        <v>0</v>
      </c>
      <c r="T1247" s="733">
        <f t="shared" si="162"/>
        <v>0</v>
      </c>
      <c r="U1247" s="1152">
        <v>124800</v>
      </c>
      <c r="V1247" s="1153">
        <v>115200</v>
      </c>
      <c r="W1247" s="1152"/>
      <c r="X1247" s="1152"/>
      <c r="Y1247" s="732">
        <f t="shared" si="158"/>
        <v>0</v>
      </c>
      <c r="Z1247" s="1153"/>
      <c r="AA1247" s="1153"/>
      <c r="AB1247" s="733">
        <f t="shared" si="159"/>
        <v>0</v>
      </c>
      <c r="AC1247" s="1152"/>
      <c r="AD1247" s="1153"/>
      <c r="AE1247" s="1152"/>
      <c r="AF1247" s="1152"/>
      <c r="AG1247" s="1153"/>
      <c r="AH1247" s="1153"/>
      <c r="AI1247" s="732">
        <f t="shared" si="163"/>
        <v>124800</v>
      </c>
      <c r="AJ1247" s="733">
        <f t="shared" si="164"/>
        <v>115200</v>
      </c>
    </row>
    <row r="1248" spans="1:36">
      <c r="A1248" s="719" t="s">
        <v>599</v>
      </c>
      <c r="B1248" s="717" t="s">
        <v>159</v>
      </c>
      <c r="C1248" s="771" t="s">
        <v>160</v>
      </c>
      <c r="D1248" s="771"/>
      <c r="E1248" s="719"/>
      <c r="F1248" s="719">
        <v>99</v>
      </c>
      <c r="G1248" s="1152"/>
      <c r="H1248" s="1153"/>
      <c r="I1248" s="1152"/>
      <c r="J1248" s="1153"/>
      <c r="K1248" s="1152"/>
      <c r="L1248" s="1153"/>
      <c r="M1248" s="1152"/>
      <c r="N1248" s="1152"/>
      <c r="O1248" s="732">
        <f t="shared" si="157"/>
        <v>0</v>
      </c>
      <c r="P1248" s="1153"/>
      <c r="Q1248" s="1153"/>
      <c r="R1248" s="733">
        <f t="shared" si="160"/>
        <v>0</v>
      </c>
      <c r="S1248" s="732">
        <f t="shared" si="161"/>
        <v>0</v>
      </c>
      <c r="T1248" s="733">
        <f t="shared" si="162"/>
        <v>0</v>
      </c>
      <c r="U1248" s="1152"/>
      <c r="V1248" s="1153"/>
      <c r="W1248" s="1152"/>
      <c r="X1248" s="1152"/>
      <c r="Y1248" s="732">
        <f t="shared" si="158"/>
        <v>0</v>
      </c>
      <c r="Z1248" s="1153"/>
      <c r="AA1248" s="1153"/>
      <c r="AB1248" s="733">
        <f t="shared" si="159"/>
        <v>0</v>
      </c>
      <c r="AC1248" s="1152"/>
      <c r="AD1248" s="1153"/>
      <c r="AE1248" s="1152"/>
      <c r="AF1248" s="1152"/>
      <c r="AG1248" s="1153"/>
      <c r="AH1248" s="1153"/>
      <c r="AI1248" s="732">
        <f t="shared" si="163"/>
        <v>0</v>
      </c>
      <c r="AJ1248" s="733">
        <f t="shared" si="164"/>
        <v>0</v>
      </c>
    </row>
    <row r="1249" spans="1:36">
      <c r="A1249" s="719" t="s">
        <v>599</v>
      </c>
      <c r="B1249" s="717" t="s">
        <v>161</v>
      </c>
      <c r="C1249" s="776" t="s">
        <v>162</v>
      </c>
      <c r="D1249" s="775"/>
      <c r="E1249" s="777"/>
      <c r="F1249" s="719">
        <v>99</v>
      </c>
      <c r="G1249" s="1152"/>
      <c r="H1249" s="1153"/>
      <c r="I1249" s="1152"/>
      <c r="J1249" s="1153"/>
      <c r="K1249" s="1152"/>
      <c r="L1249" s="1153"/>
      <c r="M1249" s="1152"/>
      <c r="N1249" s="1152"/>
      <c r="O1249" s="732">
        <f t="shared" si="157"/>
        <v>0</v>
      </c>
      <c r="P1249" s="1153"/>
      <c r="Q1249" s="1153"/>
      <c r="R1249" s="733">
        <f t="shared" si="160"/>
        <v>0</v>
      </c>
      <c r="S1249" s="732">
        <f t="shared" si="161"/>
        <v>0</v>
      </c>
      <c r="T1249" s="733">
        <f t="shared" si="162"/>
        <v>0</v>
      </c>
      <c r="U1249" s="1152"/>
      <c r="V1249" s="1153"/>
      <c r="W1249" s="1152"/>
      <c r="X1249" s="1152"/>
      <c r="Y1249" s="732">
        <f t="shared" si="158"/>
        <v>0</v>
      </c>
      <c r="Z1249" s="1153"/>
      <c r="AA1249" s="1153"/>
      <c r="AB1249" s="733">
        <f t="shared" si="159"/>
        <v>0</v>
      </c>
      <c r="AC1249" s="1152"/>
      <c r="AD1249" s="1153"/>
      <c r="AE1249" s="1152"/>
      <c r="AF1249" s="1152"/>
      <c r="AG1249" s="1153"/>
      <c r="AH1249" s="1153"/>
      <c r="AI1249" s="732">
        <f t="shared" si="163"/>
        <v>0</v>
      </c>
      <c r="AJ1249" s="733">
        <f t="shared" si="164"/>
        <v>0</v>
      </c>
    </row>
    <row r="1250" spans="1:36">
      <c r="A1250" s="719" t="s">
        <v>599</v>
      </c>
      <c r="B1250" s="717" t="s">
        <v>161</v>
      </c>
      <c r="C1250" s="773" t="s">
        <v>632</v>
      </c>
      <c r="D1250" s="773"/>
      <c r="E1250" s="777"/>
      <c r="F1250" s="719">
        <v>99</v>
      </c>
      <c r="G1250" s="1152"/>
      <c r="H1250" s="1153"/>
      <c r="I1250" s="1152"/>
      <c r="J1250" s="1153"/>
      <c r="K1250" s="1152"/>
      <c r="L1250" s="1153"/>
      <c r="M1250" s="1152"/>
      <c r="N1250" s="1152"/>
      <c r="O1250" s="732">
        <f t="shared" si="157"/>
        <v>0</v>
      </c>
      <c r="P1250" s="1153"/>
      <c r="Q1250" s="1153"/>
      <c r="R1250" s="733">
        <f t="shared" si="160"/>
        <v>0</v>
      </c>
      <c r="S1250" s="732">
        <f t="shared" si="161"/>
        <v>0</v>
      </c>
      <c r="T1250" s="733">
        <f t="shared" si="162"/>
        <v>0</v>
      </c>
      <c r="U1250" s="1152"/>
      <c r="V1250" s="1153"/>
      <c r="W1250" s="1152"/>
      <c r="X1250" s="1152"/>
      <c r="Y1250" s="732">
        <f t="shared" si="158"/>
        <v>0</v>
      </c>
      <c r="Z1250" s="1153"/>
      <c r="AA1250" s="1153"/>
      <c r="AB1250" s="733">
        <f t="shared" si="159"/>
        <v>0</v>
      </c>
      <c r="AC1250" s="1152"/>
      <c r="AD1250" s="1153"/>
      <c r="AE1250" s="1152"/>
      <c r="AF1250" s="1152"/>
      <c r="AG1250" s="1153"/>
      <c r="AH1250" s="1153"/>
      <c r="AI1250" s="732">
        <f t="shared" si="163"/>
        <v>0</v>
      </c>
      <c r="AJ1250" s="733">
        <f t="shared" si="164"/>
        <v>0</v>
      </c>
    </row>
    <row r="1251" spans="1:36">
      <c r="A1251" s="719" t="s">
        <v>599</v>
      </c>
      <c r="B1251" s="778" t="s">
        <v>170</v>
      </c>
      <c r="C1251" s="772" t="s">
        <v>171</v>
      </c>
      <c r="D1251" s="773"/>
      <c r="E1251" s="719"/>
      <c r="F1251" s="719">
        <v>99</v>
      </c>
      <c r="G1251" s="1152"/>
      <c r="H1251" s="1153"/>
      <c r="I1251" s="1152"/>
      <c r="J1251" s="1153"/>
      <c r="K1251" s="1152"/>
      <c r="L1251" s="1153"/>
      <c r="M1251" s="1152"/>
      <c r="N1251" s="1152"/>
      <c r="O1251" s="732">
        <f t="shared" si="157"/>
        <v>0</v>
      </c>
      <c r="P1251" s="1153"/>
      <c r="Q1251" s="1153"/>
      <c r="R1251" s="733">
        <f t="shared" si="160"/>
        <v>0</v>
      </c>
      <c r="S1251" s="732">
        <f t="shared" si="161"/>
        <v>0</v>
      </c>
      <c r="T1251" s="733">
        <f t="shared" si="162"/>
        <v>0</v>
      </c>
      <c r="U1251" s="1152"/>
      <c r="V1251" s="1153"/>
      <c r="W1251" s="1152"/>
      <c r="X1251" s="1152"/>
      <c r="Y1251" s="732">
        <f t="shared" si="158"/>
        <v>0</v>
      </c>
      <c r="Z1251" s="1153"/>
      <c r="AA1251" s="1153"/>
      <c r="AB1251" s="733">
        <f t="shared" si="159"/>
        <v>0</v>
      </c>
      <c r="AC1251" s="1152"/>
      <c r="AD1251" s="1153"/>
      <c r="AE1251" s="1152"/>
      <c r="AF1251" s="1152"/>
      <c r="AG1251" s="1153"/>
      <c r="AH1251" s="1153"/>
      <c r="AI1251" s="732">
        <f t="shared" si="163"/>
        <v>0</v>
      </c>
      <c r="AJ1251" s="733">
        <f t="shared" si="164"/>
        <v>0</v>
      </c>
    </row>
    <row r="1252" spans="1:36">
      <c r="A1252" s="719" t="s">
        <v>599</v>
      </c>
      <c r="B1252" s="778" t="s">
        <v>172</v>
      </c>
      <c r="C1252" s="772" t="s">
        <v>165</v>
      </c>
      <c r="D1252" s="773"/>
      <c r="E1252" s="777"/>
      <c r="F1252" s="719">
        <v>99</v>
      </c>
      <c r="G1252" s="1152"/>
      <c r="H1252" s="1153"/>
      <c r="I1252" s="1152"/>
      <c r="J1252" s="1153"/>
      <c r="K1252" s="1152"/>
      <c r="L1252" s="1153"/>
      <c r="M1252" s="1152"/>
      <c r="N1252" s="1152"/>
      <c r="O1252" s="732">
        <f t="shared" si="157"/>
        <v>0</v>
      </c>
      <c r="P1252" s="1153"/>
      <c r="Q1252" s="1153"/>
      <c r="R1252" s="733">
        <f t="shared" si="160"/>
        <v>0</v>
      </c>
      <c r="S1252" s="732">
        <f t="shared" si="161"/>
        <v>0</v>
      </c>
      <c r="T1252" s="733">
        <f t="shared" si="162"/>
        <v>0</v>
      </c>
      <c r="U1252" s="1152">
        <v>24615002.5</v>
      </c>
      <c r="V1252" s="1153">
        <v>24731264</v>
      </c>
      <c r="W1252" s="1152"/>
      <c r="X1252" s="1152"/>
      <c r="Y1252" s="732">
        <f t="shared" si="158"/>
        <v>0</v>
      </c>
      <c r="Z1252" s="1153"/>
      <c r="AA1252" s="1153"/>
      <c r="AB1252" s="733">
        <f t="shared" si="159"/>
        <v>0</v>
      </c>
      <c r="AC1252" s="1152"/>
      <c r="AD1252" s="1153"/>
      <c r="AE1252" s="1152"/>
      <c r="AF1252" s="1152"/>
      <c r="AG1252" s="1153"/>
      <c r="AH1252" s="1153"/>
      <c r="AI1252" s="732">
        <f t="shared" si="163"/>
        <v>24615002.5</v>
      </c>
      <c r="AJ1252" s="733">
        <f t="shared" si="164"/>
        <v>24731264</v>
      </c>
    </row>
    <row r="1253" spans="1:36">
      <c r="A1253" s="719" t="s">
        <v>599</v>
      </c>
      <c r="B1253" s="778" t="s">
        <v>176</v>
      </c>
      <c r="C1253" s="772" t="s">
        <v>177</v>
      </c>
      <c r="D1253" s="773"/>
      <c r="E1253" s="777"/>
      <c r="F1253" s="719">
        <v>99</v>
      </c>
      <c r="G1253" s="1152"/>
      <c r="H1253" s="1153"/>
      <c r="I1253" s="1152"/>
      <c r="J1253" s="1153"/>
      <c r="K1253" s="1152"/>
      <c r="L1253" s="1153"/>
      <c r="M1253" s="1152"/>
      <c r="N1253" s="1152"/>
      <c r="O1253" s="732">
        <f t="shared" si="157"/>
        <v>0</v>
      </c>
      <c r="P1253" s="1153"/>
      <c r="Q1253" s="1153"/>
      <c r="R1253" s="733">
        <f t="shared" si="160"/>
        <v>0</v>
      </c>
      <c r="S1253" s="732">
        <f t="shared" si="161"/>
        <v>0</v>
      </c>
      <c r="T1253" s="733">
        <f t="shared" si="162"/>
        <v>0</v>
      </c>
      <c r="U1253" s="1152"/>
      <c r="V1253" s="1153"/>
      <c r="W1253" s="1152"/>
      <c r="X1253" s="1152"/>
      <c r="Y1253" s="732">
        <f t="shared" si="158"/>
        <v>0</v>
      </c>
      <c r="Z1253" s="1153"/>
      <c r="AA1253" s="1153"/>
      <c r="AB1253" s="733">
        <f t="shared" si="159"/>
        <v>0</v>
      </c>
      <c r="AC1253" s="1152"/>
      <c r="AD1253" s="1153"/>
      <c r="AE1253" s="1152"/>
      <c r="AF1253" s="1152"/>
      <c r="AG1253" s="1153"/>
      <c r="AH1253" s="1153"/>
      <c r="AI1253" s="732">
        <f t="shared" si="163"/>
        <v>0</v>
      </c>
      <c r="AJ1253" s="733">
        <f t="shared" si="164"/>
        <v>0</v>
      </c>
    </row>
    <row r="1254" spans="1:36">
      <c r="A1254" s="719" t="s">
        <v>599</v>
      </c>
      <c r="B1254" s="778" t="s">
        <v>180</v>
      </c>
      <c r="C1254" s="772" t="s">
        <v>165</v>
      </c>
      <c r="D1254" s="773"/>
      <c r="E1254" s="777"/>
      <c r="F1254" s="719">
        <v>99</v>
      </c>
      <c r="G1254" s="1152"/>
      <c r="H1254" s="1153"/>
      <c r="I1254" s="1152"/>
      <c r="J1254" s="1153"/>
      <c r="K1254" s="1152"/>
      <c r="L1254" s="1153"/>
      <c r="M1254" s="1152"/>
      <c r="N1254" s="1152"/>
      <c r="O1254" s="732">
        <f t="shared" si="157"/>
        <v>0</v>
      </c>
      <c r="P1254" s="1153"/>
      <c r="Q1254" s="1153"/>
      <c r="R1254" s="733">
        <f t="shared" si="160"/>
        <v>0</v>
      </c>
      <c r="S1254" s="732">
        <f t="shared" si="161"/>
        <v>0</v>
      </c>
      <c r="T1254" s="733">
        <f t="shared" si="162"/>
        <v>0</v>
      </c>
      <c r="U1254" s="1152">
        <v>2293616</v>
      </c>
      <c r="V1254" s="1153">
        <v>2320771</v>
      </c>
      <c r="W1254" s="1152"/>
      <c r="X1254" s="1152"/>
      <c r="Y1254" s="732">
        <f t="shared" si="158"/>
        <v>0</v>
      </c>
      <c r="Z1254" s="1153"/>
      <c r="AA1254" s="1153"/>
      <c r="AB1254" s="733">
        <f t="shared" si="159"/>
        <v>0</v>
      </c>
      <c r="AC1254" s="1152"/>
      <c r="AD1254" s="1153"/>
      <c r="AE1254" s="1152"/>
      <c r="AF1254" s="1152"/>
      <c r="AG1254" s="1153"/>
      <c r="AH1254" s="1153"/>
      <c r="AI1254" s="732">
        <f t="shared" si="163"/>
        <v>2293616</v>
      </c>
      <c r="AJ1254" s="733">
        <f t="shared" si="164"/>
        <v>2320771</v>
      </c>
    </row>
    <row r="1255" spans="1:36">
      <c r="A1255" s="719" t="s">
        <v>599</v>
      </c>
      <c r="B1255" s="778" t="s">
        <v>161</v>
      </c>
      <c r="C1255" s="773" t="s">
        <v>634</v>
      </c>
      <c r="D1255" s="773"/>
      <c r="E1255" s="777"/>
      <c r="F1255" s="719">
        <v>99</v>
      </c>
      <c r="G1255" s="1152"/>
      <c r="H1255" s="1153"/>
      <c r="I1255" s="1152"/>
      <c r="J1255" s="1153"/>
      <c r="K1255" s="1152"/>
      <c r="L1255" s="1153"/>
      <c r="M1255" s="1152"/>
      <c r="N1255" s="1152"/>
      <c r="O1255" s="732">
        <f t="shared" si="157"/>
        <v>0</v>
      </c>
      <c r="P1255" s="1153"/>
      <c r="Q1255" s="1153"/>
      <c r="R1255" s="733">
        <f t="shared" si="160"/>
        <v>0</v>
      </c>
      <c r="S1255" s="732">
        <f t="shared" si="161"/>
        <v>0</v>
      </c>
      <c r="T1255" s="733">
        <f t="shared" si="162"/>
        <v>0</v>
      </c>
      <c r="U1255" s="1152"/>
      <c r="V1255" s="1153"/>
      <c r="W1255" s="1152"/>
      <c r="X1255" s="1152"/>
      <c r="Y1255" s="732">
        <f t="shared" si="158"/>
        <v>0</v>
      </c>
      <c r="Z1255" s="1153"/>
      <c r="AA1255" s="1153"/>
      <c r="AB1255" s="733">
        <f t="shared" si="159"/>
        <v>0</v>
      </c>
      <c r="AC1255" s="1152"/>
      <c r="AD1255" s="1153"/>
      <c r="AE1255" s="1152"/>
      <c r="AF1255" s="1152"/>
      <c r="AG1255" s="1153"/>
      <c r="AH1255" s="1153"/>
      <c r="AI1255" s="732">
        <f t="shared" si="163"/>
        <v>0</v>
      </c>
      <c r="AJ1255" s="733">
        <f t="shared" si="164"/>
        <v>0</v>
      </c>
    </row>
    <row r="1256" spans="1:36">
      <c r="A1256" s="719" t="s">
        <v>599</v>
      </c>
      <c r="B1256" s="778" t="s">
        <v>170</v>
      </c>
      <c r="C1256" s="772" t="s">
        <v>171</v>
      </c>
      <c r="D1256" s="773"/>
      <c r="E1256" s="777"/>
      <c r="F1256" s="719">
        <v>99</v>
      </c>
      <c r="G1256" s="1152"/>
      <c r="H1256" s="1153"/>
      <c r="I1256" s="1152"/>
      <c r="J1256" s="1153"/>
      <c r="K1256" s="1152"/>
      <c r="L1256" s="1153"/>
      <c r="M1256" s="1152"/>
      <c r="N1256" s="1152"/>
      <c r="O1256" s="732">
        <f t="shared" si="157"/>
        <v>0</v>
      </c>
      <c r="P1256" s="1153"/>
      <c r="Q1256" s="1153"/>
      <c r="R1256" s="733">
        <f t="shared" si="160"/>
        <v>0</v>
      </c>
      <c r="S1256" s="732">
        <f t="shared" si="161"/>
        <v>0</v>
      </c>
      <c r="T1256" s="733">
        <f t="shared" si="162"/>
        <v>0</v>
      </c>
      <c r="U1256" s="1152"/>
      <c r="V1256" s="1153"/>
      <c r="W1256" s="1152"/>
      <c r="X1256" s="1152"/>
      <c r="Y1256" s="732">
        <f t="shared" si="158"/>
        <v>0</v>
      </c>
      <c r="Z1256" s="1153"/>
      <c r="AA1256" s="1153"/>
      <c r="AB1256" s="733">
        <f t="shared" si="159"/>
        <v>0</v>
      </c>
      <c r="AC1256" s="1152"/>
      <c r="AD1256" s="1153"/>
      <c r="AE1256" s="1152"/>
      <c r="AF1256" s="1152"/>
      <c r="AG1256" s="1153"/>
      <c r="AH1256" s="1153"/>
      <c r="AI1256" s="732">
        <f t="shared" si="163"/>
        <v>0</v>
      </c>
      <c r="AJ1256" s="733">
        <f t="shared" si="164"/>
        <v>0</v>
      </c>
    </row>
    <row r="1257" spans="1:36">
      <c r="A1257" s="719" t="s">
        <v>599</v>
      </c>
      <c r="B1257" s="778" t="s">
        <v>173</v>
      </c>
      <c r="C1257" s="772" t="s">
        <v>167</v>
      </c>
      <c r="D1257" s="773"/>
      <c r="E1257" s="777"/>
      <c r="F1257" s="719">
        <v>99</v>
      </c>
      <c r="G1257" s="1152"/>
      <c r="H1257" s="1153"/>
      <c r="I1257" s="1152"/>
      <c r="J1257" s="1153"/>
      <c r="K1257" s="1152"/>
      <c r="L1257" s="1153"/>
      <c r="M1257" s="1152"/>
      <c r="N1257" s="1152"/>
      <c r="O1257" s="732">
        <f t="shared" si="157"/>
        <v>0</v>
      </c>
      <c r="P1257" s="1153"/>
      <c r="Q1257" s="1153"/>
      <c r="R1257" s="733">
        <f t="shared" si="160"/>
        <v>0</v>
      </c>
      <c r="S1257" s="732">
        <f t="shared" si="161"/>
        <v>0</v>
      </c>
      <c r="T1257" s="733">
        <f t="shared" si="162"/>
        <v>0</v>
      </c>
      <c r="U1257" s="1152">
        <v>9500995.6999999993</v>
      </c>
      <c r="V1257" s="1153">
        <v>8824582</v>
      </c>
      <c r="W1257" s="1152"/>
      <c r="X1257" s="1152"/>
      <c r="Y1257" s="732">
        <f t="shared" si="158"/>
        <v>0</v>
      </c>
      <c r="Z1257" s="1153"/>
      <c r="AA1257" s="1153"/>
      <c r="AB1257" s="733">
        <f t="shared" si="159"/>
        <v>0</v>
      </c>
      <c r="AC1257" s="1152"/>
      <c r="AD1257" s="1153"/>
      <c r="AE1257" s="1152"/>
      <c r="AF1257" s="1152"/>
      <c r="AG1257" s="1153"/>
      <c r="AH1257" s="1153"/>
      <c r="AI1257" s="732">
        <f t="shared" si="163"/>
        <v>9500995.6999999993</v>
      </c>
      <c r="AJ1257" s="733">
        <f t="shared" si="164"/>
        <v>8824582</v>
      </c>
    </row>
    <row r="1258" spans="1:36">
      <c r="A1258" s="719" t="s">
        <v>599</v>
      </c>
      <c r="B1258" s="778" t="s">
        <v>176</v>
      </c>
      <c r="C1258" s="772" t="s">
        <v>177</v>
      </c>
      <c r="D1258" s="773"/>
      <c r="E1258" s="777"/>
      <c r="F1258" s="719">
        <v>99</v>
      </c>
      <c r="G1258" s="1152"/>
      <c r="H1258" s="1153"/>
      <c r="I1258" s="1152"/>
      <c r="J1258" s="1153"/>
      <c r="K1258" s="1152"/>
      <c r="L1258" s="1153"/>
      <c r="M1258" s="1152"/>
      <c r="N1258" s="1152"/>
      <c r="O1258" s="732">
        <f t="shared" si="157"/>
        <v>0</v>
      </c>
      <c r="P1258" s="1153"/>
      <c r="Q1258" s="1153"/>
      <c r="R1258" s="733">
        <f t="shared" si="160"/>
        <v>0</v>
      </c>
      <c r="S1258" s="732">
        <f t="shared" si="161"/>
        <v>0</v>
      </c>
      <c r="T1258" s="733">
        <f t="shared" si="162"/>
        <v>0</v>
      </c>
      <c r="U1258" s="1152"/>
      <c r="V1258" s="1153"/>
      <c r="W1258" s="1152"/>
      <c r="X1258" s="1152"/>
      <c r="Y1258" s="732">
        <f t="shared" si="158"/>
        <v>0</v>
      </c>
      <c r="Z1258" s="1153"/>
      <c r="AA1258" s="1153"/>
      <c r="AB1258" s="733">
        <f t="shared" si="159"/>
        <v>0</v>
      </c>
      <c r="AC1258" s="1152"/>
      <c r="AD1258" s="1153"/>
      <c r="AE1258" s="1152"/>
      <c r="AF1258" s="1152"/>
      <c r="AG1258" s="1153"/>
      <c r="AH1258" s="1153"/>
      <c r="AI1258" s="732">
        <f t="shared" si="163"/>
        <v>0</v>
      </c>
      <c r="AJ1258" s="733">
        <f t="shared" si="164"/>
        <v>0</v>
      </c>
    </row>
    <row r="1259" spans="1:36">
      <c r="A1259" s="719" t="s">
        <v>599</v>
      </c>
      <c r="B1259" s="778" t="s">
        <v>178</v>
      </c>
      <c r="C1259" s="772" t="s">
        <v>167</v>
      </c>
      <c r="D1259" s="773"/>
      <c r="E1259" s="777"/>
      <c r="F1259" s="719">
        <v>99</v>
      </c>
      <c r="G1259" s="1152"/>
      <c r="H1259" s="1153"/>
      <c r="I1259" s="1152"/>
      <c r="J1259" s="1153"/>
      <c r="K1259" s="1152"/>
      <c r="L1259" s="1153"/>
      <c r="M1259" s="1152"/>
      <c r="N1259" s="1152"/>
      <c r="O1259" s="732">
        <f t="shared" si="157"/>
        <v>0</v>
      </c>
      <c r="P1259" s="1153"/>
      <c r="Q1259" s="1153"/>
      <c r="R1259" s="733">
        <f t="shared" si="160"/>
        <v>0</v>
      </c>
      <c r="S1259" s="732">
        <f t="shared" si="161"/>
        <v>0</v>
      </c>
      <c r="T1259" s="733">
        <f t="shared" si="162"/>
        <v>0</v>
      </c>
      <c r="U1259" s="1152">
        <v>989448</v>
      </c>
      <c r="V1259" s="1153">
        <v>866577</v>
      </c>
      <c r="W1259" s="1152"/>
      <c r="X1259" s="1152"/>
      <c r="Y1259" s="732">
        <f t="shared" si="158"/>
        <v>0</v>
      </c>
      <c r="Z1259" s="1153"/>
      <c r="AA1259" s="1153"/>
      <c r="AB1259" s="733">
        <f t="shared" si="159"/>
        <v>0</v>
      </c>
      <c r="AC1259" s="1152"/>
      <c r="AD1259" s="1153"/>
      <c r="AE1259" s="1152"/>
      <c r="AF1259" s="1152"/>
      <c r="AG1259" s="1153"/>
      <c r="AH1259" s="1153"/>
      <c r="AI1259" s="732">
        <f t="shared" si="163"/>
        <v>989448</v>
      </c>
      <c r="AJ1259" s="733">
        <f t="shared" si="164"/>
        <v>866577</v>
      </c>
    </row>
    <row r="1260" spans="1:36">
      <c r="A1260" s="719" t="s">
        <v>599</v>
      </c>
      <c r="B1260" s="778" t="s">
        <v>173</v>
      </c>
      <c r="C1260" s="773" t="s">
        <v>635</v>
      </c>
      <c r="D1260" s="773"/>
      <c r="E1260" s="777"/>
      <c r="F1260" s="719">
        <v>99</v>
      </c>
      <c r="G1260" s="1152"/>
      <c r="H1260" s="1153"/>
      <c r="I1260" s="1152"/>
      <c r="J1260" s="1153"/>
      <c r="K1260" s="1152"/>
      <c r="L1260" s="1153"/>
      <c r="M1260" s="1152"/>
      <c r="N1260" s="1152"/>
      <c r="O1260" s="732">
        <f t="shared" si="157"/>
        <v>0</v>
      </c>
      <c r="P1260" s="1153"/>
      <c r="Q1260" s="1153"/>
      <c r="R1260" s="733">
        <f t="shared" si="160"/>
        <v>0</v>
      </c>
      <c r="S1260" s="732">
        <f t="shared" si="161"/>
        <v>0</v>
      </c>
      <c r="T1260" s="733">
        <f t="shared" si="162"/>
        <v>0</v>
      </c>
      <c r="U1260" s="1152"/>
      <c r="V1260" s="1153"/>
      <c r="W1260" s="1152"/>
      <c r="X1260" s="1152"/>
      <c r="Y1260" s="732">
        <f t="shared" si="158"/>
        <v>0</v>
      </c>
      <c r="Z1260" s="1153"/>
      <c r="AA1260" s="1153"/>
      <c r="AB1260" s="733">
        <f t="shared" si="159"/>
        <v>0</v>
      </c>
      <c r="AC1260" s="1152"/>
      <c r="AD1260" s="1153"/>
      <c r="AE1260" s="1152"/>
      <c r="AF1260" s="1152"/>
      <c r="AG1260" s="1153"/>
      <c r="AH1260" s="1153"/>
      <c r="AI1260" s="732">
        <f t="shared" si="163"/>
        <v>0</v>
      </c>
      <c r="AJ1260" s="733">
        <f t="shared" si="164"/>
        <v>0</v>
      </c>
    </row>
    <row r="1261" spans="1:36">
      <c r="A1261" s="719" t="s">
        <v>599</v>
      </c>
      <c r="B1261" s="778" t="s">
        <v>170</v>
      </c>
      <c r="C1261" s="772" t="s">
        <v>171</v>
      </c>
      <c r="D1261" s="773"/>
      <c r="E1261" s="719"/>
      <c r="F1261" s="719">
        <v>99</v>
      </c>
      <c r="G1261" s="1152"/>
      <c r="H1261" s="1153"/>
      <c r="I1261" s="1152"/>
      <c r="J1261" s="1153"/>
      <c r="K1261" s="1152"/>
      <c r="L1261" s="1153"/>
      <c r="M1261" s="1152"/>
      <c r="N1261" s="1152"/>
      <c r="O1261" s="732">
        <f t="shared" si="157"/>
        <v>0</v>
      </c>
      <c r="P1261" s="1153"/>
      <c r="Q1261" s="1153"/>
      <c r="R1261" s="733">
        <f t="shared" si="160"/>
        <v>0</v>
      </c>
      <c r="S1261" s="732">
        <f t="shared" si="161"/>
        <v>0</v>
      </c>
      <c r="T1261" s="733">
        <f t="shared" si="162"/>
        <v>0</v>
      </c>
      <c r="U1261" s="1152"/>
      <c r="V1261" s="1153"/>
      <c r="W1261" s="1152"/>
      <c r="X1261" s="1152"/>
      <c r="Y1261" s="732">
        <f t="shared" si="158"/>
        <v>0</v>
      </c>
      <c r="Z1261" s="1153"/>
      <c r="AA1261" s="1153"/>
      <c r="AB1261" s="733">
        <f t="shared" si="159"/>
        <v>0</v>
      </c>
      <c r="AC1261" s="1152"/>
      <c r="AD1261" s="1153"/>
      <c r="AE1261" s="1152"/>
      <c r="AF1261" s="1152"/>
      <c r="AG1261" s="1153"/>
      <c r="AH1261" s="1153"/>
      <c r="AI1261" s="732">
        <f t="shared" si="163"/>
        <v>0</v>
      </c>
      <c r="AJ1261" s="733">
        <f t="shared" si="164"/>
        <v>0</v>
      </c>
    </row>
    <row r="1262" spans="1:36">
      <c r="A1262" s="719" t="s">
        <v>599</v>
      </c>
      <c r="B1262" s="778" t="s">
        <v>191</v>
      </c>
      <c r="C1262" s="772" t="s">
        <v>167</v>
      </c>
      <c r="D1262" s="773"/>
      <c r="E1262" s="777"/>
      <c r="F1262" s="719">
        <v>99</v>
      </c>
      <c r="G1262" s="1152"/>
      <c r="H1262" s="1153"/>
      <c r="I1262" s="1152"/>
      <c r="J1262" s="1153"/>
      <c r="K1262" s="1152"/>
      <c r="L1262" s="1153"/>
      <c r="M1262" s="1152"/>
      <c r="N1262" s="1152"/>
      <c r="O1262" s="732">
        <f t="shared" si="157"/>
        <v>0</v>
      </c>
      <c r="P1262" s="1153"/>
      <c r="Q1262" s="1153"/>
      <c r="R1262" s="733">
        <f t="shared" si="160"/>
        <v>0</v>
      </c>
      <c r="S1262" s="732">
        <f t="shared" si="161"/>
        <v>0</v>
      </c>
      <c r="T1262" s="733">
        <f t="shared" si="162"/>
        <v>0</v>
      </c>
      <c r="U1262" s="1152">
        <v>6428919</v>
      </c>
      <c r="V1262" s="1153">
        <v>6811466</v>
      </c>
      <c r="W1262" s="1152"/>
      <c r="X1262" s="1152"/>
      <c r="Y1262" s="732">
        <f t="shared" si="158"/>
        <v>0</v>
      </c>
      <c r="Z1262" s="1153"/>
      <c r="AA1262" s="1153"/>
      <c r="AB1262" s="733">
        <f t="shared" si="159"/>
        <v>0</v>
      </c>
      <c r="AC1262" s="1152"/>
      <c r="AD1262" s="1153"/>
      <c r="AE1262" s="1152"/>
      <c r="AF1262" s="1152"/>
      <c r="AG1262" s="1153"/>
      <c r="AH1262" s="1153"/>
      <c r="AI1262" s="732">
        <f t="shared" si="163"/>
        <v>6428919</v>
      </c>
      <c r="AJ1262" s="733">
        <f t="shared" si="164"/>
        <v>6811466</v>
      </c>
    </row>
    <row r="1263" spans="1:36">
      <c r="A1263" s="719" t="s">
        <v>599</v>
      </c>
      <c r="B1263" s="778" t="s">
        <v>176</v>
      </c>
      <c r="C1263" s="772" t="s">
        <v>177</v>
      </c>
      <c r="D1263" s="773"/>
      <c r="E1263" s="777"/>
      <c r="F1263" s="719">
        <v>99</v>
      </c>
      <c r="G1263" s="1152"/>
      <c r="H1263" s="1153"/>
      <c r="I1263" s="1152"/>
      <c r="J1263" s="1153"/>
      <c r="K1263" s="1152"/>
      <c r="L1263" s="1153"/>
      <c r="M1263" s="1152"/>
      <c r="N1263" s="1152"/>
      <c r="O1263" s="732">
        <f t="shared" si="157"/>
        <v>0</v>
      </c>
      <c r="P1263" s="1153"/>
      <c r="Q1263" s="1153"/>
      <c r="R1263" s="733">
        <f t="shared" si="160"/>
        <v>0</v>
      </c>
      <c r="S1263" s="732">
        <f t="shared" si="161"/>
        <v>0</v>
      </c>
      <c r="T1263" s="733">
        <f t="shared" si="162"/>
        <v>0</v>
      </c>
      <c r="U1263" s="1152"/>
      <c r="V1263" s="1153"/>
      <c r="W1263" s="1152"/>
      <c r="X1263" s="1152"/>
      <c r="Y1263" s="732">
        <f t="shared" si="158"/>
        <v>0</v>
      </c>
      <c r="Z1263" s="1153"/>
      <c r="AA1263" s="1153"/>
      <c r="AB1263" s="733">
        <f t="shared" si="159"/>
        <v>0</v>
      </c>
      <c r="AC1263" s="1152"/>
      <c r="AD1263" s="1153"/>
      <c r="AE1263" s="1152"/>
      <c r="AF1263" s="1152"/>
      <c r="AG1263" s="1153"/>
      <c r="AH1263" s="1153"/>
      <c r="AI1263" s="732">
        <f t="shared" si="163"/>
        <v>0</v>
      </c>
      <c r="AJ1263" s="733">
        <f t="shared" si="164"/>
        <v>0</v>
      </c>
    </row>
    <row r="1264" spans="1:36">
      <c r="A1264" s="719" t="s">
        <v>599</v>
      </c>
      <c r="B1264" s="778" t="s">
        <v>178</v>
      </c>
      <c r="C1264" s="772" t="s">
        <v>167</v>
      </c>
      <c r="D1264" s="773"/>
      <c r="E1264" s="777"/>
      <c r="F1264" s="719">
        <v>99</v>
      </c>
      <c r="G1264" s="1152"/>
      <c r="H1264" s="1153"/>
      <c r="I1264" s="1152"/>
      <c r="J1264" s="1153"/>
      <c r="K1264" s="1152"/>
      <c r="L1264" s="1153"/>
      <c r="M1264" s="1152"/>
      <c r="N1264" s="1152"/>
      <c r="O1264" s="732">
        <f t="shared" si="157"/>
        <v>0</v>
      </c>
      <c r="P1264" s="1153"/>
      <c r="Q1264" s="1153"/>
      <c r="R1264" s="733">
        <f t="shared" si="160"/>
        <v>0</v>
      </c>
      <c r="S1264" s="732">
        <f t="shared" si="161"/>
        <v>0</v>
      </c>
      <c r="T1264" s="733">
        <f t="shared" si="162"/>
        <v>0</v>
      </c>
      <c r="U1264" s="1152">
        <v>975835</v>
      </c>
      <c r="V1264" s="1153">
        <v>973749</v>
      </c>
      <c r="W1264" s="1152"/>
      <c r="X1264" s="1152"/>
      <c r="Y1264" s="732">
        <f t="shared" si="158"/>
        <v>0</v>
      </c>
      <c r="Z1264" s="1153"/>
      <c r="AA1264" s="1153"/>
      <c r="AB1264" s="733">
        <f t="shared" si="159"/>
        <v>0</v>
      </c>
      <c r="AC1264" s="1152"/>
      <c r="AD1264" s="1153"/>
      <c r="AE1264" s="1152"/>
      <c r="AF1264" s="1152"/>
      <c r="AG1264" s="1153"/>
      <c r="AH1264" s="1153"/>
      <c r="AI1264" s="732">
        <f t="shared" si="163"/>
        <v>975835</v>
      </c>
      <c r="AJ1264" s="733">
        <f t="shared" si="164"/>
        <v>973749</v>
      </c>
    </row>
    <row r="1265" spans="1:36">
      <c r="A1265" s="719" t="s">
        <v>599</v>
      </c>
      <c r="B1265" s="778" t="s">
        <v>170</v>
      </c>
      <c r="C1265" s="773" t="s">
        <v>1451</v>
      </c>
      <c r="D1265" s="773"/>
      <c r="E1265" s="777"/>
      <c r="F1265" s="719">
        <v>99</v>
      </c>
      <c r="G1265" s="1152"/>
      <c r="H1265" s="1153"/>
      <c r="I1265" s="1152"/>
      <c r="J1265" s="1153"/>
      <c r="K1265" s="1152"/>
      <c r="L1265" s="1153"/>
      <c r="M1265" s="1152"/>
      <c r="N1265" s="1152"/>
      <c r="O1265" s="732">
        <f t="shared" si="157"/>
        <v>0</v>
      </c>
      <c r="P1265" s="1153"/>
      <c r="Q1265" s="1153"/>
      <c r="R1265" s="733">
        <f t="shared" si="160"/>
        <v>0</v>
      </c>
      <c r="S1265" s="732">
        <f t="shared" si="161"/>
        <v>0</v>
      </c>
      <c r="T1265" s="733">
        <f t="shared" si="162"/>
        <v>0</v>
      </c>
      <c r="U1265" s="1152"/>
      <c r="V1265" s="1153"/>
      <c r="W1265" s="1152"/>
      <c r="X1265" s="1152"/>
      <c r="Y1265" s="732">
        <f t="shared" si="158"/>
        <v>0</v>
      </c>
      <c r="Z1265" s="1153"/>
      <c r="AA1265" s="1153"/>
      <c r="AB1265" s="733">
        <f t="shared" si="159"/>
        <v>0</v>
      </c>
      <c r="AC1265" s="1152"/>
      <c r="AD1265" s="1153"/>
      <c r="AE1265" s="1152"/>
      <c r="AF1265" s="1152"/>
      <c r="AG1265" s="1153"/>
      <c r="AH1265" s="1153"/>
      <c r="AI1265" s="732">
        <f t="shared" si="163"/>
        <v>0</v>
      </c>
      <c r="AJ1265" s="733">
        <f t="shared" si="164"/>
        <v>0</v>
      </c>
    </row>
    <row r="1266" spans="1:36">
      <c r="A1266" s="719" t="s">
        <v>599</v>
      </c>
      <c r="B1266" s="778" t="s">
        <v>161</v>
      </c>
      <c r="C1266" s="773" t="s">
        <v>1068</v>
      </c>
      <c r="D1266" s="775"/>
      <c r="E1266" s="777"/>
      <c r="F1266" s="719">
        <v>99</v>
      </c>
      <c r="G1266" s="1152"/>
      <c r="H1266" s="1153"/>
      <c r="I1266" s="1152"/>
      <c r="J1266" s="1153"/>
      <c r="K1266" s="1152"/>
      <c r="L1266" s="1153"/>
      <c r="M1266" s="1152"/>
      <c r="N1266" s="1152"/>
      <c r="O1266" s="732">
        <f t="shared" si="157"/>
        <v>0</v>
      </c>
      <c r="P1266" s="1153"/>
      <c r="Q1266" s="1153"/>
      <c r="R1266" s="733">
        <f t="shared" si="160"/>
        <v>0</v>
      </c>
      <c r="S1266" s="732">
        <f t="shared" si="161"/>
        <v>0</v>
      </c>
      <c r="T1266" s="733">
        <f t="shared" si="162"/>
        <v>0</v>
      </c>
      <c r="U1266" s="1152">
        <v>0</v>
      </c>
      <c r="V1266" s="1153">
        <v>0</v>
      </c>
      <c r="W1266" s="1152"/>
      <c r="X1266" s="1152"/>
      <c r="Y1266" s="732">
        <f t="shared" si="158"/>
        <v>0</v>
      </c>
      <c r="Z1266" s="1153"/>
      <c r="AA1266" s="1153"/>
      <c r="AB1266" s="733">
        <f t="shared" si="159"/>
        <v>0</v>
      </c>
      <c r="AC1266" s="1152"/>
      <c r="AD1266" s="1153"/>
      <c r="AE1266" s="1152"/>
      <c r="AF1266" s="1152"/>
      <c r="AG1266" s="1153"/>
      <c r="AH1266" s="1153"/>
      <c r="AI1266" s="732">
        <f t="shared" si="163"/>
        <v>0</v>
      </c>
      <c r="AJ1266" s="733">
        <f t="shared" si="164"/>
        <v>0</v>
      </c>
    </row>
    <row r="1267" spans="1:36">
      <c r="A1267" s="719" t="s">
        <v>599</v>
      </c>
      <c r="B1267" s="778" t="s">
        <v>170</v>
      </c>
      <c r="C1267" s="772" t="s">
        <v>171</v>
      </c>
      <c r="D1267" s="773"/>
      <c r="E1267" s="719"/>
      <c r="F1267" s="719">
        <v>99</v>
      </c>
      <c r="G1267" s="1152"/>
      <c r="H1267" s="1153"/>
      <c r="I1267" s="1152"/>
      <c r="J1267" s="1153"/>
      <c r="K1267" s="1152"/>
      <c r="L1267" s="1153"/>
      <c r="M1267" s="1152"/>
      <c r="N1267" s="1152"/>
      <c r="O1267" s="732">
        <f t="shared" si="157"/>
        <v>0</v>
      </c>
      <c r="P1267" s="1153"/>
      <c r="Q1267" s="1153"/>
      <c r="R1267" s="733">
        <f t="shared" si="160"/>
        <v>0</v>
      </c>
      <c r="S1267" s="732">
        <f t="shared" si="161"/>
        <v>0</v>
      </c>
      <c r="T1267" s="733">
        <f t="shared" si="162"/>
        <v>0</v>
      </c>
      <c r="U1267" s="1152"/>
      <c r="V1267" s="1153"/>
      <c r="W1267" s="1152"/>
      <c r="X1267" s="1152"/>
      <c r="Y1267" s="732">
        <f t="shared" si="158"/>
        <v>0</v>
      </c>
      <c r="Z1267" s="1153"/>
      <c r="AA1267" s="1153"/>
      <c r="AB1267" s="733">
        <f t="shared" si="159"/>
        <v>0</v>
      </c>
      <c r="AC1267" s="1152"/>
      <c r="AD1267" s="1153"/>
      <c r="AE1267" s="1152"/>
      <c r="AF1267" s="1152"/>
      <c r="AG1267" s="1153"/>
      <c r="AH1267" s="1153"/>
      <c r="AI1267" s="732">
        <f t="shared" si="163"/>
        <v>0</v>
      </c>
      <c r="AJ1267" s="733">
        <f t="shared" si="164"/>
        <v>0</v>
      </c>
    </row>
    <row r="1268" spans="1:36">
      <c r="A1268" s="719" t="s">
        <v>599</v>
      </c>
      <c r="B1268" s="778" t="s">
        <v>173</v>
      </c>
      <c r="C1268" s="772" t="s">
        <v>167</v>
      </c>
      <c r="D1268" s="773"/>
      <c r="E1268" s="777"/>
      <c r="F1268" s="719">
        <v>99</v>
      </c>
      <c r="G1268" s="1152"/>
      <c r="H1268" s="1153"/>
      <c r="I1268" s="1152"/>
      <c r="J1268" s="1153"/>
      <c r="K1268" s="1152"/>
      <c r="L1268" s="1153"/>
      <c r="M1268" s="1152"/>
      <c r="N1268" s="1152"/>
      <c r="O1268" s="732">
        <f t="shared" si="157"/>
        <v>0</v>
      </c>
      <c r="P1268" s="1153"/>
      <c r="Q1268" s="1153"/>
      <c r="R1268" s="733">
        <f t="shared" si="160"/>
        <v>0</v>
      </c>
      <c r="S1268" s="732">
        <f t="shared" si="161"/>
        <v>0</v>
      </c>
      <c r="T1268" s="733">
        <f t="shared" si="162"/>
        <v>0</v>
      </c>
      <c r="U1268" s="1152">
        <v>7500</v>
      </c>
      <c r="V1268" s="1153">
        <v>0</v>
      </c>
      <c r="W1268" s="1152"/>
      <c r="X1268" s="1152"/>
      <c r="Y1268" s="732">
        <f t="shared" si="158"/>
        <v>0</v>
      </c>
      <c r="Z1268" s="1153"/>
      <c r="AA1268" s="1153"/>
      <c r="AB1268" s="733">
        <f t="shared" si="159"/>
        <v>0</v>
      </c>
      <c r="AC1268" s="1152"/>
      <c r="AD1268" s="1153"/>
      <c r="AE1268" s="1152"/>
      <c r="AF1268" s="1152"/>
      <c r="AG1268" s="1153"/>
      <c r="AH1268" s="1153"/>
      <c r="AI1268" s="732">
        <f t="shared" si="163"/>
        <v>7500</v>
      </c>
      <c r="AJ1268" s="733">
        <f t="shared" si="164"/>
        <v>0</v>
      </c>
    </row>
    <row r="1269" spans="1:36">
      <c r="A1269" s="719" t="s">
        <v>599</v>
      </c>
      <c r="B1269" s="778" t="s">
        <v>176</v>
      </c>
      <c r="C1269" s="772" t="s">
        <v>177</v>
      </c>
      <c r="D1269" s="773"/>
      <c r="E1269" s="777"/>
      <c r="F1269" s="719">
        <v>99</v>
      </c>
      <c r="G1269" s="1152"/>
      <c r="H1269" s="1153"/>
      <c r="I1269" s="1152"/>
      <c r="J1269" s="1153"/>
      <c r="K1269" s="1152"/>
      <c r="L1269" s="1153"/>
      <c r="M1269" s="1152"/>
      <c r="N1269" s="1152"/>
      <c r="O1269" s="732">
        <f t="shared" si="157"/>
        <v>0</v>
      </c>
      <c r="P1269" s="1153"/>
      <c r="Q1269" s="1153"/>
      <c r="R1269" s="733">
        <f t="shared" si="160"/>
        <v>0</v>
      </c>
      <c r="S1269" s="732">
        <f t="shared" si="161"/>
        <v>0</v>
      </c>
      <c r="T1269" s="733">
        <f t="shared" si="162"/>
        <v>0</v>
      </c>
      <c r="U1269" s="1152"/>
      <c r="V1269" s="1153"/>
      <c r="W1269" s="1152"/>
      <c r="X1269" s="1152"/>
      <c r="Y1269" s="732">
        <f t="shared" si="158"/>
        <v>0</v>
      </c>
      <c r="Z1269" s="1153"/>
      <c r="AA1269" s="1153"/>
      <c r="AB1269" s="733">
        <f t="shared" si="159"/>
        <v>0</v>
      </c>
      <c r="AC1269" s="1152"/>
      <c r="AD1269" s="1153"/>
      <c r="AE1269" s="1152"/>
      <c r="AF1269" s="1152"/>
      <c r="AG1269" s="1153"/>
      <c r="AH1269" s="1153"/>
      <c r="AI1269" s="732">
        <f t="shared" si="163"/>
        <v>0</v>
      </c>
      <c r="AJ1269" s="733">
        <f t="shared" si="164"/>
        <v>0</v>
      </c>
    </row>
    <row r="1270" spans="1:36">
      <c r="A1270" s="719" t="s">
        <v>599</v>
      </c>
      <c r="B1270" s="778" t="s">
        <v>178</v>
      </c>
      <c r="C1270" s="772" t="s">
        <v>167</v>
      </c>
      <c r="D1270" s="773"/>
      <c r="E1270" s="777"/>
      <c r="F1270" s="719">
        <v>99</v>
      </c>
      <c r="G1270" s="1152"/>
      <c r="H1270" s="1153"/>
      <c r="I1270" s="1152"/>
      <c r="J1270" s="1153"/>
      <c r="K1270" s="1152"/>
      <c r="L1270" s="1153"/>
      <c r="M1270" s="1152"/>
      <c r="N1270" s="1152"/>
      <c r="O1270" s="732">
        <f t="shared" si="157"/>
        <v>0</v>
      </c>
      <c r="P1270" s="1153"/>
      <c r="Q1270" s="1153"/>
      <c r="R1270" s="733">
        <f t="shared" si="160"/>
        <v>0</v>
      </c>
      <c r="S1270" s="732">
        <f t="shared" si="161"/>
        <v>0</v>
      </c>
      <c r="T1270" s="733">
        <f t="shared" si="162"/>
        <v>0</v>
      </c>
      <c r="U1270" s="1152">
        <v>0</v>
      </c>
      <c r="V1270" s="1153">
        <v>0</v>
      </c>
      <c r="W1270" s="1152"/>
      <c r="X1270" s="1152"/>
      <c r="Y1270" s="732">
        <f t="shared" si="158"/>
        <v>0</v>
      </c>
      <c r="Z1270" s="1153"/>
      <c r="AA1270" s="1153"/>
      <c r="AB1270" s="733">
        <f t="shared" si="159"/>
        <v>0</v>
      </c>
      <c r="AC1270" s="1152"/>
      <c r="AD1270" s="1153"/>
      <c r="AE1270" s="1152"/>
      <c r="AF1270" s="1152"/>
      <c r="AG1270" s="1153"/>
      <c r="AH1270" s="1153"/>
      <c r="AI1270" s="732">
        <f t="shared" si="163"/>
        <v>0</v>
      </c>
      <c r="AJ1270" s="733">
        <f t="shared" si="164"/>
        <v>0</v>
      </c>
    </row>
    <row r="1271" spans="1:36">
      <c r="A1271" s="719" t="s">
        <v>599</v>
      </c>
      <c r="B1271" s="778" t="s">
        <v>187</v>
      </c>
      <c r="C1271" s="779" t="s">
        <v>188</v>
      </c>
      <c r="D1271" s="780"/>
      <c r="E1271" s="777"/>
      <c r="F1271" s="719">
        <v>99</v>
      </c>
      <c r="G1271" s="1152"/>
      <c r="H1271" s="1153"/>
      <c r="I1271" s="1152"/>
      <c r="J1271" s="1153"/>
      <c r="K1271" s="1152"/>
      <c r="L1271" s="1153"/>
      <c r="M1271" s="1152"/>
      <c r="N1271" s="1152"/>
      <c r="O1271" s="732">
        <f t="shared" si="157"/>
        <v>0</v>
      </c>
      <c r="P1271" s="1153"/>
      <c r="Q1271" s="1153"/>
      <c r="R1271" s="733">
        <f t="shared" si="160"/>
        <v>0</v>
      </c>
      <c r="S1271" s="732">
        <f t="shared" si="161"/>
        <v>0</v>
      </c>
      <c r="T1271" s="733">
        <f t="shared" si="162"/>
        <v>0</v>
      </c>
      <c r="U1271" s="1152"/>
      <c r="V1271" s="1153"/>
      <c r="W1271" s="1152"/>
      <c r="X1271" s="1152"/>
      <c r="Y1271" s="732">
        <f t="shared" si="158"/>
        <v>0</v>
      </c>
      <c r="Z1271" s="1153"/>
      <c r="AA1271" s="1153"/>
      <c r="AB1271" s="733">
        <f t="shared" si="159"/>
        <v>0</v>
      </c>
      <c r="AC1271" s="1152"/>
      <c r="AD1271" s="1153"/>
      <c r="AE1271" s="1152"/>
      <c r="AF1271" s="1152"/>
      <c r="AG1271" s="1153"/>
      <c r="AH1271" s="1153"/>
      <c r="AI1271" s="732">
        <f t="shared" si="163"/>
        <v>0</v>
      </c>
      <c r="AJ1271" s="733">
        <f t="shared" si="164"/>
        <v>0</v>
      </c>
    </row>
    <row r="1272" spans="1:36">
      <c r="A1272" s="719" t="s">
        <v>599</v>
      </c>
      <c r="B1272" s="778" t="s">
        <v>187</v>
      </c>
      <c r="C1272" s="773" t="s">
        <v>633</v>
      </c>
      <c r="D1272" s="780" t="s">
        <v>1452</v>
      </c>
      <c r="E1272" s="777"/>
      <c r="F1272" s="719">
        <v>99</v>
      </c>
      <c r="G1272" s="1152"/>
      <c r="H1272" s="1153"/>
      <c r="I1272" s="1152"/>
      <c r="J1272" s="1153"/>
      <c r="K1272" s="1152"/>
      <c r="L1272" s="1153"/>
      <c r="M1272" s="1152"/>
      <c r="N1272" s="1152"/>
      <c r="O1272" s="732">
        <f t="shared" si="157"/>
        <v>0</v>
      </c>
      <c r="P1272" s="1153"/>
      <c r="Q1272" s="1153"/>
      <c r="R1272" s="733">
        <f t="shared" si="160"/>
        <v>0</v>
      </c>
      <c r="S1272" s="732">
        <f t="shared" si="161"/>
        <v>0</v>
      </c>
      <c r="T1272" s="733">
        <f t="shared" si="162"/>
        <v>0</v>
      </c>
      <c r="U1272" s="1152"/>
      <c r="V1272" s="1153"/>
      <c r="W1272" s="1152"/>
      <c r="X1272" s="1152"/>
      <c r="Y1272" s="732">
        <f t="shared" si="158"/>
        <v>0</v>
      </c>
      <c r="Z1272" s="1153"/>
      <c r="AA1272" s="1153"/>
      <c r="AB1272" s="733">
        <f t="shared" si="159"/>
        <v>0</v>
      </c>
      <c r="AC1272" s="1152"/>
      <c r="AD1272" s="1153"/>
      <c r="AE1272" s="1152"/>
      <c r="AF1272" s="1152"/>
      <c r="AG1272" s="1153"/>
      <c r="AH1272" s="1153"/>
      <c r="AI1272" s="732">
        <f t="shared" si="163"/>
        <v>0</v>
      </c>
      <c r="AJ1272" s="733">
        <f t="shared" si="164"/>
        <v>0</v>
      </c>
    </row>
    <row r="1273" spans="1:36">
      <c r="A1273" s="719" t="s">
        <v>599</v>
      </c>
      <c r="B1273" s="778" t="s">
        <v>190</v>
      </c>
      <c r="C1273" s="772" t="s">
        <v>165</v>
      </c>
      <c r="D1273" s="780"/>
      <c r="E1273" s="777"/>
      <c r="F1273" s="719">
        <v>99</v>
      </c>
      <c r="G1273" s="1152"/>
      <c r="H1273" s="1153"/>
      <c r="I1273" s="1152"/>
      <c r="J1273" s="1153"/>
      <c r="K1273" s="1152"/>
      <c r="L1273" s="1153"/>
      <c r="M1273" s="1152"/>
      <c r="N1273" s="1152"/>
      <c r="O1273" s="732">
        <f t="shared" si="157"/>
        <v>0</v>
      </c>
      <c r="P1273" s="1153"/>
      <c r="Q1273" s="1153"/>
      <c r="R1273" s="733">
        <f t="shared" si="160"/>
        <v>0</v>
      </c>
      <c r="S1273" s="732">
        <f t="shared" si="161"/>
        <v>0</v>
      </c>
      <c r="T1273" s="733">
        <f t="shared" si="162"/>
        <v>0</v>
      </c>
      <c r="U1273" s="1152"/>
      <c r="V1273" s="1153"/>
      <c r="W1273" s="1152"/>
      <c r="X1273" s="1152"/>
      <c r="Y1273" s="732">
        <f t="shared" si="158"/>
        <v>0</v>
      </c>
      <c r="Z1273" s="1153"/>
      <c r="AA1273" s="1153"/>
      <c r="AB1273" s="733">
        <f t="shared" si="159"/>
        <v>0</v>
      </c>
      <c r="AC1273" s="1152"/>
      <c r="AD1273" s="1153"/>
      <c r="AE1273" s="1152"/>
      <c r="AF1273" s="1152"/>
      <c r="AG1273" s="1153"/>
      <c r="AH1273" s="1153"/>
      <c r="AI1273" s="732">
        <f t="shared" si="163"/>
        <v>0</v>
      </c>
      <c r="AJ1273" s="733">
        <f t="shared" si="164"/>
        <v>0</v>
      </c>
    </row>
    <row r="1274" spans="1:36">
      <c r="A1274" s="719" t="s">
        <v>599</v>
      </c>
      <c r="B1274" s="778" t="s">
        <v>191</v>
      </c>
      <c r="C1274" s="772" t="s">
        <v>167</v>
      </c>
      <c r="D1274" s="780"/>
      <c r="E1274" s="777"/>
      <c r="F1274" s="719">
        <v>99</v>
      </c>
      <c r="G1274" s="1152"/>
      <c r="H1274" s="1153"/>
      <c r="I1274" s="1152"/>
      <c r="J1274" s="1153"/>
      <c r="K1274" s="1152"/>
      <c r="L1274" s="1153"/>
      <c r="M1274" s="1152"/>
      <c r="N1274" s="1152"/>
      <c r="O1274" s="732">
        <f t="shared" si="157"/>
        <v>0</v>
      </c>
      <c r="P1274" s="1153"/>
      <c r="Q1274" s="1153"/>
      <c r="R1274" s="733">
        <f t="shared" si="160"/>
        <v>0</v>
      </c>
      <c r="S1274" s="732">
        <f t="shared" si="161"/>
        <v>0</v>
      </c>
      <c r="T1274" s="733">
        <f t="shared" si="162"/>
        <v>0</v>
      </c>
      <c r="U1274" s="1152"/>
      <c r="V1274" s="1153"/>
      <c r="W1274" s="1152"/>
      <c r="X1274" s="1152"/>
      <c r="Y1274" s="732">
        <f t="shared" si="158"/>
        <v>0</v>
      </c>
      <c r="Z1274" s="1153"/>
      <c r="AA1274" s="1153"/>
      <c r="AB1274" s="733">
        <f t="shared" si="159"/>
        <v>0</v>
      </c>
      <c r="AC1274" s="1152"/>
      <c r="AD1274" s="1153"/>
      <c r="AE1274" s="1152"/>
      <c r="AF1274" s="1152"/>
      <c r="AG1274" s="1153"/>
      <c r="AH1274" s="1153"/>
      <c r="AI1274" s="732">
        <f t="shared" si="163"/>
        <v>0</v>
      </c>
      <c r="AJ1274" s="733">
        <f t="shared" si="164"/>
        <v>0</v>
      </c>
    </row>
    <row r="1275" spans="1:36">
      <c r="A1275" s="719" t="s">
        <v>599</v>
      </c>
      <c r="B1275" s="778" t="s">
        <v>187</v>
      </c>
      <c r="C1275" s="773" t="s">
        <v>1068</v>
      </c>
      <c r="D1275" s="780"/>
      <c r="E1275" s="777"/>
      <c r="F1275" s="719">
        <v>99</v>
      </c>
      <c r="G1275" s="1152"/>
      <c r="H1275" s="1153"/>
      <c r="I1275" s="1152"/>
      <c r="J1275" s="1153"/>
      <c r="K1275" s="1152"/>
      <c r="L1275" s="1153"/>
      <c r="M1275" s="1152"/>
      <c r="N1275" s="1152"/>
      <c r="O1275" s="732">
        <f t="shared" si="157"/>
        <v>0</v>
      </c>
      <c r="P1275" s="1153"/>
      <c r="Q1275" s="1153"/>
      <c r="R1275" s="733">
        <f t="shared" si="160"/>
        <v>0</v>
      </c>
      <c r="S1275" s="732">
        <f t="shared" si="161"/>
        <v>0</v>
      </c>
      <c r="T1275" s="733">
        <f t="shared" si="162"/>
        <v>0</v>
      </c>
      <c r="U1275" s="1152"/>
      <c r="V1275" s="1153"/>
      <c r="W1275" s="1152"/>
      <c r="X1275" s="1152"/>
      <c r="Y1275" s="732">
        <f t="shared" si="158"/>
        <v>0</v>
      </c>
      <c r="Z1275" s="1153"/>
      <c r="AA1275" s="1153"/>
      <c r="AB1275" s="733">
        <f t="shared" si="159"/>
        <v>0</v>
      </c>
      <c r="AC1275" s="1152"/>
      <c r="AD1275" s="1153"/>
      <c r="AE1275" s="1152"/>
      <c r="AF1275" s="1152"/>
      <c r="AG1275" s="1153"/>
      <c r="AH1275" s="1153"/>
      <c r="AI1275" s="732">
        <f t="shared" si="163"/>
        <v>0</v>
      </c>
      <c r="AJ1275" s="733">
        <f t="shared" si="164"/>
        <v>0</v>
      </c>
    </row>
    <row r="1276" spans="1:36">
      <c r="A1276" s="719" t="s">
        <v>599</v>
      </c>
      <c r="B1276" s="778" t="s">
        <v>190</v>
      </c>
      <c r="C1276" s="772" t="s">
        <v>165</v>
      </c>
      <c r="D1276" s="773"/>
      <c r="E1276" s="777"/>
      <c r="F1276" s="719">
        <v>99</v>
      </c>
      <c r="G1276" s="1152"/>
      <c r="H1276" s="1153"/>
      <c r="I1276" s="1152"/>
      <c r="J1276" s="1153"/>
      <c r="K1276" s="1152"/>
      <c r="L1276" s="1153"/>
      <c r="M1276" s="1152"/>
      <c r="N1276" s="1152"/>
      <c r="O1276" s="732">
        <f t="shared" si="157"/>
        <v>0</v>
      </c>
      <c r="P1276" s="1153"/>
      <c r="Q1276" s="1153"/>
      <c r="R1276" s="733">
        <f t="shared" si="160"/>
        <v>0</v>
      </c>
      <c r="S1276" s="732">
        <f t="shared" si="161"/>
        <v>0</v>
      </c>
      <c r="T1276" s="733">
        <f t="shared" si="162"/>
        <v>0</v>
      </c>
      <c r="U1276" s="1152"/>
      <c r="V1276" s="1153"/>
      <c r="W1276" s="1152"/>
      <c r="X1276" s="1152"/>
      <c r="Y1276" s="732">
        <f t="shared" si="158"/>
        <v>0</v>
      </c>
      <c r="Z1276" s="1153"/>
      <c r="AA1276" s="1153"/>
      <c r="AB1276" s="733">
        <f t="shared" si="159"/>
        <v>0</v>
      </c>
      <c r="AC1276" s="1152"/>
      <c r="AD1276" s="1153"/>
      <c r="AE1276" s="1152"/>
      <c r="AF1276" s="1152"/>
      <c r="AG1276" s="1153"/>
      <c r="AH1276" s="1153"/>
      <c r="AI1276" s="732">
        <f t="shared" si="163"/>
        <v>0</v>
      </c>
      <c r="AJ1276" s="733">
        <f t="shared" si="164"/>
        <v>0</v>
      </c>
    </row>
    <row r="1277" spans="1:36">
      <c r="A1277" s="719" t="s">
        <v>599</v>
      </c>
      <c r="B1277" s="778" t="s">
        <v>191</v>
      </c>
      <c r="C1277" s="772" t="s">
        <v>1453</v>
      </c>
      <c r="D1277" s="773"/>
      <c r="E1277" s="777"/>
      <c r="F1277" s="719">
        <v>99</v>
      </c>
      <c r="G1277" s="1152"/>
      <c r="H1277" s="1153"/>
      <c r="I1277" s="1152"/>
      <c r="J1277" s="1153"/>
      <c r="K1277" s="1152"/>
      <c r="L1277" s="1153"/>
      <c r="M1277" s="1152"/>
      <c r="N1277" s="1152"/>
      <c r="O1277" s="732">
        <f t="shared" si="157"/>
        <v>0</v>
      </c>
      <c r="P1277" s="1153"/>
      <c r="Q1277" s="1153"/>
      <c r="R1277" s="733">
        <f t="shared" si="160"/>
        <v>0</v>
      </c>
      <c r="S1277" s="732">
        <f t="shared" si="161"/>
        <v>0</v>
      </c>
      <c r="T1277" s="733">
        <f t="shared" si="162"/>
        <v>0</v>
      </c>
      <c r="U1277" s="1152">
        <v>98767</v>
      </c>
      <c r="V1277" s="1153">
        <f>110757+28216</f>
        <v>138973</v>
      </c>
      <c r="W1277" s="1152"/>
      <c r="X1277" s="1152"/>
      <c r="Y1277" s="732">
        <f t="shared" si="158"/>
        <v>0</v>
      </c>
      <c r="Z1277" s="1153"/>
      <c r="AA1277" s="1153"/>
      <c r="AB1277" s="733">
        <f t="shared" si="159"/>
        <v>0</v>
      </c>
      <c r="AC1277" s="1152"/>
      <c r="AD1277" s="1153"/>
      <c r="AE1277" s="1152"/>
      <c r="AF1277" s="1152"/>
      <c r="AG1277" s="1153"/>
      <c r="AH1277" s="1153"/>
      <c r="AI1277" s="732">
        <f t="shared" si="163"/>
        <v>98767</v>
      </c>
      <c r="AJ1277" s="733">
        <f t="shared" si="164"/>
        <v>138973</v>
      </c>
    </row>
    <row r="1278" spans="1:36">
      <c r="A1278" s="719" t="s">
        <v>599</v>
      </c>
      <c r="B1278" s="778" t="s">
        <v>192</v>
      </c>
      <c r="C1278" s="779" t="s">
        <v>193</v>
      </c>
      <c r="D1278" s="775"/>
      <c r="E1278" s="777"/>
      <c r="F1278" s="719">
        <v>99</v>
      </c>
      <c r="G1278" s="1152"/>
      <c r="H1278" s="1153"/>
      <c r="I1278" s="1152"/>
      <c r="J1278" s="1153"/>
      <c r="K1278" s="1152"/>
      <c r="L1278" s="1153"/>
      <c r="M1278" s="1152"/>
      <c r="N1278" s="1152"/>
      <c r="O1278" s="732">
        <f t="shared" si="157"/>
        <v>0</v>
      </c>
      <c r="P1278" s="1153"/>
      <c r="Q1278" s="1153"/>
      <c r="R1278" s="733">
        <f t="shared" si="160"/>
        <v>0</v>
      </c>
      <c r="S1278" s="732">
        <f t="shared" si="161"/>
        <v>0</v>
      </c>
      <c r="T1278" s="733">
        <f t="shared" si="162"/>
        <v>0</v>
      </c>
      <c r="U1278" s="1152">
        <v>0</v>
      </c>
      <c r="V1278" s="1153">
        <v>0</v>
      </c>
      <c r="W1278" s="1152"/>
      <c r="X1278" s="1152"/>
      <c r="Y1278" s="732">
        <f t="shared" si="158"/>
        <v>0</v>
      </c>
      <c r="Z1278" s="1153"/>
      <c r="AA1278" s="1153"/>
      <c r="AB1278" s="733">
        <f t="shared" si="159"/>
        <v>0</v>
      </c>
      <c r="AC1278" s="1152"/>
      <c r="AD1278" s="1153"/>
      <c r="AE1278" s="1152"/>
      <c r="AF1278" s="1152"/>
      <c r="AG1278" s="1153"/>
      <c r="AH1278" s="1153"/>
      <c r="AI1278" s="732">
        <f t="shared" si="163"/>
        <v>0</v>
      </c>
      <c r="AJ1278" s="733">
        <f t="shared" si="164"/>
        <v>0</v>
      </c>
    </row>
    <row r="1279" spans="1:36">
      <c r="A1279" s="719" t="s">
        <v>599</v>
      </c>
      <c r="B1279" s="778" t="s">
        <v>192</v>
      </c>
      <c r="C1279" s="773" t="s">
        <v>1068</v>
      </c>
      <c r="D1279" s="775"/>
      <c r="E1279" s="777"/>
      <c r="F1279" s="719">
        <v>99</v>
      </c>
      <c r="G1279" s="1152"/>
      <c r="H1279" s="1153"/>
      <c r="I1279" s="1152"/>
      <c r="J1279" s="1153"/>
      <c r="K1279" s="1152"/>
      <c r="L1279" s="1153"/>
      <c r="M1279" s="1152"/>
      <c r="N1279" s="1152"/>
      <c r="O1279" s="732">
        <f t="shared" si="157"/>
        <v>0</v>
      </c>
      <c r="P1279" s="1153"/>
      <c r="Q1279" s="1153"/>
      <c r="R1279" s="733">
        <f t="shared" si="160"/>
        <v>0</v>
      </c>
      <c r="S1279" s="732">
        <f t="shared" si="161"/>
        <v>0</v>
      </c>
      <c r="T1279" s="733">
        <f t="shared" si="162"/>
        <v>0</v>
      </c>
      <c r="U1279" s="1152">
        <v>0</v>
      </c>
      <c r="V1279" s="1153">
        <v>0</v>
      </c>
      <c r="W1279" s="1152"/>
      <c r="X1279" s="1152"/>
      <c r="Y1279" s="732">
        <f t="shared" si="158"/>
        <v>0</v>
      </c>
      <c r="Z1279" s="1153"/>
      <c r="AA1279" s="1153"/>
      <c r="AB1279" s="733">
        <f t="shared" si="159"/>
        <v>0</v>
      </c>
      <c r="AC1279" s="1152"/>
      <c r="AD1279" s="1153"/>
      <c r="AE1279" s="1152"/>
      <c r="AF1279" s="1152"/>
      <c r="AG1279" s="1153"/>
      <c r="AH1279" s="1153"/>
      <c r="AI1279" s="732">
        <f t="shared" si="163"/>
        <v>0</v>
      </c>
      <c r="AJ1279" s="733">
        <f t="shared" si="164"/>
        <v>0</v>
      </c>
    </row>
    <row r="1280" spans="1:36">
      <c r="A1280" s="719" t="s">
        <v>599</v>
      </c>
      <c r="B1280" s="778" t="s">
        <v>196</v>
      </c>
      <c r="C1280" s="772" t="s">
        <v>1454</v>
      </c>
      <c r="D1280" s="775"/>
      <c r="E1280" s="777"/>
      <c r="F1280" s="719">
        <v>99</v>
      </c>
      <c r="G1280" s="1152"/>
      <c r="H1280" s="1153"/>
      <c r="I1280" s="1152"/>
      <c r="J1280" s="1153"/>
      <c r="K1280" s="1152"/>
      <c r="L1280" s="1153"/>
      <c r="M1280" s="1152"/>
      <c r="N1280" s="1152"/>
      <c r="O1280" s="732">
        <f t="shared" si="157"/>
        <v>0</v>
      </c>
      <c r="P1280" s="1153"/>
      <c r="Q1280" s="1153"/>
      <c r="R1280" s="733">
        <f t="shared" si="160"/>
        <v>0</v>
      </c>
      <c r="S1280" s="732">
        <f t="shared" si="161"/>
        <v>0</v>
      </c>
      <c r="T1280" s="733">
        <f t="shared" si="162"/>
        <v>0</v>
      </c>
      <c r="U1280" s="1152">
        <v>0</v>
      </c>
      <c r="V1280" s="1153">
        <v>0</v>
      </c>
      <c r="W1280" s="1152"/>
      <c r="X1280" s="1152"/>
      <c r="Y1280" s="732">
        <f t="shared" si="158"/>
        <v>0</v>
      </c>
      <c r="Z1280" s="1153"/>
      <c r="AA1280" s="1153"/>
      <c r="AB1280" s="733">
        <f t="shared" si="159"/>
        <v>0</v>
      </c>
      <c r="AC1280" s="1152"/>
      <c r="AD1280" s="1153"/>
      <c r="AE1280" s="1152"/>
      <c r="AF1280" s="1152"/>
      <c r="AG1280" s="1153"/>
      <c r="AH1280" s="1153"/>
      <c r="AI1280" s="732">
        <f t="shared" si="163"/>
        <v>0</v>
      </c>
      <c r="AJ1280" s="733">
        <f t="shared" si="164"/>
        <v>0</v>
      </c>
    </row>
    <row r="1281" spans="1:36">
      <c r="A1281" s="724" t="s">
        <v>599</v>
      </c>
      <c r="B1281" s="725"/>
      <c r="C1281" s="725"/>
      <c r="D1281" s="721"/>
      <c r="E1281" s="726"/>
      <c r="F1281" s="726"/>
      <c r="O1281" s="732">
        <f t="shared" si="157"/>
        <v>0</v>
      </c>
      <c r="R1281" s="733">
        <f t="shared" si="160"/>
        <v>0</v>
      </c>
      <c r="S1281" s="732">
        <f t="shared" si="161"/>
        <v>0</v>
      </c>
      <c r="T1281" s="733">
        <f t="shared" si="162"/>
        <v>0</v>
      </c>
      <c r="Y1281" s="732">
        <f t="shared" si="158"/>
        <v>0</v>
      </c>
      <c r="AB1281" s="733">
        <f t="shared" si="159"/>
        <v>0</v>
      </c>
      <c r="AI1281" s="732">
        <f t="shared" si="163"/>
        <v>0</v>
      </c>
      <c r="AJ1281" s="733">
        <f t="shared" si="164"/>
        <v>0</v>
      </c>
    </row>
    <row r="1282" spans="1:36">
      <c r="A1282" s="1020" t="s">
        <v>636</v>
      </c>
      <c r="B1282" s="1021" t="s">
        <v>62</v>
      </c>
      <c r="C1282" s="1022" t="s">
        <v>637</v>
      </c>
      <c r="D1282" s="1023"/>
      <c r="E1282" s="1024">
        <v>199193</v>
      </c>
      <c r="F1282" s="1025">
        <v>1</v>
      </c>
      <c r="G1282" s="1152">
        <v>372680767.14999998</v>
      </c>
      <c r="H1282" s="1153">
        <v>376390677</v>
      </c>
      <c r="I1282" s="1152"/>
      <c r="J1282" s="1153"/>
      <c r="K1282" s="1152"/>
      <c r="L1282" s="1153"/>
      <c r="M1282" s="1152">
        <v>427926820</v>
      </c>
      <c r="N1282" s="1152"/>
      <c r="O1282" s="732">
        <f t="shared" si="157"/>
        <v>427926820</v>
      </c>
      <c r="P1282" s="1153">
        <v>426860683</v>
      </c>
      <c r="Q1282" s="1153"/>
      <c r="R1282" s="733">
        <f t="shared" si="160"/>
        <v>426860683</v>
      </c>
      <c r="S1282" s="732">
        <f t="shared" si="161"/>
        <v>800607587.14999998</v>
      </c>
      <c r="T1282" s="733">
        <f t="shared" si="162"/>
        <v>803251360</v>
      </c>
      <c r="U1282" s="1152"/>
      <c r="V1282" s="1153"/>
      <c r="W1282" s="1152"/>
      <c r="X1282" s="1152"/>
      <c r="Y1282" s="732">
        <f t="shared" si="158"/>
        <v>0</v>
      </c>
      <c r="Z1282" s="1153"/>
      <c r="AA1282" s="1153"/>
      <c r="AB1282" s="733">
        <f t="shared" si="159"/>
        <v>0</v>
      </c>
      <c r="AC1282" s="1152"/>
      <c r="AD1282" s="1153"/>
      <c r="AE1282" s="1152"/>
      <c r="AF1282" s="1152"/>
      <c r="AG1282" s="1153"/>
      <c r="AH1282" s="1153"/>
      <c r="AI1282" s="732">
        <f t="shared" si="163"/>
        <v>800607587.14999998</v>
      </c>
      <c r="AJ1282" s="733">
        <f t="shared" si="164"/>
        <v>803251360</v>
      </c>
    </row>
    <row r="1283" spans="1:36">
      <c r="A1283" s="1020" t="s">
        <v>636</v>
      </c>
      <c r="B1283" s="1021" t="s">
        <v>64</v>
      </c>
      <c r="C1283" s="1026" t="s">
        <v>601</v>
      </c>
      <c r="D1283" s="1027"/>
      <c r="E1283" s="1024">
        <v>199193</v>
      </c>
      <c r="F1283" s="1025">
        <v>1</v>
      </c>
      <c r="G1283" s="1152"/>
      <c r="H1283" s="1153"/>
      <c r="I1283" s="1152"/>
      <c r="J1283" s="1153"/>
      <c r="K1283" s="1152"/>
      <c r="L1283" s="1153"/>
      <c r="M1283" s="1152"/>
      <c r="N1283" s="1152"/>
      <c r="O1283" s="732">
        <f t="shared" si="157"/>
        <v>0</v>
      </c>
      <c r="P1283" s="1153"/>
      <c r="Q1283" s="1153"/>
      <c r="R1283" s="733">
        <f t="shared" si="160"/>
        <v>0</v>
      </c>
      <c r="S1283" s="732">
        <f t="shared" si="161"/>
        <v>0</v>
      </c>
      <c r="T1283" s="733">
        <f t="shared" si="162"/>
        <v>0</v>
      </c>
      <c r="U1283" s="1152"/>
      <c r="V1283" s="1153"/>
      <c r="W1283" s="1152"/>
      <c r="X1283" s="1152"/>
      <c r="Y1283" s="732">
        <f t="shared" si="158"/>
        <v>0</v>
      </c>
      <c r="Z1283" s="1153"/>
      <c r="AA1283" s="1153"/>
      <c r="AB1283" s="733">
        <f t="shared" si="159"/>
        <v>0</v>
      </c>
      <c r="AC1283" s="1152">
        <v>47061774.579999998</v>
      </c>
      <c r="AD1283" s="1153">
        <v>46126008</v>
      </c>
      <c r="AE1283" s="1152">
        <v>7482547</v>
      </c>
      <c r="AF1283" s="1152"/>
      <c r="AG1283" s="1153">
        <v>8536658</v>
      </c>
      <c r="AH1283" s="1153"/>
      <c r="AI1283" s="732">
        <f t="shared" si="163"/>
        <v>54544321.579999998</v>
      </c>
      <c r="AJ1283" s="733">
        <f t="shared" si="164"/>
        <v>54662666</v>
      </c>
    </row>
    <row r="1284" spans="1:36">
      <c r="A1284" s="1020" t="s">
        <v>636</v>
      </c>
      <c r="B1284" s="1021" t="s">
        <v>74</v>
      </c>
      <c r="C1284" s="1028" t="s">
        <v>75</v>
      </c>
      <c r="D1284" s="1027"/>
      <c r="E1284" s="1024">
        <v>199193</v>
      </c>
      <c r="F1284" s="1025">
        <v>1</v>
      </c>
      <c r="G1284" s="1152"/>
      <c r="H1284" s="1153"/>
      <c r="I1284" s="1152">
        <v>41032897</v>
      </c>
      <c r="J1284" s="1153">
        <v>41475407</v>
      </c>
      <c r="K1284" s="1152"/>
      <c r="L1284" s="1153"/>
      <c r="M1284" s="1152"/>
      <c r="N1284" s="1152"/>
      <c r="O1284" s="732">
        <f t="shared" si="157"/>
        <v>0</v>
      </c>
      <c r="P1284" s="1153"/>
      <c r="Q1284" s="1153"/>
      <c r="R1284" s="733">
        <f t="shared" si="160"/>
        <v>0</v>
      </c>
      <c r="S1284" s="732">
        <f t="shared" si="161"/>
        <v>41032897</v>
      </c>
      <c r="T1284" s="733">
        <f t="shared" si="162"/>
        <v>41475407</v>
      </c>
      <c r="U1284" s="1152"/>
      <c r="V1284" s="1153"/>
      <c r="W1284" s="1152"/>
      <c r="X1284" s="1152"/>
      <c r="Y1284" s="732">
        <f t="shared" si="158"/>
        <v>0</v>
      </c>
      <c r="Z1284" s="1153"/>
      <c r="AA1284" s="1153"/>
      <c r="AB1284" s="733">
        <f t="shared" si="159"/>
        <v>0</v>
      </c>
      <c r="AC1284" s="1152"/>
      <c r="AD1284" s="1153"/>
      <c r="AE1284" s="1152"/>
      <c r="AF1284" s="1152"/>
      <c r="AG1284" s="1153"/>
      <c r="AH1284" s="1153"/>
      <c r="AI1284" s="732">
        <f t="shared" si="163"/>
        <v>41032897</v>
      </c>
      <c r="AJ1284" s="733">
        <f t="shared" si="164"/>
        <v>41475407</v>
      </c>
    </row>
    <row r="1285" spans="1:36">
      <c r="A1285" s="1020" t="s">
        <v>636</v>
      </c>
      <c r="B1285" s="1021" t="s">
        <v>76</v>
      </c>
      <c r="C1285" s="1028" t="s">
        <v>77</v>
      </c>
      <c r="D1285" s="1027"/>
      <c r="E1285" s="1024">
        <v>199193</v>
      </c>
      <c r="F1285" s="1025">
        <v>1</v>
      </c>
      <c r="G1285" s="1152"/>
      <c r="H1285" s="1153"/>
      <c r="I1285" s="1152"/>
      <c r="J1285" s="1153"/>
      <c r="K1285" s="1152"/>
      <c r="L1285" s="1153"/>
      <c r="M1285" s="1152"/>
      <c r="N1285" s="1152"/>
      <c r="O1285" s="732">
        <f t="shared" si="157"/>
        <v>0</v>
      </c>
      <c r="P1285" s="1153"/>
      <c r="Q1285" s="1153"/>
      <c r="R1285" s="733">
        <f t="shared" si="160"/>
        <v>0</v>
      </c>
      <c r="S1285" s="732">
        <f t="shared" si="161"/>
        <v>0</v>
      </c>
      <c r="T1285" s="733">
        <f t="shared" si="162"/>
        <v>0</v>
      </c>
      <c r="U1285" s="1152"/>
      <c r="V1285" s="1153"/>
      <c r="W1285" s="1152"/>
      <c r="X1285" s="1152"/>
      <c r="Y1285" s="732">
        <f t="shared" si="158"/>
        <v>0</v>
      </c>
      <c r="Z1285" s="1153"/>
      <c r="AA1285" s="1153"/>
      <c r="AB1285" s="733">
        <f t="shared" si="159"/>
        <v>0</v>
      </c>
      <c r="AC1285" s="1152"/>
      <c r="AD1285" s="1153"/>
      <c r="AE1285" s="1152"/>
      <c r="AF1285" s="1152"/>
      <c r="AG1285" s="1153"/>
      <c r="AH1285" s="1153"/>
      <c r="AI1285" s="732">
        <f t="shared" si="163"/>
        <v>0</v>
      </c>
      <c r="AJ1285" s="733">
        <f t="shared" si="164"/>
        <v>0</v>
      </c>
    </row>
    <row r="1286" spans="1:36">
      <c r="A1286" s="1020" t="s">
        <v>636</v>
      </c>
      <c r="B1286" s="1021" t="s">
        <v>76</v>
      </c>
      <c r="C1286" s="1026" t="s">
        <v>638</v>
      </c>
      <c r="D1286" s="1027"/>
      <c r="E1286" s="1024">
        <v>199193</v>
      </c>
      <c r="F1286" s="1025">
        <v>1</v>
      </c>
      <c r="G1286" s="1152"/>
      <c r="H1286" s="1153"/>
      <c r="I1286" s="1152">
        <v>55148401</v>
      </c>
      <c r="J1286" s="1153">
        <v>55527028</v>
      </c>
      <c r="K1286" s="1152"/>
      <c r="L1286" s="1153"/>
      <c r="M1286" s="1152"/>
      <c r="N1286" s="1152"/>
      <c r="O1286" s="732">
        <f t="shared" si="157"/>
        <v>0</v>
      </c>
      <c r="P1286" s="1153"/>
      <c r="Q1286" s="1153"/>
      <c r="R1286" s="733">
        <f t="shared" si="160"/>
        <v>0</v>
      </c>
      <c r="S1286" s="732">
        <f t="shared" si="161"/>
        <v>55148401</v>
      </c>
      <c r="T1286" s="733">
        <f t="shared" si="162"/>
        <v>55527028</v>
      </c>
      <c r="U1286" s="1152"/>
      <c r="V1286" s="1153"/>
      <c r="W1286" s="1152"/>
      <c r="X1286" s="1152"/>
      <c r="Y1286" s="732">
        <f t="shared" si="158"/>
        <v>0</v>
      </c>
      <c r="Z1286" s="1153"/>
      <c r="AA1286" s="1153"/>
      <c r="AB1286" s="733">
        <f t="shared" si="159"/>
        <v>0</v>
      </c>
      <c r="AC1286" s="1152"/>
      <c r="AD1286" s="1153"/>
      <c r="AE1286" s="1152"/>
      <c r="AF1286" s="1152"/>
      <c r="AG1286" s="1153"/>
      <c r="AH1286" s="1153"/>
      <c r="AI1286" s="732">
        <f t="shared" si="163"/>
        <v>55148401</v>
      </c>
      <c r="AJ1286" s="733">
        <f t="shared" si="164"/>
        <v>55527028</v>
      </c>
    </row>
    <row r="1287" spans="1:36">
      <c r="A1287" s="1020" t="s">
        <v>636</v>
      </c>
      <c r="B1287" s="1021" t="s">
        <v>62</v>
      </c>
      <c r="C1287" s="1022" t="s">
        <v>639</v>
      </c>
      <c r="D1287" s="1023"/>
      <c r="E1287" s="1024">
        <v>199120</v>
      </c>
      <c r="F1287" s="1025">
        <v>1</v>
      </c>
      <c r="G1287" s="1152">
        <v>284534825.02999997</v>
      </c>
      <c r="H1287" s="1153">
        <v>279801292</v>
      </c>
      <c r="I1287" s="1152"/>
      <c r="J1287" s="1153"/>
      <c r="K1287" s="1152"/>
      <c r="L1287" s="1153"/>
      <c r="M1287" s="1152">
        <v>348151139.88999999</v>
      </c>
      <c r="N1287" s="1152"/>
      <c r="O1287" s="732">
        <f t="shared" si="157"/>
        <v>348151139.88999999</v>
      </c>
      <c r="P1287" s="1153">
        <v>365364738</v>
      </c>
      <c r="Q1287" s="1153"/>
      <c r="R1287" s="733">
        <f t="shared" si="160"/>
        <v>365364738</v>
      </c>
      <c r="S1287" s="732">
        <f t="shared" si="161"/>
        <v>632685964.91999996</v>
      </c>
      <c r="T1287" s="733">
        <f t="shared" si="162"/>
        <v>645166030</v>
      </c>
      <c r="U1287" s="1152"/>
      <c r="V1287" s="1153"/>
      <c r="W1287" s="1152"/>
      <c r="X1287" s="1152"/>
      <c r="Y1287" s="732">
        <f t="shared" si="158"/>
        <v>0</v>
      </c>
      <c r="Z1287" s="1153"/>
      <c r="AA1287" s="1153"/>
      <c r="AB1287" s="733">
        <f t="shared" si="159"/>
        <v>0</v>
      </c>
      <c r="AC1287" s="1152"/>
      <c r="AD1287" s="1153"/>
      <c r="AE1287" s="1152"/>
      <c r="AF1287" s="1152"/>
      <c r="AG1287" s="1153"/>
      <c r="AH1287" s="1153"/>
      <c r="AI1287" s="732">
        <f t="shared" si="163"/>
        <v>632685964.91999996</v>
      </c>
      <c r="AJ1287" s="733">
        <f t="shared" si="164"/>
        <v>645166030</v>
      </c>
    </row>
    <row r="1288" spans="1:36">
      <c r="A1288" s="1020" t="s">
        <v>636</v>
      </c>
      <c r="B1288" s="1021" t="s">
        <v>64</v>
      </c>
      <c r="C1288" s="1028" t="s">
        <v>495</v>
      </c>
      <c r="D1288" s="1027"/>
      <c r="E1288" s="1024">
        <v>199120</v>
      </c>
      <c r="F1288" s="1025">
        <v>1</v>
      </c>
      <c r="G1288" s="1152"/>
      <c r="H1288" s="1153"/>
      <c r="I1288" s="1152"/>
      <c r="J1288" s="1153"/>
      <c r="K1288" s="1152"/>
      <c r="L1288" s="1153"/>
      <c r="M1288" s="1152"/>
      <c r="N1288" s="1152"/>
      <c r="O1288" s="732">
        <f t="shared" si="157"/>
        <v>0</v>
      </c>
      <c r="P1288" s="1153"/>
      <c r="Q1288" s="1153"/>
      <c r="R1288" s="733">
        <f t="shared" si="160"/>
        <v>0</v>
      </c>
      <c r="S1288" s="732">
        <f t="shared" si="161"/>
        <v>0</v>
      </c>
      <c r="T1288" s="733">
        <f t="shared" si="162"/>
        <v>0</v>
      </c>
      <c r="U1288" s="1152"/>
      <c r="V1288" s="1153"/>
      <c r="W1288" s="1152"/>
      <c r="X1288" s="1152"/>
      <c r="Y1288" s="732">
        <f t="shared" si="158"/>
        <v>0</v>
      </c>
      <c r="Z1288" s="1153"/>
      <c r="AA1288" s="1153"/>
      <c r="AB1288" s="733">
        <f t="shared" si="159"/>
        <v>0</v>
      </c>
      <c r="AC1288" s="1152"/>
      <c r="AD1288" s="1153"/>
      <c r="AE1288" s="1152"/>
      <c r="AF1288" s="1152"/>
      <c r="AG1288" s="1153"/>
      <c r="AH1288" s="1153"/>
      <c r="AI1288" s="732">
        <f t="shared" si="163"/>
        <v>0</v>
      </c>
      <c r="AJ1288" s="733">
        <f t="shared" si="164"/>
        <v>0</v>
      </c>
    </row>
    <row r="1289" spans="1:36">
      <c r="A1289" s="1020" t="s">
        <v>636</v>
      </c>
      <c r="B1289" s="1021" t="s">
        <v>64</v>
      </c>
      <c r="C1289" s="1026" t="s">
        <v>334</v>
      </c>
      <c r="D1289" s="1027"/>
      <c r="E1289" s="1024">
        <v>199120</v>
      </c>
      <c r="F1289" s="1025">
        <v>1</v>
      </c>
      <c r="G1289" s="1152"/>
      <c r="H1289" s="1153"/>
      <c r="I1289" s="1152"/>
      <c r="J1289" s="1153"/>
      <c r="K1289" s="1152"/>
      <c r="L1289" s="1153"/>
      <c r="M1289" s="1152"/>
      <c r="N1289" s="1152"/>
      <c r="O1289" s="732">
        <f t="shared" si="157"/>
        <v>0</v>
      </c>
      <c r="P1289" s="1153"/>
      <c r="Q1289" s="1153"/>
      <c r="R1289" s="733">
        <f t="shared" si="160"/>
        <v>0</v>
      </c>
      <c r="S1289" s="732">
        <f t="shared" si="161"/>
        <v>0</v>
      </c>
      <c r="T1289" s="733">
        <f t="shared" si="162"/>
        <v>0</v>
      </c>
      <c r="U1289" s="1152"/>
      <c r="V1289" s="1153"/>
      <c r="W1289" s="1152"/>
      <c r="X1289" s="1152"/>
      <c r="Y1289" s="732">
        <f t="shared" si="158"/>
        <v>0</v>
      </c>
      <c r="Z1289" s="1153"/>
      <c r="AA1289" s="1153"/>
      <c r="AB1289" s="733">
        <f t="shared" si="159"/>
        <v>0</v>
      </c>
      <c r="AC1289" s="1152">
        <v>202440946.56</v>
      </c>
      <c r="AD1289" s="1153">
        <v>204585060</v>
      </c>
      <c r="AE1289" s="1152">
        <v>118127618</v>
      </c>
      <c r="AF1289" s="1152"/>
      <c r="AG1289" s="1153">
        <v>131752601</v>
      </c>
      <c r="AH1289" s="1153"/>
      <c r="AI1289" s="732">
        <f t="shared" si="163"/>
        <v>320568564.56</v>
      </c>
      <c r="AJ1289" s="733">
        <f t="shared" si="164"/>
        <v>336337661</v>
      </c>
    </row>
    <row r="1290" spans="1:36">
      <c r="A1290" s="1020" t="s">
        <v>636</v>
      </c>
      <c r="B1290" s="1021" t="s">
        <v>62</v>
      </c>
      <c r="C1290" s="1022" t="s">
        <v>640</v>
      </c>
      <c r="D1290" s="1029"/>
      <c r="E1290" s="1024">
        <v>199139</v>
      </c>
      <c r="F1290" s="1025">
        <v>1</v>
      </c>
      <c r="G1290" s="1152">
        <v>259488126</v>
      </c>
      <c r="H1290" s="1153">
        <v>259541402</v>
      </c>
      <c r="I1290" s="1152"/>
      <c r="J1290" s="1153"/>
      <c r="K1290" s="1152"/>
      <c r="L1290" s="1153"/>
      <c r="M1290" s="1152">
        <v>160529006.87</v>
      </c>
      <c r="N1290" s="1152"/>
      <c r="O1290" s="732">
        <f t="shared" ref="O1290:O1353" si="165">SUM(M1290:N1290)</f>
        <v>160529006.87</v>
      </c>
      <c r="P1290" s="1153">
        <v>166161841</v>
      </c>
      <c r="Q1290" s="1153"/>
      <c r="R1290" s="733">
        <f t="shared" si="160"/>
        <v>166161841</v>
      </c>
      <c r="S1290" s="732">
        <f t="shared" si="161"/>
        <v>420017132.87</v>
      </c>
      <c r="T1290" s="733">
        <f t="shared" si="162"/>
        <v>425703243</v>
      </c>
      <c r="U1290" s="1152"/>
      <c r="V1290" s="1153"/>
      <c r="W1290" s="1152"/>
      <c r="X1290" s="1152"/>
      <c r="Y1290" s="732">
        <f t="shared" ref="Y1290:Y1353" si="166">SUM(W1290:X1290)</f>
        <v>0</v>
      </c>
      <c r="Z1290" s="1153"/>
      <c r="AA1290" s="1153"/>
      <c r="AB1290" s="733">
        <f t="shared" ref="AB1290:AB1353" si="167">SUM(Z1290:AA1290)</f>
        <v>0</v>
      </c>
      <c r="AC1290" s="1152"/>
      <c r="AD1290" s="1153"/>
      <c r="AE1290" s="1152"/>
      <c r="AF1290" s="1152"/>
      <c r="AG1290" s="1153"/>
      <c r="AH1290" s="1153"/>
      <c r="AI1290" s="732">
        <f t="shared" si="163"/>
        <v>420017132.87</v>
      </c>
      <c r="AJ1290" s="733">
        <f t="shared" si="164"/>
        <v>425703243</v>
      </c>
    </row>
    <row r="1291" spans="1:36">
      <c r="A1291" s="1020" t="s">
        <v>636</v>
      </c>
      <c r="B1291" s="1021" t="s">
        <v>62</v>
      </c>
      <c r="C1291" s="1030" t="s">
        <v>641</v>
      </c>
      <c r="D1291" s="1031"/>
      <c r="E1291" s="1024">
        <v>199148</v>
      </c>
      <c r="F1291" s="1025">
        <v>1</v>
      </c>
      <c r="G1291" s="1152">
        <v>181445203</v>
      </c>
      <c r="H1291" s="1153">
        <v>179497497</v>
      </c>
      <c r="I1291" s="1152"/>
      <c r="J1291" s="1153"/>
      <c r="K1291" s="1152"/>
      <c r="L1291" s="1153"/>
      <c r="M1291" s="1152">
        <v>104207516</v>
      </c>
      <c r="N1291" s="1152"/>
      <c r="O1291" s="732">
        <f t="shared" si="165"/>
        <v>104207516</v>
      </c>
      <c r="P1291" s="1153">
        <v>104328537</v>
      </c>
      <c r="Q1291" s="1153"/>
      <c r="R1291" s="733">
        <f t="shared" ref="R1291:R1354" si="168">SUM(P1291:Q1291)</f>
        <v>104328537</v>
      </c>
      <c r="S1291" s="732">
        <f t="shared" ref="S1291:S1354" si="169">SUM(G1291,I1291,K1291,M1291)</f>
        <v>285652719</v>
      </c>
      <c r="T1291" s="733">
        <f t="shared" ref="T1291:T1354" si="170">SUM(H1291,J1291,L1291,P1291)</f>
        <v>283826034</v>
      </c>
      <c r="U1291" s="1152"/>
      <c r="V1291" s="1153"/>
      <c r="W1291" s="1152"/>
      <c r="X1291" s="1152"/>
      <c r="Y1291" s="732">
        <f t="shared" si="166"/>
        <v>0</v>
      </c>
      <c r="Z1291" s="1153"/>
      <c r="AA1291" s="1153"/>
      <c r="AB1291" s="733">
        <f t="shared" si="167"/>
        <v>0</v>
      </c>
      <c r="AC1291" s="1152"/>
      <c r="AD1291" s="1153"/>
      <c r="AE1291" s="1152"/>
      <c r="AF1291" s="1152"/>
      <c r="AG1291" s="1153"/>
      <c r="AH1291" s="1153"/>
      <c r="AI1291" s="732">
        <f t="shared" ref="AI1291:AI1354" si="171">SUM(S1291,U1291,W1291,AC1291,AE1291)</f>
        <v>285652719</v>
      </c>
      <c r="AJ1291" s="733">
        <f t="shared" ref="AJ1291:AJ1354" si="172">SUM(T1291,V1291,Z1291,AD1291,AG1291)</f>
        <v>283826034</v>
      </c>
    </row>
    <row r="1292" spans="1:36">
      <c r="A1292" s="1020" t="s">
        <v>636</v>
      </c>
      <c r="B1292" s="1021" t="s">
        <v>62</v>
      </c>
      <c r="C1292" s="1030" t="s">
        <v>642</v>
      </c>
      <c r="D1292" s="1029"/>
      <c r="E1292" s="1024">
        <v>198464</v>
      </c>
      <c r="F1292" s="1025">
        <v>2</v>
      </c>
      <c r="G1292" s="1152">
        <v>232631314</v>
      </c>
      <c r="H1292" s="1153">
        <v>230274139</v>
      </c>
      <c r="I1292" s="1152"/>
      <c r="J1292" s="1153"/>
      <c r="K1292" s="1152"/>
      <c r="L1292" s="1153"/>
      <c r="M1292" s="1152">
        <v>163815173.53999999</v>
      </c>
      <c r="N1292" s="1152"/>
      <c r="O1292" s="732">
        <f t="shared" si="165"/>
        <v>163815173.53999999</v>
      </c>
      <c r="P1292" s="1153">
        <v>168632012</v>
      </c>
      <c r="Q1292" s="1153"/>
      <c r="R1292" s="733">
        <f t="shared" si="168"/>
        <v>168632012</v>
      </c>
      <c r="S1292" s="732">
        <f t="shared" si="169"/>
        <v>396446487.53999996</v>
      </c>
      <c r="T1292" s="733">
        <f t="shared" si="170"/>
        <v>398906151</v>
      </c>
      <c r="U1292" s="1152"/>
      <c r="V1292" s="1153"/>
      <c r="W1292" s="1152"/>
      <c r="X1292" s="1152"/>
      <c r="Y1292" s="732">
        <f t="shared" si="166"/>
        <v>0</v>
      </c>
      <c r="Z1292" s="1153"/>
      <c r="AA1292" s="1153"/>
      <c r="AB1292" s="733">
        <f t="shared" si="167"/>
        <v>0</v>
      </c>
      <c r="AC1292" s="1152"/>
      <c r="AD1292" s="1153"/>
      <c r="AE1292" s="1152"/>
      <c r="AF1292" s="1152"/>
      <c r="AG1292" s="1153"/>
      <c r="AH1292" s="1153"/>
      <c r="AI1292" s="732">
        <f t="shared" si="171"/>
        <v>396446487.53999996</v>
      </c>
      <c r="AJ1292" s="733">
        <f t="shared" si="172"/>
        <v>398906151</v>
      </c>
    </row>
    <row r="1293" spans="1:36">
      <c r="A1293" s="1020" t="s">
        <v>636</v>
      </c>
      <c r="B1293" s="1021" t="s">
        <v>64</v>
      </c>
      <c r="C1293" s="1026" t="s">
        <v>334</v>
      </c>
      <c r="D1293" s="1027"/>
      <c r="E1293" s="1024">
        <v>198464</v>
      </c>
      <c r="F1293" s="1025">
        <v>2</v>
      </c>
      <c r="G1293" s="1152"/>
      <c r="H1293" s="1153"/>
      <c r="I1293" s="1152"/>
      <c r="J1293" s="1153"/>
      <c r="K1293" s="1152"/>
      <c r="L1293" s="1153"/>
      <c r="M1293" s="1152"/>
      <c r="N1293" s="1152"/>
      <c r="O1293" s="732">
        <f t="shared" si="165"/>
        <v>0</v>
      </c>
      <c r="P1293" s="1153"/>
      <c r="Q1293" s="1153"/>
      <c r="R1293" s="733">
        <f t="shared" si="168"/>
        <v>0</v>
      </c>
      <c r="S1293" s="732">
        <f t="shared" si="169"/>
        <v>0</v>
      </c>
      <c r="T1293" s="733">
        <f t="shared" si="170"/>
        <v>0</v>
      </c>
      <c r="U1293" s="1152"/>
      <c r="V1293" s="1153"/>
      <c r="W1293" s="1152"/>
      <c r="X1293" s="1152"/>
      <c r="Y1293" s="732">
        <f t="shared" si="166"/>
        <v>0</v>
      </c>
      <c r="Z1293" s="1153"/>
      <c r="AA1293" s="1153"/>
      <c r="AB1293" s="733">
        <f t="shared" si="167"/>
        <v>0</v>
      </c>
      <c r="AC1293" s="1152">
        <v>78360396</v>
      </c>
      <c r="AD1293" s="1153">
        <v>79044434</v>
      </c>
      <c r="AE1293" s="1152">
        <v>12138492</v>
      </c>
      <c r="AF1293" s="1152"/>
      <c r="AG1293" s="1153">
        <v>12656810</v>
      </c>
      <c r="AH1293" s="1153"/>
      <c r="AI1293" s="732">
        <f t="shared" si="171"/>
        <v>90498888</v>
      </c>
      <c r="AJ1293" s="733">
        <f t="shared" si="172"/>
        <v>91701244</v>
      </c>
    </row>
    <row r="1294" spans="1:36">
      <c r="A1294" s="1020" t="s">
        <v>636</v>
      </c>
      <c r="B1294" s="1021" t="s">
        <v>62</v>
      </c>
      <c r="C1294" s="1022" t="s">
        <v>643</v>
      </c>
      <c r="D1294" s="1023"/>
      <c r="E1294" s="1024">
        <v>197869</v>
      </c>
      <c r="F1294" s="1025">
        <v>3</v>
      </c>
      <c r="G1294" s="1152">
        <v>149316804</v>
      </c>
      <c r="H1294" s="1153">
        <v>151240415</v>
      </c>
      <c r="I1294" s="1152"/>
      <c r="J1294" s="1153"/>
      <c r="K1294" s="1152"/>
      <c r="L1294" s="1153"/>
      <c r="M1294" s="1152">
        <v>107695048</v>
      </c>
      <c r="N1294" s="1152"/>
      <c r="O1294" s="732">
        <f t="shared" si="165"/>
        <v>107695048</v>
      </c>
      <c r="P1294" s="1153">
        <v>113580499</v>
      </c>
      <c r="Q1294" s="1153"/>
      <c r="R1294" s="733">
        <f t="shared" si="168"/>
        <v>113580499</v>
      </c>
      <c r="S1294" s="732">
        <f t="shared" si="169"/>
        <v>257011852</v>
      </c>
      <c r="T1294" s="733">
        <f t="shared" si="170"/>
        <v>264820914</v>
      </c>
      <c r="U1294" s="1152"/>
      <c r="V1294" s="1153"/>
      <c r="W1294" s="1152"/>
      <c r="X1294" s="1152"/>
      <c r="Y1294" s="732">
        <f t="shared" si="166"/>
        <v>0</v>
      </c>
      <c r="Z1294" s="1153"/>
      <c r="AA1294" s="1153"/>
      <c r="AB1294" s="733">
        <f t="shared" si="167"/>
        <v>0</v>
      </c>
      <c r="AC1294" s="1152"/>
      <c r="AD1294" s="1153"/>
      <c r="AE1294" s="1152"/>
      <c r="AF1294" s="1152"/>
      <c r="AG1294" s="1153"/>
      <c r="AH1294" s="1153"/>
      <c r="AI1294" s="732">
        <f t="shared" si="171"/>
        <v>257011852</v>
      </c>
      <c r="AJ1294" s="733">
        <f t="shared" si="172"/>
        <v>264820914</v>
      </c>
    </row>
    <row r="1295" spans="1:36">
      <c r="A1295" s="1020" t="s">
        <v>636</v>
      </c>
      <c r="B1295" s="1021" t="s">
        <v>62</v>
      </c>
      <c r="C1295" s="1022" t="s">
        <v>644</v>
      </c>
      <c r="D1295" s="1139" t="s">
        <v>1801</v>
      </c>
      <c r="E1295" s="1024">
        <v>199102</v>
      </c>
      <c r="F1295" s="1025">
        <v>3</v>
      </c>
      <c r="G1295" s="1152">
        <v>97367228.930000007</v>
      </c>
      <c r="H1295" s="1153">
        <v>92906441</v>
      </c>
      <c r="I1295" s="1152"/>
      <c r="J1295" s="1153"/>
      <c r="K1295" s="1152"/>
      <c r="L1295" s="1153"/>
      <c r="M1295" s="1152">
        <v>85469957</v>
      </c>
      <c r="N1295" s="1152"/>
      <c r="O1295" s="732">
        <f t="shared" si="165"/>
        <v>85469957</v>
      </c>
      <c r="P1295" s="1153">
        <v>85335416</v>
      </c>
      <c r="Q1295" s="1153"/>
      <c r="R1295" s="733">
        <f t="shared" si="168"/>
        <v>85335416</v>
      </c>
      <c r="S1295" s="732">
        <f t="shared" si="169"/>
        <v>182837185.93000001</v>
      </c>
      <c r="T1295" s="733">
        <f t="shared" si="170"/>
        <v>178241857</v>
      </c>
      <c r="U1295" s="1152"/>
      <c r="V1295" s="1153"/>
      <c r="W1295" s="1152"/>
      <c r="X1295" s="1152"/>
      <c r="Y1295" s="732">
        <f t="shared" si="166"/>
        <v>0</v>
      </c>
      <c r="Z1295" s="1153"/>
      <c r="AA1295" s="1153"/>
      <c r="AB1295" s="733">
        <f t="shared" si="167"/>
        <v>0</v>
      </c>
      <c r="AC1295" s="1152"/>
      <c r="AD1295" s="1153"/>
      <c r="AE1295" s="1152"/>
      <c r="AF1295" s="1152"/>
      <c r="AG1295" s="1153"/>
      <c r="AH1295" s="1153"/>
      <c r="AI1295" s="732">
        <f t="shared" si="171"/>
        <v>182837185.93000001</v>
      </c>
      <c r="AJ1295" s="733">
        <f t="shared" si="172"/>
        <v>178241857</v>
      </c>
    </row>
    <row r="1296" spans="1:36">
      <c r="A1296" s="1020" t="s">
        <v>636</v>
      </c>
      <c r="B1296" s="1021" t="s">
        <v>62</v>
      </c>
      <c r="C1296" s="1022" t="s">
        <v>645</v>
      </c>
      <c r="D1296" s="1023"/>
      <c r="E1296" s="1024">
        <v>199157</v>
      </c>
      <c r="F1296" s="1025">
        <v>3</v>
      </c>
      <c r="G1296" s="1152">
        <v>85983464.810000002</v>
      </c>
      <c r="H1296" s="1153">
        <v>84377403</v>
      </c>
      <c r="I1296" s="1152"/>
      <c r="J1296" s="1153"/>
      <c r="K1296" s="1152"/>
      <c r="L1296" s="1153"/>
      <c r="M1296" s="1152">
        <v>47002704</v>
      </c>
      <c r="N1296" s="1152"/>
      <c r="O1296" s="732">
        <f t="shared" si="165"/>
        <v>47002704</v>
      </c>
      <c r="P1296" s="1153">
        <v>51751294</v>
      </c>
      <c r="Q1296" s="1153"/>
      <c r="R1296" s="733">
        <f t="shared" si="168"/>
        <v>51751294</v>
      </c>
      <c r="S1296" s="732">
        <f t="shared" si="169"/>
        <v>132986168.81</v>
      </c>
      <c r="T1296" s="733">
        <f t="shared" si="170"/>
        <v>136128697</v>
      </c>
      <c r="U1296" s="1152"/>
      <c r="V1296" s="1153"/>
      <c r="W1296" s="1152"/>
      <c r="X1296" s="1152"/>
      <c r="Y1296" s="732">
        <f t="shared" si="166"/>
        <v>0</v>
      </c>
      <c r="Z1296" s="1153"/>
      <c r="AA1296" s="1153"/>
      <c r="AB1296" s="733">
        <f t="shared" si="167"/>
        <v>0</v>
      </c>
      <c r="AC1296" s="1152"/>
      <c r="AD1296" s="1153"/>
      <c r="AE1296" s="1152"/>
      <c r="AF1296" s="1152"/>
      <c r="AG1296" s="1153"/>
      <c r="AH1296" s="1153"/>
      <c r="AI1296" s="732">
        <f t="shared" si="171"/>
        <v>132986168.81</v>
      </c>
      <c r="AJ1296" s="733">
        <f t="shared" si="172"/>
        <v>136128697</v>
      </c>
    </row>
    <row r="1297" spans="1:36">
      <c r="A1297" s="1020" t="s">
        <v>636</v>
      </c>
      <c r="B1297" s="1021" t="s">
        <v>62</v>
      </c>
      <c r="C1297" s="1022" t="s">
        <v>646</v>
      </c>
      <c r="D1297" s="1023"/>
      <c r="E1297" s="1024">
        <v>199218</v>
      </c>
      <c r="F1297" s="1025">
        <v>3</v>
      </c>
      <c r="G1297" s="1152">
        <v>146505589.84999999</v>
      </c>
      <c r="H1297" s="1153">
        <v>154920195</v>
      </c>
      <c r="I1297" s="1152"/>
      <c r="J1297" s="1153"/>
      <c r="K1297" s="1152"/>
      <c r="L1297" s="1153"/>
      <c r="M1297" s="1152">
        <v>98862489.780000001</v>
      </c>
      <c r="N1297" s="1152"/>
      <c r="O1297" s="732">
        <f t="shared" si="165"/>
        <v>98862489.780000001</v>
      </c>
      <c r="P1297" s="1153">
        <v>101724126</v>
      </c>
      <c r="Q1297" s="1153"/>
      <c r="R1297" s="733">
        <f t="shared" si="168"/>
        <v>101724126</v>
      </c>
      <c r="S1297" s="732">
        <f t="shared" si="169"/>
        <v>245368079.63</v>
      </c>
      <c r="T1297" s="733">
        <f t="shared" si="170"/>
        <v>256644321</v>
      </c>
      <c r="U1297" s="1152"/>
      <c r="V1297" s="1153"/>
      <c r="W1297" s="1152"/>
      <c r="X1297" s="1152"/>
      <c r="Y1297" s="732">
        <f t="shared" si="166"/>
        <v>0</v>
      </c>
      <c r="Z1297" s="1153"/>
      <c r="AA1297" s="1153"/>
      <c r="AB1297" s="733">
        <f t="shared" si="167"/>
        <v>0</v>
      </c>
      <c r="AC1297" s="1152"/>
      <c r="AD1297" s="1153"/>
      <c r="AE1297" s="1152"/>
      <c r="AF1297" s="1152"/>
      <c r="AG1297" s="1153"/>
      <c r="AH1297" s="1153"/>
      <c r="AI1297" s="732">
        <f t="shared" si="171"/>
        <v>245368079.63</v>
      </c>
      <c r="AJ1297" s="733">
        <f t="shared" si="172"/>
        <v>256644321</v>
      </c>
    </row>
    <row r="1298" spans="1:36">
      <c r="A1298" s="1020" t="s">
        <v>636</v>
      </c>
      <c r="B1298" s="1021" t="s">
        <v>62</v>
      </c>
      <c r="C1298" s="1022" t="s">
        <v>647</v>
      </c>
      <c r="D1298" s="1023"/>
      <c r="E1298" s="1024">
        <v>200004</v>
      </c>
      <c r="F1298" s="1025">
        <v>3</v>
      </c>
      <c r="G1298" s="1152">
        <v>134255729.97</v>
      </c>
      <c r="H1298" s="1153">
        <v>134127414</v>
      </c>
      <c r="I1298" s="1152"/>
      <c r="J1298" s="1153"/>
      <c r="K1298" s="1152"/>
      <c r="L1298" s="1153"/>
      <c r="M1298" s="1152">
        <v>27312510</v>
      </c>
      <c r="N1298" s="1152"/>
      <c r="O1298" s="732">
        <f t="shared" si="165"/>
        <v>27312510</v>
      </c>
      <c r="P1298" s="1153">
        <v>30411116</v>
      </c>
      <c r="Q1298" s="1153"/>
      <c r="R1298" s="733">
        <f t="shared" si="168"/>
        <v>30411116</v>
      </c>
      <c r="S1298" s="732">
        <f t="shared" si="169"/>
        <v>161568239.97</v>
      </c>
      <c r="T1298" s="733">
        <f t="shared" si="170"/>
        <v>164538530</v>
      </c>
      <c r="U1298" s="1152"/>
      <c r="V1298" s="1153"/>
      <c r="W1298" s="1152"/>
      <c r="X1298" s="1152"/>
      <c r="Y1298" s="732">
        <f t="shared" si="166"/>
        <v>0</v>
      </c>
      <c r="Z1298" s="1153"/>
      <c r="AA1298" s="1153"/>
      <c r="AB1298" s="733">
        <f t="shared" si="167"/>
        <v>0</v>
      </c>
      <c r="AC1298" s="1152"/>
      <c r="AD1298" s="1153"/>
      <c r="AE1298" s="1152"/>
      <c r="AF1298" s="1152"/>
      <c r="AG1298" s="1153"/>
      <c r="AH1298" s="1153"/>
      <c r="AI1298" s="732">
        <f t="shared" si="171"/>
        <v>161568239.97</v>
      </c>
      <c r="AJ1298" s="733">
        <f t="shared" si="172"/>
        <v>164538530</v>
      </c>
    </row>
    <row r="1299" spans="1:36">
      <c r="A1299" s="1020" t="s">
        <v>636</v>
      </c>
      <c r="B1299" s="1021" t="s">
        <v>62</v>
      </c>
      <c r="C1299" s="1030" t="s">
        <v>648</v>
      </c>
      <c r="D1299" s="1031"/>
      <c r="E1299" s="1024">
        <v>198543</v>
      </c>
      <c r="F1299" s="1025">
        <v>4</v>
      </c>
      <c r="G1299" s="1152">
        <v>55453505</v>
      </c>
      <c r="H1299" s="1153">
        <v>56566239</v>
      </c>
      <c r="I1299" s="1152"/>
      <c r="J1299" s="1153"/>
      <c r="K1299" s="1152"/>
      <c r="L1299" s="1153"/>
      <c r="M1299" s="1152">
        <v>20088089</v>
      </c>
      <c r="N1299" s="1152"/>
      <c r="O1299" s="732">
        <f t="shared" si="165"/>
        <v>20088089</v>
      </c>
      <c r="P1299" s="1153">
        <v>22253729</v>
      </c>
      <c r="Q1299" s="1153"/>
      <c r="R1299" s="733">
        <f t="shared" si="168"/>
        <v>22253729</v>
      </c>
      <c r="S1299" s="732">
        <f t="shared" si="169"/>
        <v>75541594</v>
      </c>
      <c r="T1299" s="733">
        <f t="shared" si="170"/>
        <v>78819968</v>
      </c>
      <c r="U1299" s="1152"/>
      <c r="V1299" s="1153"/>
      <c r="W1299" s="1152"/>
      <c r="X1299" s="1152"/>
      <c r="Y1299" s="732">
        <f t="shared" si="166"/>
        <v>0</v>
      </c>
      <c r="Z1299" s="1153"/>
      <c r="AA1299" s="1153"/>
      <c r="AB1299" s="733">
        <f t="shared" si="167"/>
        <v>0</v>
      </c>
      <c r="AC1299" s="1152"/>
      <c r="AD1299" s="1153"/>
      <c r="AE1299" s="1152"/>
      <c r="AF1299" s="1152"/>
      <c r="AG1299" s="1153"/>
      <c r="AH1299" s="1153"/>
      <c r="AI1299" s="732">
        <f t="shared" si="171"/>
        <v>75541594</v>
      </c>
      <c r="AJ1299" s="733">
        <f t="shared" si="172"/>
        <v>78819968</v>
      </c>
    </row>
    <row r="1300" spans="1:36">
      <c r="A1300" s="1020" t="s">
        <v>636</v>
      </c>
      <c r="B1300" s="1021" t="s">
        <v>62</v>
      </c>
      <c r="C1300" s="1022" t="s">
        <v>649</v>
      </c>
      <c r="D1300" s="1023"/>
      <c r="E1300" s="1024">
        <v>199281</v>
      </c>
      <c r="F1300" s="1025">
        <v>5</v>
      </c>
      <c r="G1300" s="1152">
        <v>78023330</v>
      </c>
      <c r="H1300" s="1153">
        <v>80941191</v>
      </c>
      <c r="I1300" s="1152"/>
      <c r="J1300" s="1153"/>
      <c r="K1300" s="1152"/>
      <c r="L1300" s="1153"/>
      <c r="M1300" s="1152">
        <v>15454905</v>
      </c>
      <c r="N1300" s="1152"/>
      <c r="O1300" s="732">
        <f t="shared" si="165"/>
        <v>15454905</v>
      </c>
      <c r="P1300" s="1153">
        <v>16530694</v>
      </c>
      <c r="Q1300" s="1153"/>
      <c r="R1300" s="733">
        <f t="shared" si="168"/>
        <v>16530694</v>
      </c>
      <c r="S1300" s="732">
        <f t="shared" si="169"/>
        <v>93478235</v>
      </c>
      <c r="T1300" s="733">
        <f t="shared" si="170"/>
        <v>97471885</v>
      </c>
      <c r="U1300" s="1152"/>
      <c r="V1300" s="1153"/>
      <c r="W1300" s="1152"/>
      <c r="X1300" s="1152"/>
      <c r="Y1300" s="732">
        <f t="shared" si="166"/>
        <v>0</v>
      </c>
      <c r="Z1300" s="1153"/>
      <c r="AA1300" s="1153"/>
      <c r="AB1300" s="733">
        <f t="shared" si="167"/>
        <v>0</v>
      </c>
      <c r="AC1300" s="1152"/>
      <c r="AD1300" s="1153"/>
      <c r="AE1300" s="1152"/>
      <c r="AF1300" s="1152"/>
      <c r="AG1300" s="1153"/>
      <c r="AH1300" s="1153"/>
      <c r="AI1300" s="732">
        <f t="shared" si="171"/>
        <v>93478235</v>
      </c>
      <c r="AJ1300" s="733">
        <f t="shared" si="172"/>
        <v>97471885</v>
      </c>
    </row>
    <row r="1301" spans="1:36">
      <c r="A1301" s="1020" t="s">
        <v>636</v>
      </c>
      <c r="B1301" s="1021" t="s">
        <v>62</v>
      </c>
      <c r="C1301" s="1022" t="s">
        <v>650</v>
      </c>
      <c r="D1301" s="1023"/>
      <c r="E1301" s="1024">
        <v>199999</v>
      </c>
      <c r="F1301" s="1025">
        <v>5</v>
      </c>
      <c r="G1301" s="1152">
        <v>64526655</v>
      </c>
      <c r="H1301" s="1153">
        <v>64250124</v>
      </c>
      <c r="I1301" s="1152"/>
      <c r="J1301" s="1153"/>
      <c r="K1301" s="1152"/>
      <c r="L1301" s="1153"/>
      <c r="M1301" s="1152">
        <v>20018021</v>
      </c>
      <c r="N1301" s="1152"/>
      <c r="O1301" s="732">
        <f t="shared" si="165"/>
        <v>20018021</v>
      </c>
      <c r="P1301" s="1153">
        <v>22347290</v>
      </c>
      <c r="Q1301" s="1153"/>
      <c r="R1301" s="733">
        <f t="shared" si="168"/>
        <v>22347290</v>
      </c>
      <c r="S1301" s="732">
        <f t="shared" si="169"/>
        <v>84544676</v>
      </c>
      <c r="T1301" s="733">
        <f t="shared" si="170"/>
        <v>86597414</v>
      </c>
      <c r="U1301" s="1152"/>
      <c r="V1301" s="1153"/>
      <c r="W1301" s="1152"/>
      <c r="X1301" s="1152"/>
      <c r="Y1301" s="732">
        <f t="shared" si="166"/>
        <v>0</v>
      </c>
      <c r="Z1301" s="1153"/>
      <c r="AA1301" s="1153"/>
      <c r="AB1301" s="733">
        <f t="shared" si="167"/>
        <v>0</v>
      </c>
      <c r="AC1301" s="1152"/>
      <c r="AD1301" s="1153"/>
      <c r="AE1301" s="1152"/>
      <c r="AF1301" s="1152"/>
      <c r="AG1301" s="1153"/>
      <c r="AH1301" s="1153"/>
      <c r="AI1301" s="732">
        <f t="shared" si="171"/>
        <v>84544676</v>
      </c>
      <c r="AJ1301" s="733">
        <f t="shared" si="172"/>
        <v>86597414</v>
      </c>
    </row>
    <row r="1302" spans="1:36">
      <c r="A1302" s="1020" t="s">
        <v>636</v>
      </c>
      <c r="B1302" s="1021" t="s">
        <v>62</v>
      </c>
      <c r="C1302" s="1022" t="s">
        <v>651</v>
      </c>
      <c r="D1302" s="1031"/>
      <c r="E1302" s="1024">
        <v>198507</v>
      </c>
      <c r="F1302" s="1025">
        <v>6</v>
      </c>
      <c r="G1302" s="1152">
        <v>40434902</v>
      </c>
      <c r="H1302" s="1153">
        <v>35830966</v>
      </c>
      <c r="I1302" s="1152"/>
      <c r="J1302" s="1153"/>
      <c r="K1302" s="1152"/>
      <c r="L1302" s="1153"/>
      <c r="M1302" s="1152">
        <v>2332113</v>
      </c>
      <c r="N1302" s="1152"/>
      <c r="O1302" s="732">
        <f t="shared" si="165"/>
        <v>2332113</v>
      </c>
      <c r="P1302" s="1153">
        <v>3609083</v>
      </c>
      <c r="Q1302" s="1153"/>
      <c r="R1302" s="733">
        <f t="shared" si="168"/>
        <v>3609083</v>
      </c>
      <c r="S1302" s="732">
        <f t="shared" si="169"/>
        <v>42767015</v>
      </c>
      <c r="T1302" s="733">
        <f t="shared" si="170"/>
        <v>39440049</v>
      </c>
      <c r="U1302" s="1152"/>
      <c r="V1302" s="1153"/>
      <c r="W1302" s="1152"/>
      <c r="X1302" s="1152"/>
      <c r="Y1302" s="732">
        <f t="shared" si="166"/>
        <v>0</v>
      </c>
      <c r="Z1302" s="1153"/>
      <c r="AA1302" s="1153"/>
      <c r="AB1302" s="733">
        <f t="shared" si="167"/>
        <v>0</v>
      </c>
      <c r="AC1302" s="1152"/>
      <c r="AD1302" s="1153"/>
      <c r="AE1302" s="1152"/>
      <c r="AF1302" s="1152"/>
      <c r="AG1302" s="1153"/>
      <c r="AH1302" s="1153"/>
      <c r="AI1302" s="732">
        <f t="shared" si="171"/>
        <v>42767015</v>
      </c>
      <c r="AJ1302" s="733">
        <f t="shared" si="172"/>
        <v>39440049</v>
      </c>
    </row>
    <row r="1303" spans="1:36">
      <c r="A1303" s="1020" t="s">
        <v>636</v>
      </c>
      <c r="B1303" s="1021" t="s">
        <v>62</v>
      </c>
      <c r="C1303" s="1022" t="s">
        <v>652</v>
      </c>
      <c r="D1303" s="1023"/>
      <c r="E1303" s="1024">
        <v>199111</v>
      </c>
      <c r="F1303" s="1025">
        <v>6</v>
      </c>
      <c r="G1303" s="1152">
        <v>40377217</v>
      </c>
      <c r="H1303" s="1153">
        <v>39736847</v>
      </c>
      <c r="I1303" s="1152"/>
      <c r="J1303" s="1153"/>
      <c r="K1303" s="1152"/>
      <c r="L1303" s="1153"/>
      <c r="M1303" s="1152">
        <v>19527199</v>
      </c>
      <c r="N1303" s="1152"/>
      <c r="O1303" s="732">
        <f t="shared" si="165"/>
        <v>19527199</v>
      </c>
      <c r="P1303" s="1153">
        <v>19594295</v>
      </c>
      <c r="Q1303" s="1153"/>
      <c r="R1303" s="733">
        <f t="shared" si="168"/>
        <v>19594295</v>
      </c>
      <c r="S1303" s="732">
        <f t="shared" si="169"/>
        <v>59904416</v>
      </c>
      <c r="T1303" s="733">
        <f t="shared" si="170"/>
        <v>59331142</v>
      </c>
      <c r="U1303" s="1152"/>
      <c r="V1303" s="1153"/>
      <c r="W1303" s="1152"/>
      <c r="X1303" s="1152"/>
      <c r="Y1303" s="732">
        <f t="shared" si="166"/>
        <v>0</v>
      </c>
      <c r="Z1303" s="1153"/>
      <c r="AA1303" s="1153"/>
      <c r="AB1303" s="733">
        <f t="shared" si="167"/>
        <v>0</v>
      </c>
      <c r="AC1303" s="1152"/>
      <c r="AD1303" s="1153"/>
      <c r="AE1303" s="1152"/>
      <c r="AF1303" s="1152"/>
      <c r="AG1303" s="1153"/>
      <c r="AH1303" s="1153"/>
      <c r="AI1303" s="732">
        <f t="shared" si="171"/>
        <v>59904416</v>
      </c>
      <c r="AJ1303" s="733">
        <f t="shared" si="172"/>
        <v>59331142</v>
      </c>
    </row>
    <row r="1304" spans="1:36">
      <c r="A1304" s="1020" t="s">
        <v>636</v>
      </c>
      <c r="B1304" s="1021" t="s">
        <v>116</v>
      </c>
      <c r="C1304" s="1022" t="s">
        <v>1069</v>
      </c>
      <c r="D1304" s="1023"/>
      <c r="E1304" s="1024">
        <v>199184</v>
      </c>
      <c r="F1304" s="1025">
        <v>15</v>
      </c>
      <c r="G1304" s="1152"/>
      <c r="H1304" s="1153"/>
      <c r="I1304" s="1152"/>
      <c r="J1304" s="1153"/>
      <c r="K1304" s="1152"/>
      <c r="L1304" s="1153"/>
      <c r="M1304" s="1152"/>
      <c r="N1304" s="1152"/>
      <c r="O1304" s="732">
        <f t="shared" si="165"/>
        <v>0</v>
      </c>
      <c r="P1304" s="1153"/>
      <c r="Q1304" s="1153"/>
      <c r="R1304" s="733">
        <f t="shared" si="168"/>
        <v>0</v>
      </c>
      <c r="S1304" s="732">
        <f t="shared" si="169"/>
        <v>0</v>
      </c>
      <c r="T1304" s="733">
        <f t="shared" si="170"/>
        <v>0</v>
      </c>
      <c r="U1304" s="1152">
        <v>33813217</v>
      </c>
      <c r="V1304" s="1153">
        <v>33759891</v>
      </c>
      <c r="W1304" s="1152">
        <v>16057404</v>
      </c>
      <c r="X1304" s="1152"/>
      <c r="Y1304" s="732">
        <f t="shared" si="166"/>
        <v>16057404</v>
      </c>
      <c r="Z1304" s="1153">
        <v>16850252</v>
      </c>
      <c r="AA1304" s="1153"/>
      <c r="AB1304" s="733">
        <f t="shared" si="167"/>
        <v>16850252</v>
      </c>
      <c r="AC1304" s="1152"/>
      <c r="AD1304" s="1153"/>
      <c r="AE1304" s="1152"/>
      <c r="AF1304" s="1152"/>
      <c r="AG1304" s="1153"/>
      <c r="AH1304" s="1153"/>
      <c r="AI1304" s="732">
        <f t="shared" si="171"/>
        <v>49870621</v>
      </c>
      <c r="AJ1304" s="733">
        <f t="shared" si="172"/>
        <v>50610143</v>
      </c>
    </row>
    <row r="1305" spans="1:36">
      <c r="A1305" s="1033" t="s">
        <v>636</v>
      </c>
      <c r="B1305" s="1034" t="s">
        <v>118</v>
      </c>
      <c r="C1305" s="1023" t="s">
        <v>653</v>
      </c>
      <c r="D1305" s="1023"/>
      <c r="E1305" s="1035"/>
      <c r="F1305" s="1036">
        <v>99</v>
      </c>
      <c r="G1305" s="1152"/>
      <c r="H1305" s="1153"/>
      <c r="I1305" s="1152"/>
      <c r="J1305" s="1153"/>
      <c r="K1305" s="1152"/>
      <c r="L1305" s="1153"/>
      <c r="M1305" s="1152"/>
      <c r="N1305" s="1152"/>
      <c r="O1305" s="732">
        <f t="shared" si="165"/>
        <v>0</v>
      </c>
      <c r="P1305" s="1153"/>
      <c r="Q1305" s="1153"/>
      <c r="R1305" s="733">
        <f t="shared" si="168"/>
        <v>0</v>
      </c>
      <c r="S1305" s="732">
        <f t="shared" si="169"/>
        <v>0</v>
      </c>
      <c r="T1305" s="733">
        <f t="shared" si="170"/>
        <v>0</v>
      </c>
      <c r="U1305" s="1152"/>
      <c r="V1305" s="1153"/>
      <c r="W1305" s="1152"/>
      <c r="X1305" s="1152"/>
      <c r="Y1305" s="732">
        <f t="shared" si="166"/>
        <v>0</v>
      </c>
      <c r="Z1305" s="1153"/>
      <c r="AA1305" s="1153"/>
      <c r="AB1305" s="733">
        <f t="shared" si="167"/>
        <v>0</v>
      </c>
      <c r="AC1305" s="1152"/>
      <c r="AD1305" s="1153"/>
      <c r="AE1305" s="1152"/>
      <c r="AF1305" s="1152"/>
      <c r="AG1305" s="1153"/>
      <c r="AH1305" s="1153"/>
      <c r="AI1305" s="732">
        <f t="shared" si="171"/>
        <v>0</v>
      </c>
      <c r="AJ1305" s="733">
        <f t="shared" si="172"/>
        <v>0</v>
      </c>
    </row>
    <row r="1306" spans="1:36">
      <c r="A1306" s="1020" t="s">
        <v>636</v>
      </c>
      <c r="B1306" s="1021" t="s">
        <v>336</v>
      </c>
      <c r="C1306" s="1028" t="s">
        <v>70</v>
      </c>
      <c r="D1306" s="1027"/>
      <c r="E1306" s="1037"/>
      <c r="F1306" s="1036">
        <v>99</v>
      </c>
      <c r="G1306" s="1152"/>
      <c r="H1306" s="1153"/>
      <c r="I1306" s="1152"/>
      <c r="J1306" s="1153"/>
      <c r="K1306" s="1152"/>
      <c r="L1306" s="1153"/>
      <c r="M1306" s="1152"/>
      <c r="N1306" s="1152"/>
      <c r="O1306" s="732">
        <f t="shared" si="165"/>
        <v>0</v>
      </c>
      <c r="P1306" s="1153"/>
      <c r="Q1306" s="1153"/>
      <c r="R1306" s="733">
        <f t="shared" si="168"/>
        <v>0</v>
      </c>
      <c r="S1306" s="732">
        <f t="shared" si="169"/>
        <v>0</v>
      </c>
      <c r="T1306" s="733">
        <f t="shared" si="170"/>
        <v>0</v>
      </c>
      <c r="U1306" s="1152"/>
      <c r="V1306" s="1153"/>
      <c r="W1306" s="1152"/>
      <c r="X1306" s="1152"/>
      <c r="Y1306" s="732">
        <f t="shared" si="166"/>
        <v>0</v>
      </c>
      <c r="Z1306" s="1153"/>
      <c r="AA1306" s="1153"/>
      <c r="AB1306" s="733">
        <f t="shared" si="167"/>
        <v>0</v>
      </c>
      <c r="AC1306" s="1152"/>
      <c r="AD1306" s="1153"/>
      <c r="AE1306" s="1152"/>
      <c r="AF1306" s="1152"/>
      <c r="AG1306" s="1153"/>
      <c r="AH1306" s="1153"/>
      <c r="AI1306" s="732">
        <f t="shared" si="171"/>
        <v>0</v>
      </c>
      <c r="AJ1306" s="733">
        <f t="shared" si="172"/>
        <v>0</v>
      </c>
    </row>
    <row r="1307" spans="1:36">
      <c r="A1307" s="1020" t="s">
        <v>636</v>
      </c>
      <c r="B1307" s="1021" t="s">
        <v>336</v>
      </c>
      <c r="C1307" s="1026" t="s">
        <v>654</v>
      </c>
      <c r="D1307" s="1027"/>
      <c r="E1307" s="1037"/>
      <c r="F1307" s="1036">
        <v>99</v>
      </c>
      <c r="G1307" s="1152"/>
      <c r="H1307" s="1153"/>
      <c r="I1307" s="1152">
        <v>9446320</v>
      </c>
      <c r="J1307" s="1153">
        <v>9899873</v>
      </c>
      <c r="K1307" s="1152"/>
      <c r="L1307" s="1153"/>
      <c r="M1307" s="1152"/>
      <c r="N1307" s="1152"/>
      <c r="O1307" s="732">
        <f t="shared" si="165"/>
        <v>0</v>
      </c>
      <c r="P1307" s="1153"/>
      <c r="Q1307" s="1153"/>
      <c r="R1307" s="733">
        <f t="shared" si="168"/>
        <v>0</v>
      </c>
      <c r="S1307" s="732">
        <f t="shared" si="169"/>
        <v>9446320</v>
      </c>
      <c r="T1307" s="733">
        <f t="shared" si="170"/>
        <v>9899873</v>
      </c>
      <c r="U1307" s="1152"/>
      <c r="V1307" s="1153"/>
      <c r="W1307" s="1152"/>
      <c r="X1307" s="1152"/>
      <c r="Y1307" s="732">
        <f t="shared" si="166"/>
        <v>0</v>
      </c>
      <c r="Z1307" s="1153"/>
      <c r="AA1307" s="1153"/>
      <c r="AB1307" s="733">
        <f t="shared" si="167"/>
        <v>0</v>
      </c>
      <c r="AC1307" s="1152"/>
      <c r="AD1307" s="1153"/>
      <c r="AE1307" s="1152"/>
      <c r="AF1307" s="1152"/>
      <c r="AG1307" s="1153"/>
      <c r="AH1307" s="1153"/>
      <c r="AI1307" s="732">
        <f t="shared" si="171"/>
        <v>9446320</v>
      </c>
      <c r="AJ1307" s="733">
        <f t="shared" si="172"/>
        <v>9899873</v>
      </c>
    </row>
    <row r="1308" spans="1:36">
      <c r="A1308" s="1020" t="s">
        <v>636</v>
      </c>
      <c r="B1308" s="1021" t="s">
        <v>336</v>
      </c>
      <c r="C1308" s="1026" t="s">
        <v>655</v>
      </c>
      <c r="D1308" s="1027"/>
      <c r="E1308" s="1037"/>
      <c r="F1308" s="1036">
        <v>99</v>
      </c>
      <c r="G1308" s="1152"/>
      <c r="H1308" s="1153"/>
      <c r="I1308" s="1152">
        <v>180557.6</v>
      </c>
      <c r="J1308" s="1153">
        <v>277800</v>
      </c>
      <c r="K1308" s="1152"/>
      <c r="L1308" s="1153"/>
      <c r="M1308" s="1152"/>
      <c r="N1308" s="1152"/>
      <c r="O1308" s="732">
        <f t="shared" si="165"/>
        <v>0</v>
      </c>
      <c r="P1308" s="1153"/>
      <c r="Q1308" s="1153"/>
      <c r="R1308" s="733">
        <f t="shared" si="168"/>
        <v>0</v>
      </c>
      <c r="S1308" s="732">
        <f t="shared" si="169"/>
        <v>180557.6</v>
      </c>
      <c r="T1308" s="733">
        <f t="shared" si="170"/>
        <v>277800</v>
      </c>
      <c r="U1308" s="1152"/>
      <c r="V1308" s="1153"/>
      <c r="W1308" s="1152"/>
      <c r="X1308" s="1152"/>
      <c r="Y1308" s="732">
        <f t="shared" si="166"/>
        <v>0</v>
      </c>
      <c r="Z1308" s="1153"/>
      <c r="AA1308" s="1153"/>
      <c r="AB1308" s="733">
        <f t="shared" si="167"/>
        <v>0</v>
      </c>
      <c r="AC1308" s="1152"/>
      <c r="AD1308" s="1153"/>
      <c r="AE1308" s="1152"/>
      <c r="AF1308" s="1152"/>
      <c r="AG1308" s="1153"/>
      <c r="AH1308" s="1153"/>
      <c r="AI1308" s="732">
        <f t="shared" si="171"/>
        <v>180557.6</v>
      </c>
      <c r="AJ1308" s="733">
        <f t="shared" si="172"/>
        <v>277800</v>
      </c>
    </row>
    <row r="1309" spans="1:36">
      <c r="A1309" s="1020" t="s">
        <v>636</v>
      </c>
      <c r="B1309" s="1021" t="s">
        <v>336</v>
      </c>
      <c r="C1309" s="1026" t="s">
        <v>656</v>
      </c>
      <c r="D1309" s="1027"/>
      <c r="E1309" s="1037"/>
      <c r="F1309" s="1036">
        <v>99</v>
      </c>
      <c r="G1309" s="1152"/>
      <c r="H1309" s="1153"/>
      <c r="I1309" s="1152"/>
      <c r="J1309" s="1153"/>
      <c r="K1309" s="1152"/>
      <c r="L1309" s="1153"/>
      <c r="M1309" s="1152"/>
      <c r="N1309" s="1152"/>
      <c r="O1309" s="732">
        <f t="shared" si="165"/>
        <v>0</v>
      </c>
      <c r="P1309" s="1153"/>
      <c r="Q1309" s="1153"/>
      <c r="R1309" s="733">
        <f t="shared" si="168"/>
        <v>0</v>
      </c>
      <c r="S1309" s="732">
        <f t="shared" si="169"/>
        <v>0</v>
      </c>
      <c r="T1309" s="733">
        <f t="shared" si="170"/>
        <v>0</v>
      </c>
      <c r="U1309" s="1152"/>
      <c r="V1309" s="1153"/>
      <c r="W1309" s="1152"/>
      <c r="X1309" s="1152"/>
      <c r="Y1309" s="732">
        <f t="shared" si="166"/>
        <v>0</v>
      </c>
      <c r="Z1309" s="1153"/>
      <c r="AA1309" s="1153"/>
      <c r="AB1309" s="733">
        <f t="shared" si="167"/>
        <v>0</v>
      </c>
      <c r="AC1309" s="1152"/>
      <c r="AD1309" s="1153"/>
      <c r="AE1309" s="1152"/>
      <c r="AF1309" s="1152"/>
      <c r="AG1309" s="1153"/>
      <c r="AH1309" s="1153"/>
      <c r="AI1309" s="732">
        <f t="shared" si="171"/>
        <v>0</v>
      </c>
      <c r="AJ1309" s="733">
        <f t="shared" si="172"/>
        <v>0</v>
      </c>
    </row>
    <row r="1310" spans="1:36">
      <c r="A1310" s="1020" t="s">
        <v>636</v>
      </c>
      <c r="B1310" s="1021" t="s">
        <v>336</v>
      </c>
      <c r="C1310" s="1026" t="s">
        <v>657</v>
      </c>
      <c r="D1310" s="1027"/>
      <c r="E1310" s="1038"/>
      <c r="F1310" s="1036">
        <v>99</v>
      </c>
      <c r="G1310" s="1152"/>
      <c r="H1310" s="1153"/>
      <c r="I1310" s="1152"/>
      <c r="J1310" s="1153"/>
      <c r="K1310" s="1152"/>
      <c r="L1310" s="1153"/>
      <c r="M1310" s="1152"/>
      <c r="N1310" s="1152"/>
      <c r="O1310" s="732">
        <f t="shared" si="165"/>
        <v>0</v>
      </c>
      <c r="P1310" s="1153"/>
      <c r="Q1310" s="1153"/>
      <c r="R1310" s="733">
        <f t="shared" si="168"/>
        <v>0</v>
      </c>
      <c r="S1310" s="732">
        <f t="shared" si="169"/>
        <v>0</v>
      </c>
      <c r="T1310" s="733">
        <f t="shared" si="170"/>
        <v>0</v>
      </c>
      <c r="U1310" s="1152"/>
      <c r="V1310" s="1153"/>
      <c r="W1310" s="1152"/>
      <c r="X1310" s="1152"/>
      <c r="Y1310" s="732">
        <f t="shared" si="166"/>
        <v>0</v>
      </c>
      <c r="Z1310" s="1153"/>
      <c r="AA1310" s="1153"/>
      <c r="AB1310" s="733">
        <f t="shared" si="167"/>
        <v>0</v>
      </c>
      <c r="AC1310" s="1152"/>
      <c r="AD1310" s="1153"/>
      <c r="AE1310" s="1152"/>
      <c r="AF1310" s="1152"/>
      <c r="AG1310" s="1153"/>
      <c r="AH1310" s="1153"/>
      <c r="AI1310" s="732">
        <f t="shared" si="171"/>
        <v>0</v>
      </c>
      <c r="AJ1310" s="733">
        <f t="shared" si="172"/>
        <v>0</v>
      </c>
    </row>
    <row r="1311" spans="1:36">
      <c r="A1311" s="1020" t="s">
        <v>636</v>
      </c>
      <c r="B1311" s="1021" t="s">
        <v>336</v>
      </c>
      <c r="C1311" s="1026" t="s">
        <v>658</v>
      </c>
      <c r="D1311" s="1027"/>
      <c r="E1311" s="1038"/>
      <c r="F1311" s="1036">
        <v>99</v>
      </c>
      <c r="G1311" s="1152"/>
      <c r="H1311" s="1153"/>
      <c r="I1311" s="1152"/>
      <c r="J1311" s="1153"/>
      <c r="K1311" s="1152"/>
      <c r="L1311" s="1153"/>
      <c r="M1311" s="1152"/>
      <c r="N1311" s="1152"/>
      <c r="O1311" s="732">
        <f t="shared" si="165"/>
        <v>0</v>
      </c>
      <c r="P1311" s="1153"/>
      <c r="Q1311" s="1153"/>
      <c r="R1311" s="733">
        <f t="shared" si="168"/>
        <v>0</v>
      </c>
      <c r="S1311" s="732">
        <f t="shared" si="169"/>
        <v>0</v>
      </c>
      <c r="T1311" s="733">
        <f t="shared" si="170"/>
        <v>0</v>
      </c>
      <c r="U1311" s="1152">
        <v>49906354</v>
      </c>
      <c r="V1311" s="1153">
        <v>49948874</v>
      </c>
      <c r="W1311" s="1152"/>
      <c r="X1311" s="1152"/>
      <c r="Y1311" s="732">
        <f t="shared" si="166"/>
        <v>0</v>
      </c>
      <c r="Z1311" s="1153"/>
      <c r="AA1311" s="1153"/>
      <c r="AB1311" s="733">
        <f t="shared" si="167"/>
        <v>0</v>
      </c>
      <c r="AC1311" s="1152"/>
      <c r="AD1311" s="1153"/>
      <c r="AE1311" s="1152"/>
      <c r="AF1311" s="1152"/>
      <c r="AG1311" s="1153"/>
      <c r="AH1311" s="1153"/>
      <c r="AI1311" s="732">
        <f t="shared" si="171"/>
        <v>49906354</v>
      </c>
      <c r="AJ1311" s="733">
        <f t="shared" si="172"/>
        <v>49948874</v>
      </c>
    </row>
    <row r="1312" spans="1:36">
      <c r="A1312" s="1020" t="s">
        <v>636</v>
      </c>
      <c r="B1312" s="1021" t="s">
        <v>120</v>
      </c>
      <c r="C1312" s="1028" t="s">
        <v>79</v>
      </c>
      <c r="D1312" s="1027"/>
      <c r="E1312" s="1037"/>
      <c r="F1312" s="1036">
        <v>99</v>
      </c>
      <c r="G1312" s="1152"/>
      <c r="H1312" s="1153"/>
      <c r="I1312" s="1152"/>
      <c r="J1312" s="1153"/>
      <c r="K1312" s="1152"/>
      <c r="L1312" s="1153"/>
      <c r="M1312" s="1152"/>
      <c r="N1312" s="1152"/>
      <c r="O1312" s="732">
        <f t="shared" si="165"/>
        <v>0</v>
      </c>
      <c r="P1312" s="1153"/>
      <c r="Q1312" s="1153"/>
      <c r="R1312" s="733">
        <f t="shared" si="168"/>
        <v>0</v>
      </c>
      <c r="S1312" s="732">
        <f t="shared" si="169"/>
        <v>0</v>
      </c>
      <c r="T1312" s="733">
        <f t="shared" si="170"/>
        <v>0</v>
      </c>
      <c r="U1312" s="1152"/>
      <c r="V1312" s="1153"/>
      <c r="W1312" s="1152"/>
      <c r="X1312" s="1152"/>
      <c r="Y1312" s="732">
        <f t="shared" si="166"/>
        <v>0</v>
      </c>
      <c r="Z1312" s="1153"/>
      <c r="AA1312" s="1153"/>
      <c r="AB1312" s="733">
        <f t="shared" si="167"/>
        <v>0</v>
      </c>
      <c r="AC1312" s="1152"/>
      <c r="AD1312" s="1153"/>
      <c r="AE1312" s="1152"/>
      <c r="AF1312" s="1152"/>
      <c r="AG1312" s="1153"/>
      <c r="AH1312" s="1153"/>
      <c r="AI1312" s="732">
        <f t="shared" si="171"/>
        <v>0</v>
      </c>
      <c r="AJ1312" s="733">
        <f t="shared" si="172"/>
        <v>0</v>
      </c>
    </row>
    <row r="1313" spans="1:36">
      <c r="A1313" s="1020" t="s">
        <v>636</v>
      </c>
      <c r="B1313" s="1021" t="s">
        <v>120</v>
      </c>
      <c r="C1313" s="1026" t="s">
        <v>659</v>
      </c>
      <c r="D1313" s="1027"/>
      <c r="E1313" s="1037"/>
      <c r="F1313" s="1036">
        <v>99</v>
      </c>
      <c r="G1313" s="1152"/>
      <c r="H1313" s="1153"/>
      <c r="I1313" s="1152">
        <v>4800000</v>
      </c>
      <c r="J1313" s="1153">
        <v>4900000</v>
      </c>
      <c r="K1313" s="1152"/>
      <c r="L1313" s="1153"/>
      <c r="M1313" s="1152"/>
      <c r="N1313" s="1152"/>
      <c r="O1313" s="732">
        <f t="shared" si="165"/>
        <v>0</v>
      </c>
      <c r="P1313" s="1153"/>
      <c r="Q1313" s="1153"/>
      <c r="R1313" s="733">
        <f t="shared" si="168"/>
        <v>0</v>
      </c>
      <c r="S1313" s="732">
        <f t="shared" si="169"/>
        <v>4800000</v>
      </c>
      <c r="T1313" s="733">
        <f t="shared" si="170"/>
        <v>4900000</v>
      </c>
      <c r="U1313" s="1152"/>
      <c r="V1313" s="1153"/>
      <c r="W1313" s="1152"/>
      <c r="X1313" s="1152"/>
      <c r="Y1313" s="732">
        <f t="shared" si="166"/>
        <v>0</v>
      </c>
      <c r="Z1313" s="1153"/>
      <c r="AA1313" s="1153"/>
      <c r="AB1313" s="733">
        <f t="shared" si="167"/>
        <v>0</v>
      </c>
      <c r="AC1313" s="1152"/>
      <c r="AD1313" s="1153"/>
      <c r="AE1313" s="1152"/>
      <c r="AF1313" s="1152"/>
      <c r="AG1313" s="1153"/>
      <c r="AH1313" s="1153"/>
      <c r="AI1313" s="732">
        <f t="shared" si="171"/>
        <v>4800000</v>
      </c>
      <c r="AJ1313" s="733">
        <f t="shared" si="172"/>
        <v>4900000</v>
      </c>
    </row>
    <row r="1314" spans="1:36">
      <c r="A1314" s="1020" t="s">
        <v>636</v>
      </c>
      <c r="B1314" s="1021" t="s">
        <v>132</v>
      </c>
      <c r="C1314" s="1023" t="s">
        <v>660</v>
      </c>
      <c r="D1314" s="1023"/>
      <c r="E1314" s="1038"/>
      <c r="F1314" s="1036">
        <v>99</v>
      </c>
      <c r="G1314" s="1152"/>
      <c r="H1314" s="1153"/>
      <c r="I1314" s="1152"/>
      <c r="J1314" s="1153"/>
      <c r="K1314" s="1152"/>
      <c r="L1314" s="1153"/>
      <c r="M1314" s="1152"/>
      <c r="N1314" s="1152"/>
      <c r="O1314" s="732">
        <f t="shared" si="165"/>
        <v>0</v>
      </c>
      <c r="P1314" s="1153"/>
      <c r="Q1314" s="1153"/>
      <c r="R1314" s="733">
        <f t="shared" si="168"/>
        <v>0</v>
      </c>
      <c r="S1314" s="732">
        <f t="shared" si="169"/>
        <v>0</v>
      </c>
      <c r="T1314" s="733">
        <f t="shared" si="170"/>
        <v>0</v>
      </c>
      <c r="U1314" s="1152"/>
      <c r="V1314" s="1153"/>
      <c r="W1314" s="1152"/>
      <c r="X1314" s="1152"/>
      <c r="Y1314" s="732">
        <f t="shared" si="166"/>
        <v>0</v>
      </c>
      <c r="Z1314" s="1153"/>
      <c r="AA1314" s="1153"/>
      <c r="AB1314" s="733">
        <f t="shared" si="167"/>
        <v>0</v>
      </c>
      <c r="AC1314" s="1152"/>
      <c r="AD1314" s="1153"/>
      <c r="AE1314" s="1152"/>
      <c r="AF1314" s="1152"/>
      <c r="AG1314" s="1153"/>
      <c r="AH1314" s="1153"/>
      <c r="AI1314" s="732">
        <f t="shared" si="171"/>
        <v>0</v>
      </c>
      <c r="AJ1314" s="733">
        <f t="shared" si="172"/>
        <v>0</v>
      </c>
    </row>
    <row r="1315" spans="1:36" s="13" customFormat="1" ht="15" customHeight="1">
      <c r="A1315" s="1020" t="s">
        <v>636</v>
      </c>
      <c r="B1315" s="1021" t="s">
        <v>132</v>
      </c>
      <c r="C1315" s="1026" t="s">
        <v>661</v>
      </c>
      <c r="D1315" s="1027"/>
      <c r="E1315" s="1038"/>
      <c r="F1315" s="1036">
        <v>99</v>
      </c>
      <c r="G1315" s="1152"/>
      <c r="H1315" s="1153"/>
      <c r="I1315" s="1152">
        <v>16981145</v>
      </c>
      <c r="J1315" s="1153">
        <v>30485758</v>
      </c>
      <c r="K1315" s="1152"/>
      <c r="L1315" s="1153"/>
      <c r="M1315" s="1152"/>
      <c r="N1315" s="1152"/>
      <c r="O1315" s="732">
        <f t="shared" si="165"/>
        <v>0</v>
      </c>
      <c r="P1315" s="1153"/>
      <c r="Q1315" s="1153"/>
      <c r="R1315" s="733">
        <f t="shared" si="168"/>
        <v>0</v>
      </c>
      <c r="S1315" s="732">
        <f t="shared" si="169"/>
        <v>16981145</v>
      </c>
      <c r="T1315" s="733">
        <f t="shared" si="170"/>
        <v>30485758</v>
      </c>
      <c r="U1315" s="1152"/>
      <c r="V1315" s="1153"/>
      <c r="W1315" s="1152"/>
      <c r="X1315" s="1152"/>
      <c r="Y1315" s="732">
        <f t="shared" si="166"/>
        <v>0</v>
      </c>
      <c r="Z1315" s="1153"/>
      <c r="AA1315" s="1153"/>
      <c r="AB1315" s="733">
        <f t="shared" si="167"/>
        <v>0</v>
      </c>
      <c r="AC1315" s="1152"/>
      <c r="AD1315" s="1153"/>
      <c r="AE1315" s="1152"/>
      <c r="AF1315" s="1152"/>
      <c r="AG1315" s="1153"/>
      <c r="AH1315" s="1153"/>
      <c r="AI1315" s="732">
        <f t="shared" si="171"/>
        <v>16981145</v>
      </c>
      <c r="AJ1315" s="733">
        <f t="shared" si="172"/>
        <v>30485758</v>
      </c>
    </row>
    <row r="1316" spans="1:36">
      <c r="A1316" s="1020" t="s">
        <v>636</v>
      </c>
      <c r="B1316" s="1021" t="s">
        <v>138</v>
      </c>
      <c r="C1316" s="1023" t="s">
        <v>139</v>
      </c>
      <c r="D1316" s="1023"/>
      <c r="E1316" s="1037"/>
      <c r="F1316" s="1036">
        <v>99</v>
      </c>
      <c r="G1316" s="1152"/>
      <c r="H1316" s="1153"/>
      <c r="I1316" s="1152"/>
      <c r="J1316" s="1153"/>
      <c r="K1316" s="1152"/>
      <c r="L1316" s="1153"/>
      <c r="M1316" s="1152"/>
      <c r="N1316" s="1152"/>
      <c r="O1316" s="732">
        <f t="shared" si="165"/>
        <v>0</v>
      </c>
      <c r="P1316" s="1153"/>
      <c r="Q1316" s="1153"/>
      <c r="R1316" s="733">
        <f t="shared" si="168"/>
        <v>0</v>
      </c>
      <c r="S1316" s="732">
        <f t="shared" si="169"/>
        <v>0</v>
      </c>
      <c r="T1316" s="733">
        <f t="shared" si="170"/>
        <v>0</v>
      </c>
      <c r="U1316" s="1152"/>
      <c r="V1316" s="1153"/>
      <c r="W1316" s="1152"/>
      <c r="X1316" s="1152"/>
      <c r="Y1316" s="732">
        <f t="shared" si="166"/>
        <v>0</v>
      </c>
      <c r="Z1316" s="1153"/>
      <c r="AA1316" s="1153"/>
      <c r="AB1316" s="733">
        <f t="shared" si="167"/>
        <v>0</v>
      </c>
      <c r="AC1316" s="1152"/>
      <c r="AD1316" s="1153"/>
      <c r="AE1316" s="1152"/>
      <c r="AF1316" s="1152"/>
      <c r="AG1316" s="1153"/>
      <c r="AH1316" s="1153"/>
      <c r="AI1316" s="732">
        <f t="shared" si="171"/>
        <v>0</v>
      </c>
      <c r="AJ1316" s="733">
        <f t="shared" si="172"/>
        <v>0</v>
      </c>
    </row>
    <row r="1317" spans="1:36">
      <c r="A1317" s="1020" t="s">
        <v>636</v>
      </c>
      <c r="B1317" s="1021" t="s">
        <v>140</v>
      </c>
      <c r="C1317" s="1028" t="s">
        <v>141</v>
      </c>
      <c r="D1317" s="1027"/>
      <c r="E1317" s="1037"/>
      <c r="F1317" s="1036">
        <v>99</v>
      </c>
      <c r="G1317" s="1152"/>
      <c r="H1317" s="1153"/>
      <c r="I1317" s="1152"/>
      <c r="J1317" s="1153"/>
      <c r="K1317" s="1152"/>
      <c r="L1317" s="1153"/>
      <c r="M1317" s="1152"/>
      <c r="N1317" s="1152"/>
      <c r="O1317" s="732">
        <f t="shared" si="165"/>
        <v>0</v>
      </c>
      <c r="P1317" s="1153"/>
      <c r="Q1317" s="1153"/>
      <c r="R1317" s="733">
        <f t="shared" si="168"/>
        <v>0</v>
      </c>
      <c r="S1317" s="732">
        <f t="shared" si="169"/>
        <v>0</v>
      </c>
      <c r="T1317" s="733">
        <f t="shared" si="170"/>
        <v>0</v>
      </c>
      <c r="U1317" s="1152"/>
      <c r="V1317" s="1153"/>
      <c r="W1317" s="1152"/>
      <c r="X1317" s="1152"/>
      <c r="Y1317" s="732">
        <f t="shared" si="166"/>
        <v>0</v>
      </c>
      <c r="Z1317" s="1153"/>
      <c r="AA1317" s="1153"/>
      <c r="AB1317" s="733">
        <f t="shared" si="167"/>
        <v>0</v>
      </c>
      <c r="AC1317" s="1152"/>
      <c r="AD1317" s="1153"/>
      <c r="AE1317" s="1152"/>
      <c r="AF1317" s="1152"/>
      <c r="AG1317" s="1153"/>
      <c r="AH1317" s="1153"/>
      <c r="AI1317" s="732">
        <f t="shared" si="171"/>
        <v>0</v>
      </c>
      <c r="AJ1317" s="733">
        <f t="shared" si="172"/>
        <v>0</v>
      </c>
    </row>
    <row r="1318" spans="1:36">
      <c r="A1318" s="1020" t="s">
        <v>636</v>
      </c>
      <c r="B1318" s="1021" t="s">
        <v>140</v>
      </c>
      <c r="C1318" s="1026" t="s">
        <v>662</v>
      </c>
      <c r="D1318" s="1027"/>
      <c r="E1318" s="1037"/>
      <c r="F1318" s="1036">
        <v>99</v>
      </c>
      <c r="G1318" s="1152"/>
      <c r="H1318" s="1153"/>
      <c r="I1318" s="1152"/>
      <c r="J1318" s="1153"/>
      <c r="K1318" s="1152"/>
      <c r="L1318" s="1153"/>
      <c r="M1318" s="1152"/>
      <c r="N1318" s="1152"/>
      <c r="O1318" s="732">
        <f t="shared" si="165"/>
        <v>0</v>
      </c>
      <c r="P1318" s="1153"/>
      <c r="Q1318" s="1153"/>
      <c r="R1318" s="733">
        <f t="shared" si="168"/>
        <v>0</v>
      </c>
      <c r="S1318" s="732">
        <f t="shared" si="169"/>
        <v>0</v>
      </c>
      <c r="T1318" s="733">
        <f t="shared" si="170"/>
        <v>0</v>
      </c>
      <c r="U1318" s="1152">
        <v>33802925</v>
      </c>
      <c r="V1318" s="1153">
        <v>30363320</v>
      </c>
      <c r="W1318" s="1152"/>
      <c r="X1318" s="1152"/>
      <c r="Y1318" s="732">
        <f t="shared" si="166"/>
        <v>0</v>
      </c>
      <c r="Z1318" s="1153"/>
      <c r="AA1318" s="1153"/>
      <c r="AB1318" s="733">
        <f t="shared" si="167"/>
        <v>0</v>
      </c>
      <c r="AC1318" s="1152"/>
      <c r="AD1318" s="1153"/>
      <c r="AE1318" s="1152"/>
      <c r="AF1318" s="1152"/>
      <c r="AG1318" s="1153"/>
      <c r="AH1318" s="1153"/>
      <c r="AI1318" s="732">
        <f t="shared" si="171"/>
        <v>33802925</v>
      </c>
      <c r="AJ1318" s="733">
        <f t="shared" si="172"/>
        <v>30363320</v>
      </c>
    </row>
    <row r="1319" spans="1:36">
      <c r="A1319" s="1020" t="s">
        <v>636</v>
      </c>
      <c r="B1319" s="1021" t="s">
        <v>145</v>
      </c>
      <c r="C1319" s="1028" t="s">
        <v>146</v>
      </c>
      <c r="D1319" s="1027"/>
      <c r="E1319" s="1037"/>
      <c r="F1319" s="1036">
        <v>99</v>
      </c>
      <c r="G1319" s="1152"/>
      <c r="H1319" s="1153"/>
      <c r="I1319" s="1152"/>
      <c r="J1319" s="1153"/>
      <c r="K1319" s="1152"/>
      <c r="L1319" s="1153"/>
      <c r="M1319" s="1152"/>
      <c r="N1319" s="1152"/>
      <c r="O1319" s="732">
        <f t="shared" si="165"/>
        <v>0</v>
      </c>
      <c r="P1319" s="1153"/>
      <c r="Q1319" s="1153"/>
      <c r="R1319" s="733">
        <f t="shared" si="168"/>
        <v>0</v>
      </c>
      <c r="S1319" s="732">
        <f t="shared" si="169"/>
        <v>0</v>
      </c>
      <c r="T1319" s="733">
        <f t="shared" si="170"/>
        <v>0</v>
      </c>
      <c r="U1319" s="1152"/>
      <c r="V1319" s="1153"/>
      <c r="W1319" s="1152"/>
      <c r="X1319" s="1152"/>
      <c r="Y1319" s="732">
        <f t="shared" si="166"/>
        <v>0</v>
      </c>
      <c r="Z1319" s="1153"/>
      <c r="AA1319" s="1153"/>
      <c r="AB1319" s="733">
        <f t="shared" si="167"/>
        <v>0</v>
      </c>
      <c r="AC1319" s="1152"/>
      <c r="AD1319" s="1153"/>
      <c r="AE1319" s="1152"/>
      <c r="AF1319" s="1152"/>
      <c r="AG1319" s="1153"/>
      <c r="AH1319" s="1153"/>
      <c r="AI1319" s="732">
        <f t="shared" si="171"/>
        <v>0</v>
      </c>
      <c r="AJ1319" s="733">
        <f t="shared" si="172"/>
        <v>0</v>
      </c>
    </row>
    <row r="1320" spans="1:36">
      <c r="A1320" s="1020" t="s">
        <v>636</v>
      </c>
      <c r="B1320" s="1021" t="s">
        <v>145</v>
      </c>
      <c r="C1320" s="1026" t="s">
        <v>246</v>
      </c>
      <c r="D1320" s="1027"/>
      <c r="E1320" s="1038"/>
      <c r="F1320" s="1036">
        <v>99</v>
      </c>
      <c r="G1320" s="1152"/>
      <c r="H1320" s="1153"/>
      <c r="I1320" s="1152"/>
      <c r="J1320" s="1153"/>
      <c r="K1320" s="1152"/>
      <c r="L1320" s="1153"/>
      <c r="M1320" s="1152"/>
      <c r="N1320" s="1152"/>
      <c r="O1320" s="732">
        <f t="shared" si="165"/>
        <v>0</v>
      </c>
      <c r="P1320" s="1153"/>
      <c r="Q1320" s="1153"/>
      <c r="R1320" s="733">
        <f t="shared" si="168"/>
        <v>0</v>
      </c>
      <c r="S1320" s="732">
        <f t="shared" si="169"/>
        <v>0</v>
      </c>
      <c r="T1320" s="733">
        <f t="shared" si="170"/>
        <v>0</v>
      </c>
      <c r="U1320" s="1152">
        <v>204997</v>
      </c>
      <c r="V1320" s="1153">
        <v>204997</v>
      </c>
      <c r="W1320" s="1152"/>
      <c r="X1320" s="1152"/>
      <c r="Y1320" s="732">
        <f t="shared" si="166"/>
        <v>0</v>
      </c>
      <c r="Z1320" s="1153"/>
      <c r="AA1320" s="1153"/>
      <c r="AB1320" s="733">
        <f t="shared" si="167"/>
        <v>0</v>
      </c>
      <c r="AC1320" s="1152"/>
      <c r="AD1320" s="1153"/>
      <c r="AE1320" s="1152"/>
      <c r="AF1320" s="1152"/>
      <c r="AG1320" s="1153"/>
      <c r="AH1320" s="1153"/>
      <c r="AI1320" s="732">
        <f t="shared" si="171"/>
        <v>204997</v>
      </c>
      <c r="AJ1320" s="733">
        <f t="shared" si="172"/>
        <v>204997</v>
      </c>
    </row>
    <row r="1321" spans="1:36">
      <c r="A1321" s="1020" t="s">
        <v>636</v>
      </c>
      <c r="B1321" s="1021" t="s">
        <v>149</v>
      </c>
      <c r="C1321" s="1028" t="s">
        <v>247</v>
      </c>
      <c r="D1321" s="1027"/>
      <c r="E1321" s="1037"/>
      <c r="F1321" s="1036">
        <v>99</v>
      </c>
      <c r="G1321" s="1152"/>
      <c r="H1321" s="1153"/>
      <c r="I1321" s="1152"/>
      <c r="J1321" s="1153"/>
      <c r="K1321" s="1152"/>
      <c r="L1321" s="1153"/>
      <c r="M1321" s="1152"/>
      <c r="N1321" s="1152"/>
      <c r="O1321" s="732">
        <f t="shared" si="165"/>
        <v>0</v>
      </c>
      <c r="P1321" s="1153"/>
      <c r="Q1321" s="1153"/>
      <c r="R1321" s="733">
        <f t="shared" si="168"/>
        <v>0</v>
      </c>
      <c r="S1321" s="732">
        <f t="shared" si="169"/>
        <v>0</v>
      </c>
      <c r="T1321" s="733">
        <f t="shared" si="170"/>
        <v>0</v>
      </c>
      <c r="U1321" s="1152"/>
      <c r="V1321" s="1153"/>
      <c r="W1321" s="1152"/>
      <c r="X1321" s="1152"/>
      <c r="Y1321" s="732">
        <f t="shared" si="166"/>
        <v>0</v>
      </c>
      <c r="Z1321" s="1153"/>
      <c r="AA1321" s="1153"/>
      <c r="AB1321" s="733">
        <f t="shared" si="167"/>
        <v>0</v>
      </c>
      <c r="AC1321" s="1152"/>
      <c r="AD1321" s="1153"/>
      <c r="AE1321" s="1152"/>
      <c r="AF1321" s="1152"/>
      <c r="AG1321" s="1153"/>
      <c r="AH1321" s="1153"/>
      <c r="AI1321" s="732">
        <f t="shared" si="171"/>
        <v>0</v>
      </c>
      <c r="AJ1321" s="733">
        <f t="shared" si="172"/>
        <v>0</v>
      </c>
    </row>
    <row r="1322" spans="1:36">
      <c r="A1322" s="1020" t="s">
        <v>636</v>
      </c>
      <c r="B1322" s="1021" t="s">
        <v>151</v>
      </c>
      <c r="C1322" s="1023" t="s">
        <v>152</v>
      </c>
      <c r="D1322" s="1023"/>
      <c r="E1322" s="1037"/>
      <c r="F1322" s="1036">
        <v>99</v>
      </c>
      <c r="G1322" s="1152"/>
      <c r="H1322" s="1153"/>
      <c r="I1322" s="1152"/>
      <c r="J1322" s="1153"/>
      <c r="K1322" s="1152"/>
      <c r="L1322" s="1153"/>
      <c r="M1322" s="1152"/>
      <c r="N1322" s="1152"/>
      <c r="O1322" s="732">
        <f t="shared" si="165"/>
        <v>0</v>
      </c>
      <c r="P1322" s="1153"/>
      <c r="Q1322" s="1153"/>
      <c r="R1322" s="733">
        <f t="shared" si="168"/>
        <v>0</v>
      </c>
      <c r="S1322" s="732">
        <f t="shared" si="169"/>
        <v>0</v>
      </c>
      <c r="T1322" s="733">
        <f t="shared" si="170"/>
        <v>0</v>
      </c>
      <c r="U1322" s="1152"/>
      <c r="V1322" s="1153"/>
      <c r="W1322" s="1152"/>
      <c r="X1322" s="1152"/>
      <c r="Y1322" s="732">
        <f t="shared" si="166"/>
        <v>0</v>
      </c>
      <c r="Z1322" s="1153"/>
      <c r="AA1322" s="1153"/>
      <c r="AB1322" s="733">
        <f t="shared" si="167"/>
        <v>0</v>
      </c>
      <c r="AC1322" s="1152"/>
      <c r="AD1322" s="1153"/>
      <c r="AE1322" s="1152"/>
      <c r="AF1322" s="1152"/>
      <c r="AG1322" s="1153"/>
      <c r="AH1322" s="1153"/>
      <c r="AI1322" s="732">
        <f t="shared" si="171"/>
        <v>0</v>
      </c>
      <c r="AJ1322" s="733">
        <f t="shared" si="172"/>
        <v>0</v>
      </c>
    </row>
    <row r="1323" spans="1:36">
      <c r="A1323" s="1020" t="s">
        <v>636</v>
      </c>
      <c r="B1323" s="1021" t="s">
        <v>151</v>
      </c>
      <c r="C1323" s="1026" t="s">
        <v>663</v>
      </c>
      <c r="D1323" s="1027"/>
      <c r="E1323" s="1037"/>
      <c r="F1323" s="1036">
        <v>99</v>
      </c>
      <c r="G1323" s="1152"/>
      <c r="H1323" s="1153"/>
      <c r="I1323" s="1152"/>
      <c r="J1323" s="1153"/>
      <c r="K1323" s="1152"/>
      <c r="L1323" s="1153"/>
      <c r="M1323" s="1152"/>
      <c r="N1323" s="1152"/>
      <c r="O1323" s="732">
        <f t="shared" si="165"/>
        <v>0</v>
      </c>
      <c r="P1323" s="1153"/>
      <c r="Q1323" s="1153"/>
      <c r="R1323" s="733">
        <f t="shared" si="168"/>
        <v>0</v>
      </c>
      <c r="S1323" s="732">
        <f t="shared" si="169"/>
        <v>0</v>
      </c>
      <c r="T1323" s="733">
        <f t="shared" si="170"/>
        <v>0</v>
      </c>
      <c r="U1323" s="1152"/>
      <c r="V1323" s="1153"/>
      <c r="W1323" s="1152"/>
      <c r="X1323" s="1152"/>
      <c r="Y1323" s="732">
        <f t="shared" si="166"/>
        <v>0</v>
      </c>
      <c r="Z1323" s="1153"/>
      <c r="AA1323" s="1153"/>
      <c r="AB1323" s="733">
        <f t="shared" si="167"/>
        <v>0</v>
      </c>
      <c r="AC1323" s="1152"/>
      <c r="AD1323" s="1153"/>
      <c r="AE1323" s="1152"/>
      <c r="AF1323" s="1152"/>
      <c r="AG1323" s="1153"/>
      <c r="AH1323" s="1153"/>
      <c r="AI1323" s="732">
        <f t="shared" si="171"/>
        <v>0</v>
      </c>
      <c r="AJ1323" s="733">
        <f t="shared" si="172"/>
        <v>0</v>
      </c>
    </row>
    <row r="1324" spans="1:36">
      <c r="A1324" s="1020" t="s">
        <v>636</v>
      </c>
      <c r="B1324" s="1021" t="s">
        <v>248</v>
      </c>
      <c r="C1324" s="1023" t="s">
        <v>249</v>
      </c>
      <c r="D1324" s="1023"/>
      <c r="E1324" s="1037"/>
      <c r="F1324" s="1036">
        <v>99</v>
      </c>
      <c r="G1324" s="1152"/>
      <c r="H1324" s="1153"/>
      <c r="I1324" s="1152"/>
      <c r="J1324" s="1153"/>
      <c r="K1324" s="1152"/>
      <c r="L1324" s="1153"/>
      <c r="M1324" s="1152"/>
      <c r="N1324" s="1152"/>
      <c r="O1324" s="732">
        <f t="shared" si="165"/>
        <v>0</v>
      </c>
      <c r="P1324" s="1153"/>
      <c r="Q1324" s="1153"/>
      <c r="R1324" s="733">
        <f t="shared" si="168"/>
        <v>0</v>
      </c>
      <c r="S1324" s="732">
        <f t="shared" si="169"/>
        <v>0</v>
      </c>
      <c r="T1324" s="733">
        <f t="shared" si="170"/>
        <v>0</v>
      </c>
      <c r="U1324" s="1152"/>
      <c r="V1324" s="1153"/>
      <c r="W1324" s="1152"/>
      <c r="X1324" s="1152"/>
      <c r="Y1324" s="732">
        <f t="shared" si="166"/>
        <v>0</v>
      </c>
      <c r="Z1324" s="1153"/>
      <c r="AA1324" s="1153"/>
      <c r="AB1324" s="733">
        <f t="shared" si="167"/>
        <v>0</v>
      </c>
      <c r="AC1324" s="1152"/>
      <c r="AD1324" s="1153"/>
      <c r="AE1324" s="1152"/>
      <c r="AF1324" s="1152"/>
      <c r="AG1324" s="1153"/>
      <c r="AH1324" s="1153"/>
      <c r="AI1324" s="732">
        <f t="shared" si="171"/>
        <v>0</v>
      </c>
      <c r="AJ1324" s="733">
        <f t="shared" si="172"/>
        <v>0</v>
      </c>
    </row>
    <row r="1325" spans="1:36">
      <c r="A1325" s="1020" t="s">
        <v>636</v>
      </c>
      <c r="B1325" s="1021" t="s">
        <v>250</v>
      </c>
      <c r="C1325" s="1028" t="s">
        <v>251</v>
      </c>
      <c r="D1325" s="1027"/>
      <c r="E1325" s="1038"/>
      <c r="F1325" s="1036">
        <v>99</v>
      </c>
      <c r="G1325" s="1152"/>
      <c r="H1325" s="1153"/>
      <c r="I1325" s="1152"/>
      <c r="J1325" s="1153"/>
      <c r="K1325" s="1152"/>
      <c r="L1325" s="1153"/>
      <c r="M1325" s="1152"/>
      <c r="N1325" s="1152"/>
      <c r="O1325" s="732">
        <f t="shared" si="165"/>
        <v>0</v>
      </c>
      <c r="P1325" s="1153"/>
      <c r="Q1325" s="1153"/>
      <c r="R1325" s="733">
        <f t="shared" si="168"/>
        <v>0</v>
      </c>
      <c r="S1325" s="732">
        <f t="shared" si="169"/>
        <v>0</v>
      </c>
      <c r="T1325" s="733">
        <f t="shared" si="170"/>
        <v>0</v>
      </c>
      <c r="U1325" s="1152"/>
      <c r="V1325" s="1153"/>
      <c r="W1325" s="1152"/>
      <c r="X1325" s="1152"/>
      <c r="Y1325" s="732">
        <f t="shared" si="166"/>
        <v>0</v>
      </c>
      <c r="Z1325" s="1153"/>
      <c r="AA1325" s="1153"/>
      <c r="AB1325" s="733">
        <f t="shared" si="167"/>
        <v>0</v>
      </c>
      <c r="AC1325" s="1152"/>
      <c r="AD1325" s="1153"/>
      <c r="AE1325" s="1152"/>
      <c r="AF1325" s="1152"/>
      <c r="AG1325" s="1153"/>
      <c r="AH1325" s="1153"/>
      <c r="AI1325" s="732">
        <f t="shared" si="171"/>
        <v>0</v>
      </c>
      <c r="AJ1325" s="733">
        <f t="shared" si="172"/>
        <v>0</v>
      </c>
    </row>
    <row r="1326" spans="1:36">
      <c r="A1326" s="1020" t="s">
        <v>636</v>
      </c>
      <c r="B1326" s="1021" t="s">
        <v>250</v>
      </c>
      <c r="C1326" s="1026" t="s">
        <v>664</v>
      </c>
      <c r="D1326" s="1027"/>
      <c r="E1326" s="1038"/>
      <c r="F1326" s="1036">
        <v>99</v>
      </c>
      <c r="G1326" s="1152"/>
      <c r="H1326" s="1153"/>
      <c r="I1326" s="1152"/>
      <c r="J1326" s="1153"/>
      <c r="K1326" s="1152"/>
      <c r="L1326" s="1153"/>
      <c r="M1326" s="1152"/>
      <c r="N1326" s="1152"/>
      <c r="O1326" s="732">
        <f t="shared" si="165"/>
        <v>0</v>
      </c>
      <c r="P1326" s="1153"/>
      <c r="Q1326" s="1153"/>
      <c r="R1326" s="733">
        <f t="shared" si="168"/>
        <v>0</v>
      </c>
      <c r="S1326" s="732">
        <f t="shared" si="169"/>
        <v>0</v>
      </c>
      <c r="T1326" s="733">
        <f t="shared" si="170"/>
        <v>0</v>
      </c>
      <c r="U1326" s="1152"/>
      <c r="V1326" s="1153"/>
      <c r="W1326" s="1152"/>
      <c r="X1326" s="1152"/>
      <c r="Y1326" s="732">
        <f t="shared" si="166"/>
        <v>0</v>
      </c>
      <c r="Z1326" s="1153"/>
      <c r="AA1326" s="1153"/>
      <c r="AB1326" s="733">
        <f t="shared" si="167"/>
        <v>0</v>
      </c>
      <c r="AC1326" s="1152"/>
      <c r="AD1326" s="1153"/>
      <c r="AE1326" s="1152"/>
      <c r="AF1326" s="1152"/>
      <c r="AG1326" s="1153"/>
      <c r="AH1326" s="1153"/>
      <c r="AI1326" s="732">
        <f t="shared" si="171"/>
        <v>0</v>
      </c>
      <c r="AJ1326" s="733">
        <f t="shared" si="172"/>
        <v>0</v>
      </c>
    </row>
    <row r="1327" spans="1:36">
      <c r="A1327" s="1020" t="s">
        <v>636</v>
      </c>
      <c r="B1327" s="1021" t="s">
        <v>250</v>
      </c>
      <c r="C1327" s="1026" t="s">
        <v>255</v>
      </c>
      <c r="D1327" s="1027"/>
      <c r="E1327" s="1038"/>
      <c r="F1327" s="1036">
        <v>99</v>
      </c>
      <c r="G1327" s="1152"/>
      <c r="H1327" s="1153"/>
      <c r="I1327" s="1152"/>
      <c r="J1327" s="1153"/>
      <c r="K1327" s="1152"/>
      <c r="L1327" s="1153"/>
      <c r="M1327" s="1152"/>
      <c r="N1327" s="1152"/>
      <c r="O1327" s="732">
        <f t="shared" si="165"/>
        <v>0</v>
      </c>
      <c r="P1327" s="1153"/>
      <c r="Q1327" s="1153"/>
      <c r="R1327" s="733">
        <f t="shared" si="168"/>
        <v>0</v>
      </c>
      <c r="S1327" s="732">
        <f t="shared" si="169"/>
        <v>0</v>
      </c>
      <c r="T1327" s="733">
        <f t="shared" si="170"/>
        <v>0</v>
      </c>
      <c r="U1327" s="1152"/>
      <c r="V1327" s="1153"/>
      <c r="W1327" s="1152"/>
      <c r="X1327" s="1152"/>
      <c r="Y1327" s="732">
        <f t="shared" si="166"/>
        <v>0</v>
      </c>
      <c r="Z1327" s="1153"/>
      <c r="AA1327" s="1153"/>
      <c r="AB1327" s="733">
        <f t="shared" si="167"/>
        <v>0</v>
      </c>
      <c r="AC1327" s="1152"/>
      <c r="AD1327" s="1153"/>
      <c r="AE1327" s="1152"/>
      <c r="AF1327" s="1152"/>
      <c r="AG1327" s="1153"/>
      <c r="AH1327" s="1153"/>
      <c r="AI1327" s="732">
        <f t="shared" si="171"/>
        <v>0</v>
      </c>
      <c r="AJ1327" s="733">
        <f t="shared" si="172"/>
        <v>0</v>
      </c>
    </row>
    <row r="1328" spans="1:36">
      <c r="A1328" s="1020" t="s">
        <v>636</v>
      </c>
      <c r="B1328" s="1021" t="s">
        <v>258</v>
      </c>
      <c r="C1328" s="1028" t="s">
        <v>259</v>
      </c>
      <c r="D1328" s="1027"/>
      <c r="E1328" s="1038"/>
      <c r="F1328" s="1036">
        <v>99</v>
      </c>
      <c r="G1328" s="1152"/>
      <c r="H1328" s="1153"/>
      <c r="I1328" s="1152"/>
      <c r="J1328" s="1153"/>
      <c r="K1328" s="1152"/>
      <c r="L1328" s="1153"/>
      <c r="M1328" s="1152"/>
      <c r="N1328" s="1152"/>
      <c r="O1328" s="732">
        <f t="shared" si="165"/>
        <v>0</v>
      </c>
      <c r="P1328" s="1153"/>
      <c r="Q1328" s="1153"/>
      <c r="R1328" s="733">
        <f t="shared" si="168"/>
        <v>0</v>
      </c>
      <c r="S1328" s="732">
        <f t="shared" si="169"/>
        <v>0</v>
      </c>
      <c r="T1328" s="733">
        <f t="shared" si="170"/>
        <v>0</v>
      </c>
      <c r="U1328" s="1152"/>
      <c r="V1328" s="1153"/>
      <c r="W1328" s="1152"/>
      <c r="X1328" s="1152"/>
      <c r="Y1328" s="732">
        <f t="shared" si="166"/>
        <v>0</v>
      </c>
      <c r="Z1328" s="1153"/>
      <c r="AA1328" s="1153"/>
      <c r="AB1328" s="733">
        <f t="shared" si="167"/>
        <v>0</v>
      </c>
      <c r="AC1328" s="1152"/>
      <c r="AD1328" s="1153"/>
      <c r="AE1328" s="1152"/>
      <c r="AF1328" s="1152"/>
      <c r="AG1328" s="1153"/>
      <c r="AH1328" s="1153"/>
      <c r="AI1328" s="732">
        <f t="shared" si="171"/>
        <v>0</v>
      </c>
      <c r="AJ1328" s="733">
        <f t="shared" si="172"/>
        <v>0</v>
      </c>
    </row>
    <row r="1329" spans="1:36">
      <c r="A1329" s="1020" t="s">
        <v>636</v>
      </c>
      <c r="B1329" s="1021" t="s">
        <v>258</v>
      </c>
      <c r="C1329" s="1026" t="s">
        <v>631</v>
      </c>
      <c r="D1329" s="1027"/>
      <c r="E1329" s="1038"/>
      <c r="F1329" s="1036">
        <v>99</v>
      </c>
      <c r="G1329" s="1152"/>
      <c r="H1329" s="1153"/>
      <c r="I1329" s="1152"/>
      <c r="J1329" s="1153"/>
      <c r="K1329" s="1152"/>
      <c r="L1329" s="1153"/>
      <c r="M1329" s="1152"/>
      <c r="N1329" s="1152"/>
      <c r="O1329" s="732">
        <f t="shared" si="165"/>
        <v>0</v>
      </c>
      <c r="P1329" s="1153"/>
      <c r="Q1329" s="1153"/>
      <c r="R1329" s="733">
        <f t="shared" si="168"/>
        <v>0</v>
      </c>
      <c r="S1329" s="732">
        <f t="shared" si="169"/>
        <v>0</v>
      </c>
      <c r="T1329" s="733">
        <f t="shared" si="170"/>
        <v>0</v>
      </c>
      <c r="U1329" s="1152"/>
      <c r="V1329" s="1153"/>
      <c r="W1329" s="1152"/>
      <c r="X1329" s="1152"/>
      <c r="Y1329" s="732">
        <f t="shared" si="166"/>
        <v>0</v>
      </c>
      <c r="Z1329" s="1153"/>
      <c r="AA1329" s="1153"/>
      <c r="AB1329" s="733">
        <f t="shared" si="167"/>
        <v>0</v>
      </c>
      <c r="AC1329" s="1152"/>
      <c r="AD1329" s="1153"/>
      <c r="AE1329" s="1152"/>
      <c r="AF1329" s="1152"/>
      <c r="AG1329" s="1153"/>
      <c r="AH1329" s="1153"/>
      <c r="AI1329" s="732">
        <f t="shared" si="171"/>
        <v>0</v>
      </c>
      <c r="AJ1329" s="733">
        <f t="shared" si="172"/>
        <v>0</v>
      </c>
    </row>
    <row r="1330" spans="1:36">
      <c r="A1330" s="1020" t="s">
        <v>636</v>
      </c>
      <c r="B1330" s="1021" t="s">
        <v>258</v>
      </c>
      <c r="C1330" s="1026" t="s">
        <v>485</v>
      </c>
      <c r="D1330" s="1027"/>
      <c r="E1330" s="1038"/>
      <c r="F1330" s="1036">
        <v>99</v>
      </c>
      <c r="G1330" s="1152"/>
      <c r="H1330" s="1153"/>
      <c r="I1330" s="1152"/>
      <c r="J1330" s="1153"/>
      <c r="K1330" s="1152"/>
      <c r="L1330" s="1153"/>
      <c r="M1330" s="1152"/>
      <c r="N1330" s="1152"/>
      <c r="O1330" s="732">
        <f t="shared" si="165"/>
        <v>0</v>
      </c>
      <c r="P1330" s="1153"/>
      <c r="Q1330" s="1153"/>
      <c r="R1330" s="733">
        <f t="shared" si="168"/>
        <v>0</v>
      </c>
      <c r="S1330" s="732">
        <f t="shared" si="169"/>
        <v>0</v>
      </c>
      <c r="T1330" s="733">
        <f t="shared" si="170"/>
        <v>0</v>
      </c>
      <c r="U1330" s="1152"/>
      <c r="V1330" s="1153"/>
      <c r="W1330" s="1152"/>
      <c r="X1330" s="1152"/>
      <c r="Y1330" s="732">
        <f t="shared" si="166"/>
        <v>0</v>
      </c>
      <c r="Z1330" s="1153"/>
      <c r="AA1330" s="1153"/>
      <c r="AB1330" s="733">
        <f t="shared" si="167"/>
        <v>0</v>
      </c>
      <c r="AC1330" s="1152"/>
      <c r="AD1330" s="1153"/>
      <c r="AE1330" s="1152"/>
      <c r="AF1330" s="1152"/>
      <c r="AG1330" s="1153"/>
      <c r="AH1330" s="1153"/>
      <c r="AI1330" s="732">
        <f t="shared" si="171"/>
        <v>0</v>
      </c>
      <c r="AJ1330" s="733">
        <f t="shared" si="172"/>
        <v>0</v>
      </c>
    </row>
    <row r="1331" spans="1:36">
      <c r="A1331" s="1020" t="s">
        <v>636</v>
      </c>
      <c r="B1331" s="1021" t="s">
        <v>157</v>
      </c>
      <c r="C1331" s="1028" t="s">
        <v>158</v>
      </c>
      <c r="D1331" s="1027"/>
      <c r="E1331" s="1038"/>
      <c r="F1331" s="1036">
        <v>99</v>
      </c>
      <c r="G1331" s="1152"/>
      <c r="H1331" s="1153"/>
      <c r="I1331" s="1152"/>
      <c r="J1331" s="1153"/>
      <c r="K1331" s="1152"/>
      <c r="L1331" s="1153"/>
      <c r="M1331" s="1152"/>
      <c r="N1331" s="1152"/>
      <c r="O1331" s="732">
        <f t="shared" si="165"/>
        <v>0</v>
      </c>
      <c r="P1331" s="1153"/>
      <c r="Q1331" s="1153"/>
      <c r="R1331" s="733">
        <f t="shared" si="168"/>
        <v>0</v>
      </c>
      <c r="S1331" s="732">
        <f t="shared" si="169"/>
        <v>0</v>
      </c>
      <c r="T1331" s="733">
        <f t="shared" si="170"/>
        <v>0</v>
      </c>
      <c r="U1331" s="1152"/>
      <c r="V1331" s="1153"/>
      <c r="W1331" s="1152"/>
      <c r="X1331" s="1152"/>
      <c r="Y1331" s="732">
        <f t="shared" si="166"/>
        <v>0</v>
      </c>
      <c r="Z1331" s="1153"/>
      <c r="AA1331" s="1153"/>
      <c r="AB1331" s="733">
        <f t="shared" si="167"/>
        <v>0</v>
      </c>
      <c r="AC1331" s="1152"/>
      <c r="AD1331" s="1153"/>
      <c r="AE1331" s="1152"/>
      <c r="AF1331" s="1152"/>
      <c r="AG1331" s="1153"/>
      <c r="AH1331" s="1153"/>
      <c r="AI1331" s="732">
        <f t="shared" si="171"/>
        <v>0</v>
      </c>
      <c r="AJ1331" s="733">
        <f t="shared" si="172"/>
        <v>0</v>
      </c>
    </row>
    <row r="1332" spans="1:36">
      <c r="A1332" s="1020" t="s">
        <v>636</v>
      </c>
      <c r="B1332" s="1021" t="s">
        <v>159</v>
      </c>
      <c r="C1332" s="1023" t="s">
        <v>160</v>
      </c>
      <c r="D1332" s="1023"/>
      <c r="E1332" s="1038"/>
      <c r="F1332" s="1036">
        <v>99</v>
      </c>
      <c r="G1332" s="1152"/>
      <c r="H1332" s="1153"/>
      <c r="I1332" s="1152"/>
      <c r="J1332" s="1153"/>
      <c r="K1332" s="1152"/>
      <c r="L1332" s="1153"/>
      <c r="M1332" s="1152"/>
      <c r="N1332" s="1152"/>
      <c r="O1332" s="732">
        <f t="shared" si="165"/>
        <v>0</v>
      </c>
      <c r="P1332" s="1153"/>
      <c r="Q1332" s="1153"/>
      <c r="R1332" s="733">
        <f t="shared" si="168"/>
        <v>0</v>
      </c>
      <c r="S1332" s="732">
        <f t="shared" si="169"/>
        <v>0</v>
      </c>
      <c r="T1332" s="733">
        <f t="shared" si="170"/>
        <v>0</v>
      </c>
      <c r="U1332" s="1152"/>
      <c r="V1332" s="1153"/>
      <c r="W1332" s="1152"/>
      <c r="X1332" s="1152"/>
      <c r="Y1332" s="732">
        <f t="shared" si="166"/>
        <v>0</v>
      </c>
      <c r="Z1332" s="1153"/>
      <c r="AA1332" s="1153"/>
      <c r="AB1332" s="733">
        <f t="shared" si="167"/>
        <v>0</v>
      </c>
      <c r="AC1332" s="1152"/>
      <c r="AD1332" s="1153"/>
      <c r="AE1332" s="1152"/>
      <c r="AF1332" s="1152"/>
      <c r="AG1332" s="1153"/>
      <c r="AH1332" s="1153"/>
      <c r="AI1332" s="732">
        <f t="shared" si="171"/>
        <v>0</v>
      </c>
      <c r="AJ1332" s="733">
        <f t="shared" si="172"/>
        <v>0</v>
      </c>
    </row>
    <row r="1333" spans="1:36">
      <c r="A1333" s="1020" t="s">
        <v>636</v>
      </c>
      <c r="B1333" s="1021" t="s">
        <v>161</v>
      </c>
      <c r="C1333" s="1039" t="s">
        <v>162</v>
      </c>
      <c r="D1333" s="1034"/>
      <c r="E1333" s="1038"/>
      <c r="F1333" s="1036">
        <v>99</v>
      </c>
      <c r="G1333" s="1152"/>
      <c r="H1333" s="1153"/>
      <c r="I1333" s="1152"/>
      <c r="J1333" s="1153"/>
      <c r="K1333" s="1152"/>
      <c r="L1333" s="1153"/>
      <c r="M1333" s="1152"/>
      <c r="N1333" s="1152"/>
      <c r="O1333" s="732">
        <f t="shared" si="165"/>
        <v>0</v>
      </c>
      <c r="P1333" s="1153"/>
      <c r="Q1333" s="1153"/>
      <c r="R1333" s="733">
        <f t="shared" si="168"/>
        <v>0</v>
      </c>
      <c r="S1333" s="732">
        <f t="shared" si="169"/>
        <v>0</v>
      </c>
      <c r="T1333" s="733">
        <f t="shared" si="170"/>
        <v>0</v>
      </c>
      <c r="U1333" s="1152"/>
      <c r="V1333" s="1153"/>
      <c r="W1333" s="1152"/>
      <c r="X1333" s="1152"/>
      <c r="Y1333" s="732">
        <f t="shared" si="166"/>
        <v>0</v>
      </c>
      <c r="Z1333" s="1153"/>
      <c r="AA1333" s="1153"/>
      <c r="AB1333" s="733">
        <f t="shared" si="167"/>
        <v>0</v>
      </c>
      <c r="AC1333" s="1152"/>
      <c r="AD1333" s="1153"/>
      <c r="AE1333" s="1152"/>
      <c r="AF1333" s="1152"/>
      <c r="AG1333" s="1153"/>
      <c r="AH1333" s="1153"/>
      <c r="AI1333" s="732">
        <f t="shared" si="171"/>
        <v>0</v>
      </c>
      <c r="AJ1333" s="733">
        <f t="shared" si="172"/>
        <v>0</v>
      </c>
    </row>
    <row r="1334" spans="1:36">
      <c r="A1334" s="1020" t="s">
        <v>636</v>
      </c>
      <c r="B1334" s="1021" t="s">
        <v>161</v>
      </c>
      <c r="C1334" s="1040" t="s">
        <v>665</v>
      </c>
      <c r="D1334" s="1027"/>
      <c r="E1334" s="1038"/>
      <c r="F1334" s="1036">
        <v>99</v>
      </c>
      <c r="G1334" s="1152"/>
      <c r="H1334" s="1153"/>
      <c r="I1334" s="1152"/>
      <c r="J1334" s="1153"/>
      <c r="K1334" s="1152"/>
      <c r="L1334" s="1153"/>
      <c r="M1334" s="1152"/>
      <c r="N1334" s="1152"/>
      <c r="O1334" s="732">
        <f t="shared" si="165"/>
        <v>0</v>
      </c>
      <c r="P1334" s="1153"/>
      <c r="Q1334" s="1153"/>
      <c r="R1334" s="733">
        <f t="shared" si="168"/>
        <v>0</v>
      </c>
      <c r="S1334" s="732">
        <f t="shared" si="169"/>
        <v>0</v>
      </c>
      <c r="T1334" s="733">
        <f t="shared" si="170"/>
        <v>0</v>
      </c>
      <c r="U1334" s="1152"/>
      <c r="V1334" s="1153"/>
      <c r="W1334" s="1152"/>
      <c r="X1334" s="1152"/>
      <c r="Y1334" s="732">
        <f t="shared" si="166"/>
        <v>0</v>
      </c>
      <c r="Z1334" s="1153"/>
      <c r="AA1334" s="1153"/>
      <c r="AB1334" s="733">
        <f t="shared" si="167"/>
        <v>0</v>
      </c>
      <c r="AC1334" s="1152"/>
      <c r="AD1334" s="1153"/>
      <c r="AE1334" s="1152"/>
      <c r="AF1334" s="1152"/>
      <c r="AG1334" s="1153"/>
      <c r="AH1334" s="1153"/>
      <c r="AI1334" s="732">
        <f t="shared" si="171"/>
        <v>0</v>
      </c>
      <c r="AJ1334" s="733">
        <f t="shared" si="172"/>
        <v>0</v>
      </c>
    </row>
    <row r="1335" spans="1:36">
      <c r="A1335" s="1020" t="s">
        <v>636</v>
      </c>
      <c r="B1335" s="1021" t="s">
        <v>164</v>
      </c>
      <c r="C1335" s="1026" t="s">
        <v>165</v>
      </c>
      <c r="D1335" s="1027"/>
      <c r="E1335" s="1038"/>
      <c r="F1335" s="1036">
        <v>99</v>
      </c>
      <c r="G1335" s="1152"/>
      <c r="H1335" s="1153"/>
      <c r="I1335" s="1152"/>
      <c r="J1335" s="1153"/>
      <c r="K1335" s="1152"/>
      <c r="L1335" s="1153"/>
      <c r="M1335" s="1152"/>
      <c r="N1335" s="1152"/>
      <c r="O1335" s="732">
        <f t="shared" si="165"/>
        <v>0</v>
      </c>
      <c r="P1335" s="1153"/>
      <c r="Q1335" s="1153"/>
      <c r="R1335" s="733">
        <f t="shared" si="168"/>
        <v>0</v>
      </c>
      <c r="S1335" s="732">
        <f t="shared" si="169"/>
        <v>0</v>
      </c>
      <c r="T1335" s="733">
        <f t="shared" si="170"/>
        <v>0</v>
      </c>
      <c r="U1335" s="1152"/>
      <c r="V1335" s="1153"/>
      <c r="W1335" s="1152"/>
      <c r="X1335" s="1152"/>
      <c r="Y1335" s="732">
        <f t="shared" si="166"/>
        <v>0</v>
      </c>
      <c r="Z1335" s="1153"/>
      <c r="AA1335" s="1153"/>
      <c r="AB1335" s="733">
        <f t="shared" si="167"/>
        <v>0</v>
      </c>
      <c r="AC1335" s="1152"/>
      <c r="AD1335" s="1153"/>
      <c r="AE1335" s="1152"/>
      <c r="AF1335" s="1152"/>
      <c r="AG1335" s="1153"/>
      <c r="AH1335" s="1153"/>
      <c r="AI1335" s="732">
        <f t="shared" si="171"/>
        <v>0</v>
      </c>
      <c r="AJ1335" s="733">
        <f t="shared" si="172"/>
        <v>0</v>
      </c>
    </row>
    <row r="1336" spans="1:36">
      <c r="A1336" s="1020" t="s">
        <v>636</v>
      </c>
      <c r="B1336" s="1021" t="s">
        <v>166</v>
      </c>
      <c r="C1336" s="1026" t="s">
        <v>167</v>
      </c>
      <c r="D1336" s="1027"/>
      <c r="E1336" s="1038"/>
      <c r="F1336" s="1036">
        <v>99</v>
      </c>
      <c r="G1336" s="1152"/>
      <c r="H1336" s="1153"/>
      <c r="I1336" s="1152"/>
      <c r="J1336" s="1153"/>
      <c r="K1336" s="1152"/>
      <c r="L1336" s="1153"/>
      <c r="M1336" s="1152"/>
      <c r="N1336" s="1152"/>
      <c r="O1336" s="732">
        <f t="shared" si="165"/>
        <v>0</v>
      </c>
      <c r="P1336" s="1153"/>
      <c r="Q1336" s="1153"/>
      <c r="R1336" s="733">
        <f t="shared" si="168"/>
        <v>0</v>
      </c>
      <c r="S1336" s="732">
        <f t="shared" si="169"/>
        <v>0</v>
      </c>
      <c r="T1336" s="733">
        <f t="shared" si="170"/>
        <v>0</v>
      </c>
      <c r="U1336" s="1152"/>
      <c r="V1336" s="1153"/>
      <c r="W1336" s="1152"/>
      <c r="X1336" s="1152"/>
      <c r="Y1336" s="732">
        <f t="shared" si="166"/>
        <v>0</v>
      </c>
      <c r="Z1336" s="1153"/>
      <c r="AA1336" s="1153"/>
      <c r="AB1336" s="733">
        <f t="shared" si="167"/>
        <v>0</v>
      </c>
      <c r="AC1336" s="1152"/>
      <c r="AD1336" s="1153"/>
      <c r="AE1336" s="1152"/>
      <c r="AF1336" s="1152"/>
      <c r="AG1336" s="1153"/>
      <c r="AH1336" s="1153"/>
      <c r="AI1336" s="732">
        <f t="shared" si="171"/>
        <v>0</v>
      </c>
      <c r="AJ1336" s="733">
        <f t="shared" si="172"/>
        <v>0</v>
      </c>
    </row>
    <row r="1337" spans="1:36">
      <c r="A1337" s="1020" t="s">
        <v>636</v>
      </c>
      <c r="B1337" s="1021" t="s">
        <v>170</v>
      </c>
      <c r="C1337" s="1026" t="s">
        <v>171</v>
      </c>
      <c r="D1337" s="1027"/>
      <c r="E1337" s="1038"/>
      <c r="F1337" s="1036">
        <v>99</v>
      </c>
      <c r="G1337" s="1152"/>
      <c r="H1337" s="1153"/>
      <c r="I1337" s="1152"/>
      <c r="J1337" s="1153"/>
      <c r="K1337" s="1152"/>
      <c r="L1337" s="1153"/>
      <c r="M1337" s="1152"/>
      <c r="N1337" s="1152"/>
      <c r="O1337" s="732">
        <f t="shared" si="165"/>
        <v>0</v>
      </c>
      <c r="P1337" s="1153"/>
      <c r="Q1337" s="1153"/>
      <c r="R1337" s="733">
        <f t="shared" si="168"/>
        <v>0</v>
      </c>
      <c r="S1337" s="732">
        <f t="shared" si="169"/>
        <v>0</v>
      </c>
      <c r="T1337" s="733">
        <f t="shared" si="170"/>
        <v>0</v>
      </c>
      <c r="U1337" s="1152"/>
      <c r="V1337" s="1153"/>
      <c r="W1337" s="1152"/>
      <c r="X1337" s="1152"/>
      <c r="Y1337" s="732">
        <f t="shared" si="166"/>
        <v>0</v>
      </c>
      <c r="Z1337" s="1153"/>
      <c r="AA1337" s="1153"/>
      <c r="AB1337" s="733">
        <f t="shared" si="167"/>
        <v>0</v>
      </c>
      <c r="AC1337" s="1152"/>
      <c r="AD1337" s="1153"/>
      <c r="AE1337" s="1152"/>
      <c r="AF1337" s="1152"/>
      <c r="AG1337" s="1153"/>
      <c r="AH1337" s="1153"/>
      <c r="AI1337" s="732">
        <f t="shared" si="171"/>
        <v>0</v>
      </c>
      <c r="AJ1337" s="733">
        <f t="shared" si="172"/>
        <v>0</v>
      </c>
    </row>
    <row r="1338" spans="1:36">
      <c r="A1338" s="1020" t="s">
        <v>636</v>
      </c>
      <c r="B1338" s="1021" t="s">
        <v>172</v>
      </c>
      <c r="C1338" s="1026" t="s">
        <v>165</v>
      </c>
      <c r="D1338" s="1027"/>
      <c r="E1338" s="1038"/>
      <c r="F1338" s="1036">
        <v>99</v>
      </c>
      <c r="G1338" s="1152"/>
      <c r="H1338" s="1153"/>
      <c r="I1338" s="1152"/>
      <c r="J1338" s="1153"/>
      <c r="K1338" s="1152"/>
      <c r="L1338" s="1153"/>
      <c r="M1338" s="1152"/>
      <c r="N1338" s="1152"/>
      <c r="O1338" s="732">
        <f t="shared" si="165"/>
        <v>0</v>
      </c>
      <c r="P1338" s="1153"/>
      <c r="Q1338" s="1153"/>
      <c r="R1338" s="733">
        <f t="shared" si="168"/>
        <v>0</v>
      </c>
      <c r="S1338" s="732">
        <f t="shared" si="169"/>
        <v>0</v>
      </c>
      <c r="T1338" s="733">
        <f t="shared" si="170"/>
        <v>0</v>
      </c>
      <c r="U1338" s="1152"/>
      <c r="V1338" s="1153"/>
      <c r="W1338" s="1152"/>
      <c r="X1338" s="1152"/>
      <c r="Y1338" s="732">
        <f t="shared" si="166"/>
        <v>0</v>
      </c>
      <c r="Z1338" s="1153"/>
      <c r="AA1338" s="1153"/>
      <c r="AB1338" s="733">
        <f t="shared" si="167"/>
        <v>0</v>
      </c>
      <c r="AC1338" s="1152"/>
      <c r="AD1338" s="1153"/>
      <c r="AE1338" s="1152"/>
      <c r="AF1338" s="1152"/>
      <c r="AG1338" s="1153"/>
      <c r="AH1338" s="1153"/>
      <c r="AI1338" s="732">
        <f t="shared" si="171"/>
        <v>0</v>
      </c>
      <c r="AJ1338" s="733">
        <f t="shared" si="172"/>
        <v>0</v>
      </c>
    </row>
    <row r="1339" spans="1:36">
      <c r="A1339" s="1020" t="s">
        <v>636</v>
      </c>
      <c r="B1339" s="1021" t="s">
        <v>166</v>
      </c>
      <c r="C1339" s="1026" t="s">
        <v>167</v>
      </c>
      <c r="D1339" s="1027"/>
      <c r="E1339" s="1038"/>
      <c r="F1339" s="1036">
        <v>99</v>
      </c>
      <c r="G1339" s="1152"/>
      <c r="H1339" s="1153"/>
      <c r="I1339" s="1152"/>
      <c r="J1339" s="1153"/>
      <c r="K1339" s="1152"/>
      <c r="L1339" s="1153"/>
      <c r="M1339" s="1152"/>
      <c r="N1339" s="1152"/>
      <c r="O1339" s="732">
        <f t="shared" si="165"/>
        <v>0</v>
      </c>
      <c r="P1339" s="1153"/>
      <c r="Q1339" s="1153"/>
      <c r="R1339" s="733">
        <f t="shared" si="168"/>
        <v>0</v>
      </c>
      <c r="S1339" s="732">
        <f t="shared" si="169"/>
        <v>0</v>
      </c>
      <c r="T1339" s="733">
        <f t="shared" si="170"/>
        <v>0</v>
      </c>
      <c r="U1339" s="1152"/>
      <c r="V1339" s="1153"/>
      <c r="W1339" s="1152"/>
      <c r="X1339" s="1152"/>
      <c r="Y1339" s="732">
        <f t="shared" si="166"/>
        <v>0</v>
      </c>
      <c r="Z1339" s="1153"/>
      <c r="AA1339" s="1153"/>
      <c r="AB1339" s="733">
        <f t="shared" si="167"/>
        <v>0</v>
      </c>
      <c r="AC1339" s="1152"/>
      <c r="AD1339" s="1153"/>
      <c r="AE1339" s="1152"/>
      <c r="AF1339" s="1152"/>
      <c r="AG1339" s="1153"/>
      <c r="AH1339" s="1153"/>
      <c r="AI1339" s="732">
        <f t="shared" si="171"/>
        <v>0</v>
      </c>
      <c r="AJ1339" s="733">
        <f t="shared" si="172"/>
        <v>0</v>
      </c>
    </row>
    <row r="1340" spans="1:36">
      <c r="A1340" s="1020" t="s">
        <v>636</v>
      </c>
      <c r="B1340" s="1021" t="s">
        <v>176</v>
      </c>
      <c r="C1340" s="1026" t="s">
        <v>177</v>
      </c>
      <c r="D1340" s="1027"/>
      <c r="E1340" s="1038"/>
      <c r="F1340" s="1036">
        <v>99</v>
      </c>
      <c r="G1340" s="1152"/>
      <c r="H1340" s="1153"/>
      <c r="I1340" s="1152"/>
      <c r="J1340" s="1153"/>
      <c r="K1340" s="1152"/>
      <c r="L1340" s="1153"/>
      <c r="M1340" s="1152"/>
      <c r="N1340" s="1152"/>
      <c r="O1340" s="732">
        <f t="shared" si="165"/>
        <v>0</v>
      </c>
      <c r="P1340" s="1153"/>
      <c r="Q1340" s="1153"/>
      <c r="R1340" s="733">
        <f t="shared" si="168"/>
        <v>0</v>
      </c>
      <c r="S1340" s="732">
        <f t="shared" si="169"/>
        <v>0</v>
      </c>
      <c r="T1340" s="733">
        <f t="shared" si="170"/>
        <v>0</v>
      </c>
      <c r="U1340" s="1152"/>
      <c r="V1340" s="1153"/>
      <c r="W1340" s="1152"/>
      <c r="X1340" s="1152"/>
      <c r="Y1340" s="732">
        <f t="shared" si="166"/>
        <v>0</v>
      </c>
      <c r="Z1340" s="1153"/>
      <c r="AA1340" s="1153"/>
      <c r="AB1340" s="733">
        <f t="shared" si="167"/>
        <v>0</v>
      </c>
      <c r="AC1340" s="1152"/>
      <c r="AD1340" s="1153"/>
      <c r="AE1340" s="1152"/>
      <c r="AF1340" s="1152"/>
      <c r="AG1340" s="1153"/>
      <c r="AH1340" s="1153"/>
      <c r="AI1340" s="732">
        <f t="shared" si="171"/>
        <v>0</v>
      </c>
      <c r="AJ1340" s="733">
        <f t="shared" si="172"/>
        <v>0</v>
      </c>
    </row>
    <row r="1341" spans="1:36">
      <c r="A1341" s="1020" t="s">
        <v>636</v>
      </c>
      <c r="B1341" s="1021" t="s">
        <v>180</v>
      </c>
      <c r="C1341" s="1026" t="s">
        <v>165</v>
      </c>
      <c r="D1341" s="1027"/>
      <c r="E1341" s="1038"/>
      <c r="F1341" s="1036">
        <v>99</v>
      </c>
      <c r="G1341" s="1152"/>
      <c r="H1341" s="1153"/>
      <c r="I1341" s="1152"/>
      <c r="J1341" s="1153"/>
      <c r="K1341" s="1152"/>
      <c r="L1341" s="1153"/>
      <c r="M1341" s="1152"/>
      <c r="N1341" s="1152"/>
      <c r="O1341" s="732">
        <f t="shared" si="165"/>
        <v>0</v>
      </c>
      <c r="P1341" s="1153"/>
      <c r="Q1341" s="1153"/>
      <c r="R1341" s="733">
        <f t="shared" si="168"/>
        <v>0</v>
      </c>
      <c r="S1341" s="732">
        <f t="shared" si="169"/>
        <v>0</v>
      </c>
      <c r="T1341" s="733">
        <f t="shared" si="170"/>
        <v>0</v>
      </c>
      <c r="U1341" s="1152"/>
      <c r="V1341" s="1153"/>
      <c r="W1341" s="1152"/>
      <c r="X1341" s="1152"/>
      <c r="Y1341" s="732">
        <f t="shared" si="166"/>
        <v>0</v>
      </c>
      <c r="Z1341" s="1153"/>
      <c r="AA1341" s="1153"/>
      <c r="AB1341" s="733">
        <f t="shared" si="167"/>
        <v>0</v>
      </c>
      <c r="AC1341" s="1152"/>
      <c r="AD1341" s="1153"/>
      <c r="AE1341" s="1152"/>
      <c r="AF1341" s="1152"/>
      <c r="AG1341" s="1153"/>
      <c r="AH1341" s="1153"/>
      <c r="AI1341" s="732">
        <f t="shared" si="171"/>
        <v>0</v>
      </c>
      <c r="AJ1341" s="733">
        <f t="shared" si="172"/>
        <v>0</v>
      </c>
    </row>
    <row r="1342" spans="1:36">
      <c r="A1342" s="1020" t="s">
        <v>636</v>
      </c>
      <c r="B1342" s="1021" t="s">
        <v>166</v>
      </c>
      <c r="C1342" s="1026" t="s">
        <v>167</v>
      </c>
      <c r="D1342" s="1027"/>
      <c r="E1342" s="1038"/>
      <c r="F1342" s="1036">
        <v>99</v>
      </c>
      <c r="G1342" s="1152"/>
      <c r="H1342" s="1153"/>
      <c r="I1342" s="1152"/>
      <c r="J1342" s="1153"/>
      <c r="K1342" s="1152"/>
      <c r="L1342" s="1153"/>
      <c r="M1342" s="1152"/>
      <c r="N1342" s="1152"/>
      <c r="O1342" s="732">
        <f t="shared" si="165"/>
        <v>0</v>
      </c>
      <c r="P1342" s="1153"/>
      <c r="Q1342" s="1153"/>
      <c r="R1342" s="733">
        <f t="shared" si="168"/>
        <v>0</v>
      </c>
      <c r="S1342" s="732">
        <f t="shared" si="169"/>
        <v>0</v>
      </c>
      <c r="T1342" s="733">
        <f t="shared" si="170"/>
        <v>0</v>
      </c>
      <c r="U1342" s="1152"/>
      <c r="V1342" s="1153"/>
      <c r="W1342" s="1152"/>
      <c r="X1342" s="1152"/>
      <c r="Y1342" s="732">
        <f t="shared" si="166"/>
        <v>0</v>
      </c>
      <c r="Z1342" s="1153"/>
      <c r="AA1342" s="1153"/>
      <c r="AB1342" s="733">
        <f t="shared" si="167"/>
        <v>0</v>
      </c>
      <c r="AC1342" s="1152"/>
      <c r="AD1342" s="1153"/>
      <c r="AE1342" s="1152"/>
      <c r="AF1342" s="1152"/>
      <c r="AG1342" s="1153"/>
      <c r="AH1342" s="1153"/>
      <c r="AI1342" s="732">
        <f t="shared" si="171"/>
        <v>0</v>
      </c>
      <c r="AJ1342" s="733">
        <f t="shared" si="172"/>
        <v>0</v>
      </c>
    </row>
    <row r="1343" spans="1:36">
      <c r="A1343" s="1020" t="s">
        <v>636</v>
      </c>
      <c r="B1343" s="1021" t="s">
        <v>161</v>
      </c>
      <c r="C1343" s="1027" t="s">
        <v>666</v>
      </c>
      <c r="D1343" s="1027"/>
      <c r="E1343" s="1038"/>
      <c r="F1343" s="1036">
        <v>99</v>
      </c>
      <c r="G1343" s="1152"/>
      <c r="H1343" s="1153"/>
      <c r="I1343" s="1152"/>
      <c r="J1343" s="1153"/>
      <c r="K1343" s="1152"/>
      <c r="L1343" s="1153"/>
      <c r="M1343" s="1152"/>
      <c r="N1343" s="1152"/>
      <c r="O1343" s="732">
        <f t="shared" si="165"/>
        <v>0</v>
      </c>
      <c r="P1343" s="1153"/>
      <c r="Q1343" s="1153"/>
      <c r="R1343" s="733">
        <f t="shared" si="168"/>
        <v>0</v>
      </c>
      <c r="S1343" s="732">
        <f t="shared" si="169"/>
        <v>0</v>
      </c>
      <c r="T1343" s="733">
        <f t="shared" si="170"/>
        <v>0</v>
      </c>
      <c r="U1343" s="1152"/>
      <c r="V1343" s="1153"/>
      <c r="W1343" s="1152"/>
      <c r="X1343" s="1152"/>
      <c r="Y1343" s="732">
        <f t="shared" si="166"/>
        <v>0</v>
      </c>
      <c r="Z1343" s="1153"/>
      <c r="AA1343" s="1153"/>
      <c r="AB1343" s="733">
        <f t="shared" si="167"/>
        <v>0</v>
      </c>
      <c r="AC1343" s="1152"/>
      <c r="AD1343" s="1153"/>
      <c r="AE1343" s="1152"/>
      <c r="AF1343" s="1152"/>
      <c r="AG1343" s="1153"/>
      <c r="AH1343" s="1153"/>
      <c r="AI1343" s="732">
        <f t="shared" si="171"/>
        <v>0</v>
      </c>
      <c r="AJ1343" s="733">
        <f t="shared" si="172"/>
        <v>0</v>
      </c>
    </row>
    <row r="1344" spans="1:36">
      <c r="A1344" s="1020" t="s">
        <v>636</v>
      </c>
      <c r="B1344" s="1021" t="s">
        <v>164</v>
      </c>
      <c r="C1344" s="1026" t="s">
        <v>165</v>
      </c>
      <c r="D1344" s="1027"/>
      <c r="E1344" s="1038"/>
      <c r="F1344" s="1036">
        <v>99</v>
      </c>
      <c r="G1344" s="1152"/>
      <c r="H1344" s="1153"/>
      <c r="I1344" s="1152"/>
      <c r="J1344" s="1153"/>
      <c r="K1344" s="1152"/>
      <c r="L1344" s="1153"/>
      <c r="M1344" s="1152"/>
      <c r="N1344" s="1152"/>
      <c r="O1344" s="732">
        <f t="shared" si="165"/>
        <v>0</v>
      </c>
      <c r="P1344" s="1153"/>
      <c r="Q1344" s="1153"/>
      <c r="R1344" s="733">
        <f t="shared" si="168"/>
        <v>0</v>
      </c>
      <c r="S1344" s="732">
        <f t="shared" si="169"/>
        <v>0</v>
      </c>
      <c r="T1344" s="733">
        <f t="shared" si="170"/>
        <v>0</v>
      </c>
      <c r="U1344" s="1152"/>
      <c r="V1344" s="1153"/>
      <c r="W1344" s="1152"/>
      <c r="X1344" s="1152"/>
      <c r="Y1344" s="732">
        <f t="shared" si="166"/>
        <v>0</v>
      </c>
      <c r="Z1344" s="1153"/>
      <c r="AA1344" s="1153"/>
      <c r="AB1344" s="733">
        <f t="shared" si="167"/>
        <v>0</v>
      </c>
      <c r="AC1344" s="1152"/>
      <c r="AD1344" s="1153"/>
      <c r="AE1344" s="1152"/>
      <c r="AF1344" s="1152"/>
      <c r="AG1344" s="1153"/>
      <c r="AH1344" s="1153"/>
      <c r="AI1344" s="732">
        <f t="shared" si="171"/>
        <v>0</v>
      </c>
      <c r="AJ1344" s="733">
        <f t="shared" si="172"/>
        <v>0</v>
      </c>
    </row>
    <row r="1345" spans="1:36">
      <c r="A1345" s="1020" t="s">
        <v>636</v>
      </c>
      <c r="B1345" s="1021" t="s">
        <v>166</v>
      </c>
      <c r="C1345" s="1026" t="s">
        <v>167</v>
      </c>
      <c r="D1345" s="1027"/>
      <c r="E1345" s="1038"/>
      <c r="F1345" s="1036">
        <v>99</v>
      </c>
      <c r="G1345" s="1152"/>
      <c r="H1345" s="1153"/>
      <c r="I1345" s="1152"/>
      <c r="J1345" s="1153"/>
      <c r="K1345" s="1152"/>
      <c r="L1345" s="1153"/>
      <c r="M1345" s="1152"/>
      <c r="N1345" s="1152"/>
      <c r="O1345" s="732">
        <f t="shared" si="165"/>
        <v>0</v>
      </c>
      <c r="P1345" s="1153"/>
      <c r="Q1345" s="1153"/>
      <c r="R1345" s="733">
        <f t="shared" si="168"/>
        <v>0</v>
      </c>
      <c r="S1345" s="732">
        <f t="shared" si="169"/>
        <v>0</v>
      </c>
      <c r="T1345" s="733">
        <f t="shared" si="170"/>
        <v>0</v>
      </c>
      <c r="U1345" s="1152"/>
      <c r="V1345" s="1153"/>
      <c r="W1345" s="1152"/>
      <c r="X1345" s="1152"/>
      <c r="Y1345" s="732">
        <f t="shared" si="166"/>
        <v>0</v>
      </c>
      <c r="Z1345" s="1153"/>
      <c r="AA1345" s="1153"/>
      <c r="AB1345" s="733">
        <f t="shared" si="167"/>
        <v>0</v>
      </c>
      <c r="AC1345" s="1152"/>
      <c r="AD1345" s="1153"/>
      <c r="AE1345" s="1152"/>
      <c r="AF1345" s="1152"/>
      <c r="AG1345" s="1153"/>
      <c r="AH1345" s="1153"/>
      <c r="AI1345" s="732">
        <f t="shared" si="171"/>
        <v>0</v>
      </c>
      <c r="AJ1345" s="733">
        <f t="shared" si="172"/>
        <v>0</v>
      </c>
    </row>
    <row r="1346" spans="1:36">
      <c r="A1346" s="1020" t="s">
        <v>636</v>
      </c>
      <c r="B1346" s="1021" t="s">
        <v>170</v>
      </c>
      <c r="C1346" s="1026" t="s">
        <v>171</v>
      </c>
      <c r="D1346" s="1027"/>
      <c r="E1346" s="1038"/>
      <c r="F1346" s="1036">
        <v>99</v>
      </c>
      <c r="G1346" s="1152"/>
      <c r="H1346" s="1153"/>
      <c r="I1346" s="1152"/>
      <c r="J1346" s="1153"/>
      <c r="K1346" s="1152"/>
      <c r="L1346" s="1153"/>
      <c r="M1346" s="1152"/>
      <c r="N1346" s="1152"/>
      <c r="O1346" s="732">
        <f t="shared" si="165"/>
        <v>0</v>
      </c>
      <c r="P1346" s="1153"/>
      <c r="Q1346" s="1153"/>
      <c r="R1346" s="733">
        <f t="shared" si="168"/>
        <v>0</v>
      </c>
      <c r="S1346" s="732">
        <f t="shared" si="169"/>
        <v>0</v>
      </c>
      <c r="T1346" s="733">
        <f t="shared" si="170"/>
        <v>0</v>
      </c>
      <c r="U1346" s="1152"/>
      <c r="V1346" s="1153"/>
      <c r="W1346" s="1152"/>
      <c r="X1346" s="1152"/>
      <c r="Y1346" s="732">
        <f t="shared" si="166"/>
        <v>0</v>
      </c>
      <c r="Z1346" s="1153"/>
      <c r="AA1346" s="1153"/>
      <c r="AB1346" s="733">
        <f t="shared" si="167"/>
        <v>0</v>
      </c>
      <c r="AC1346" s="1152"/>
      <c r="AD1346" s="1153"/>
      <c r="AE1346" s="1152"/>
      <c r="AF1346" s="1152"/>
      <c r="AG1346" s="1153"/>
      <c r="AH1346" s="1153"/>
      <c r="AI1346" s="732">
        <f t="shared" si="171"/>
        <v>0</v>
      </c>
      <c r="AJ1346" s="733">
        <f t="shared" si="172"/>
        <v>0</v>
      </c>
    </row>
    <row r="1347" spans="1:36">
      <c r="A1347" s="1020" t="s">
        <v>636</v>
      </c>
      <c r="B1347" s="1021" t="s">
        <v>172</v>
      </c>
      <c r="C1347" s="1026" t="s">
        <v>165</v>
      </c>
      <c r="D1347" s="1027"/>
      <c r="E1347" s="1038"/>
      <c r="F1347" s="1036">
        <v>99</v>
      </c>
      <c r="G1347" s="1152"/>
      <c r="H1347" s="1153"/>
      <c r="I1347" s="1152"/>
      <c r="J1347" s="1153"/>
      <c r="K1347" s="1152"/>
      <c r="L1347" s="1153"/>
      <c r="M1347" s="1152"/>
      <c r="N1347" s="1152"/>
      <c r="O1347" s="732">
        <f t="shared" si="165"/>
        <v>0</v>
      </c>
      <c r="P1347" s="1153"/>
      <c r="Q1347" s="1153"/>
      <c r="R1347" s="733">
        <f t="shared" si="168"/>
        <v>0</v>
      </c>
      <c r="S1347" s="732">
        <f t="shared" si="169"/>
        <v>0</v>
      </c>
      <c r="T1347" s="733">
        <f t="shared" si="170"/>
        <v>0</v>
      </c>
      <c r="U1347" s="1152"/>
      <c r="V1347" s="1153"/>
      <c r="W1347" s="1152"/>
      <c r="X1347" s="1152"/>
      <c r="Y1347" s="732">
        <f t="shared" si="166"/>
        <v>0</v>
      </c>
      <c r="Z1347" s="1153"/>
      <c r="AA1347" s="1153"/>
      <c r="AB1347" s="733">
        <f t="shared" si="167"/>
        <v>0</v>
      </c>
      <c r="AC1347" s="1152"/>
      <c r="AD1347" s="1153"/>
      <c r="AE1347" s="1152"/>
      <c r="AF1347" s="1152"/>
      <c r="AG1347" s="1153"/>
      <c r="AH1347" s="1153"/>
      <c r="AI1347" s="732">
        <f t="shared" si="171"/>
        <v>0</v>
      </c>
      <c r="AJ1347" s="733">
        <f t="shared" si="172"/>
        <v>0</v>
      </c>
    </row>
    <row r="1348" spans="1:36">
      <c r="A1348" s="1020" t="s">
        <v>636</v>
      </c>
      <c r="B1348" s="1021" t="s">
        <v>166</v>
      </c>
      <c r="C1348" s="1026" t="s">
        <v>167</v>
      </c>
      <c r="D1348" s="1027"/>
      <c r="E1348" s="1038"/>
      <c r="F1348" s="1036">
        <v>99</v>
      </c>
      <c r="G1348" s="1152"/>
      <c r="H1348" s="1153"/>
      <c r="I1348" s="1152"/>
      <c r="J1348" s="1153"/>
      <c r="K1348" s="1152"/>
      <c r="L1348" s="1153"/>
      <c r="M1348" s="1152"/>
      <c r="N1348" s="1152"/>
      <c r="O1348" s="732">
        <f t="shared" si="165"/>
        <v>0</v>
      </c>
      <c r="P1348" s="1153"/>
      <c r="Q1348" s="1153"/>
      <c r="R1348" s="733">
        <f t="shared" si="168"/>
        <v>0</v>
      </c>
      <c r="S1348" s="732">
        <f t="shared" si="169"/>
        <v>0</v>
      </c>
      <c r="T1348" s="733">
        <f t="shared" si="170"/>
        <v>0</v>
      </c>
      <c r="U1348" s="1152"/>
      <c r="V1348" s="1153"/>
      <c r="W1348" s="1152"/>
      <c r="X1348" s="1152"/>
      <c r="Y1348" s="732">
        <f t="shared" si="166"/>
        <v>0</v>
      </c>
      <c r="Z1348" s="1153"/>
      <c r="AA1348" s="1153"/>
      <c r="AB1348" s="733">
        <f t="shared" si="167"/>
        <v>0</v>
      </c>
      <c r="AC1348" s="1152"/>
      <c r="AD1348" s="1153"/>
      <c r="AE1348" s="1152"/>
      <c r="AF1348" s="1152"/>
      <c r="AG1348" s="1153"/>
      <c r="AH1348" s="1153"/>
      <c r="AI1348" s="732">
        <f t="shared" si="171"/>
        <v>0</v>
      </c>
      <c r="AJ1348" s="733">
        <f t="shared" si="172"/>
        <v>0</v>
      </c>
    </row>
    <row r="1349" spans="1:36">
      <c r="A1349" s="1020" t="s">
        <v>636</v>
      </c>
      <c r="B1349" s="1021" t="s">
        <v>176</v>
      </c>
      <c r="C1349" s="1026" t="s">
        <v>177</v>
      </c>
      <c r="D1349" s="1027"/>
      <c r="E1349" s="1038"/>
      <c r="F1349" s="1036">
        <v>99</v>
      </c>
      <c r="G1349" s="1152"/>
      <c r="H1349" s="1153"/>
      <c r="I1349" s="1152"/>
      <c r="J1349" s="1153"/>
      <c r="K1349" s="1152"/>
      <c r="L1349" s="1153"/>
      <c r="M1349" s="1152"/>
      <c r="N1349" s="1152"/>
      <c r="O1349" s="732">
        <f t="shared" si="165"/>
        <v>0</v>
      </c>
      <c r="P1349" s="1153"/>
      <c r="Q1349" s="1153"/>
      <c r="R1349" s="733">
        <f t="shared" si="168"/>
        <v>0</v>
      </c>
      <c r="S1349" s="732">
        <f t="shared" si="169"/>
        <v>0</v>
      </c>
      <c r="T1349" s="733">
        <f t="shared" si="170"/>
        <v>0</v>
      </c>
      <c r="U1349" s="1152"/>
      <c r="V1349" s="1153"/>
      <c r="W1349" s="1152"/>
      <c r="X1349" s="1152"/>
      <c r="Y1349" s="732">
        <f t="shared" si="166"/>
        <v>0</v>
      </c>
      <c r="Z1349" s="1153"/>
      <c r="AA1349" s="1153"/>
      <c r="AB1349" s="733">
        <f t="shared" si="167"/>
        <v>0</v>
      </c>
      <c r="AC1349" s="1152"/>
      <c r="AD1349" s="1153"/>
      <c r="AE1349" s="1152"/>
      <c r="AF1349" s="1152"/>
      <c r="AG1349" s="1153"/>
      <c r="AH1349" s="1153"/>
      <c r="AI1349" s="732">
        <f t="shared" si="171"/>
        <v>0</v>
      </c>
      <c r="AJ1349" s="733">
        <f t="shared" si="172"/>
        <v>0</v>
      </c>
    </row>
    <row r="1350" spans="1:36">
      <c r="A1350" s="1020" t="s">
        <v>636</v>
      </c>
      <c r="B1350" s="1021" t="s">
        <v>180</v>
      </c>
      <c r="C1350" s="1026" t="s">
        <v>165</v>
      </c>
      <c r="D1350" s="1027"/>
      <c r="E1350" s="1038"/>
      <c r="F1350" s="1036">
        <v>99</v>
      </c>
      <c r="G1350" s="1152"/>
      <c r="H1350" s="1153"/>
      <c r="I1350" s="1152"/>
      <c r="J1350" s="1153"/>
      <c r="K1350" s="1152"/>
      <c r="L1350" s="1153"/>
      <c r="M1350" s="1152"/>
      <c r="N1350" s="1152"/>
      <c r="O1350" s="732">
        <f t="shared" si="165"/>
        <v>0</v>
      </c>
      <c r="P1350" s="1153"/>
      <c r="Q1350" s="1153"/>
      <c r="R1350" s="733">
        <f t="shared" si="168"/>
        <v>0</v>
      </c>
      <c r="S1350" s="732">
        <f t="shared" si="169"/>
        <v>0</v>
      </c>
      <c r="T1350" s="733">
        <f t="shared" si="170"/>
        <v>0</v>
      </c>
      <c r="U1350" s="1152"/>
      <c r="V1350" s="1153"/>
      <c r="W1350" s="1152"/>
      <c r="X1350" s="1152"/>
      <c r="Y1350" s="732">
        <f t="shared" si="166"/>
        <v>0</v>
      </c>
      <c r="Z1350" s="1153"/>
      <c r="AA1350" s="1153"/>
      <c r="AB1350" s="733">
        <f t="shared" si="167"/>
        <v>0</v>
      </c>
      <c r="AC1350" s="1152"/>
      <c r="AD1350" s="1153"/>
      <c r="AE1350" s="1152"/>
      <c r="AF1350" s="1152"/>
      <c r="AG1350" s="1153"/>
      <c r="AH1350" s="1153"/>
      <c r="AI1350" s="732">
        <f t="shared" si="171"/>
        <v>0</v>
      </c>
      <c r="AJ1350" s="733">
        <f t="shared" si="172"/>
        <v>0</v>
      </c>
    </row>
    <row r="1351" spans="1:36">
      <c r="A1351" s="1020" t="s">
        <v>636</v>
      </c>
      <c r="B1351" s="1021" t="s">
        <v>166</v>
      </c>
      <c r="C1351" s="1026" t="s">
        <v>167</v>
      </c>
      <c r="D1351" s="1027"/>
      <c r="E1351" s="1038"/>
      <c r="F1351" s="1036">
        <v>99</v>
      </c>
      <c r="G1351" s="1152"/>
      <c r="H1351" s="1153"/>
      <c r="I1351" s="1152"/>
      <c r="J1351" s="1153"/>
      <c r="K1351" s="1152"/>
      <c r="L1351" s="1153"/>
      <c r="M1351" s="1152"/>
      <c r="N1351" s="1152"/>
      <c r="O1351" s="732">
        <f t="shared" si="165"/>
        <v>0</v>
      </c>
      <c r="P1351" s="1153"/>
      <c r="Q1351" s="1153"/>
      <c r="R1351" s="733">
        <f t="shared" si="168"/>
        <v>0</v>
      </c>
      <c r="S1351" s="732">
        <f t="shared" si="169"/>
        <v>0</v>
      </c>
      <c r="T1351" s="733">
        <f t="shared" si="170"/>
        <v>0</v>
      </c>
      <c r="U1351" s="1152"/>
      <c r="V1351" s="1153"/>
      <c r="W1351" s="1152"/>
      <c r="X1351" s="1152"/>
      <c r="Y1351" s="732">
        <f t="shared" si="166"/>
        <v>0</v>
      </c>
      <c r="Z1351" s="1153"/>
      <c r="AA1351" s="1153"/>
      <c r="AB1351" s="733">
        <f t="shared" si="167"/>
        <v>0</v>
      </c>
      <c r="AC1351" s="1152"/>
      <c r="AD1351" s="1153"/>
      <c r="AE1351" s="1152"/>
      <c r="AF1351" s="1152"/>
      <c r="AG1351" s="1153"/>
      <c r="AH1351" s="1153"/>
      <c r="AI1351" s="732">
        <f t="shared" si="171"/>
        <v>0</v>
      </c>
      <c r="AJ1351" s="733">
        <f t="shared" si="172"/>
        <v>0</v>
      </c>
    </row>
    <row r="1352" spans="1:36">
      <c r="A1352" s="1020" t="s">
        <v>636</v>
      </c>
      <c r="B1352" s="1021" t="s">
        <v>161</v>
      </c>
      <c r="C1352" s="1040" t="s">
        <v>667</v>
      </c>
      <c r="D1352" s="1027"/>
      <c r="E1352" s="1038"/>
      <c r="F1352" s="1036">
        <v>99</v>
      </c>
      <c r="G1352" s="1152"/>
      <c r="H1352" s="1153"/>
      <c r="I1352" s="1152"/>
      <c r="J1352" s="1153"/>
      <c r="K1352" s="1152"/>
      <c r="L1352" s="1153"/>
      <c r="M1352" s="1152"/>
      <c r="N1352" s="1152"/>
      <c r="O1352" s="732">
        <f t="shared" si="165"/>
        <v>0</v>
      </c>
      <c r="P1352" s="1153"/>
      <c r="Q1352" s="1153"/>
      <c r="R1352" s="733">
        <f t="shared" si="168"/>
        <v>0</v>
      </c>
      <c r="S1352" s="732">
        <f t="shared" si="169"/>
        <v>0</v>
      </c>
      <c r="T1352" s="733">
        <f t="shared" si="170"/>
        <v>0</v>
      </c>
      <c r="U1352" s="1152"/>
      <c r="V1352" s="1153"/>
      <c r="W1352" s="1152"/>
      <c r="X1352" s="1152"/>
      <c r="Y1352" s="732">
        <f t="shared" si="166"/>
        <v>0</v>
      </c>
      <c r="Z1352" s="1153"/>
      <c r="AA1352" s="1153"/>
      <c r="AB1352" s="733">
        <f t="shared" si="167"/>
        <v>0</v>
      </c>
      <c r="AC1352" s="1152"/>
      <c r="AD1352" s="1153"/>
      <c r="AE1352" s="1152"/>
      <c r="AF1352" s="1152"/>
      <c r="AG1352" s="1153"/>
      <c r="AH1352" s="1153"/>
      <c r="AI1352" s="732">
        <f t="shared" si="171"/>
        <v>0</v>
      </c>
      <c r="AJ1352" s="733">
        <f t="shared" si="172"/>
        <v>0</v>
      </c>
    </row>
    <row r="1353" spans="1:36">
      <c r="A1353" s="1020" t="s">
        <v>636</v>
      </c>
      <c r="B1353" s="1021" t="s">
        <v>164</v>
      </c>
      <c r="C1353" s="1026" t="s">
        <v>165</v>
      </c>
      <c r="D1353" s="1027"/>
      <c r="E1353" s="1038"/>
      <c r="F1353" s="1036">
        <v>99</v>
      </c>
      <c r="G1353" s="1152"/>
      <c r="H1353" s="1153"/>
      <c r="I1353" s="1152"/>
      <c r="J1353" s="1153"/>
      <c r="K1353" s="1152"/>
      <c r="L1353" s="1153"/>
      <c r="M1353" s="1152"/>
      <c r="N1353" s="1152"/>
      <c r="O1353" s="732">
        <f t="shared" si="165"/>
        <v>0</v>
      </c>
      <c r="P1353" s="1153"/>
      <c r="Q1353" s="1153"/>
      <c r="R1353" s="733">
        <f t="shared" si="168"/>
        <v>0</v>
      </c>
      <c r="S1353" s="732">
        <f t="shared" si="169"/>
        <v>0</v>
      </c>
      <c r="T1353" s="733">
        <f t="shared" si="170"/>
        <v>0</v>
      </c>
      <c r="U1353" s="1152"/>
      <c r="V1353" s="1153"/>
      <c r="W1353" s="1152"/>
      <c r="X1353" s="1152"/>
      <c r="Y1353" s="732">
        <f t="shared" si="166"/>
        <v>0</v>
      </c>
      <c r="Z1353" s="1153"/>
      <c r="AA1353" s="1153"/>
      <c r="AB1353" s="733">
        <f t="shared" si="167"/>
        <v>0</v>
      </c>
      <c r="AC1353" s="1152"/>
      <c r="AD1353" s="1153"/>
      <c r="AE1353" s="1152"/>
      <c r="AF1353" s="1152"/>
      <c r="AG1353" s="1153"/>
      <c r="AH1353" s="1153"/>
      <c r="AI1353" s="732">
        <f t="shared" si="171"/>
        <v>0</v>
      </c>
      <c r="AJ1353" s="733">
        <f t="shared" si="172"/>
        <v>0</v>
      </c>
    </row>
    <row r="1354" spans="1:36">
      <c r="A1354" s="1020" t="s">
        <v>636</v>
      </c>
      <c r="B1354" s="1021" t="s">
        <v>166</v>
      </c>
      <c r="C1354" s="1026" t="s">
        <v>167</v>
      </c>
      <c r="D1354" s="1027"/>
      <c r="E1354" s="1038"/>
      <c r="F1354" s="1036">
        <v>99</v>
      </c>
      <c r="G1354" s="1152"/>
      <c r="H1354" s="1153"/>
      <c r="I1354" s="1152"/>
      <c r="J1354" s="1153"/>
      <c r="K1354" s="1152"/>
      <c r="L1354" s="1153"/>
      <c r="M1354" s="1152"/>
      <c r="N1354" s="1152"/>
      <c r="O1354" s="732">
        <f t="shared" ref="O1354:O1417" si="173">SUM(M1354:N1354)</f>
        <v>0</v>
      </c>
      <c r="P1354" s="1153"/>
      <c r="Q1354" s="1153"/>
      <c r="R1354" s="733">
        <f t="shared" si="168"/>
        <v>0</v>
      </c>
      <c r="S1354" s="732">
        <f t="shared" si="169"/>
        <v>0</v>
      </c>
      <c r="T1354" s="733">
        <f t="shared" si="170"/>
        <v>0</v>
      </c>
      <c r="U1354" s="1152"/>
      <c r="V1354" s="1153"/>
      <c r="W1354" s="1152"/>
      <c r="X1354" s="1152"/>
      <c r="Y1354" s="732">
        <f t="shared" ref="Y1354:Y1417" si="174">SUM(W1354:X1354)</f>
        <v>0</v>
      </c>
      <c r="Z1354" s="1153"/>
      <c r="AA1354" s="1153"/>
      <c r="AB1354" s="733">
        <f t="shared" ref="AB1354:AB1417" si="175">SUM(Z1354:AA1354)</f>
        <v>0</v>
      </c>
      <c r="AC1354" s="1152"/>
      <c r="AD1354" s="1153"/>
      <c r="AE1354" s="1152"/>
      <c r="AF1354" s="1152"/>
      <c r="AG1354" s="1153"/>
      <c r="AH1354" s="1153"/>
      <c r="AI1354" s="732">
        <f t="shared" si="171"/>
        <v>0</v>
      </c>
      <c r="AJ1354" s="733">
        <f t="shared" si="172"/>
        <v>0</v>
      </c>
    </row>
    <row r="1355" spans="1:36">
      <c r="A1355" s="1020" t="s">
        <v>636</v>
      </c>
      <c r="B1355" s="1021" t="s">
        <v>170</v>
      </c>
      <c r="C1355" s="1026" t="s">
        <v>171</v>
      </c>
      <c r="D1355" s="1027"/>
      <c r="E1355" s="1038"/>
      <c r="F1355" s="1036">
        <v>99</v>
      </c>
      <c r="G1355" s="1152"/>
      <c r="H1355" s="1153"/>
      <c r="I1355" s="1152"/>
      <c r="J1355" s="1153"/>
      <c r="K1355" s="1152"/>
      <c r="L1355" s="1153"/>
      <c r="M1355" s="1152"/>
      <c r="N1355" s="1152"/>
      <c r="O1355" s="732">
        <f t="shared" si="173"/>
        <v>0</v>
      </c>
      <c r="P1355" s="1153"/>
      <c r="Q1355" s="1153"/>
      <c r="R1355" s="733">
        <f t="shared" ref="R1355:R1418" si="176">SUM(P1355:Q1355)</f>
        <v>0</v>
      </c>
      <c r="S1355" s="732">
        <f t="shared" ref="S1355:S1418" si="177">SUM(G1355,I1355,K1355,M1355)</f>
        <v>0</v>
      </c>
      <c r="T1355" s="733">
        <f t="shared" ref="T1355:T1418" si="178">SUM(H1355,J1355,L1355,P1355)</f>
        <v>0</v>
      </c>
      <c r="U1355" s="1152"/>
      <c r="V1355" s="1153"/>
      <c r="W1355" s="1152"/>
      <c r="X1355" s="1152"/>
      <c r="Y1355" s="732">
        <f t="shared" si="174"/>
        <v>0</v>
      </c>
      <c r="Z1355" s="1153"/>
      <c r="AA1355" s="1153"/>
      <c r="AB1355" s="733">
        <f t="shared" si="175"/>
        <v>0</v>
      </c>
      <c r="AC1355" s="1152"/>
      <c r="AD1355" s="1153"/>
      <c r="AE1355" s="1152"/>
      <c r="AF1355" s="1152"/>
      <c r="AG1355" s="1153"/>
      <c r="AH1355" s="1153"/>
      <c r="AI1355" s="732">
        <f t="shared" ref="AI1355:AI1418" si="179">SUM(S1355,U1355,W1355,AC1355,AE1355)</f>
        <v>0</v>
      </c>
      <c r="AJ1355" s="733">
        <f t="shared" ref="AJ1355:AJ1418" si="180">SUM(T1355,V1355,Z1355,AD1355,AG1355)</f>
        <v>0</v>
      </c>
    </row>
    <row r="1356" spans="1:36">
      <c r="A1356" s="1020" t="s">
        <v>636</v>
      </c>
      <c r="B1356" s="1021" t="s">
        <v>172</v>
      </c>
      <c r="C1356" s="1026" t="s">
        <v>165</v>
      </c>
      <c r="D1356" s="1027"/>
      <c r="E1356" s="1038"/>
      <c r="F1356" s="1036">
        <v>99</v>
      </c>
      <c r="G1356" s="1152"/>
      <c r="H1356" s="1153"/>
      <c r="I1356" s="1152"/>
      <c r="J1356" s="1153"/>
      <c r="K1356" s="1152"/>
      <c r="L1356" s="1153"/>
      <c r="M1356" s="1152"/>
      <c r="N1356" s="1152"/>
      <c r="O1356" s="732">
        <f t="shared" si="173"/>
        <v>0</v>
      </c>
      <c r="P1356" s="1153"/>
      <c r="Q1356" s="1153"/>
      <c r="R1356" s="733">
        <f t="shared" si="176"/>
        <v>0</v>
      </c>
      <c r="S1356" s="732">
        <f t="shared" si="177"/>
        <v>0</v>
      </c>
      <c r="T1356" s="733">
        <f t="shared" si="178"/>
        <v>0</v>
      </c>
      <c r="U1356" s="1152"/>
      <c r="V1356" s="1153"/>
      <c r="W1356" s="1152"/>
      <c r="X1356" s="1152"/>
      <c r="Y1356" s="732">
        <f t="shared" si="174"/>
        <v>0</v>
      </c>
      <c r="Z1356" s="1153"/>
      <c r="AA1356" s="1153"/>
      <c r="AB1356" s="733">
        <f t="shared" si="175"/>
        <v>0</v>
      </c>
      <c r="AC1356" s="1152"/>
      <c r="AD1356" s="1153"/>
      <c r="AE1356" s="1152"/>
      <c r="AF1356" s="1152"/>
      <c r="AG1356" s="1153"/>
      <c r="AH1356" s="1153"/>
      <c r="AI1356" s="732">
        <f t="shared" si="179"/>
        <v>0</v>
      </c>
      <c r="AJ1356" s="733">
        <f t="shared" si="180"/>
        <v>0</v>
      </c>
    </row>
    <row r="1357" spans="1:36">
      <c r="A1357" s="1020" t="s">
        <v>636</v>
      </c>
      <c r="B1357" s="1021" t="s">
        <v>166</v>
      </c>
      <c r="C1357" s="1026" t="s">
        <v>167</v>
      </c>
      <c r="D1357" s="1027"/>
      <c r="E1357" s="1038"/>
      <c r="F1357" s="1036">
        <v>99</v>
      </c>
      <c r="G1357" s="1152"/>
      <c r="H1357" s="1153"/>
      <c r="I1357" s="1152"/>
      <c r="J1357" s="1153"/>
      <c r="K1357" s="1152"/>
      <c r="L1357" s="1153"/>
      <c r="M1357" s="1152"/>
      <c r="N1357" s="1152"/>
      <c r="O1357" s="732">
        <f t="shared" si="173"/>
        <v>0</v>
      </c>
      <c r="P1357" s="1153"/>
      <c r="Q1357" s="1153"/>
      <c r="R1357" s="733">
        <f t="shared" si="176"/>
        <v>0</v>
      </c>
      <c r="S1357" s="732">
        <f t="shared" si="177"/>
        <v>0</v>
      </c>
      <c r="T1357" s="733">
        <f t="shared" si="178"/>
        <v>0</v>
      </c>
      <c r="U1357" s="1152"/>
      <c r="V1357" s="1153"/>
      <c r="W1357" s="1152"/>
      <c r="X1357" s="1152"/>
      <c r="Y1357" s="732">
        <f t="shared" si="174"/>
        <v>0</v>
      </c>
      <c r="Z1357" s="1153"/>
      <c r="AA1357" s="1153"/>
      <c r="AB1357" s="733">
        <f t="shared" si="175"/>
        <v>0</v>
      </c>
      <c r="AC1357" s="1152"/>
      <c r="AD1357" s="1153"/>
      <c r="AE1357" s="1152"/>
      <c r="AF1357" s="1152"/>
      <c r="AG1357" s="1153"/>
      <c r="AH1357" s="1153"/>
      <c r="AI1357" s="732">
        <f t="shared" si="179"/>
        <v>0</v>
      </c>
      <c r="AJ1357" s="733">
        <f t="shared" si="180"/>
        <v>0</v>
      </c>
    </row>
    <row r="1358" spans="1:36">
      <c r="A1358" s="1020" t="s">
        <v>636</v>
      </c>
      <c r="B1358" s="1021" t="s">
        <v>176</v>
      </c>
      <c r="C1358" s="1026" t="s">
        <v>177</v>
      </c>
      <c r="D1358" s="1027"/>
      <c r="E1358" s="1038"/>
      <c r="F1358" s="1036">
        <v>99</v>
      </c>
      <c r="G1358" s="1152"/>
      <c r="H1358" s="1153"/>
      <c r="I1358" s="1152"/>
      <c r="J1358" s="1153"/>
      <c r="K1358" s="1152"/>
      <c r="L1358" s="1153"/>
      <c r="M1358" s="1152"/>
      <c r="N1358" s="1152"/>
      <c r="O1358" s="732">
        <f t="shared" si="173"/>
        <v>0</v>
      </c>
      <c r="P1358" s="1153"/>
      <c r="Q1358" s="1153"/>
      <c r="R1358" s="733">
        <f t="shared" si="176"/>
        <v>0</v>
      </c>
      <c r="S1358" s="732">
        <f t="shared" si="177"/>
        <v>0</v>
      </c>
      <c r="T1358" s="733">
        <f t="shared" si="178"/>
        <v>0</v>
      </c>
      <c r="U1358" s="1152"/>
      <c r="V1358" s="1153"/>
      <c r="W1358" s="1152"/>
      <c r="X1358" s="1152"/>
      <c r="Y1358" s="732">
        <f t="shared" si="174"/>
        <v>0</v>
      </c>
      <c r="Z1358" s="1153"/>
      <c r="AA1358" s="1153"/>
      <c r="AB1358" s="733">
        <f t="shared" si="175"/>
        <v>0</v>
      </c>
      <c r="AC1358" s="1152"/>
      <c r="AD1358" s="1153"/>
      <c r="AE1358" s="1152"/>
      <c r="AF1358" s="1152"/>
      <c r="AG1358" s="1153"/>
      <c r="AH1358" s="1153"/>
      <c r="AI1358" s="732">
        <f t="shared" si="179"/>
        <v>0</v>
      </c>
      <c r="AJ1358" s="733">
        <f t="shared" si="180"/>
        <v>0</v>
      </c>
    </row>
    <row r="1359" spans="1:36">
      <c r="A1359" s="1020" t="s">
        <v>636</v>
      </c>
      <c r="B1359" s="1021" t="s">
        <v>180</v>
      </c>
      <c r="C1359" s="1026" t="s">
        <v>165</v>
      </c>
      <c r="D1359" s="1027"/>
      <c r="E1359" s="1038"/>
      <c r="F1359" s="1036">
        <v>99</v>
      </c>
      <c r="G1359" s="1152"/>
      <c r="H1359" s="1153"/>
      <c r="I1359" s="1152"/>
      <c r="J1359" s="1153"/>
      <c r="K1359" s="1152"/>
      <c r="L1359" s="1153"/>
      <c r="M1359" s="1152"/>
      <c r="N1359" s="1152"/>
      <c r="O1359" s="732">
        <f t="shared" si="173"/>
        <v>0</v>
      </c>
      <c r="P1359" s="1153"/>
      <c r="Q1359" s="1153"/>
      <c r="R1359" s="733">
        <f t="shared" si="176"/>
        <v>0</v>
      </c>
      <c r="S1359" s="732">
        <f t="shared" si="177"/>
        <v>0</v>
      </c>
      <c r="T1359" s="733">
        <f t="shared" si="178"/>
        <v>0</v>
      </c>
      <c r="U1359" s="1152"/>
      <c r="V1359" s="1153"/>
      <c r="W1359" s="1152"/>
      <c r="X1359" s="1152"/>
      <c r="Y1359" s="732">
        <f t="shared" si="174"/>
        <v>0</v>
      </c>
      <c r="Z1359" s="1153"/>
      <c r="AA1359" s="1153"/>
      <c r="AB1359" s="733">
        <f t="shared" si="175"/>
        <v>0</v>
      </c>
      <c r="AC1359" s="1152"/>
      <c r="AD1359" s="1153"/>
      <c r="AE1359" s="1152"/>
      <c r="AF1359" s="1152"/>
      <c r="AG1359" s="1153"/>
      <c r="AH1359" s="1153"/>
      <c r="AI1359" s="732">
        <f t="shared" si="179"/>
        <v>0</v>
      </c>
      <c r="AJ1359" s="733">
        <f t="shared" si="180"/>
        <v>0</v>
      </c>
    </row>
    <row r="1360" spans="1:36">
      <c r="A1360" s="1020" t="s">
        <v>636</v>
      </c>
      <c r="B1360" s="1021" t="s">
        <v>166</v>
      </c>
      <c r="C1360" s="1026" t="s">
        <v>167</v>
      </c>
      <c r="D1360" s="1027"/>
      <c r="E1360" s="1038"/>
      <c r="F1360" s="1036">
        <v>99</v>
      </c>
      <c r="G1360" s="1152"/>
      <c r="H1360" s="1153"/>
      <c r="I1360" s="1152"/>
      <c r="J1360" s="1153"/>
      <c r="K1360" s="1152"/>
      <c r="L1360" s="1153"/>
      <c r="M1360" s="1152"/>
      <c r="N1360" s="1152"/>
      <c r="O1360" s="732">
        <f t="shared" si="173"/>
        <v>0</v>
      </c>
      <c r="P1360" s="1153"/>
      <c r="Q1360" s="1153"/>
      <c r="R1360" s="733">
        <f t="shared" si="176"/>
        <v>0</v>
      </c>
      <c r="S1360" s="732">
        <f t="shared" si="177"/>
        <v>0</v>
      </c>
      <c r="T1360" s="733">
        <f t="shared" si="178"/>
        <v>0</v>
      </c>
      <c r="U1360" s="1152"/>
      <c r="V1360" s="1153"/>
      <c r="W1360" s="1152"/>
      <c r="X1360" s="1152"/>
      <c r="Y1360" s="732">
        <f t="shared" si="174"/>
        <v>0</v>
      </c>
      <c r="Z1360" s="1153"/>
      <c r="AA1360" s="1153"/>
      <c r="AB1360" s="733">
        <f t="shared" si="175"/>
        <v>0</v>
      </c>
      <c r="AC1360" s="1152"/>
      <c r="AD1360" s="1153"/>
      <c r="AE1360" s="1152"/>
      <c r="AF1360" s="1152"/>
      <c r="AG1360" s="1153"/>
      <c r="AH1360" s="1153"/>
      <c r="AI1360" s="732">
        <f t="shared" si="179"/>
        <v>0</v>
      </c>
      <c r="AJ1360" s="733">
        <f t="shared" si="180"/>
        <v>0</v>
      </c>
    </row>
    <row r="1361" spans="1:36">
      <c r="A1361" s="1020" t="s">
        <v>636</v>
      </c>
      <c r="B1361" s="1021" t="s">
        <v>161</v>
      </c>
      <c r="C1361" s="1040" t="s">
        <v>668</v>
      </c>
      <c r="D1361" s="1027"/>
      <c r="E1361" s="1038"/>
      <c r="F1361" s="1036">
        <v>99</v>
      </c>
      <c r="G1361" s="1152"/>
      <c r="H1361" s="1153"/>
      <c r="I1361" s="1152"/>
      <c r="J1361" s="1153"/>
      <c r="K1361" s="1152"/>
      <c r="L1361" s="1153"/>
      <c r="M1361" s="1152"/>
      <c r="N1361" s="1152"/>
      <c r="O1361" s="732">
        <f t="shared" si="173"/>
        <v>0</v>
      </c>
      <c r="P1361" s="1153"/>
      <c r="Q1361" s="1153"/>
      <c r="R1361" s="733">
        <f t="shared" si="176"/>
        <v>0</v>
      </c>
      <c r="S1361" s="732">
        <f t="shared" si="177"/>
        <v>0</v>
      </c>
      <c r="T1361" s="733">
        <f t="shared" si="178"/>
        <v>0</v>
      </c>
      <c r="U1361" s="1152"/>
      <c r="V1361" s="1153"/>
      <c r="W1361" s="1152"/>
      <c r="X1361" s="1152"/>
      <c r="Y1361" s="732">
        <f t="shared" si="174"/>
        <v>0</v>
      </c>
      <c r="Z1361" s="1153"/>
      <c r="AA1361" s="1153"/>
      <c r="AB1361" s="733">
        <f t="shared" si="175"/>
        <v>0</v>
      </c>
      <c r="AC1361" s="1152"/>
      <c r="AD1361" s="1153"/>
      <c r="AE1361" s="1152"/>
      <c r="AF1361" s="1152"/>
      <c r="AG1361" s="1153"/>
      <c r="AH1361" s="1153"/>
      <c r="AI1361" s="732">
        <f t="shared" si="179"/>
        <v>0</v>
      </c>
      <c r="AJ1361" s="733">
        <f t="shared" si="180"/>
        <v>0</v>
      </c>
    </row>
    <row r="1362" spans="1:36">
      <c r="A1362" s="1020" t="s">
        <v>636</v>
      </c>
      <c r="B1362" s="1021" t="s">
        <v>164</v>
      </c>
      <c r="C1362" s="1026" t="s">
        <v>165</v>
      </c>
      <c r="D1362" s="1027"/>
      <c r="E1362" s="1038"/>
      <c r="F1362" s="1036">
        <v>99</v>
      </c>
      <c r="G1362" s="1152"/>
      <c r="H1362" s="1153"/>
      <c r="I1362" s="1152"/>
      <c r="J1362" s="1153"/>
      <c r="K1362" s="1152"/>
      <c r="L1362" s="1153"/>
      <c r="M1362" s="1152"/>
      <c r="N1362" s="1152"/>
      <c r="O1362" s="732">
        <f t="shared" si="173"/>
        <v>0</v>
      </c>
      <c r="P1362" s="1153"/>
      <c r="Q1362" s="1153"/>
      <c r="R1362" s="733">
        <f t="shared" si="176"/>
        <v>0</v>
      </c>
      <c r="S1362" s="732">
        <f t="shared" si="177"/>
        <v>0</v>
      </c>
      <c r="T1362" s="733">
        <f t="shared" si="178"/>
        <v>0</v>
      </c>
      <c r="U1362" s="1152"/>
      <c r="V1362" s="1153"/>
      <c r="W1362" s="1152"/>
      <c r="X1362" s="1152"/>
      <c r="Y1362" s="732">
        <f t="shared" si="174"/>
        <v>0</v>
      </c>
      <c r="Z1362" s="1153"/>
      <c r="AA1362" s="1153"/>
      <c r="AB1362" s="733">
        <f t="shared" si="175"/>
        <v>0</v>
      </c>
      <c r="AC1362" s="1152"/>
      <c r="AD1362" s="1153"/>
      <c r="AE1362" s="1152"/>
      <c r="AF1362" s="1152"/>
      <c r="AG1362" s="1153"/>
      <c r="AH1362" s="1153"/>
      <c r="AI1362" s="732">
        <f t="shared" si="179"/>
        <v>0</v>
      </c>
      <c r="AJ1362" s="733">
        <f t="shared" si="180"/>
        <v>0</v>
      </c>
    </row>
    <row r="1363" spans="1:36">
      <c r="A1363" s="1020" t="s">
        <v>636</v>
      </c>
      <c r="B1363" s="1021" t="s">
        <v>166</v>
      </c>
      <c r="C1363" s="1026" t="s">
        <v>167</v>
      </c>
      <c r="D1363" s="1027"/>
      <c r="E1363" s="1038"/>
      <c r="F1363" s="1036">
        <v>99</v>
      </c>
      <c r="G1363" s="1152"/>
      <c r="H1363" s="1153"/>
      <c r="I1363" s="1152"/>
      <c r="J1363" s="1153"/>
      <c r="K1363" s="1152"/>
      <c r="L1363" s="1153"/>
      <c r="M1363" s="1152"/>
      <c r="N1363" s="1152"/>
      <c r="O1363" s="732">
        <f t="shared" si="173"/>
        <v>0</v>
      </c>
      <c r="P1363" s="1153"/>
      <c r="Q1363" s="1153"/>
      <c r="R1363" s="733">
        <f t="shared" si="176"/>
        <v>0</v>
      </c>
      <c r="S1363" s="732">
        <f t="shared" si="177"/>
        <v>0</v>
      </c>
      <c r="T1363" s="733">
        <f t="shared" si="178"/>
        <v>0</v>
      </c>
      <c r="U1363" s="1152"/>
      <c r="V1363" s="1153"/>
      <c r="W1363" s="1152"/>
      <c r="X1363" s="1152"/>
      <c r="Y1363" s="732">
        <f t="shared" si="174"/>
        <v>0</v>
      </c>
      <c r="Z1363" s="1153"/>
      <c r="AA1363" s="1153"/>
      <c r="AB1363" s="733">
        <f t="shared" si="175"/>
        <v>0</v>
      </c>
      <c r="AC1363" s="1152"/>
      <c r="AD1363" s="1153"/>
      <c r="AE1363" s="1152"/>
      <c r="AF1363" s="1152"/>
      <c r="AG1363" s="1153"/>
      <c r="AH1363" s="1153"/>
      <c r="AI1363" s="732">
        <f t="shared" si="179"/>
        <v>0</v>
      </c>
      <c r="AJ1363" s="733">
        <f t="shared" si="180"/>
        <v>0</v>
      </c>
    </row>
    <row r="1364" spans="1:36">
      <c r="A1364" s="1020" t="s">
        <v>636</v>
      </c>
      <c r="B1364" s="1021" t="s">
        <v>170</v>
      </c>
      <c r="C1364" s="1026" t="s">
        <v>171</v>
      </c>
      <c r="D1364" s="1027"/>
      <c r="E1364" s="1038"/>
      <c r="F1364" s="1036">
        <v>99</v>
      </c>
      <c r="G1364" s="1152"/>
      <c r="H1364" s="1153"/>
      <c r="I1364" s="1152"/>
      <c r="J1364" s="1153"/>
      <c r="K1364" s="1152"/>
      <c r="L1364" s="1153"/>
      <c r="M1364" s="1152"/>
      <c r="N1364" s="1152"/>
      <c r="O1364" s="732">
        <f t="shared" si="173"/>
        <v>0</v>
      </c>
      <c r="P1364" s="1153"/>
      <c r="Q1364" s="1153"/>
      <c r="R1364" s="733">
        <f t="shared" si="176"/>
        <v>0</v>
      </c>
      <c r="S1364" s="732">
        <f t="shared" si="177"/>
        <v>0</v>
      </c>
      <c r="T1364" s="733">
        <f t="shared" si="178"/>
        <v>0</v>
      </c>
      <c r="U1364" s="1152"/>
      <c r="V1364" s="1153"/>
      <c r="W1364" s="1152"/>
      <c r="X1364" s="1152"/>
      <c r="Y1364" s="732">
        <f t="shared" si="174"/>
        <v>0</v>
      </c>
      <c r="Z1364" s="1153"/>
      <c r="AA1364" s="1153"/>
      <c r="AB1364" s="733">
        <f t="shared" si="175"/>
        <v>0</v>
      </c>
      <c r="AC1364" s="1152"/>
      <c r="AD1364" s="1153"/>
      <c r="AE1364" s="1152"/>
      <c r="AF1364" s="1152"/>
      <c r="AG1364" s="1153"/>
      <c r="AH1364" s="1153"/>
      <c r="AI1364" s="732">
        <f t="shared" si="179"/>
        <v>0</v>
      </c>
      <c r="AJ1364" s="733">
        <f t="shared" si="180"/>
        <v>0</v>
      </c>
    </row>
    <row r="1365" spans="1:36">
      <c r="A1365" s="1020" t="s">
        <v>636</v>
      </c>
      <c r="B1365" s="1021" t="s">
        <v>172</v>
      </c>
      <c r="C1365" s="1026" t="s">
        <v>165</v>
      </c>
      <c r="D1365" s="1027"/>
      <c r="E1365" s="1038"/>
      <c r="F1365" s="1036">
        <v>99</v>
      </c>
      <c r="G1365" s="1152"/>
      <c r="H1365" s="1153"/>
      <c r="I1365" s="1152"/>
      <c r="J1365" s="1153"/>
      <c r="K1365" s="1152"/>
      <c r="L1365" s="1153"/>
      <c r="M1365" s="1152"/>
      <c r="N1365" s="1152"/>
      <c r="O1365" s="732">
        <f t="shared" si="173"/>
        <v>0</v>
      </c>
      <c r="P1365" s="1153"/>
      <c r="Q1365" s="1153"/>
      <c r="R1365" s="733">
        <f t="shared" si="176"/>
        <v>0</v>
      </c>
      <c r="S1365" s="732">
        <f t="shared" si="177"/>
        <v>0</v>
      </c>
      <c r="T1365" s="733">
        <f t="shared" si="178"/>
        <v>0</v>
      </c>
      <c r="U1365" s="1152"/>
      <c r="V1365" s="1153"/>
      <c r="W1365" s="1152"/>
      <c r="X1365" s="1152"/>
      <c r="Y1365" s="732">
        <f t="shared" si="174"/>
        <v>0</v>
      </c>
      <c r="Z1365" s="1153"/>
      <c r="AA1365" s="1153"/>
      <c r="AB1365" s="733">
        <f t="shared" si="175"/>
        <v>0</v>
      </c>
      <c r="AC1365" s="1152"/>
      <c r="AD1365" s="1153"/>
      <c r="AE1365" s="1152"/>
      <c r="AF1365" s="1152"/>
      <c r="AG1365" s="1153"/>
      <c r="AH1365" s="1153"/>
      <c r="AI1365" s="732">
        <f t="shared" si="179"/>
        <v>0</v>
      </c>
      <c r="AJ1365" s="733">
        <f t="shared" si="180"/>
        <v>0</v>
      </c>
    </row>
    <row r="1366" spans="1:36">
      <c r="A1366" s="1020" t="s">
        <v>636</v>
      </c>
      <c r="B1366" s="1021" t="s">
        <v>166</v>
      </c>
      <c r="C1366" s="1026" t="s">
        <v>167</v>
      </c>
      <c r="D1366" s="1027"/>
      <c r="E1366" s="1038"/>
      <c r="F1366" s="1036">
        <v>99</v>
      </c>
      <c r="G1366" s="1152"/>
      <c r="H1366" s="1153"/>
      <c r="I1366" s="1152"/>
      <c r="J1366" s="1153"/>
      <c r="K1366" s="1152"/>
      <c r="L1366" s="1153"/>
      <c r="M1366" s="1152"/>
      <c r="N1366" s="1152"/>
      <c r="O1366" s="732">
        <f t="shared" si="173"/>
        <v>0</v>
      </c>
      <c r="P1366" s="1153"/>
      <c r="Q1366" s="1153"/>
      <c r="R1366" s="733">
        <f t="shared" si="176"/>
        <v>0</v>
      </c>
      <c r="S1366" s="732">
        <f t="shared" si="177"/>
        <v>0</v>
      </c>
      <c r="T1366" s="733">
        <f t="shared" si="178"/>
        <v>0</v>
      </c>
      <c r="U1366" s="1152"/>
      <c r="V1366" s="1153"/>
      <c r="W1366" s="1152"/>
      <c r="X1366" s="1152"/>
      <c r="Y1366" s="732">
        <f t="shared" si="174"/>
        <v>0</v>
      </c>
      <c r="Z1366" s="1153"/>
      <c r="AA1366" s="1153"/>
      <c r="AB1366" s="733">
        <f t="shared" si="175"/>
        <v>0</v>
      </c>
      <c r="AC1366" s="1152"/>
      <c r="AD1366" s="1153"/>
      <c r="AE1366" s="1152"/>
      <c r="AF1366" s="1152"/>
      <c r="AG1366" s="1153"/>
      <c r="AH1366" s="1153"/>
      <c r="AI1366" s="732">
        <f t="shared" si="179"/>
        <v>0</v>
      </c>
      <c r="AJ1366" s="733">
        <f t="shared" si="180"/>
        <v>0</v>
      </c>
    </row>
    <row r="1367" spans="1:36">
      <c r="A1367" s="1020" t="s">
        <v>636</v>
      </c>
      <c r="B1367" s="1021" t="s">
        <v>176</v>
      </c>
      <c r="C1367" s="1026" t="s">
        <v>177</v>
      </c>
      <c r="D1367" s="1027"/>
      <c r="E1367" s="1038"/>
      <c r="F1367" s="1036">
        <v>99</v>
      </c>
      <c r="G1367" s="1152"/>
      <c r="H1367" s="1153"/>
      <c r="I1367" s="1152"/>
      <c r="J1367" s="1153"/>
      <c r="K1367" s="1152"/>
      <c r="L1367" s="1153"/>
      <c r="M1367" s="1152"/>
      <c r="N1367" s="1152"/>
      <c r="O1367" s="732">
        <f t="shared" si="173"/>
        <v>0</v>
      </c>
      <c r="P1367" s="1153"/>
      <c r="Q1367" s="1153"/>
      <c r="R1367" s="733">
        <f t="shared" si="176"/>
        <v>0</v>
      </c>
      <c r="S1367" s="732">
        <f t="shared" si="177"/>
        <v>0</v>
      </c>
      <c r="T1367" s="733">
        <f t="shared" si="178"/>
        <v>0</v>
      </c>
      <c r="U1367" s="1152"/>
      <c r="V1367" s="1153"/>
      <c r="W1367" s="1152"/>
      <c r="X1367" s="1152"/>
      <c r="Y1367" s="732">
        <f t="shared" si="174"/>
        <v>0</v>
      </c>
      <c r="Z1367" s="1153"/>
      <c r="AA1367" s="1153"/>
      <c r="AB1367" s="733">
        <f t="shared" si="175"/>
        <v>0</v>
      </c>
      <c r="AC1367" s="1152"/>
      <c r="AD1367" s="1153"/>
      <c r="AE1367" s="1152"/>
      <c r="AF1367" s="1152"/>
      <c r="AG1367" s="1153"/>
      <c r="AH1367" s="1153"/>
      <c r="AI1367" s="732">
        <f t="shared" si="179"/>
        <v>0</v>
      </c>
      <c r="AJ1367" s="733">
        <f t="shared" si="180"/>
        <v>0</v>
      </c>
    </row>
    <row r="1368" spans="1:36">
      <c r="A1368" s="1020" t="s">
        <v>636</v>
      </c>
      <c r="B1368" s="1021" t="s">
        <v>180</v>
      </c>
      <c r="C1368" s="1026" t="s">
        <v>165</v>
      </c>
      <c r="D1368" s="1027"/>
      <c r="E1368" s="1038"/>
      <c r="F1368" s="1036">
        <v>99</v>
      </c>
      <c r="G1368" s="1152"/>
      <c r="H1368" s="1153"/>
      <c r="I1368" s="1152"/>
      <c r="J1368" s="1153"/>
      <c r="K1368" s="1152"/>
      <c r="L1368" s="1153"/>
      <c r="M1368" s="1152"/>
      <c r="N1368" s="1152"/>
      <c r="O1368" s="732">
        <f t="shared" si="173"/>
        <v>0</v>
      </c>
      <c r="P1368" s="1153"/>
      <c r="Q1368" s="1153"/>
      <c r="R1368" s="733">
        <f t="shared" si="176"/>
        <v>0</v>
      </c>
      <c r="S1368" s="732">
        <f t="shared" si="177"/>
        <v>0</v>
      </c>
      <c r="T1368" s="733">
        <f t="shared" si="178"/>
        <v>0</v>
      </c>
      <c r="U1368" s="1152"/>
      <c r="V1368" s="1153"/>
      <c r="W1368" s="1152"/>
      <c r="X1368" s="1152"/>
      <c r="Y1368" s="732">
        <f t="shared" si="174"/>
        <v>0</v>
      </c>
      <c r="Z1368" s="1153"/>
      <c r="AA1368" s="1153"/>
      <c r="AB1368" s="733">
        <f t="shared" si="175"/>
        <v>0</v>
      </c>
      <c r="AC1368" s="1152"/>
      <c r="AD1368" s="1153"/>
      <c r="AE1368" s="1152"/>
      <c r="AF1368" s="1152"/>
      <c r="AG1368" s="1153"/>
      <c r="AH1368" s="1153"/>
      <c r="AI1368" s="732">
        <f t="shared" si="179"/>
        <v>0</v>
      </c>
      <c r="AJ1368" s="733">
        <f t="shared" si="180"/>
        <v>0</v>
      </c>
    </row>
    <row r="1369" spans="1:36">
      <c r="A1369" s="1041" t="s">
        <v>636</v>
      </c>
      <c r="B1369" s="1042" t="s">
        <v>166</v>
      </c>
      <c r="C1369" s="1043" t="s">
        <v>167</v>
      </c>
      <c r="D1369" s="1027"/>
      <c r="E1369" s="1038"/>
      <c r="F1369" s="1036">
        <v>99</v>
      </c>
      <c r="G1369" s="1152"/>
      <c r="H1369" s="1153"/>
      <c r="I1369" s="1152"/>
      <c r="J1369" s="1153"/>
      <c r="K1369" s="1152"/>
      <c r="L1369" s="1153"/>
      <c r="M1369" s="1152"/>
      <c r="N1369" s="1152"/>
      <c r="O1369" s="732">
        <f t="shared" si="173"/>
        <v>0</v>
      </c>
      <c r="P1369" s="1153"/>
      <c r="Q1369" s="1153"/>
      <c r="R1369" s="733">
        <f t="shared" si="176"/>
        <v>0</v>
      </c>
      <c r="S1369" s="732">
        <f t="shared" si="177"/>
        <v>0</v>
      </c>
      <c r="T1369" s="733">
        <f t="shared" si="178"/>
        <v>0</v>
      </c>
      <c r="U1369" s="1152"/>
      <c r="V1369" s="1153"/>
      <c r="W1369" s="1152"/>
      <c r="X1369" s="1152"/>
      <c r="Y1369" s="732">
        <f t="shared" si="174"/>
        <v>0</v>
      </c>
      <c r="Z1369" s="1153"/>
      <c r="AA1369" s="1153"/>
      <c r="AB1369" s="733">
        <f t="shared" si="175"/>
        <v>0</v>
      </c>
      <c r="AC1369" s="1152"/>
      <c r="AD1369" s="1153"/>
      <c r="AE1369" s="1152"/>
      <c r="AF1369" s="1152"/>
      <c r="AG1369" s="1153"/>
      <c r="AH1369" s="1153"/>
      <c r="AI1369" s="732">
        <f t="shared" si="179"/>
        <v>0</v>
      </c>
      <c r="AJ1369" s="733">
        <f t="shared" si="180"/>
        <v>0</v>
      </c>
    </row>
    <row r="1370" spans="1:36">
      <c r="A1370" s="1041" t="s">
        <v>636</v>
      </c>
      <c r="B1370" s="1042" t="s">
        <v>161</v>
      </c>
      <c r="C1370" s="1044" t="s">
        <v>669</v>
      </c>
      <c r="D1370" s="1045"/>
      <c r="E1370" s="1046"/>
      <c r="F1370" s="1036">
        <v>99</v>
      </c>
      <c r="G1370" s="1152"/>
      <c r="H1370" s="1153"/>
      <c r="I1370" s="1152"/>
      <c r="J1370" s="1153"/>
      <c r="K1370" s="1152"/>
      <c r="L1370" s="1153"/>
      <c r="M1370" s="1152"/>
      <c r="N1370" s="1152"/>
      <c r="O1370" s="732">
        <f t="shared" si="173"/>
        <v>0</v>
      </c>
      <c r="P1370" s="1153"/>
      <c r="Q1370" s="1153"/>
      <c r="R1370" s="733">
        <f t="shared" si="176"/>
        <v>0</v>
      </c>
      <c r="S1370" s="732">
        <f t="shared" si="177"/>
        <v>0</v>
      </c>
      <c r="T1370" s="733">
        <f t="shared" si="178"/>
        <v>0</v>
      </c>
      <c r="U1370" s="1152"/>
      <c r="V1370" s="1153"/>
      <c r="W1370" s="1152"/>
      <c r="X1370" s="1152"/>
      <c r="Y1370" s="732">
        <f t="shared" si="174"/>
        <v>0</v>
      </c>
      <c r="Z1370" s="1153"/>
      <c r="AA1370" s="1153"/>
      <c r="AB1370" s="733">
        <f t="shared" si="175"/>
        <v>0</v>
      </c>
      <c r="AC1370" s="1152"/>
      <c r="AD1370" s="1153"/>
      <c r="AE1370" s="1152"/>
      <c r="AF1370" s="1152"/>
      <c r="AG1370" s="1153"/>
      <c r="AH1370" s="1153"/>
      <c r="AI1370" s="732">
        <f t="shared" si="179"/>
        <v>0</v>
      </c>
      <c r="AJ1370" s="733">
        <f t="shared" si="180"/>
        <v>0</v>
      </c>
    </row>
    <row r="1371" spans="1:36">
      <c r="A1371" s="1041" t="s">
        <v>636</v>
      </c>
      <c r="B1371" s="1042" t="s">
        <v>164</v>
      </c>
      <c r="C1371" s="1043" t="s">
        <v>165</v>
      </c>
      <c r="D1371" s="1045"/>
      <c r="E1371" s="1046"/>
      <c r="F1371" s="1036">
        <v>99</v>
      </c>
      <c r="G1371" s="1152"/>
      <c r="H1371" s="1153"/>
      <c r="I1371" s="1152"/>
      <c r="J1371" s="1153"/>
      <c r="K1371" s="1152"/>
      <c r="L1371" s="1153"/>
      <c r="M1371" s="1152"/>
      <c r="N1371" s="1152"/>
      <c r="O1371" s="732">
        <f t="shared" si="173"/>
        <v>0</v>
      </c>
      <c r="P1371" s="1153"/>
      <c r="Q1371" s="1153"/>
      <c r="R1371" s="733">
        <f t="shared" si="176"/>
        <v>0</v>
      </c>
      <c r="S1371" s="732">
        <f t="shared" si="177"/>
        <v>0</v>
      </c>
      <c r="T1371" s="733">
        <f t="shared" si="178"/>
        <v>0</v>
      </c>
      <c r="U1371" s="1152"/>
      <c r="V1371" s="1153"/>
      <c r="W1371" s="1152"/>
      <c r="X1371" s="1152"/>
      <c r="Y1371" s="732">
        <f t="shared" si="174"/>
        <v>0</v>
      </c>
      <c r="Z1371" s="1153"/>
      <c r="AA1371" s="1153"/>
      <c r="AB1371" s="733">
        <f t="shared" si="175"/>
        <v>0</v>
      </c>
      <c r="AC1371" s="1152"/>
      <c r="AD1371" s="1153"/>
      <c r="AE1371" s="1152"/>
      <c r="AF1371" s="1152"/>
      <c r="AG1371" s="1153"/>
      <c r="AH1371" s="1153"/>
      <c r="AI1371" s="732">
        <f t="shared" si="179"/>
        <v>0</v>
      </c>
      <c r="AJ1371" s="733">
        <f t="shared" si="180"/>
        <v>0</v>
      </c>
    </row>
    <row r="1372" spans="1:36">
      <c r="A1372" s="1041" t="s">
        <v>636</v>
      </c>
      <c r="B1372" s="1042" t="s">
        <v>166</v>
      </c>
      <c r="C1372" s="1043" t="s">
        <v>167</v>
      </c>
      <c r="D1372" s="1045"/>
      <c r="E1372" s="1046"/>
      <c r="F1372" s="1036">
        <v>99</v>
      </c>
      <c r="G1372" s="1152"/>
      <c r="H1372" s="1153"/>
      <c r="I1372" s="1152"/>
      <c r="J1372" s="1153"/>
      <c r="K1372" s="1152"/>
      <c r="L1372" s="1153"/>
      <c r="M1372" s="1152"/>
      <c r="N1372" s="1152"/>
      <c r="O1372" s="732">
        <f t="shared" si="173"/>
        <v>0</v>
      </c>
      <c r="P1372" s="1153"/>
      <c r="Q1372" s="1153"/>
      <c r="R1372" s="733">
        <f t="shared" si="176"/>
        <v>0</v>
      </c>
      <c r="S1372" s="732">
        <f t="shared" si="177"/>
        <v>0</v>
      </c>
      <c r="T1372" s="733">
        <f t="shared" si="178"/>
        <v>0</v>
      </c>
      <c r="U1372" s="1152"/>
      <c r="V1372" s="1153"/>
      <c r="W1372" s="1152"/>
      <c r="X1372" s="1152"/>
      <c r="Y1372" s="732">
        <f t="shared" si="174"/>
        <v>0</v>
      </c>
      <c r="Z1372" s="1153"/>
      <c r="AA1372" s="1153"/>
      <c r="AB1372" s="733">
        <f t="shared" si="175"/>
        <v>0</v>
      </c>
      <c r="AC1372" s="1152"/>
      <c r="AD1372" s="1153"/>
      <c r="AE1372" s="1152"/>
      <c r="AF1372" s="1152"/>
      <c r="AG1372" s="1153"/>
      <c r="AH1372" s="1153"/>
      <c r="AI1372" s="732">
        <f t="shared" si="179"/>
        <v>0</v>
      </c>
      <c r="AJ1372" s="733">
        <f t="shared" si="180"/>
        <v>0</v>
      </c>
    </row>
    <row r="1373" spans="1:36">
      <c r="A1373" s="1041" t="s">
        <v>636</v>
      </c>
      <c r="B1373" s="1042" t="s">
        <v>170</v>
      </c>
      <c r="C1373" s="1043" t="s">
        <v>171</v>
      </c>
      <c r="D1373" s="1045"/>
      <c r="E1373" s="1046"/>
      <c r="F1373" s="1036">
        <v>99</v>
      </c>
      <c r="G1373" s="1152"/>
      <c r="H1373" s="1153"/>
      <c r="I1373" s="1152"/>
      <c r="J1373" s="1153"/>
      <c r="K1373" s="1152"/>
      <c r="L1373" s="1153"/>
      <c r="M1373" s="1152"/>
      <c r="N1373" s="1152"/>
      <c r="O1373" s="732">
        <f t="shared" si="173"/>
        <v>0</v>
      </c>
      <c r="P1373" s="1153"/>
      <c r="Q1373" s="1153"/>
      <c r="R1373" s="733">
        <f t="shared" si="176"/>
        <v>0</v>
      </c>
      <c r="S1373" s="732">
        <f t="shared" si="177"/>
        <v>0</v>
      </c>
      <c r="T1373" s="733">
        <f t="shared" si="178"/>
        <v>0</v>
      </c>
      <c r="U1373" s="1152"/>
      <c r="V1373" s="1153"/>
      <c r="W1373" s="1152"/>
      <c r="X1373" s="1152"/>
      <c r="Y1373" s="732">
        <f t="shared" si="174"/>
        <v>0</v>
      </c>
      <c r="Z1373" s="1153"/>
      <c r="AA1373" s="1153"/>
      <c r="AB1373" s="733">
        <f t="shared" si="175"/>
        <v>0</v>
      </c>
      <c r="AC1373" s="1152"/>
      <c r="AD1373" s="1153"/>
      <c r="AE1373" s="1152"/>
      <c r="AF1373" s="1152"/>
      <c r="AG1373" s="1153"/>
      <c r="AH1373" s="1153"/>
      <c r="AI1373" s="732">
        <f t="shared" si="179"/>
        <v>0</v>
      </c>
      <c r="AJ1373" s="733">
        <f t="shared" si="180"/>
        <v>0</v>
      </c>
    </row>
    <row r="1374" spans="1:36">
      <c r="A1374" s="1041" t="s">
        <v>636</v>
      </c>
      <c r="B1374" s="1042" t="s">
        <v>172</v>
      </c>
      <c r="C1374" s="1043" t="s">
        <v>165</v>
      </c>
      <c r="D1374" s="1045"/>
      <c r="E1374" s="1046"/>
      <c r="F1374" s="1036">
        <v>99</v>
      </c>
      <c r="G1374" s="1152"/>
      <c r="H1374" s="1153"/>
      <c r="I1374" s="1152"/>
      <c r="J1374" s="1153"/>
      <c r="K1374" s="1152"/>
      <c r="L1374" s="1153"/>
      <c r="M1374" s="1152"/>
      <c r="N1374" s="1152"/>
      <c r="O1374" s="732">
        <f t="shared" si="173"/>
        <v>0</v>
      </c>
      <c r="P1374" s="1153"/>
      <c r="Q1374" s="1153"/>
      <c r="R1374" s="733">
        <f t="shared" si="176"/>
        <v>0</v>
      </c>
      <c r="S1374" s="732">
        <f t="shared" si="177"/>
        <v>0</v>
      </c>
      <c r="T1374" s="733">
        <f t="shared" si="178"/>
        <v>0</v>
      </c>
      <c r="U1374" s="1152"/>
      <c r="V1374" s="1153"/>
      <c r="W1374" s="1152"/>
      <c r="X1374" s="1152"/>
      <c r="Y1374" s="732">
        <f t="shared" si="174"/>
        <v>0</v>
      </c>
      <c r="Z1374" s="1153"/>
      <c r="AA1374" s="1153"/>
      <c r="AB1374" s="733">
        <f t="shared" si="175"/>
        <v>0</v>
      </c>
      <c r="AC1374" s="1152"/>
      <c r="AD1374" s="1153"/>
      <c r="AE1374" s="1152"/>
      <c r="AF1374" s="1152"/>
      <c r="AG1374" s="1153"/>
      <c r="AH1374" s="1153"/>
      <c r="AI1374" s="732">
        <f t="shared" si="179"/>
        <v>0</v>
      </c>
      <c r="AJ1374" s="733">
        <f t="shared" si="180"/>
        <v>0</v>
      </c>
    </row>
    <row r="1375" spans="1:36">
      <c r="A1375" s="1041" t="s">
        <v>636</v>
      </c>
      <c r="B1375" s="1042" t="s">
        <v>166</v>
      </c>
      <c r="C1375" s="1043" t="s">
        <v>167</v>
      </c>
      <c r="D1375" s="1045"/>
      <c r="E1375" s="1046"/>
      <c r="F1375" s="1036">
        <v>99</v>
      </c>
      <c r="G1375" s="1152"/>
      <c r="H1375" s="1153"/>
      <c r="I1375" s="1152"/>
      <c r="J1375" s="1153"/>
      <c r="K1375" s="1152"/>
      <c r="L1375" s="1153"/>
      <c r="M1375" s="1152"/>
      <c r="N1375" s="1152"/>
      <c r="O1375" s="732">
        <f t="shared" si="173"/>
        <v>0</v>
      </c>
      <c r="P1375" s="1153"/>
      <c r="Q1375" s="1153"/>
      <c r="R1375" s="733">
        <f t="shared" si="176"/>
        <v>0</v>
      </c>
      <c r="S1375" s="732">
        <f t="shared" si="177"/>
        <v>0</v>
      </c>
      <c r="T1375" s="733">
        <f t="shared" si="178"/>
        <v>0</v>
      </c>
      <c r="U1375" s="1152"/>
      <c r="V1375" s="1153"/>
      <c r="W1375" s="1152"/>
      <c r="X1375" s="1152"/>
      <c r="Y1375" s="732">
        <f t="shared" si="174"/>
        <v>0</v>
      </c>
      <c r="Z1375" s="1153"/>
      <c r="AA1375" s="1153"/>
      <c r="AB1375" s="733">
        <f t="shared" si="175"/>
        <v>0</v>
      </c>
      <c r="AC1375" s="1152"/>
      <c r="AD1375" s="1153"/>
      <c r="AE1375" s="1152"/>
      <c r="AF1375" s="1152"/>
      <c r="AG1375" s="1153"/>
      <c r="AH1375" s="1153"/>
      <c r="AI1375" s="732">
        <f t="shared" si="179"/>
        <v>0</v>
      </c>
      <c r="AJ1375" s="733">
        <f t="shared" si="180"/>
        <v>0</v>
      </c>
    </row>
    <row r="1376" spans="1:36">
      <c r="A1376" s="1041" t="s">
        <v>636</v>
      </c>
      <c r="B1376" s="1042" t="s">
        <v>176</v>
      </c>
      <c r="C1376" s="1043" t="s">
        <v>177</v>
      </c>
      <c r="D1376" s="1045"/>
      <c r="E1376" s="1046"/>
      <c r="F1376" s="1036">
        <v>99</v>
      </c>
      <c r="G1376" s="1152"/>
      <c r="H1376" s="1153"/>
      <c r="I1376" s="1152"/>
      <c r="J1376" s="1153"/>
      <c r="K1376" s="1152"/>
      <c r="L1376" s="1153"/>
      <c r="M1376" s="1152"/>
      <c r="N1376" s="1152"/>
      <c r="O1376" s="732">
        <f t="shared" si="173"/>
        <v>0</v>
      </c>
      <c r="P1376" s="1153"/>
      <c r="Q1376" s="1153"/>
      <c r="R1376" s="733">
        <f t="shared" si="176"/>
        <v>0</v>
      </c>
      <c r="S1376" s="732">
        <f t="shared" si="177"/>
        <v>0</v>
      </c>
      <c r="T1376" s="733">
        <f t="shared" si="178"/>
        <v>0</v>
      </c>
      <c r="U1376" s="1152"/>
      <c r="V1376" s="1153"/>
      <c r="W1376" s="1152"/>
      <c r="X1376" s="1152"/>
      <c r="Y1376" s="732">
        <f t="shared" si="174"/>
        <v>0</v>
      </c>
      <c r="Z1376" s="1153"/>
      <c r="AA1376" s="1153"/>
      <c r="AB1376" s="733">
        <f t="shared" si="175"/>
        <v>0</v>
      </c>
      <c r="AC1376" s="1152"/>
      <c r="AD1376" s="1153"/>
      <c r="AE1376" s="1152"/>
      <c r="AF1376" s="1152"/>
      <c r="AG1376" s="1153"/>
      <c r="AH1376" s="1153"/>
      <c r="AI1376" s="732">
        <f t="shared" si="179"/>
        <v>0</v>
      </c>
      <c r="AJ1376" s="733">
        <f t="shared" si="180"/>
        <v>0</v>
      </c>
    </row>
    <row r="1377" spans="1:36">
      <c r="A1377" s="1041" t="s">
        <v>636</v>
      </c>
      <c r="B1377" s="1042" t="s">
        <v>180</v>
      </c>
      <c r="C1377" s="1043" t="s">
        <v>165</v>
      </c>
      <c r="D1377" s="1045"/>
      <c r="E1377" s="1046"/>
      <c r="F1377" s="1036">
        <v>99</v>
      </c>
      <c r="G1377" s="1152"/>
      <c r="H1377" s="1153"/>
      <c r="I1377" s="1152"/>
      <c r="J1377" s="1153"/>
      <c r="K1377" s="1152"/>
      <c r="L1377" s="1153"/>
      <c r="M1377" s="1152"/>
      <c r="N1377" s="1152"/>
      <c r="O1377" s="732">
        <f t="shared" si="173"/>
        <v>0</v>
      </c>
      <c r="P1377" s="1153"/>
      <c r="Q1377" s="1153"/>
      <c r="R1377" s="733">
        <f t="shared" si="176"/>
        <v>0</v>
      </c>
      <c r="S1377" s="732">
        <f t="shared" si="177"/>
        <v>0</v>
      </c>
      <c r="T1377" s="733">
        <f t="shared" si="178"/>
        <v>0</v>
      </c>
      <c r="U1377" s="1152"/>
      <c r="V1377" s="1153"/>
      <c r="W1377" s="1152"/>
      <c r="X1377" s="1152"/>
      <c r="Y1377" s="732">
        <f t="shared" si="174"/>
        <v>0</v>
      </c>
      <c r="Z1377" s="1153"/>
      <c r="AA1377" s="1153"/>
      <c r="AB1377" s="733">
        <f t="shared" si="175"/>
        <v>0</v>
      </c>
      <c r="AC1377" s="1152"/>
      <c r="AD1377" s="1153"/>
      <c r="AE1377" s="1152"/>
      <c r="AF1377" s="1152"/>
      <c r="AG1377" s="1153"/>
      <c r="AH1377" s="1153"/>
      <c r="AI1377" s="732">
        <f t="shared" si="179"/>
        <v>0</v>
      </c>
      <c r="AJ1377" s="733">
        <f t="shared" si="180"/>
        <v>0</v>
      </c>
    </row>
    <row r="1378" spans="1:36">
      <c r="A1378" s="1041" t="s">
        <v>636</v>
      </c>
      <c r="B1378" s="1042" t="s">
        <v>166</v>
      </c>
      <c r="C1378" s="1043" t="s">
        <v>167</v>
      </c>
      <c r="D1378" s="1045"/>
      <c r="E1378" s="1046"/>
      <c r="F1378" s="1036">
        <v>99</v>
      </c>
      <c r="G1378" s="1152"/>
      <c r="H1378" s="1153"/>
      <c r="I1378" s="1152"/>
      <c r="J1378" s="1153"/>
      <c r="K1378" s="1152"/>
      <c r="L1378" s="1153"/>
      <c r="M1378" s="1152"/>
      <c r="N1378" s="1152"/>
      <c r="O1378" s="732">
        <f t="shared" si="173"/>
        <v>0</v>
      </c>
      <c r="P1378" s="1153"/>
      <c r="Q1378" s="1153"/>
      <c r="R1378" s="733">
        <f t="shared" si="176"/>
        <v>0</v>
      </c>
      <c r="S1378" s="732">
        <f t="shared" si="177"/>
        <v>0</v>
      </c>
      <c r="T1378" s="733">
        <f t="shared" si="178"/>
        <v>0</v>
      </c>
      <c r="U1378" s="1152"/>
      <c r="V1378" s="1153"/>
      <c r="W1378" s="1152"/>
      <c r="X1378" s="1152"/>
      <c r="Y1378" s="732">
        <f t="shared" si="174"/>
        <v>0</v>
      </c>
      <c r="Z1378" s="1153"/>
      <c r="AA1378" s="1153"/>
      <c r="AB1378" s="733">
        <f t="shared" si="175"/>
        <v>0</v>
      </c>
      <c r="AC1378" s="1152"/>
      <c r="AD1378" s="1153"/>
      <c r="AE1378" s="1152"/>
      <c r="AF1378" s="1152"/>
      <c r="AG1378" s="1153"/>
      <c r="AH1378" s="1153"/>
      <c r="AI1378" s="732">
        <f t="shared" si="179"/>
        <v>0</v>
      </c>
      <c r="AJ1378" s="733">
        <f t="shared" si="180"/>
        <v>0</v>
      </c>
    </row>
    <row r="1379" spans="1:36">
      <c r="A1379" s="1041" t="s">
        <v>636</v>
      </c>
      <c r="B1379" s="1042" t="s">
        <v>161</v>
      </c>
      <c r="C1379" s="1044" t="s">
        <v>670</v>
      </c>
      <c r="D1379" s="1045"/>
      <c r="E1379" s="1046"/>
      <c r="F1379" s="1036">
        <v>99</v>
      </c>
      <c r="G1379" s="1152"/>
      <c r="H1379" s="1153"/>
      <c r="I1379" s="1152"/>
      <c r="J1379" s="1153"/>
      <c r="K1379" s="1152"/>
      <c r="L1379" s="1153"/>
      <c r="M1379" s="1152"/>
      <c r="N1379" s="1152"/>
      <c r="O1379" s="732">
        <f t="shared" si="173"/>
        <v>0</v>
      </c>
      <c r="P1379" s="1153"/>
      <c r="Q1379" s="1153"/>
      <c r="R1379" s="733">
        <f t="shared" si="176"/>
        <v>0</v>
      </c>
      <c r="S1379" s="732">
        <f t="shared" si="177"/>
        <v>0</v>
      </c>
      <c r="T1379" s="733">
        <f t="shared" si="178"/>
        <v>0</v>
      </c>
      <c r="U1379" s="1152"/>
      <c r="V1379" s="1153"/>
      <c r="W1379" s="1152"/>
      <c r="X1379" s="1152"/>
      <c r="Y1379" s="732">
        <f t="shared" si="174"/>
        <v>0</v>
      </c>
      <c r="Z1379" s="1153"/>
      <c r="AA1379" s="1153"/>
      <c r="AB1379" s="733">
        <f t="shared" si="175"/>
        <v>0</v>
      </c>
      <c r="AC1379" s="1152"/>
      <c r="AD1379" s="1153"/>
      <c r="AE1379" s="1152"/>
      <c r="AF1379" s="1152"/>
      <c r="AG1379" s="1153"/>
      <c r="AH1379" s="1153"/>
      <c r="AI1379" s="732">
        <f t="shared" si="179"/>
        <v>0</v>
      </c>
      <c r="AJ1379" s="733">
        <f t="shared" si="180"/>
        <v>0</v>
      </c>
    </row>
    <row r="1380" spans="1:36">
      <c r="A1380" s="1041" t="s">
        <v>636</v>
      </c>
      <c r="B1380" s="1042" t="s">
        <v>164</v>
      </c>
      <c r="C1380" s="1043" t="s">
        <v>165</v>
      </c>
      <c r="D1380" s="1045"/>
      <c r="E1380" s="1046"/>
      <c r="F1380" s="1036">
        <v>99</v>
      </c>
      <c r="G1380" s="1152"/>
      <c r="H1380" s="1153"/>
      <c r="I1380" s="1152"/>
      <c r="J1380" s="1153"/>
      <c r="K1380" s="1152"/>
      <c r="L1380" s="1153"/>
      <c r="M1380" s="1152"/>
      <c r="N1380" s="1152"/>
      <c r="O1380" s="732">
        <f t="shared" si="173"/>
        <v>0</v>
      </c>
      <c r="P1380" s="1153"/>
      <c r="Q1380" s="1153"/>
      <c r="R1380" s="733">
        <f t="shared" si="176"/>
        <v>0</v>
      </c>
      <c r="S1380" s="732">
        <f t="shared" si="177"/>
        <v>0</v>
      </c>
      <c r="T1380" s="733">
        <f t="shared" si="178"/>
        <v>0</v>
      </c>
      <c r="U1380" s="1152"/>
      <c r="V1380" s="1153"/>
      <c r="W1380" s="1152"/>
      <c r="X1380" s="1152"/>
      <c r="Y1380" s="732">
        <f t="shared" si="174"/>
        <v>0</v>
      </c>
      <c r="Z1380" s="1153"/>
      <c r="AA1380" s="1153"/>
      <c r="AB1380" s="733">
        <f t="shared" si="175"/>
        <v>0</v>
      </c>
      <c r="AC1380" s="1152"/>
      <c r="AD1380" s="1153"/>
      <c r="AE1380" s="1152"/>
      <c r="AF1380" s="1152"/>
      <c r="AG1380" s="1153"/>
      <c r="AH1380" s="1153"/>
      <c r="AI1380" s="732">
        <f t="shared" si="179"/>
        <v>0</v>
      </c>
      <c r="AJ1380" s="733">
        <f t="shared" si="180"/>
        <v>0</v>
      </c>
    </row>
    <row r="1381" spans="1:36">
      <c r="A1381" s="1041" t="s">
        <v>636</v>
      </c>
      <c r="B1381" s="1042" t="s">
        <v>166</v>
      </c>
      <c r="C1381" s="1043" t="s">
        <v>167</v>
      </c>
      <c r="D1381" s="1045"/>
      <c r="E1381" s="1046"/>
      <c r="F1381" s="1036">
        <v>99</v>
      </c>
      <c r="G1381" s="1152"/>
      <c r="H1381" s="1153"/>
      <c r="I1381" s="1152"/>
      <c r="J1381" s="1153"/>
      <c r="K1381" s="1152"/>
      <c r="L1381" s="1153"/>
      <c r="M1381" s="1152"/>
      <c r="N1381" s="1152"/>
      <c r="O1381" s="732">
        <f t="shared" si="173"/>
        <v>0</v>
      </c>
      <c r="P1381" s="1153"/>
      <c r="Q1381" s="1153"/>
      <c r="R1381" s="733">
        <f t="shared" si="176"/>
        <v>0</v>
      </c>
      <c r="S1381" s="732">
        <f t="shared" si="177"/>
        <v>0</v>
      </c>
      <c r="T1381" s="733">
        <f t="shared" si="178"/>
        <v>0</v>
      </c>
      <c r="U1381" s="1152"/>
      <c r="V1381" s="1153"/>
      <c r="W1381" s="1152"/>
      <c r="X1381" s="1152"/>
      <c r="Y1381" s="732">
        <f t="shared" si="174"/>
        <v>0</v>
      </c>
      <c r="Z1381" s="1153"/>
      <c r="AA1381" s="1153"/>
      <c r="AB1381" s="733">
        <f t="shared" si="175"/>
        <v>0</v>
      </c>
      <c r="AC1381" s="1152"/>
      <c r="AD1381" s="1153"/>
      <c r="AE1381" s="1152"/>
      <c r="AF1381" s="1152"/>
      <c r="AG1381" s="1153"/>
      <c r="AH1381" s="1153"/>
      <c r="AI1381" s="732">
        <f t="shared" si="179"/>
        <v>0</v>
      </c>
      <c r="AJ1381" s="733">
        <f t="shared" si="180"/>
        <v>0</v>
      </c>
    </row>
    <row r="1382" spans="1:36">
      <c r="A1382" s="1041" t="s">
        <v>636</v>
      </c>
      <c r="B1382" s="1042" t="s">
        <v>170</v>
      </c>
      <c r="C1382" s="1043" t="s">
        <v>171</v>
      </c>
      <c r="D1382" s="1045"/>
      <c r="E1382" s="1046"/>
      <c r="F1382" s="1036">
        <v>99</v>
      </c>
      <c r="G1382" s="1152"/>
      <c r="H1382" s="1153"/>
      <c r="I1382" s="1152"/>
      <c r="J1382" s="1153"/>
      <c r="K1382" s="1152"/>
      <c r="L1382" s="1153"/>
      <c r="M1382" s="1152"/>
      <c r="N1382" s="1152"/>
      <c r="O1382" s="732">
        <f t="shared" si="173"/>
        <v>0</v>
      </c>
      <c r="P1382" s="1153"/>
      <c r="Q1382" s="1153"/>
      <c r="R1382" s="733">
        <f t="shared" si="176"/>
        <v>0</v>
      </c>
      <c r="S1382" s="732">
        <f t="shared" si="177"/>
        <v>0</v>
      </c>
      <c r="T1382" s="733">
        <f t="shared" si="178"/>
        <v>0</v>
      </c>
      <c r="U1382" s="1152"/>
      <c r="V1382" s="1153"/>
      <c r="W1382" s="1152"/>
      <c r="X1382" s="1152"/>
      <c r="Y1382" s="732">
        <f t="shared" si="174"/>
        <v>0</v>
      </c>
      <c r="Z1382" s="1153"/>
      <c r="AA1382" s="1153"/>
      <c r="AB1382" s="733">
        <f t="shared" si="175"/>
        <v>0</v>
      </c>
      <c r="AC1382" s="1152"/>
      <c r="AD1382" s="1153"/>
      <c r="AE1382" s="1152"/>
      <c r="AF1382" s="1152"/>
      <c r="AG1382" s="1153"/>
      <c r="AH1382" s="1153"/>
      <c r="AI1382" s="732">
        <f t="shared" si="179"/>
        <v>0</v>
      </c>
      <c r="AJ1382" s="733">
        <f t="shared" si="180"/>
        <v>0</v>
      </c>
    </row>
    <row r="1383" spans="1:36">
      <c r="A1383" s="1041" t="s">
        <v>636</v>
      </c>
      <c r="B1383" s="1042" t="s">
        <v>172</v>
      </c>
      <c r="C1383" s="1043" t="s">
        <v>165</v>
      </c>
      <c r="D1383" s="1045"/>
      <c r="E1383" s="1046"/>
      <c r="F1383" s="1036">
        <v>99</v>
      </c>
      <c r="G1383" s="1152"/>
      <c r="H1383" s="1153"/>
      <c r="I1383" s="1152"/>
      <c r="J1383" s="1153"/>
      <c r="K1383" s="1152"/>
      <c r="L1383" s="1153"/>
      <c r="M1383" s="1152"/>
      <c r="N1383" s="1152"/>
      <c r="O1383" s="732">
        <f t="shared" si="173"/>
        <v>0</v>
      </c>
      <c r="P1383" s="1153"/>
      <c r="Q1383" s="1153"/>
      <c r="R1383" s="733">
        <f t="shared" si="176"/>
        <v>0</v>
      </c>
      <c r="S1383" s="732">
        <f t="shared" si="177"/>
        <v>0</v>
      </c>
      <c r="T1383" s="733">
        <f t="shared" si="178"/>
        <v>0</v>
      </c>
      <c r="U1383" s="1152"/>
      <c r="V1383" s="1153"/>
      <c r="W1383" s="1152"/>
      <c r="X1383" s="1152"/>
      <c r="Y1383" s="732">
        <f t="shared" si="174"/>
        <v>0</v>
      </c>
      <c r="Z1383" s="1153"/>
      <c r="AA1383" s="1153"/>
      <c r="AB1383" s="733">
        <f t="shared" si="175"/>
        <v>0</v>
      </c>
      <c r="AC1383" s="1152"/>
      <c r="AD1383" s="1153"/>
      <c r="AE1383" s="1152"/>
      <c r="AF1383" s="1152"/>
      <c r="AG1383" s="1153"/>
      <c r="AH1383" s="1153"/>
      <c r="AI1383" s="732">
        <f t="shared" si="179"/>
        <v>0</v>
      </c>
      <c r="AJ1383" s="733">
        <f t="shared" si="180"/>
        <v>0</v>
      </c>
    </row>
    <row r="1384" spans="1:36">
      <c r="A1384" s="1041" t="s">
        <v>636</v>
      </c>
      <c r="B1384" s="1042" t="s">
        <v>166</v>
      </c>
      <c r="C1384" s="1043" t="s">
        <v>167</v>
      </c>
      <c r="D1384" s="1045"/>
      <c r="E1384" s="1046"/>
      <c r="F1384" s="1036">
        <v>99</v>
      </c>
      <c r="G1384" s="1152"/>
      <c r="H1384" s="1153"/>
      <c r="I1384" s="1152"/>
      <c r="J1384" s="1153"/>
      <c r="K1384" s="1152"/>
      <c r="L1384" s="1153"/>
      <c r="M1384" s="1152"/>
      <c r="N1384" s="1152"/>
      <c r="O1384" s="732">
        <f t="shared" si="173"/>
        <v>0</v>
      </c>
      <c r="P1384" s="1153"/>
      <c r="Q1384" s="1153"/>
      <c r="R1384" s="733">
        <f t="shared" si="176"/>
        <v>0</v>
      </c>
      <c r="S1384" s="732">
        <f t="shared" si="177"/>
        <v>0</v>
      </c>
      <c r="T1384" s="733">
        <f t="shared" si="178"/>
        <v>0</v>
      </c>
      <c r="U1384" s="1152"/>
      <c r="V1384" s="1153"/>
      <c r="W1384" s="1152"/>
      <c r="X1384" s="1152"/>
      <c r="Y1384" s="732">
        <f t="shared" si="174"/>
        <v>0</v>
      </c>
      <c r="Z1384" s="1153"/>
      <c r="AA1384" s="1153"/>
      <c r="AB1384" s="733">
        <f t="shared" si="175"/>
        <v>0</v>
      </c>
      <c r="AC1384" s="1152"/>
      <c r="AD1384" s="1153"/>
      <c r="AE1384" s="1152"/>
      <c r="AF1384" s="1152"/>
      <c r="AG1384" s="1153"/>
      <c r="AH1384" s="1153"/>
      <c r="AI1384" s="732">
        <f t="shared" si="179"/>
        <v>0</v>
      </c>
      <c r="AJ1384" s="733">
        <f t="shared" si="180"/>
        <v>0</v>
      </c>
    </row>
    <row r="1385" spans="1:36">
      <c r="A1385" s="1041" t="s">
        <v>636</v>
      </c>
      <c r="B1385" s="1042" t="s">
        <v>176</v>
      </c>
      <c r="C1385" s="1043" t="s">
        <v>177</v>
      </c>
      <c r="D1385" s="1045"/>
      <c r="E1385" s="1046"/>
      <c r="F1385" s="1036">
        <v>99</v>
      </c>
      <c r="G1385" s="1152"/>
      <c r="H1385" s="1153"/>
      <c r="I1385" s="1152"/>
      <c r="J1385" s="1153"/>
      <c r="K1385" s="1152"/>
      <c r="L1385" s="1153"/>
      <c r="M1385" s="1152"/>
      <c r="N1385" s="1152"/>
      <c r="O1385" s="732">
        <f t="shared" si="173"/>
        <v>0</v>
      </c>
      <c r="P1385" s="1153"/>
      <c r="Q1385" s="1153"/>
      <c r="R1385" s="733">
        <f t="shared" si="176"/>
        <v>0</v>
      </c>
      <c r="S1385" s="732">
        <f t="shared" si="177"/>
        <v>0</v>
      </c>
      <c r="T1385" s="733">
        <f t="shared" si="178"/>
        <v>0</v>
      </c>
      <c r="U1385" s="1152"/>
      <c r="V1385" s="1153"/>
      <c r="W1385" s="1152"/>
      <c r="X1385" s="1152"/>
      <c r="Y1385" s="732">
        <f t="shared" si="174"/>
        <v>0</v>
      </c>
      <c r="Z1385" s="1153"/>
      <c r="AA1385" s="1153"/>
      <c r="AB1385" s="733">
        <f t="shared" si="175"/>
        <v>0</v>
      </c>
      <c r="AC1385" s="1152"/>
      <c r="AD1385" s="1153"/>
      <c r="AE1385" s="1152"/>
      <c r="AF1385" s="1152"/>
      <c r="AG1385" s="1153"/>
      <c r="AH1385" s="1153"/>
      <c r="AI1385" s="732">
        <f t="shared" si="179"/>
        <v>0</v>
      </c>
      <c r="AJ1385" s="733">
        <f t="shared" si="180"/>
        <v>0</v>
      </c>
    </row>
    <row r="1386" spans="1:36">
      <c r="A1386" s="1041" t="s">
        <v>636</v>
      </c>
      <c r="B1386" s="1042" t="s">
        <v>180</v>
      </c>
      <c r="C1386" s="1043" t="s">
        <v>165</v>
      </c>
      <c r="D1386" s="1045"/>
      <c r="E1386" s="1046"/>
      <c r="F1386" s="1036">
        <v>99</v>
      </c>
      <c r="G1386" s="1152"/>
      <c r="H1386" s="1153"/>
      <c r="I1386" s="1152"/>
      <c r="J1386" s="1153"/>
      <c r="K1386" s="1152"/>
      <c r="L1386" s="1153"/>
      <c r="M1386" s="1152"/>
      <c r="N1386" s="1152"/>
      <c r="O1386" s="732">
        <f t="shared" si="173"/>
        <v>0</v>
      </c>
      <c r="P1386" s="1153"/>
      <c r="Q1386" s="1153"/>
      <c r="R1386" s="733">
        <f t="shared" si="176"/>
        <v>0</v>
      </c>
      <c r="S1386" s="732">
        <f t="shared" si="177"/>
        <v>0</v>
      </c>
      <c r="T1386" s="733">
        <f t="shared" si="178"/>
        <v>0</v>
      </c>
      <c r="U1386" s="1152"/>
      <c r="V1386" s="1153"/>
      <c r="W1386" s="1152"/>
      <c r="X1386" s="1152"/>
      <c r="Y1386" s="732">
        <f t="shared" si="174"/>
        <v>0</v>
      </c>
      <c r="Z1386" s="1153"/>
      <c r="AA1386" s="1153"/>
      <c r="AB1386" s="733">
        <f t="shared" si="175"/>
        <v>0</v>
      </c>
      <c r="AC1386" s="1152"/>
      <c r="AD1386" s="1153"/>
      <c r="AE1386" s="1152"/>
      <c r="AF1386" s="1152"/>
      <c r="AG1386" s="1153"/>
      <c r="AH1386" s="1153"/>
      <c r="AI1386" s="732">
        <f t="shared" si="179"/>
        <v>0</v>
      </c>
      <c r="AJ1386" s="733">
        <f t="shared" si="180"/>
        <v>0</v>
      </c>
    </row>
    <row r="1387" spans="1:36">
      <c r="A1387" s="1041" t="s">
        <v>636</v>
      </c>
      <c r="B1387" s="1042" t="s">
        <v>166</v>
      </c>
      <c r="C1387" s="1043" t="s">
        <v>167</v>
      </c>
      <c r="D1387" s="1045"/>
      <c r="E1387" s="1046"/>
      <c r="F1387" s="1036">
        <v>99</v>
      </c>
      <c r="G1387" s="1152"/>
      <c r="H1387" s="1153"/>
      <c r="I1387" s="1152"/>
      <c r="J1387" s="1153"/>
      <c r="K1387" s="1152"/>
      <c r="L1387" s="1153"/>
      <c r="M1387" s="1152"/>
      <c r="N1387" s="1152"/>
      <c r="O1387" s="732">
        <f t="shared" si="173"/>
        <v>0</v>
      </c>
      <c r="P1387" s="1153"/>
      <c r="Q1387" s="1153"/>
      <c r="R1387" s="733">
        <f t="shared" si="176"/>
        <v>0</v>
      </c>
      <c r="S1387" s="732">
        <f t="shared" si="177"/>
        <v>0</v>
      </c>
      <c r="T1387" s="733">
        <f t="shared" si="178"/>
        <v>0</v>
      </c>
      <c r="U1387" s="1152"/>
      <c r="V1387" s="1153"/>
      <c r="W1387" s="1152"/>
      <c r="X1387" s="1152"/>
      <c r="Y1387" s="732">
        <f t="shared" si="174"/>
        <v>0</v>
      </c>
      <c r="Z1387" s="1153"/>
      <c r="AA1387" s="1153"/>
      <c r="AB1387" s="733">
        <f t="shared" si="175"/>
        <v>0</v>
      </c>
      <c r="AC1387" s="1152"/>
      <c r="AD1387" s="1153"/>
      <c r="AE1387" s="1152"/>
      <c r="AF1387" s="1152"/>
      <c r="AG1387" s="1153"/>
      <c r="AH1387" s="1153"/>
      <c r="AI1387" s="732">
        <f t="shared" si="179"/>
        <v>0</v>
      </c>
      <c r="AJ1387" s="733">
        <f t="shared" si="180"/>
        <v>0</v>
      </c>
    </row>
    <row r="1388" spans="1:36">
      <c r="A1388" s="1041" t="s">
        <v>636</v>
      </c>
      <c r="B1388" s="1042" t="s">
        <v>161</v>
      </c>
      <c r="C1388" s="1044" t="s">
        <v>671</v>
      </c>
      <c r="D1388" s="1045"/>
      <c r="E1388" s="1046"/>
      <c r="F1388" s="1036">
        <v>99</v>
      </c>
      <c r="G1388" s="1152"/>
      <c r="H1388" s="1153"/>
      <c r="I1388" s="1152"/>
      <c r="J1388" s="1153"/>
      <c r="K1388" s="1152"/>
      <c r="L1388" s="1153"/>
      <c r="M1388" s="1152"/>
      <c r="N1388" s="1152"/>
      <c r="O1388" s="732">
        <f t="shared" si="173"/>
        <v>0</v>
      </c>
      <c r="P1388" s="1153"/>
      <c r="Q1388" s="1153"/>
      <c r="R1388" s="733">
        <f t="shared" si="176"/>
        <v>0</v>
      </c>
      <c r="S1388" s="732">
        <f t="shared" si="177"/>
        <v>0</v>
      </c>
      <c r="T1388" s="733">
        <f t="shared" si="178"/>
        <v>0</v>
      </c>
      <c r="U1388" s="1152"/>
      <c r="V1388" s="1153"/>
      <c r="W1388" s="1152"/>
      <c r="X1388" s="1152"/>
      <c r="Y1388" s="732">
        <f t="shared" si="174"/>
        <v>0</v>
      </c>
      <c r="Z1388" s="1153"/>
      <c r="AA1388" s="1153"/>
      <c r="AB1388" s="733">
        <f t="shared" si="175"/>
        <v>0</v>
      </c>
      <c r="AC1388" s="1152"/>
      <c r="AD1388" s="1153"/>
      <c r="AE1388" s="1152"/>
      <c r="AF1388" s="1152"/>
      <c r="AG1388" s="1153"/>
      <c r="AH1388" s="1153"/>
      <c r="AI1388" s="732">
        <f t="shared" si="179"/>
        <v>0</v>
      </c>
      <c r="AJ1388" s="733">
        <f t="shared" si="180"/>
        <v>0</v>
      </c>
    </row>
    <row r="1389" spans="1:36">
      <c r="A1389" s="1041" t="s">
        <v>636</v>
      </c>
      <c r="B1389" s="1042" t="s">
        <v>164</v>
      </c>
      <c r="C1389" s="1043" t="s">
        <v>165</v>
      </c>
      <c r="D1389" s="1045"/>
      <c r="E1389" s="1046"/>
      <c r="F1389" s="1036">
        <v>99</v>
      </c>
      <c r="G1389" s="1152"/>
      <c r="H1389" s="1153"/>
      <c r="I1389" s="1152"/>
      <c r="J1389" s="1153"/>
      <c r="K1389" s="1152"/>
      <c r="L1389" s="1153"/>
      <c r="M1389" s="1152"/>
      <c r="N1389" s="1152"/>
      <c r="O1389" s="732">
        <f t="shared" si="173"/>
        <v>0</v>
      </c>
      <c r="P1389" s="1153"/>
      <c r="Q1389" s="1153"/>
      <c r="R1389" s="733">
        <f t="shared" si="176"/>
        <v>0</v>
      </c>
      <c r="S1389" s="732">
        <f t="shared" si="177"/>
        <v>0</v>
      </c>
      <c r="T1389" s="733">
        <f t="shared" si="178"/>
        <v>0</v>
      </c>
      <c r="U1389" s="1152"/>
      <c r="V1389" s="1153"/>
      <c r="W1389" s="1152"/>
      <c r="X1389" s="1152"/>
      <c r="Y1389" s="732">
        <f t="shared" si="174"/>
        <v>0</v>
      </c>
      <c r="Z1389" s="1153"/>
      <c r="AA1389" s="1153"/>
      <c r="AB1389" s="733">
        <f t="shared" si="175"/>
        <v>0</v>
      </c>
      <c r="AC1389" s="1152"/>
      <c r="AD1389" s="1153"/>
      <c r="AE1389" s="1152"/>
      <c r="AF1389" s="1152"/>
      <c r="AG1389" s="1153"/>
      <c r="AH1389" s="1153"/>
      <c r="AI1389" s="732">
        <f t="shared" si="179"/>
        <v>0</v>
      </c>
      <c r="AJ1389" s="733">
        <f t="shared" si="180"/>
        <v>0</v>
      </c>
    </row>
    <row r="1390" spans="1:36">
      <c r="A1390" s="1041" t="s">
        <v>636</v>
      </c>
      <c r="B1390" s="1042" t="s">
        <v>166</v>
      </c>
      <c r="C1390" s="1043" t="s">
        <v>167</v>
      </c>
      <c r="D1390" s="1045"/>
      <c r="E1390" s="1046"/>
      <c r="F1390" s="1036">
        <v>99</v>
      </c>
      <c r="G1390" s="1152"/>
      <c r="H1390" s="1153"/>
      <c r="I1390" s="1152"/>
      <c r="J1390" s="1153"/>
      <c r="K1390" s="1152"/>
      <c r="L1390" s="1153"/>
      <c r="M1390" s="1152"/>
      <c r="N1390" s="1152"/>
      <c r="O1390" s="732">
        <f t="shared" si="173"/>
        <v>0</v>
      </c>
      <c r="P1390" s="1153"/>
      <c r="Q1390" s="1153"/>
      <c r="R1390" s="733">
        <f t="shared" si="176"/>
        <v>0</v>
      </c>
      <c r="S1390" s="732">
        <f t="shared" si="177"/>
        <v>0</v>
      </c>
      <c r="T1390" s="733">
        <f t="shared" si="178"/>
        <v>0</v>
      </c>
      <c r="U1390" s="1152"/>
      <c r="V1390" s="1153"/>
      <c r="W1390" s="1152"/>
      <c r="X1390" s="1152"/>
      <c r="Y1390" s="732">
        <f t="shared" si="174"/>
        <v>0</v>
      </c>
      <c r="Z1390" s="1153"/>
      <c r="AA1390" s="1153"/>
      <c r="AB1390" s="733">
        <f t="shared" si="175"/>
        <v>0</v>
      </c>
      <c r="AC1390" s="1152"/>
      <c r="AD1390" s="1153"/>
      <c r="AE1390" s="1152"/>
      <c r="AF1390" s="1152"/>
      <c r="AG1390" s="1153"/>
      <c r="AH1390" s="1153"/>
      <c r="AI1390" s="732">
        <f t="shared" si="179"/>
        <v>0</v>
      </c>
      <c r="AJ1390" s="733">
        <f t="shared" si="180"/>
        <v>0</v>
      </c>
    </row>
    <row r="1391" spans="1:36">
      <c r="A1391" s="1041" t="s">
        <v>636</v>
      </c>
      <c r="B1391" s="1042" t="s">
        <v>170</v>
      </c>
      <c r="C1391" s="1043" t="s">
        <v>171</v>
      </c>
      <c r="D1391" s="1045"/>
      <c r="E1391" s="1046"/>
      <c r="F1391" s="1036">
        <v>99</v>
      </c>
      <c r="G1391" s="1152"/>
      <c r="H1391" s="1153"/>
      <c r="I1391" s="1152"/>
      <c r="J1391" s="1153"/>
      <c r="K1391" s="1152"/>
      <c r="L1391" s="1153"/>
      <c r="M1391" s="1152"/>
      <c r="N1391" s="1152"/>
      <c r="O1391" s="732">
        <f t="shared" si="173"/>
        <v>0</v>
      </c>
      <c r="P1391" s="1153"/>
      <c r="Q1391" s="1153"/>
      <c r="R1391" s="733">
        <f t="shared" si="176"/>
        <v>0</v>
      </c>
      <c r="S1391" s="732">
        <f t="shared" si="177"/>
        <v>0</v>
      </c>
      <c r="T1391" s="733">
        <f t="shared" si="178"/>
        <v>0</v>
      </c>
      <c r="U1391" s="1152"/>
      <c r="V1391" s="1153"/>
      <c r="W1391" s="1152"/>
      <c r="X1391" s="1152"/>
      <c r="Y1391" s="732">
        <f t="shared" si="174"/>
        <v>0</v>
      </c>
      <c r="Z1391" s="1153"/>
      <c r="AA1391" s="1153"/>
      <c r="AB1391" s="733">
        <f t="shared" si="175"/>
        <v>0</v>
      </c>
      <c r="AC1391" s="1152"/>
      <c r="AD1391" s="1153"/>
      <c r="AE1391" s="1152"/>
      <c r="AF1391" s="1152"/>
      <c r="AG1391" s="1153"/>
      <c r="AH1391" s="1153"/>
      <c r="AI1391" s="732">
        <f t="shared" si="179"/>
        <v>0</v>
      </c>
      <c r="AJ1391" s="733">
        <f t="shared" si="180"/>
        <v>0</v>
      </c>
    </row>
    <row r="1392" spans="1:36">
      <c r="A1392" s="1041" t="s">
        <v>636</v>
      </c>
      <c r="B1392" s="1042" t="s">
        <v>172</v>
      </c>
      <c r="C1392" s="1043" t="s">
        <v>165</v>
      </c>
      <c r="D1392" s="1045"/>
      <c r="E1392" s="1046"/>
      <c r="F1392" s="1036">
        <v>99</v>
      </c>
      <c r="G1392" s="1152"/>
      <c r="H1392" s="1153"/>
      <c r="I1392" s="1152"/>
      <c r="J1392" s="1153"/>
      <c r="K1392" s="1152"/>
      <c r="L1392" s="1153"/>
      <c r="M1392" s="1152"/>
      <c r="N1392" s="1152"/>
      <c r="O1392" s="732">
        <f t="shared" si="173"/>
        <v>0</v>
      </c>
      <c r="P1392" s="1153"/>
      <c r="Q1392" s="1153"/>
      <c r="R1392" s="733">
        <f t="shared" si="176"/>
        <v>0</v>
      </c>
      <c r="S1392" s="732">
        <f t="shared" si="177"/>
        <v>0</v>
      </c>
      <c r="T1392" s="733">
        <f t="shared" si="178"/>
        <v>0</v>
      </c>
      <c r="U1392" s="1152"/>
      <c r="V1392" s="1153"/>
      <c r="W1392" s="1152"/>
      <c r="X1392" s="1152"/>
      <c r="Y1392" s="732">
        <f t="shared" si="174"/>
        <v>0</v>
      </c>
      <c r="Z1392" s="1153"/>
      <c r="AA1392" s="1153"/>
      <c r="AB1392" s="733">
        <f t="shared" si="175"/>
        <v>0</v>
      </c>
      <c r="AC1392" s="1152"/>
      <c r="AD1392" s="1153"/>
      <c r="AE1392" s="1152"/>
      <c r="AF1392" s="1152"/>
      <c r="AG1392" s="1153"/>
      <c r="AH1392" s="1153"/>
      <c r="AI1392" s="732">
        <f t="shared" si="179"/>
        <v>0</v>
      </c>
      <c r="AJ1392" s="733">
        <f t="shared" si="180"/>
        <v>0</v>
      </c>
    </row>
    <row r="1393" spans="1:36">
      <c r="A1393" s="1041" t="s">
        <v>636</v>
      </c>
      <c r="B1393" s="1042" t="s">
        <v>166</v>
      </c>
      <c r="C1393" s="1043" t="s">
        <v>167</v>
      </c>
      <c r="D1393" s="1045"/>
      <c r="E1393" s="1046"/>
      <c r="F1393" s="1036">
        <v>99</v>
      </c>
      <c r="G1393" s="1152"/>
      <c r="H1393" s="1153"/>
      <c r="I1393" s="1152"/>
      <c r="J1393" s="1153"/>
      <c r="K1393" s="1152"/>
      <c r="L1393" s="1153"/>
      <c r="M1393" s="1152"/>
      <c r="N1393" s="1152"/>
      <c r="O1393" s="732">
        <f t="shared" si="173"/>
        <v>0</v>
      </c>
      <c r="P1393" s="1153"/>
      <c r="Q1393" s="1153"/>
      <c r="R1393" s="733">
        <f t="shared" si="176"/>
        <v>0</v>
      </c>
      <c r="S1393" s="732">
        <f t="shared" si="177"/>
        <v>0</v>
      </c>
      <c r="T1393" s="733">
        <f t="shared" si="178"/>
        <v>0</v>
      </c>
      <c r="U1393" s="1152"/>
      <c r="V1393" s="1153"/>
      <c r="W1393" s="1152"/>
      <c r="X1393" s="1152"/>
      <c r="Y1393" s="732">
        <f t="shared" si="174"/>
        <v>0</v>
      </c>
      <c r="Z1393" s="1153"/>
      <c r="AA1393" s="1153"/>
      <c r="AB1393" s="733">
        <f t="shared" si="175"/>
        <v>0</v>
      </c>
      <c r="AC1393" s="1152"/>
      <c r="AD1393" s="1153"/>
      <c r="AE1393" s="1152"/>
      <c r="AF1393" s="1152"/>
      <c r="AG1393" s="1153"/>
      <c r="AH1393" s="1153"/>
      <c r="AI1393" s="732">
        <f t="shared" si="179"/>
        <v>0</v>
      </c>
      <c r="AJ1393" s="733">
        <f t="shared" si="180"/>
        <v>0</v>
      </c>
    </row>
    <row r="1394" spans="1:36">
      <c r="A1394" s="1041" t="s">
        <v>636</v>
      </c>
      <c r="B1394" s="1042" t="s">
        <v>176</v>
      </c>
      <c r="C1394" s="1043" t="s">
        <v>177</v>
      </c>
      <c r="D1394" s="1045"/>
      <c r="E1394" s="1046"/>
      <c r="F1394" s="1036">
        <v>99</v>
      </c>
      <c r="G1394" s="1152"/>
      <c r="H1394" s="1153"/>
      <c r="I1394" s="1152"/>
      <c r="J1394" s="1153"/>
      <c r="K1394" s="1152"/>
      <c r="L1394" s="1153"/>
      <c r="M1394" s="1152"/>
      <c r="N1394" s="1152"/>
      <c r="O1394" s="732">
        <f t="shared" si="173"/>
        <v>0</v>
      </c>
      <c r="P1394" s="1153"/>
      <c r="Q1394" s="1153"/>
      <c r="R1394" s="733">
        <f t="shared" si="176"/>
        <v>0</v>
      </c>
      <c r="S1394" s="732">
        <f t="shared" si="177"/>
        <v>0</v>
      </c>
      <c r="T1394" s="733">
        <f t="shared" si="178"/>
        <v>0</v>
      </c>
      <c r="U1394" s="1152"/>
      <c r="V1394" s="1153"/>
      <c r="W1394" s="1152"/>
      <c r="X1394" s="1152"/>
      <c r="Y1394" s="732">
        <f t="shared" si="174"/>
        <v>0</v>
      </c>
      <c r="Z1394" s="1153"/>
      <c r="AA1394" s="1153"/>
      <c r="AB1394" s="733">
        <f t="shared" si="175"/>
        <v>0</v>
      </c>
      <c r="AC1394" s="1152"/>
      <c r="AD1394" s="1153"/>
      <c r="AE1394" s="1152"/>
      <c r="AF1394" s="1152"/>
      <c r="AG1394" s="1153"/>
      <c r="AH1394" s="1153"/>
      <c r="AI1394" s="732">
        <f t="shared" si="179"/>
        <v>0</v>
      </c>
      <c r="AJ1394" s="733">
        <f t="shared" si="180"/>
        <v>0</v>
      </c>
    </row>
    <row r="1395" spans="1:36">
      <c r="A1395" s="1041" t="s">
        <v>636</v>
      </c>
      <c r="B1395" s="1042" t="s">
        <v>180</v>
      </c>
      <c r="C1395" s="1043" t="s">
        <v>165</v>
      </c>
      <c r="D1395" s="1045"/>
      <c r="E1395" s="1046"/>
      <c r="F1395" s="1036">
        <v>99</v>
      </c>
      <c r="G1395" s="1152"/>
      <c r="H1395" s="1153"/>
      <c r="I1395" s="1152"/>
      <c r="J1395" s="1153"/>
      <c r="K1395" s="1152"/>
      <c r="L1395" s="1153"/>
      <c r="M1395" s="1152"/>
      <c r="N1395" s="1152"/>
      <c r="O1395" s="732">
        <f t="shared" si="173"/>
        <v>0</v>
      </c>
      <c r="P1395" s="1153"/>
      <c r="Q1395" s="1153"/>
      <c r="R1395" s="733">
        <f t="shared" si="176"/>
        <v>0</v>
      </c>
      <c r="S1395" s="732">
        <f t="shared" si="177"/>
        <v>0</v>
      </c>
      <c r="T1395" s="733">
        <f t="shared" si="178"/>
        <v>0</v>
      </c>
      <c r="U1395" s="1152"/>
      <c r="V1395" s="1153"/>
      <c r="W1395" s="1152"/>
      <c r="X1395" s="1152"/>
      <c r="Y1395" s="732">
        <f t="shared" si="174"/>
        <v>0</v>
      </c>
      <c r="Z1395" s="1153"/>
      <c r="AA1395" s="1153"/>
      <c r="AB1395" s="733">
        <f t="shared" si="175"/>
        <v>0</v>
      </c>
      <c r="AC1395" s="1152"/>
      <c r="AD1395" s="1153"/>
      <c r="AE1395" s="1152"/>
      <c r="AF1395" s="1152"/>
      <c r="AG1395" s="1153"/>
      <c r="AH1395" s="1153"/>
      <c r="AI1395" s="732">
        <f t="shared" si="179"/>
        <v>0</v>
      </c>
      <c r="AJ1395" s="733">
        <f t="shared" si="180"/>
        <v>0</v>
      </c>
    </row>
    <row r="1396" spans="1:36">
      <c r="A1396" s="1041" t="s">
        <v>636</v>
      </c>
      <c r="B1396" s="1042" t="s">
        <v>166</v>
      </c>
      <c r="C1396" s="1043" t="s">
        <v>167</v>
      </c>
      <c r="D1396" s="1045"/>
      <c r="E1396" s="1046"/>
      <c r="F1396" s="1036">
        <v>99</v>
      </c>
      <c r="G1396" s="1152"/>
      <c r="H1396" s="1153"/>
      <c r="I1396" s="1152"/>
      <c r="J1396" s="1153"/>
      <c r="K1396" s="1152"/>
      <c r="L1396" s="1153"/>
      <c r="M1396" s="1152"/>
      <c r="N1396" s="1152"/>
      <c r="O1396" s="732">
        <f t="shared" si="173"/>
        <v>0</v>
      </c>
      <c r="P1396" s="1153"/>
      <c r="Q1396" s="1153"/>
      <c r="R1396" s="733">
        <f t="shared" si="176"/>
        <v>0</v>
      </c>
      <c r="S1396" s="732">
        <f t="shared" si="177"/>
        <v>0</v>
      </c>
      <c r="T1396" s="733">
        <f t="shared" si="178"/>
        <v>0</v>
      </c>
      <c r="U1396" s="1152"/>
      <c r="V1396" s="1153"/>
      <c r="W1396" s="1152"/>
      <c r="X1396" s="1152"/>
      <c r="Y1396" s="732">
        <f t="shared" si="174"/>
        <v>0</v>
      </c>
      <c r="Z1396" s="1153"/>
      <c r="AA1396" s="1153"/>
      <c r="AB1396" s="733">
        <f t="shared" si="175"/>
        <v>0</v>
      </c>
      <c r="AC1396" s="1152"/>
      <c r="AD1396" s="1153"/>
      <c r="AE1396" s="1152"/>
      <c r="AF1396" s="1152"/>
      <c r="AG1396" s="1153"/>
      <c r="AH1396" s="1153"/>
      <c r="AI1396" s="732">
        <f t="shared" si="179"/>
        <v>0</v>
      </c>
      <c r="AJ1396" s="733">
        <f t="shared" si="180"/>
        <v>0</v>
      </c>
    </row>
    <row r="1397" spans="1:36">
      <c r="A1397" s="1020" t="s">
        <v>636</v>
      </c>
      <c r="B1397" s="1021" t="s">
        <v>161</v>
      </c>
      <c r="C1397" s="1040" t="s">
        <v>672</v>
      </c>
      <c r="D1397" s="1027"/>
      <c r="E1397" s="1038"/>
      <c r="F1397" s="1036">
        <v>99</v>
      </c>
      <c r="G1397" s="1152"/>
      <c r="H1397" s="1153"/>
      <c r="I1397" s="1152"/>
      <c r="J1397" s="1153"/>
      <c r="K1397" s="1152"/>
      <c r="L1397" s="1153"/>
      <c r="M1397" s="1152"/>
      <c r="N1397" s="1152"/>
      <c r="O1397" s="732">
        <f t="shared" si="173"/>
        <v>0</v>
      </c>
      <c r="P1397" s="1153"/>
      <c r="Q1397" s="1153"/>
      <c r="R1397" s="733">
        <f t="shared" si="176"/>
        <v>0</v>
      </c>
      <c r="S1397" s="732">
        <f t="shared" si="177"/>
        <v>0</v>
      </c>
      <c r="T1397" s="733">
        <f t="shared" si="178"/>
        <v>0</v>
      </c>
      <c r="U1397" s="1152"/>
      <c r="V1397" s="1153"/>
      <c r="W1397" s="1152"/>
      <c r="X1397" s="1152"/>
      <c r="Y1397" s="732">
        <f t="shared" si="174"/>
        <v>0</v>
      </c>
      <c r="Z1397" s="1153"/>
      <c r="AA1397" s="1153"/>
      <c r="AB1397" s="733">
        <f t="shared" si="175"/>
        <v>0</v>
      </c>
      <c r="AC1397" s="1152"/>
      <c r="AD1397" s="1153"/>
      <c r="AE1397" s="1152"/>
      <c r="AF1397" s="1152"/>
      <c r="AG1397" s="1153"/>
      <c r="AH1397" s="1153"/>
      <c r="AI1397" s="732">
        <f t="shared" si="179"/>
        <v>0</v>
      </c>
      <c r="AJ1397" s="733">
        <f t="shared" si="180"/>
        <v>0</v>
      </c>
    </row>
    <row r="1398" spans="1:36">
      <c r="A1398" s="1020" t="s">
        <v>636</v>
      </c>
      <c r="B1398" s="1021" t="s">
        <v>164</v>
      </c>
      <c r="C1398" s="1026" t="s">
        <v>165</v>
      </c>
      <c r="D1398" s="1027"/>
      <c r="E1398" s="1038"/>
      <c r="F1398" s="1036">
        <v>99</v>
      </c>
      <c r="G1398" s="1152"/>
      <c r="H1398" s="1153"/>
      <c r="I1398" s="1152"/>
      <c r="J1398" s="1153"/>
      <c r="K1398" s="1152"/>
      <c r="L1398" s="1153"/>
      <c r="M1398" s="1152"/>
      <c r="N1398" s="1152"/>
      <c r="O1398" s="732">
        <f t="shared" si="173"/>
        <v>0</v>
      </c>
      <c r="P1398" s="1153"/>
      <c r="Q1398" s="1153"/>
      <c r="R1398" s="733">
        <f t="shared" si="176"/>
        <v>0</v>
      </c>
      <c r="S1398" s="732">
        <f t="shared" si="177"/>
        <v>0</v>
      </c>
      <c r="T1398" s="733">
        <f t="shared" si="178"/>
        <v>0</v>
      </c>
      <c r="U1398" s="1152"/>
      <c r="V1398" s="1153"/>
      <c r="W1398" s="1152"/>
      <c r="X1398" s="1152"/>
      <c r="Y1398" s="732">
        <f t="shared" si="174"/>
        <v>0</v>
      </c>
      <c r="Z1398" s="1153"/>
      <c r="AA1398" s="1153"/>
      <c r="AB1398" s="733">
        <f t="shared" si="175"/>
        <v>0</v>
      </c>
      <c r="AC1398" s="1152"/>
      <c r="AD1398" s="1153"/>
      <c r="AE1398" s="1152"/>
      <c r="AF1398" s="1152"/>
      <c r="AG1398" s="1153"/>
      <c r="AH1398" s="1153"/>
      <c r="AI1398" s="732">
        <f t="shared" si="179"/>
        <v>0</v>
      </c>
      <c r="AJ1398" s="733">
        <f t="shared" si="180"/>
        <v>0</v>
      </c>
    </row>
    <row r="1399" spans="1:36">
      <c r="A1399" s="1020" t="s">
        <v>636</v>
      </c>
      <c r="B1399" s="1021" t="s">
        <v>166</v>
      </c>
      <c r="C1399" s="1026" t="s">
        <v>167</v>
      </c>
      <c r="D1399" s="1027"/>
      <c r="E1399" s="1038"/>
      <c r="F1399" s="1036">
        <v>99</v>
      </c>
      <c r="G1399" s="1152"/>
      <c r="H1399" s="1153"/>
      <c r="I1399" s="1152"/>
      <c r="J1399" s="1153"/>
      <c r="K1399" s="1152"/>
      <c r="L1399" s="1153"/>
      <c r="M1399" s="1152"/>
      <c r="N1399" s="1152"/>
      <c r="O1399" s="732">
        <f t="shared" si="173"/>
        <v>0</v>
      </c>
      <c r="P1399" s="1153"/>
      <c r="Q1399" s="1153"/>
      <c r="R1399" s="733">
        <f t="shared" si="176"/>
        <v>0</v>
      </c>
      <c r="S1399" s="732">
        <f t="shared" si="177"/>
        <v>0</v>
      </c>
      <c r="T1399" s="733">
        <f t="shared" si="178"/>
        <v>0</v>
      </c>
      <c r="U1399" s="1152"/>
      <c r="V1399" s="1153"/>
      <c r="W1399" s="1152"/>
      <c r="X1399" s="1152"/>
      <c r="Y1399" s="732">
        <f t="shared" si="174"/>
        <v>0</v>
      </c>
      <c r="Z1399" s="1153"/>
      <c r="AA1399" s="1153"/>
      <c r="AB1399" s="733">
        <f t="shared" si="175"/>
        <v>0</v>
      </c>
      <c r="AC1399" s="1152"/>
      <c r="AD1399" s="1153"/>
      <c r="AE1399" s="1152"/>
      <c r="AF1399" s="1152"/>
      <c r="AG1399" s="1153"/>
      <c r="AH1399" s="1153"/>
      <c r="AI1399" s="732">
        <f t="shared" si="179"/>
        <v>0</v>
      </c>
      <c r="AJ1399" s="733">
        <f t="shared" si="180"/>
        <v>0</v>
      </c>
    </row>
    <row r="1400" spans="1:36">
      <c r="A1400" s="1020" t="s">
        <v>636</v>
      </c>
      <c r="B1400" s="1021" t="s">
        <v>170</v>
      </c>
      <c r="C1400" s="1026" t="s">
        <v>171</v>
      </c>
      <c r="D1400" s="1027"/>
      <c r="E1400" s="1038"/>
      <c r="F1400" s="1036">
        <v>99</v>
      </c>
      <c r="G1400" s="1152"/>
      <c r="H1400" s="1153"/>
      <c r="I1400" s="1152"/>
      <c r="J1400" s="1153"/>
      <c r="K1400" s="1152"/>
      <c r="L1400" s="1153"/>
      <c r="M1400" s="1152"/>
      <c r="N1400" s="1152"/>
      <c r="O1400" s="732">
        <f t="shared" si="173"/>
        <v>0</v>
      </c>
      <c r="P1400" s="1153"/>
      <c r="Q1400" s="1153"/>
      <c r="R1400" s="733">
        <f t="shared" si="176"/>
        <v>0</v>
      </c>
      <c r="S1400" s="732">
        <f t="shared" si="177"/>
        <v>0</v>
      </c>
      <c r="T1400" s="733">
        <f t="shared" si="178"/>
        <v>0</v>
      </c>
      <c r="U1400" s="1152"/>
      <c r="V1400" s="1153"/>
      <c r="W1400" s="1152"/>
      <c r="X1400" s="1152"/>
      <c r="Y1400" s="732">
        <f t="shared" si="174"/>
        <v>0</v>
      </c>
      <c r="Z1400" s="1153"/>
      <c r="AA1400" s="1153"/>
      <c r="AB1400" s="733">
        <f t="shared" si="175"/>
        <v>0</v>
      </c>
      <c r="AC1400" s="1152"/>
      <c r="AD1400" s="1153"/>
      <c r="AE1400" s="1152"/>
      <c r="AF1400" s="1152"/>
      <c r="AG1400" s="1153"/>
      <c r="AH1400" s="1153"/>
      <c r="AI1400" s="732">
        <f t="shared" si="179"/>
        <v>0</v>
      </c>
      <c r="AJ1400" s="733">
        <f t="shared" si="180"/>
        <v>0</v>
      </c>
    </row>
    <row r="1401" spans="1:36">
      <c r="A1401" s="1020" t="s">
        <v>636</v>
      </c>
      <c r="B1401" s="1021" t="s">
        <v>172</v>
      </c>
      <c r="C1401" s="1026" t="s">
        <v>165</v>
      </c>
      <c r="D1401" s="1027"/>
      <c r="E1401" s="1038"/>
      <c r="F1401" s="1036">
        <v>99</v>
      </c>
      <c r="G1401" s="1152"/>
      <c r="H1401" s="1153"/>
      <c r="I1401" s="1152"/>
      <c r="J1401" s="1153"/>
      <c r="K1401" s="1152"/>
      <c r="L1401" s="1153"/>
      <c r="M1401" s="1152"/>
      <c r="N1401" s="1152"/>
      <c r="O1401" s="732">
        <f t="shared" si="173"/>
        <v>0</v>
      </c>
      <c r="P1401" s="1153"/>
      <c r="Q1401" s="1153"/>
      <c r="R1401" s="733">
        <f t="shared" si="176"/>
        <v>0</v>
      </c>
      <c r="S1401" s="732">
        <f t="shared" si="177"/>
        <v>0</v>
      </c>
      <c r="T1401" s="733">
        <f t="shared" si="178"/>
        <v>0</v>
      </c>
      <c r="U1401" s="1152"/>
      <c r="V1401" s="1153"/>
      <c r="W1401" s="1152"/>
      <c r="X1401" s="1152"/>
      <c r="Y1401" s="732">
        <f t="shared" si="174"/>
        <v>0</v>
      </c>
      <c r="Z1401" s="1153"/>
      <c r="AA1401" s="1153"/>
      <c r="AB1401" s="733">
        <f t="shared" si="175"/>
        <v>0</v>
      </c>
      <c r="AC1401" s="1152"/>
      <c r="AD1401" s="1153"/>
      <c r="AE1401" s="1152"/>
      <c r="AF1401" s="1152"/>
      <c r="AG1401" s="1153"/>
      <c r="AH1401" s="1153"/>
      <c r="AI1401" s="732">
        <f t="shared" si="179"/>
        <v>0</v>
      </c>
      <c r="AJ1401" s="733">
        <f t="shared" si="180"/>
        <v>0</v>
      </c>
    </row>
    <row r="1402" spans="1:36">
      <c r="A1402" s="1020" t="s">
        <v>636</v>
      </c>
      <c r="B1402" s="1021" t="s">
        <v>166</v>
      </c>
      <c r="C1402" s="1026" t="s">
        <v>167</v>
      </c>
      <c r="D1402" s="1027"/>
      <c r="E1402" s="1038"/>
      <c r="F1402" s="1036">
        <v>99</v>
      </c>
      <c r="G1402" s="1152"/>
      <c r="H1402" s="1153"/>
      <c r="I1402" s="1152"/>
      <c r="J1402" s="1153"/>
      <c r="K1402" s="1152"/>
      <c r="L1402" s="1153"/>
      <c r="M1402" s="1152"/>
      <c r="N1402" s="1152"/>
      <c r="O1402" s="732">
        <f t="shared" si="173"/>
        <v>0</v>
      </c>
      <c r="P1402" s="1153"/>
      <c r="Q1402" s="1153"/>
      <c r="R1402" s="733">
        <f t="shared" si="176"/>
        <v>0</v>
      </c>
      <c r="S1402" s="732">
        <f t="shared" si="177"/>
        <v>0</v>
      </c>
      <c r="T1402" s="733">
        <f t="shared" si="178"/>
        <v>0</v>
      </c>
      <c r="U1402" s="1152"/>
      <c r="V1402" s="1153"/>
      <c r="W1402" s="1152"/>
      <c r="X1402" s="1152"/>
      <c r="Y1402" s="732">
        <f t="shared" si="174"/>
        <v>0</v>
      </c>
      <c r="Z1402" s="1153"/>
      <c r="AA1402" s="1153"/>
      <c r="AB1402" s="733">
        <f t="shared" si="175"/>
        <v>0</v>
      </c>
      <c r="AC1402" s="1152"/>
      <c r="AD1402" s="1153"/>
      <c r="AE1402" s="1152"/>
      <c r="AF1402" s="1152"/>
      <c r="AG1402" s="1153"/>
      <c r="AH1402" s="1153"/>
      <c r="AI1402" s="732">
        <f t="shared" si="179"/>
        <v>0</v>
      </c>
      <c r="AJ1402" s="733">
        <f t="shared" si="180"/>
        <v>0</v>
      </c>
    </row>
    <row r="1403" spans="1:36">
      <c r="A1403" s="1020" t="s">
        <v>636</v>
      </c>
      <c r="B1403" s="1021" t="s">
        <v>176</v>
      </c>
      <c r="C1403" s="1026" t="s">
        <v>177</v>
      </c>
      <c r="D1403" s="1027"/>
      <c r="E1403" s="1038"/>
      <c r="F1403" s="1036">
        <v>99</v>
      </c>
      <c r="G1403" s="1152"/>
      <c r="H1403" s="1153"/>
      <c r="I1403" s="1152"/>
      <c r="J1403" s="1153"/>
      <c r="K1403" s="1152"/>
      <c r="L1403" s="1153"/>
      <c r="M1403" s="1152"/>
      <c r="N1403" s="1152"/>
      <c r="O1403" s="732">
        <f t="shared" si="173"/>
        <v>0</v>
      </c>
      <c r="P1403" s="1153"/>
      <c r="Q1403" s="1153"/>
      <c r="R1403" s="733">
        <f t="shared" si="176"/>
        <v>0</v>
      </c>
      <c r="S1403" s="732">
        <f t="shared" si="177"/>
        <v>0</v>
      </c>
      <c r="T1403" s="733">
        <f t="shared" si="178"/>
        <v>0</v>
      </c>
      <c r="U1403" s="1152"/>
      <c r="V1403" s="1153"/>
      <c r="W1403" s="1152"/>
      <c r="X1403" s="1152"/>
      <c r="Y1403" s="732">
        <f t="shared" si="174"/>
        <v>0</v>
      </c>
      <c r="Z1403" s="1153"/>
      <c r="AA1403" s="1153"/>
      <c r="AB1403" s="733">
        <f t="shared" si="175"/>
        <v>0</v>
      </c>
      <c r="AC1403" s="1152"/>
      <c r="AD1403" s="1153"/>
      <c r="AE1403" s="1152"/>
      <c r="AF1403" s="1152"/>
      <c r="AG1403" s="1153"/>
      <c r="AH1403" s="1153"/>
      <c r="AI1403" s="732">
        <f t="shared" si="179"/>
        <v>0</v>
      </c>
      <c r="AJ1403" s="733">
        <f t="shared" si="180"/>
        <v>0</v>
      </c>
    </row>
    <row r="1404" spans="1:36">
      <c r="A1404" s="1020" t="s">
        <v>636</v>
      </c>
      <c r="B1404" s="1021" t="s">
        <v>180</v>
      </c>
      <c r="C1404" s="1026" t="s">
        <v>165</v>
      </c>
      <c r="D1404" s="1027"/>
      <c r="E1404" s="1038"/>
      <c r="F1404" s="1036">
        <v>99</v>
      </c>
      <c r="G1404" s="1152"/>
      <c r="H1404" s="1153"/>
      <c r="I1404" s="1152"/>
      <c r="J1404" s="1153"/>
      <c r="K1404" s="1152"/>
      <c r="L1404" s="1153"/>
      <c r="M1404" s="1152"/>
      <c r="N1404" s="1152"/>
      <c r="O1404" s="732">
        <f t="shared" si="173"/>
        <v>0</v>
      </c>
      <c r="P1404" s="1153"/>
      <c r="Q1404" s="1153"/>
      <c r="R1404" s="733">
        <f t="shared" si="176"/>
        <v>0</v>
      </c>
      <c r="S1404" s="732">
        <f t="shared" si="177"/>
        <v>0</v>
      </c>
      <c r="T1404" s="733">
        <f t="shared" si="178"/>
        <v>0</v>
      </c>
      <c r="U1404" s="1152"/>
      <c r="V1404" s="1153"/>
      <c r="W1404" s="1152"/>
      <c r="X1404" s="1152"/>
      <c r="Y1404" s="732">
        <f t="shared" si="174"/>
        <v>0</v>
      </c>
      <c r="Z1404" s="1153"/>
      <c r="AA1404" s="1153"/>
      <c r="AB1404" s="733">
        <f t="shared" si="175"/>
        <v>0</v>
      </c>
      <c r="AC1404" s="1152"/>
      <c r="AD1404" s="1153"/>
      <c r="AE1404" s="1152"/>
      <c r="AF1404" s="1152"/>
      <c r="AG1404" s="1153"/>
      <c r="AH1404" s="1153"/>
      <c r="AI1404" s="732">
        <f t="shared" si="179"/>
        <v>0</v>
      </c>
      <c r="AJ1404" s="733">
        <f t="shared" si="180"/>
        <v>0</v>
      </c>
    </row>
    <row r="1405" spans="1:36">
      <c r="A1405" s="1020" t="s">
        <v>636</v>
      </c>
      <c r="B1405" s="1021" t="s">
        <v>166</v>
      </c>
      <c r="C1405" s="1026" t="s">
        <v>167</v>
      </c>
      <c r="D1405" s="1027"/>
      <c r="E1405" s="1038"/>
      <c r="F1405" s="1036">
        <v>99</v>
      </c>
      <c r="G1405" s="1152"/>
      <c r="H1405" s="1153"/>
      <c r="I1405" s="1152"/>
      <c r="J1405" s="1153"/>
      <c r="K1405" s="1152"/>
      <c r="L1405" s="1153"/>
      <c r="M1405" s="1152"/>
      <c r="N1405" s="1152"/>
      <c r="O1405" s="732">
        <f t="shared" si="173"/>
        <v>0</v>
      </c>
      <c r="P1405" s="1153"/>
      <c r="Q1405" s="1153"/>
      <c r="R1405" s="733">
        <f t="shared" si="176"/>
        <v>0</v>
      </c>
      <c r="S1405" s="732">
        <f t="shared" si="177"/>
        <v>0</v>
      </c>
      <c r="T1405" s="733">
        <f t="shared" si="178"/>
        <v>0</v>
      </c>
      <c r="U1405" s="1152"/>
      <c r="V1405" s="1153"/>
      <c r="W1405" s="1152"/>
      <c r="X1405" s="1152"/>
      <c r="Y1405" s="732">
        <f t="shared" si="174"/>
        <v>0</v>
      </c>
      <c r="Z1405" s="1153"/>
      <c r="AA1405" s="1153"/>
      <c r="AB1405" s="733">
        <f t="shared" si="175"/>
        <v>0</v>
      </c>
      <c r="AC1405" s="1152"/>
      <c r="AD1405" s="1153"/>
      <c r="AE1405" s="1152"/>
      <c r="AF1405" s="1152"/>
      <c r="AG1405" s="1153"/>
      <c r="AH1405" s="1153"/>
      <c r="AI1405" s="732">
        <f t="shared" si="179"/>
        <v>0</v>
      </c>
      <c r="AJ1405" s="733">
        <f t="shared" si="180"/>
        <v>0</v>
      </c>
    </row>
    <row r="1406" spans="1:36">
      <c r="A1406" s="1020" t="s">
        <v>636</v>
      </c>
      <c r="B1406" s="1021" t="s">
        <v>161</v>
      </c>
      <c r="C1406" s="1040" t="s">
        <v>673</v>
      </c>
      <c r="D1406" s="1027"/>
      <c r="E1406" s="1038"/>
      <c r="F1406" s="1036">
        <v>99</v>
      </c>
      <c r="G1406" s="1152"/>
      <c r="H1406" s="1153"/>
      <c r="I1406" s="1152"/>
      <c r="J1406" s="1153"/>
      <c r="K1406" s="1152"/>
      <c r="L1406" s="1153"/>
      <c r="M1406" s="1152"/>
      <c r="N1406" s="1152"/>
      <c r="O1406" s="732">
        <f t="shared" si="173"/>
        <v>0</v>
      </c>
      <c r="P1406" s="1153"/>
      <c r="Q1406" s="1153"/>
      <c r="R1406" s="733">
        <f t="shared" si="176"/>
        <v>0</v>
      </c>
      <c r="S1406" s="732">
        <f t="shared" si="177"/>
        <v>0</v>
      </c>
      <c r="T1406" s="733">
        <f t="shared" si="178"/>
        <v>0</v>
      </c>
      <c r="U1406" s="1152"/>
      <c r="V1406" s="1153"/>
      <c r="W1406" s="1152"/>
      <c r="X1406" s="1152"/>
      <c r="Y1406" s="732">
        <f t="shared" si="174"/>
        <v>0</v>
      </c>
      <c r="Z1406" s="1153"/>
      <c r="AA1406" s="1153"/>
      <c r="AB1406" s="733">
        <f t="shared" si="175"/>
        <v>0</v>
      </c>
      <c r="AC1406" s="1152"/>
      <c r="AD1406" s="1153"/>
      <c r="AE1406" s="1152"/>
      <c r="AF1406" s="1152"/>
      <c r="AG1406" s="1153"/>
      <c r="AH1406" s="1153"/>
      <c r="AI1406" s="732">
        <f t="shared" si="179"/>
        <v>0</v>
      </c>
      <c r="AJ1406" s="733">
        <f t="shared" si="180"/>
        <v>0</v>
      </c>
    </row>
    <row r="1407" spans="1:36">
      <c r="A1407" s="1020" t="s">
        <v>636</v>
      </c>
      <c r="B1407" s="1021" t="s">
        <v>164</v>
      </c>
      <c r="C1407" s="1026" t="s">
        <v>165</v>
      </c>
      <c r="D1407" s="1027"/>
      <c r="E1407" s="1038"/>
      <c r="F1407" s="1036">
        <v>99</v>
      </c>
      <c r="G1407" s="1152"/>
      <c r="H1407" s="1153"/>
      <c r="I1407" s="1152"/>
      <c r="J1407" s="1153"/>
      <c r="K1407" s="1152"/>
      <c r="L1407" s="1153"/>
      <c r="M1407" s="1152"/>
      <c r="N1407" s="1152"/>
      <c r="O1407" s="732">
        <f t="shared" si="173"/>
        <v>0</v>
      </c>
      <c r="P1407" s="1153"/>
      <c r="Q1407" s="1153"/>
      <c r="R1407" s="733">
        <f t="shared" si="176"/>
        <v>0</v>
      </c>
      <c r="S1407" s="732">
        <f t="shared" si="177"/>
        <v>0</v>
      </c>
      <c r="T1407" s="733">
        <f t="shared" si="178"/>
        <v>0</v>
      </c>
      <c r="U1407" s="1152"/>
      <c r="V1407" s="1153"/>
      <c r="W1407" s="1152"/>
      <c r="X1407" s="1152"/>
      <c r="Y1407" s="732">
        <f t="shared" si="174"/>
        <v>0</v>
      </c>
      <c r="Z1407" s="1153"/>
      <c r="AA1407" s="1153"/>
      <c r="AB1407" s="733">
        <f t="shared" si="175"/>
        <v>0</v>
      </c>
      <c r="AC1407" s="1152"/>
      <c r="AD1407" s="1153"/>
      <c r="AE1407" s="1152"/>
      <c r="AF1407" s="1152"/>
      <c r="AG1407" s="1153"/>
      <c r="AH1407" s="1153"/>
      <c r="AI1407" s="732">
        <f t="shared" si="179"/>
        <v>0</v>
      </c>
      <c r="AJ1407" s="733">
        <f t="shared" si="180"/>
        <v>0</v>
      </c>
    </row>
    <row r="1408" spans="1:36">
      <c r="A1408" s="1020" t="s">
        <v>636</v>
      </c>
      <c r="B1408" s="1021" t="s">
        <v>166</v>
      </c>
      <c r="C1408" s="1026" t="s">
        <v>167</v>
      </c>
      <c r="D1408" s="1027"/>
      <c r="E1408" s="1038"/>
      <c r="F1408" s="1036">
        <v>99</v>
      </c>
      <c r="G1408" s="1152"/>
      <c r="H1408" s="1153"/>
      <c r="I1408" s="1152"/>
      <c r="J1408" s="1153"/>
      <c r="K1408" s="1152"/>
      <c r="L1408" s="1153"/>
      <c r="M1408" s="1152"/>
      <c r="N1408" s="1152"/>
      <c r="O1408" s="732">
        <f t="shared" si="173"/>
        <v>0</v>
      </c>
      <c r="P1408" s="1153"/>
      <c r="Q1408" s="1153"/>
      <c r="R1408" s="733">
        <f t="shared" si="176"/>
        <v>0</v>
      </c>
      <c r="S1408" s="732">
        <f t="shared" si="177"/>
        <v>0</v>
      </c>
      <c r="T1408" s="733">
        <f t="shared" si="178"/>
        <v>0</v>
      </c>
      <c r="U1408" s="1152">
        <v>8920964</v>
      </c>
      <c r="V1408" s="1153">
        <v>8920964</v>
      </c>
      <c r="W1408" s="1152"/>
      <c r="X1408" s="1152"/>
      <c r="Y1408" s="732">
        <f t="shared" si="174"/>
        <v>0</v>
      </c>
      <c r="Z1408" s="1153"/>
      <c r="AA1408" s="1153"/>
      <c r="AB1408" s="733">
        <f t="shared" si="175"/>
        <v>0</v>
      </c>
      <c r="AC1408" s="1152"/>
      <c r="AD1408" s="1153"/>
      <c r="AE1408" s="1152"/>
      <c r="AF1408" s="1152"/>
      <c r="AG1408" s="1153"/>
      <c r="AH1408" s="1153"/>
      <c r="AI1408" s="732">
        <f t="shared" si="179"/>
        <v>8920964</v>
      </c>
      <c r="AJ1408" s="733">
        <f t="shared" si="180"/>
        <v>8920964</v>
      </c>
    </row>
    <row r="1409" spans="1:36">
      <c r="A1409" s="1020" t="s">
        <v>636</v>
      </c>
      <c r="B1409" s="1021" t="s">
        <v>170</v>
      </c>
      <c r="C1409" s="1026" t="s">
        <v>171</v>
      </c>
      <c r="D1409" s="1027"/>
      <c r="E1409" s="1038"/>
      <c r="F1409" s="1036">
        <v>99</v>
      </c>
      <c r="G1409" s="1152"/>
      <c r="H1409" s="1153"/>
      <c r="I1409" s="1152"/>
      <c r="J1409" s="1153"/>
      <c r="K1409" s="1152"/>
      <c r="L1409" s="1153"/>
      <c r="M1409" s="1152"/>
      <c r="N1409" s="1152"/>
      <c r="O1409" s="732">
        <f t="shared" si="173"/>
        <v>0</v>
      </c>
      <c r="P1409" s="1153"/>
      <c r="Q1409" s="1153"/>
      <c r="R1409" s="733">
        <f t="shared" si="176"/>
        <v>0</v>
      </c>
      <c r="S1409" s="732">
        <f t="shared" si="177"/>
        <v>0</v>
      </c>
      <c r="T1409" s="733">
        <f t="shared" si="178"/>
        <v>0</v>
      </c>
      <c r="U1409" s="1152"/>
      <c r="V1409" s="1153"/>
      <c r="W1409" s="1152"/>
      <c r="X1409" s="1152"/>
      <c r="Y1409" s="732">
        <f t="shared" si="174"/>
        <v>0</v>
      </c>
      <c r="Z1409" s="1153"/>
      <c r="AA1409" s="1153"/>
      <c r="AB1409" s="733">
        <f t="shared" si="175"/>
        <v>0</v>
      </c>
      <c r="AC1409" s="1152"/>
      <c r="AD1409" s="1153"/>
      <c r="AE1409" s="1152"/>
      <c r="AF1409" s="1152"/>
      <c r="AG1409" s="1153"/>
      <c r="AH1409" s="1153"/>
      <c r="AI1409" s="732">
        <f t="shared" si="179"/>
        <v>0</v>
      </c>
      <c r="AJ1409" s="733">
        <f t="shared" si="180"/>
        <v>0</v>
      </c>
    </row>
    <row r="1410" spans="1:36">
      <c r="A1410" s="1020" t="s">
        <v>636</v>
      </c>
      <c r="B1410" s="1021" t="s">
        <v>172</v>
      </c>
      <c r="C1410" s="1026" t="s">
        <v>165</v>
      </c>
      <c r="D1410" s="1027"/>
      <c r="E1410" s="1038"/>
      <c r="F1410" s="1036">
        <v>99</v>
      </c>
      <c r="G1410" s="1152"/>
      <c r="H1410" s="1153"/>
      <c r="I1410" s="1152"/>
      <c r="J1410" s="1153"/>
      <c r="K1410" s="1152"/>
      <c r="L1410" s="1153"/>
      <c r="M1410" s="1152"/>
      <c r="N1410" s="1152"/>
      <c r="O1410" s="732">
        <f t="shared" si="173"/>
        <v>0</v>
      </c>
      <c r="P1410" s="1153"/>
      <c r="Q1410" s="1153"/>
      <c r="R1410" s="733">
        <f t="shared" si="176"/>
        <v>0</v>
      </c>
      <c r="S1410" s="732">
        <f t="shared" si="177"/>
        <v>0</v>
      </c>
      <c r="T1410" s="733">
        <f t="shared" si="178"/>
        <v>0</v>
      </c>
      <c r="U1410" s="1152"/>
      <c r="V1410" s="1153"/>
      <c r="W1410" s="1152"/>
      <c r="X1410" s="1152"/>
      <c r="Y1410" s="732">
        <f t="shared" si="174"/>
        <v>0</v>
      </c>
      <c r="Z1410" s="1153"/>
      <c r="AA1410" s="1153"/>
      <c r="AB1410" s="733">
        <f t="shared" si="175"/>
        <v>0</v>
      </c>
      <c r="AC1410" s="1152"/>
      <c r="AD1410" s="1153"/>
      <c r="AE1410" s="1152"/>
      <c r="AF1410" s="1152"/>
      <c r="AG1410" s="1153"/>
      <c r="AH1410" s="1153"/>
      <c r="AI1410" s="732">
        <f t="shared" si="179"/>
        <v>0</v>
      </c>
      <c r="AJ1410" s="733">
        <f t="shared" si="180"/>
        <v>0</v>
      </c>
    </row>
    <row r="1411" spans="1:36">
      <c r="A1411" s="1020" t="s">
        <v>636</v>
      </c>
      <c r="B1411" s="1021" t="s">
        <v>166</v>
      </c>
      <c r="C1411" s="1026" t="s">
        <v>167</v>
      </c>
      <c r="D1411" s="1027"/>
      <c r="E1411" s="1038"/>
      <c r="F1411" s="1036">
        <v>99</v>
      </c>
      <c r="G1411" s="1152"/>
      <c r="H1411" s="1153"/>
      <c r="I1411" s="1152"/>
      <c r="J1411" s="1153"/>
      <c r="K1411" s="1152"/>
      <c r="L1411" s="1153"/>
      <c r="M1411" s="1152"/>
      <c r="N1411" s="1152"/>
      <c r="O1411" s="732">
        <f t="shared" si="173"/>
        <v>0</v>
      </c>
      <c r="P1411" s="1153"/>
      <c r="Q1411" s="1153"/>
      <c r="R1411" s="733">
        <f t="shared" si="176"/>
        <v>0</v>
      </c>
      <c r="S1411" s="732">
        <f t="shared" si="177"/>
        <v>0</v>
      </c>
      <c r="T1411" s="733">
        <f t="shared" si="178"/>
        <v>0</v>
      </c>
      <c r="U1411" s="1152"/>
      <c r="V1411" s="1153"/>
      <c r="W1411" s="1152"/>
      <c r="X1411" s="1152"/>
      <c r="Y1411" s="732">
        <f t="shared" si="174"/>
        <v>0</v>
      </c>
      <c r="Z1411" s="1153"/>
      <c r="AA1411" s="1153"/>
      <c r="AB1411" s="733">
        <f t="shared" si="175"/>
        <v>0</v>
      </c>
      <c r="AC1411" s="1152"/>
      <c r="AD1411" s="1153"/>
      <c r="AE1411" s="1152"/>
      <c r="AF1411" s="1152"/>
      <c r="AG1411" s="1153"/>
      <c r="AH1411" s="1153"/>
      <c r="AI1411" s="732">
        <f t="shared" si="179"/>
        <v>0</v>
      </c>
      <c r="AJ1411" s="733">
        <f t="shared" si="180"/>
        <v>0</v>
      </c>
    </row>
    <row r="1412" spans="1:36">
      <c r="A1412" s="1020" t="s">
        <v>636</v>
      </c>
      <c r="B1412" s="1021" t="s">
        <v>176</v>
      </c>
      <c r="C1412" s="1026" t="s">
        <v>177</v>
      </c>
      <c r="D1412" s="1027"/>
      <c r="E1412" s="1038"/>
      <c r="F1412" s="1036">
        <v>99</v>
      </c>
      <c r="G1412" s="1152"/>
      <c r="H1412" s="1153"/>
      <c r="I1412" s="1152"/>
      <c r="J1412" s="1153"/>
      <c r="K1412" s="1152"/>
      <c r="L1412" s="1153"/>
      <c r="M1412" s="1152"/>
      <c r="N1412" s="1152"/>
      <c r="O1412" s="732">
        <f t="shared" si="173"/>
        <v>0</v>
      </c>
      <c r="P1412" s="1153"/>
      <c r="Q1412" s="1153"/>
      <c r="R1412" s="733">
        <f t="shared" si="176"/>
        <v>0</v>
      </c>
      <c r="S1412" s="732">
        <f t="shared" si="177"/>
        <v>0</v>
      </c>
      <c r="T1412" s="733">
        <f t="shared" si="178"/>
        <v>0</v>
      </c>
      <c r="U1412" s="1152"/>
      <c r="V1412" s="1153"/>
      <c r="W1412" s="1152"/>
      <c r="X1412" s="1152"/>
      <c r="Y1412" s="732">
        <f t="shared" si="174"/>
        <v>0</v>
      </c>
      <c r="Z1412" s="1153"/>
      <c r="AA1412" s="1153"/>
      <c r="AB1412" s="733">
        <f t="shared" si="175"/>
        <v>0</v>
      </c>
      <c r="AC1412" s="1152"/>
      <c r="AD1412" s="1153"/>
      <c r="AE1412" s="1152"/>
      <c r="AF1412" s="1152"/>
      <c r="AG1412" s="1153"/>
      <c r="AH1412" s="1153"/>
      <c r="AI1412" s="732">
        <f t="shared" si="179"/>
        <v>0</v>
      </c>
      <c r="AJ1412" s="733">
        <f t="shared" si="180"/>
        <v>0</v>
      </c>
    </row>
    <row r="1413" spans="1:36">
      <c r="A1413" s="1020" t="s">
        <v>636</v>
      </c>
      <c r="B1413" s="1021" t="s">
        <v>180</v>
      </c>
      <c r="C1413" s="1026" t="s">
        <v>165</v>
      </c>
      <c r="D1413" s="1027"/>
      <c r="E1413" s="1038"/>
      <c r="F1413" s="1036">
        <v>99</v>
      </c>
      <c r="G1413" s="1152"/>
      <c r="H1413" s="1153"/>
      <c r="I1413" s="1152"/>
      <c r="J1413" s="1153"/>
      <c r="K1413" s="1152"/>
      <c r="L1413" s="1153"/>
      <c r="M1413" s="1152"/>
      <c r="N1413" s="1152"/>
      <c r="O1413" s="732">
        <f t="shared" si="173"/>
        <v>0</v>
      </c>
      <c r="P1413" s="1153"/>
      <c r="Q1413" s="1153"/>
      <c r="R1413" s="733">
        <f t="shared" si="176"/>
        <v>0</v>
      </c>
      <c r="S1413" s="732">
        <f t="shared" si="177"/>
        <v>0</v>
      </c>
      <c r="T1413" s="733">
        <f t="shared" si="178"/>
        <v>0</v>
      </c>
      <c r="U1413" s="1152"/>
      <c r="V1413" s="1153"/>
      <c r="W1413" s="1152"/>
      <c r="X1413" s="1152"/>
      <c r="Y1413" s="732">
        <f t="shared" si="174"/>
        <v>0</v>
      </c>
      <c r="Z1413" s="1153"/>
      <c r="AA1413" s="1153"/>
      <c r="AB1413" s="733">
        <f t="shared" si="175"/>
        <v>0</v>
      </c>
      <c r="AC1413" s="1152"/>
      <c r="AD1413" s="1153"/>
      <c r="AE1413" s="1152"/>
      <c r="AF1413" s="1152"/>
      <c r="AG1413" s="1153"/>
      <c r="AH1413" s="1153"/>
      <c r="AI1413" s="732">
        <f t="shared" si="179"/>
        <v>0</v>
      </c>
      <c r="AJ1413" s="733">
        <f t="shared" si="180"/>
        <v>0</v>
      </c>
    </row>
    <row r="1414" spans="1:36">
      <c r="A1414" s="1020" t="s">
        <v>636</v>
      </c>
      <c r="B1414" s="1021" t="s">
        <v>166</v>
      </c>
      <c r="C1414" s="1026" t="s">
        <v>167</v>
      </c>
      <c r="D1414" s="1027"/>
      <c r="E1414" s="1038"/>
      <c r="F1414" s="1036">
        <v>99</v>
      </c>
      <c r="G1414" s="1152"/>
      <c r="H1414" s="1153"/>
      <c r="I1414" s="1152"/>
      <c r="J1414" s="1153"/>
      <c r="K1414" s="1152"/>
      <c r="L1414" s="1153"/>
      <c r="M1414" s="1152"/>
      <c r="N1414" s="1152"/>
      <c r="O1414" s="732">
        <f t="shared" si="173"/>
        <v>0</v>
      </c>
      <c r="P1414" s="1153"/>
      <c r="Q1414" s="1153"/>
      <c r="R1414" s="733">
        <f t="shared" si="176"/>
        <v>0</v>
      </c>
      <c r="S1414" s="732">
        <f t="shared" si="177"/>
        <v>0</v>
      </c>
      <c r="T1414" s="733">
        <f t="shared" si="178"/>
        <v>0</v>
      </c>
      <c r="U1414" s="1152"/>
      <c r="V1414" s="1153"/>
      <c r="W1414" s="1152"/>
      <c r="X1414" s="1152"/>
      <c r="Y1414" s="732">
        <f t="shared" si="174"/>
        <v>0</v>
      </c>
      <c r="Z1414" s="1153"/>
      <c r="AA1414" s="1153"/>
      <c r="AB1414" s="733">
        <f t="shared" si="175"/>
        <v>0</v>
      </c>
      <c r="AC1414" s="1152"/>
      <c r="AD1414" s="1153"/>
      <c r="AE1414" s="1152"/>
      <c r="AF1414" s="1152"/>
      <c r="AG1414" s="1153"/>
      <c r="AH1414" s="1153"/>
      <c r="AI1414" s="732">
        <f t="shared" si="179"/>
        <v>0</v>
      </c>
      <c r="AJ1414" s="733">
        <f t="shared" si="180"/>
        <v>0</v>
      </c>
    </row>
    <row r="1415" spans="1:36">
      <c r="A1415" s="1020" t="s">
        <v>636</v>
      </c>
      <c r="B1415" s="1021" t="s">
        <v>161</v>
      </c>
      <c r="C1415" s="1040" t="s">
        <v>674</v>
      </c>
      <c r="D1415" s="1027"/>
      <c r="E1415" s="1038"/>
      <c r="F1415" s="1036">
        <v>99</v>
      </c>
      <c r="G1415" s="1152"/>
      <c r="H1415" s="1153"/>
      <c r="I1415" s="1152"/>
      <c r="J1415" s="1153"/>
      <c r="K1415" s="1152"/>
      <c r="L1415" s="1153"/>
      <c r="M1415" s="1152"/>
      <c r="N1415" s="1152"/>
      <c r="O1415" s="732">
        <f t="shared" si="173"/>
        <v>0</v>
      </c>
      <c r="P1415" s="1153"/>
      <c r="Q1415" s="1153"/>
      <c r="R1415" s="733">
        <f t="shared" si="176"/>
        <v>0</v>
      </c>
      <c r="S1415" s="732">
        <f t="shared" si="177"/>
        <v>0</v>
      </c>
      <c r="T1415" s="733">
        <f t="shared" si="178"/>
        <v>0</v>
      </c>
      <c r="U1415" s="1152"/>
      <c r="V1415" s="1153"/>
      <c r="W1415" s="1152"/>
      <c r="X1415" s="1152"/>
      <c r="Y1415" s="732">
        <f t="shared" si="174"/>
        <v>0</v>
      </c>
      <c r="Z1415" s="1153"/>
      <c r="AA1415" s="1153"/>
      <c r="AB1415" s="733">
        <f t="shared" si="175"/>
        <v>0</v>
      </c>
      <c r="AC1415" s="1152"/>
      <c r="AD1415" s="1153"/>
      <c r="AE1415" s="1152"/>
      <c r="AF1415" s="1152"/>
      <c r="AG1415" s="1153"/>
      <c r="AH1415" s="1153"/>
      <c r="AI1415" s="732">
        <f t="shared" si="179"/>
        <v>0</v>
      </c>
      <c r="AJ1415" s="733">
        <f t="shared" si="180"/>
        <v>0</v>
      </c>
    </row>
    <row r="1416" spans="1:36">
      <c r="A1416" s="1020" t="s">
        <v>636</v>
      </c>
      <c r="B1416" s="1021" t="s">
        <v>164</v>
      </c>
      <c r="C1416" s="1026" t="s">
        <v>165</v>
      </c>
      <c r="D1416" s="1027"/>
      <c r="E1416" s="1038"/>
      <c r="F1416" s="1036">
        <v>99</v>
      </c>
      <c r="G1416" s="1152"/>
      <c r="H1416" s="1153"/>
      <c r="I1416" s="1152"/>
      <c r="J1416" s="1153"/>
      <c r="K1416" s="1152"/>
      <c r="L1416" s="1153"/>
      <c r="M1416" s="1152"/>
      <c r="N1416" s="1152"/>
      <c r="O1416" s="732">
        <f t="shared" si="173"/>
        <v>0</v>
      </c>
      <c r="P1416" s="1153"/>
      <c r="Q1416" s="1153"/>
      <c r="R1416" s="733">
        <f t="shared" si="176"/>
        <v>0</v>
      </c>
      <c r="S1416" s="732">
        <f t="shared" si="177"/>
        <v>0</v>
      </c>
      <c r="T1416" s="733">
        <f t="shared" si="178"/>
        <v>0</v>
      </c>
      <c r="U1416" s="1152"/>
      <c r="V1416" s="1153"/>
      <c r="W1416" s="1152"/>
      <c r="X1416" s="1152"/>
      <c r="Y1416" s="732">
        <f t="shared" si="174"/>
        <v>0</v>
      </c>
      <c r="Z1416" s="1153"/>
      <c r="AA1416" s="1153"/>
      <c r="AB1416" s="733">
        <f t="shared" si="175"/>
        <v>0</v>
      </c>
      <c r="AC1416" s="1152"/>
      <c r="AD1416" s="1153"/>
      <c r="AE1416" s="1152"/>
      <c r="AF1416" s="1152"/>
      <c r="AG1416" s="1153"/>
      <c r="AH1416" s="1153"/>
      <c r="AI1416" s="732">
        <f t="shared" si="179"/>
        <v>0</v>
      </c>
      <c r="AJ1416" s="733">
        <f t="shared" si="180"/>
        <v>0</v>
      </c>
    </row>
    <row r="1417" spans="1:36">
      <c r="A1417" s="1020" t="s">
        <v>636</v>
      </c>
      <c r="B1417" s="1021" t="s">
        <v>166</v>
      </c>
      <c r="C1417" s="1026" t="s">
        <v>167</v>
      </c>
      <c r="D1417" s="1027"/>
      <c r="E1417" s="1038"/>
      <c r="F1417" s="1036">
        <v>99</v>
      </c>
      <c r="G1417" s="1152"/>
      <c r="H1417" s="1153"/>
      <c r="I1417" s="1152"/>
      <c r="J1417" s="1153"/>
      <c r="K1417" s="1152"/>
      <c r="L1417" s="1153"/>
      <c r="M1417" s="1152"/>
      <c r="N1417" s="1152"/>
      <c r="O1417" s="732">
        <f t="shared" si="173"/>
        <v>0</v>
      </c>
      <c r="P1417" s="1153"/>
      <c r="Q1417" s="1153"/>
      <c r="R1417" s="733">
        <f t="shared" si="176"/>
        <v>0</v>
      </c>
      <c r="S1417" s="732">
        <f t="shared" si="177"/>
        <v>0</v>
      </c>
      <c r="T1417" s="733">
        <f t="shared" si="178"/>
        <v>0</v>
      </c>
      <c r="U1417" s="1152">
        <v>16594166</v>
      </c>
      <c r="V1417" s="1153">
        <v>16594166</v>
      </c>
      <c r="W1417" s="1152"/>
      <c r="X1417" s="1152"/>
      <c r="Y1417" s="732">
        <f t="shared" si="174"/>
        <v>0</v>
      </c>
      <c r="Z1417" s="1153"/>
      <c r="AA1417" s="1153"/>
      <c r="AB1417" s="733">
        <f t="shared" si="175"/>
        <v>0</v>
      </c>
      <c r="AC1417" s="1152"/>
      <c r="AD1417" s="1153"/>
      <c r="AE1417" s="1152"/>
      <c r="AF1417" s="1152"/>
      <c r="AG1417" s="1153"/>
      <c r="AH1417" s="1153"/>
      <c r="AI1417" s="732">
        <f t="shared" si="179"/>
        <v>16594166</v>
      </c>
      <c r="AJ1417" s="733">
        <f t="shared" si="180"/>
        <v>16594166</v>
      </c>
    </row>
    <row r="1418" spans="1:36">
      <c r="A1418" s="1020" t="s">
        <v>636</v>
      </c>
      <c r="B1418" s="1021" t="s">
        <v>170</v>
      </c>
      <c r="C1418" s="1026" t="s">
        <v>171</v>
      </c>
      <c r="D1418" s="1027"/>
      <c r="E1418" s="1038"/>
      <c r="F1418" s="1036">
        <v>99</v>
      </c>
      <c r="G1418" s="1152"/>
      <c r="H1418" s="1153"/>
      <c r="I1418" s="1152"/>
      <c r="J1418" s="1153"/>
      <c r="K1418" s="1152"/>
      <c r="L1418" s="1153"/>
      <c r="M1418" s="1152"/>
      <c r="N1418" s="1152"/>
      <c r="O1418" s="732">
        <f t="shared" ref="O1418:O1481" si="181">SUM(M1418:N1418)</f>
        <v>0</v>
      </c>
      <c r="P1418" s="1153"/>
      <c r="Q1418" s="1153"/>
      <c r="R1418" s="733">
        <f t="shared" si="176"/>
        <v>0</v>
      </c>
      <c r="S1418" s="732">
        <f t="shared" si="177"/>
        <v>0</v>
      </c>
      <c r="T1418" s="733">
        <f t="shared" si="178"/>
        <v>0</v>
      </c>
      <c r="U1418" s="1152"/>
      <c r="V1418" s="1153"/>
      <c r="W1418" s="1152"/>
      <c r="X1418" s="1152"/>
      <c r="Y1418" s="732">
        <f t="shared" ref="Y1418:Y1481" si="182">SUM(W1418:X1418)</f>
        <v>0</v>
      </c>
      <c r="Z1418" s="1153"/>
      <c r="AA1418" s="1153"/>
      <c r="AB1418" s="733">
        <f t="shared" ref="AB1418:AB1481" si="183">SUM(Z1418:AA1418)</f>
        <v>0</v>
      </c>
      <c r="AC1418" s="1152"/>
      <c r="AD1418" s="1153"/>
      <c r="AE1418" s="1152"/>
      <c r="AF1418" s="1152"/>
      <c r="AG1418" s="1153"/>
      <c r="AH1418" s="1153"/>
      <c r="AI1418" s="732">
        <f t="shared" si="179"/>
        <v>0</v>
      </c>
      <c r="AJ1418" s="733">
        <f t="shared" si="180"/>
        <v>0</v>
      </c>
    </row>
    <row r="1419" spans="1:36">
      <c r="A1419" s="1020" t="s">
        <v>636</v>
      </c>
      <c r="B1419" s="1021" t="s">
        <v>172</v>
      </c>
      <c r="C1419" s="1026" t="s">
        <v>165</v>
      </c>
      <c r="D1419" s="1027"/>
      <c r="E1419" s="1038"/>
      <c r="F1419" s="1036">
        <v>99</v>
      </c>
      <c r="G1419" s="1152"/>
      <c r="H1419" s="1153"/>
      <c r="I1419" s="1152"/>
      <c r="J1419" s="1153"/>
      <c r="K1419" s="1152"/>
      <c r="L1419" s="1153"/>
      <c r="M1419" s="1152"/>
      <c r="N1419" s="1152"/>
      <c r="O1419" s="732">
        <f t="shared" si="181"/>
        <v>0</v>
      </c>
      <c r="P1419" s="1153"/>
      <c r="Q1419" s="1153"/>
      <c r="R1419" s="733">
        <f t="shared" ref="R1419:R1482" si="184">SUM(P1419:Q1419)</f>
        <v>0</v>
      </c>
      <c r="S1419" s="732">
        <f t="shared" ref="S1419:S1482" si="185">SUM(G1419,I1419,K1419,M1419)</f>
        <v>0</v>
      </c>
      <c r="T1419" s="733">
        <f t="shared" ref="T1419:T1482" si="186">SUM(H1419,J1419,L1419,P1419)</f>
        <v>0</v>
      </c>
      <c r="U1419" s="1152"/>
      <c r="V1419" s="1153"/>
      <c r="W1419" s="1152"/>
      <c r="X1419" s="1152"/>
      <c r="Y1419" s="732">
        <f t="shared" si="182"/>
        <v>0</v>
      </c>
      <c r="Z1419" s="1153"/>
      <c r="AA1419" s="1153"/>
      <c r="AB1419" s="733">
        <f t="shared" si="183"/>
        <v>0</v>
      </c>
      <c r="AC1419" s="1152"/>
      <c r="AD1419" s="1153"/>
      <c r="AE1419" s="1152"/>
      <c r="AF1419" s="1152"/>
      <c r="AG1419" s="1153"/>
      <c r="AH1419" s="1153"/>
      <c r="AI1419" s="732">
        <f t="shared" ref="AI1419:AI1482" si="187">SUM(S1419,U1419,W1419,AC1419,AE1419)</f>
        <v>0</v>
      </c>
      <c r="AJ1419" s="733">
        <f t="shared" ref="AJ1419:AJ1482" si="188">SUM(T1419,V1419,Z1419,AD1419,AG1419)</f>
        <v>0</v>
      </c>
    </row>
    <row r="1420" spans="1:36">
      <c r="A1420" s="1020" t="s">
        <v>636</v>
      </c>
      <c r="B1420" s="1021" t="s">
        <v>166</v>
      </c>
      <c r="C1420" s="1026" t="s">
        <v>167</v>
      </c>
      <c r="D1420" s="1027"/>
      <c r="E1420" s="1038"/>
      <c r="F1420" s="1036">
        <v>99</v>
      </c>
      <c r="G1420" s="1152"/>
      <c r="H1420" s="1153"/>
      <c r="I1420" s="1152"/>
      <c r="J1420" s="1153"/>
      <c r="K1420" s="1152"/>
      <c r="L1420" s="1153"/>
      <c r="M1420" s="1152"/>
      <c r="N1420" s="1152"/>
      <c r="O1420" s="732">
        <f t="shared" si="181"/>
        <v>0</v>
      </c>
      <c r="P1420" s="1153"/>
      <c r="Q1420" s="1153"/>
      <c r="R1420" s="733">
        <f t="shared" si="184"/>
        <v>0</v>
      </c>
      <c r="S1420" s="732">
        <f t="shared" si="185"/>
        <v>0</v>
      </c>
      <c r="T1420" s="733">
        <f t="shared" si="186"/>
        <v>0</v>
      </c>
      <c r="U1420" s="1152"/>
      <c r="V1420" s="1153"/>
      <c r="W1420" s="1152"/>
      <c r="X1420" s="1152"/>
      <c r="Y1420" s="732">
        <f t="shared" si="182"/>
        <v>0</v>
      </c>
      <c r="Z1420" s="1153"/>
      <c r="AA1420" s="1153"/>
      <c r="AB1420" s="733">
        <f t="shared" si="183"/>
        <v>0</v>
      </c>
      <c r="AC1420" s="1152"/>
      <c r="AD1420" s="1153"/>
      <c r="AE1420" s="1152"/>
      <c r="AF1420" s="1152"/>
      <c r="AG1420" s="1153"/>
      <c r="AH1420" s="1153"/>
      <c r="AI1420" s="732">
        <f t="shared" si="187"/>
        <v>0</v>
      </c>
      <c r="AJ1420" s="733">
        <f t="shared" si="188"/>
        <v>0</v>
      </c>
    </row>
    <row r="1421" spans="1:36">
      <c r="A1421" s="1020" t="s">
        <v>636</v>
      </c>
      <c r="B1421" s="1021" t="s">
        <v>176</v>
      </c>
      <c r="C1421" s="1026" t="s">
        <v>177</v>
      </c>
      <c r="D1421" s="1027"/>
      <c r="E1421" s="1038"/>
      <c r="F1421" s="1036">
        <v>99</v>
      </c>
      <c r="G1421" s="1152"/>
      <c r="H1421" s="1153"/>
      <c r="I1421" s="1152"/>
      <c r="J1421" s="1153"/>
      <c r="K1421" s="1152"/>
      <c r="L1421" s="1153"/>
      <c r="M1421" s="1152"/>
      <c r="N1421" s="1152"/>
      <c r="O1421" s="732">
        <f t="shared" si="181"/>
        <v>0</v>
      </c>
      <c r="P1421" s="1153"/>
      <c r="Q1421" s="1153"/>
      <c r="R1421" s="733">
        <f t="shared" si="184"/>
        <v>0</v>
      </c>
      <c r="S1421" s="732">
        <f t="shared" si="185"/>
        <v>0</v>
      </c>
      <c r="T1421" s="733">
        <f t="shared" si="186"/>
        <v>0</v>
      </c>
      <c r="U1421" s="1152"/>
      <c r="V1421" s="1153"/>
      <c r="W1421" s="1152"/>
      <c r="X1421" s="1152"/>
      <c r="Y1421" s="732">
        <f t="shared" si="182"/>
        <v>0</v>
      </c>
      <c r="Z1421" s="1153"/>
      <c r="AA1421" s="1153"/>
      <c r="AB1421" s="733">
        <f t="shared" si="183"/>
        <v>0</v>
      </c>
      <c r="AC1421" s="1152"/>
      <c r="AD1421" s="1153"/>
      <c r="AE1421" s="1152"/>
      <c r="AF1421" s="1152"/>
      <c r="AG1421" s="1153"/>
      <c r="AH1421" s="1153"/>
      <c r="AI1421" s="732">
        <f t="shared" si="187"/>
        <v>0</v>
      </c>
      <c r="AJ1421" s="733">
        <f t="shared" si="188"/>
        <v>0</v>
      </c>
    </row>
    <row r="1422" spans="1:36">
      <c r="A1422" s="1020" t="s">
        <v>636</v>
      </c>
      <c r="B1422" s="1021" t="s">
        <v>180</v>
      </c>
      <c r="C1422" s="1026" t="s">
        <v>165</v>
      </c>
      <c r="D1422" s="1027"/>
      <c r="E1422" s="1038"/>
      <c r="F1422" s="1036">
        <v>99</v>
      </c>
      <c r="G1422" s="1152"/>
      <c r="H1422" s="1153"/>
      <c r="I1422" s="1152"/>
      <c r="J1422" s="1153"/>
      <c r="K1422" s="1152"/>
      <c r="L1422" s="1153"/>
      <c r="M1422" s="1152"/>
      <c r="N1422" s="1152"/>
      <c r="O1422" s="732">
        <f t="shared" si="181"/>
        <v>0</v>
      </c>
      <c r="P1422" s="1153"/>
      <c r="Q1422" s="1153"/>
      <c r="R1422" s="733">
        <f t="shared" si="184"/>
        <v>0</v>
      </c>
      <c r="S1422" s="732">
        <f t="shared" si="185"/>
        <v>0</v>
      </c>
      <c r="T1422" s="733">
        <f t="shared" si="186"/>
        <v>0</v>
      </c>
      <c r="U1422" s="1152"/>
      <c r="V1422" s="1153"/>
      <c r="W1422" s="1152"/>
      <c r="X1422" s="1152"/>
      <c r="Y1422" s="732">
        <f t="shared" si="182"/>
        <v>0</v>
      </c>
      <c r="Z1422" s="1153"/>
      <c r="AA1422" s="1153"/>
      <c r="AB1422" s="733">
        <f t="shared" si="183"/>
        <v>0</v>
      </c>
      <c r="AC1422" s="1152"/>
      <c r="AD1422" s="1153"/>
      <c r="AE1422" s="1152"/>
      <c r="AF1422" s="1152"/>
      <c r="AG1422" s="1153"/>
      <c r="AH1422" s="1153"/>
      <c r="AI1422" s="732">
        <f t="shared" si="187"/>
        <v>0</v>
      </c>
      <c r="AJ1422" s="733">
        <f t="shared" si="188"/>
        <v>0</v>
      </c>
    </row>
    <row r="1423" spans="1:36">
      <c r="A1423" s="1020" t="s">
        <v>636</v>
      </c>
      <c r="B1423" s="1021" t="s">
        <v>166</v>
      </c>
      <c r="C1423" s="1026" t="s">
        <v>167</v>
      </c>
      <c r="D1423" s="1027"/>
      <c r="E1423" s="1038"/>
      <c r="F1423" s="1036">
        <v>99</v>
      </c>
      <c r="G1423" s="1152"/>
      <c r="H1423" s="1153"/>
      <c r="I1423" s="1152"/>
      <c r="J1423" s="1153"/>
      <c r="K1423" s="1152"/>
      <c r="L1423" s="1153"/>
      <c r="M1423" s="1152"/>
      <c r="N1423" s="1152"/>
      <c r="O1423" s="732">
        <f t="shared" si="181"/>
        <v>0</v>
      </c>
      <c r="P1423" s="1153"/>
      <c r="Q1423" s="1153"/>
      <c r="R1423" s="733">
        <f t="shared" si="184"/>
        <v>0</v>
      </c>
      <c r="S1423" s="732">
        <f t="shared" si="185"/>
        <v>0</v>
      </c>
      <c r="T1423" s="733">
        <f t="shared" si="186"/>
        <v>0</v>
      </c>
      <c r="U1423" s="1152"/>
      <c r="V1423" s="1153"/>
      <c r="W1423" s="1152"/>
      <c r="X1423" s="1152"/>
      <c r="Y1423" s="732">
        <f t="shared" si="182"/>
        <v>0</v>
      </c>
      <c r="Z1423" s="1153"/>
      <c r="AA1423" s="1153"/>
      <c r="AB1423" s="733">
        <f t="shared" si="183"/>
        <v>0</v>
      </c>
      <c r="AC1423" s="1152"/>
      <c r="AD1423" s="1153"/>
      <c r="AE1423" s="1152"/>
      <c r="AF1423" s="1152"/>
      <c r="AG1423" s="1153"/>
      <c r="AH1423" s="1153"/>
      <c r="AI1423" s="732">
        <f t="shared" si="187"/>
        <v>0</v>
      </c>
      <c r="AJ1423" s="733">
        <f t="shared" si="188"/>
        <v>0</v>
      </c>
    </row>
    <row r="1424" spans="1:36">
      <c r="A1424" s="1020" t="s">
        <v>636</v>
      </c>
      <c r="B1424" s="1047" t="s">
        <v>187</v>
      </c>
      <c r="C1424" s="1039" t="s">
        <v>188</v>
      </c>
      <c r="D1424" s="1034"/>
      <c r="E1424" s="1038"/>
      <c r="F1424" s="1036">
        <v>99</v>
      </c>
      <c r="G1424" s="1152"/>
      <c r="H1424" s="1153"/>
      <c r="I1424" s="1152"/>
      <c r="J1424" s="1153"/>
      <c r="K1424" s="1152"/>
      <c r="L1424" s="1153"/>
      <c r="M1424" s="1152"/>
      <c r="N1424" s="1152"/>
      <c r="O1424" s="732">
        <f t="shared" si="181"/>
        <v>0</v>
      </c>
      <c r="P1424" s="1153"/>
      <c r="Q1424" s="1153"/>
      <c r="R1424" s="733">
        <f t="shared" si="184"/>
        <v>0</v>
      </c>
      <c r="S1424" s="732">
        <f t="shared" si="185"/>
        <v>0</v>
      </c>
      <c r="T1424" s="733">
        <f t="shared" si="186"/>
        <v>0</v>
      </c>
      <c r="U1424" s="1152"/>
      <c r="V1424" s="1153"/>
      <c r="W1424" s="1152"/>
      <c r="X1424" s="1152"/>
      <c r="Y1424" s="732">
        <f t="shared" si="182"/>
        <v>0</v>
      </c>
      <c r="Z1424" s="1153"/>
      <c r="AA1424" s="1153"/>
      <c r="AB1424" s="733">
        <f t="shared" si="183"/>
        <v>0</v>
      </c>
      <c r="AC1424" s="1152"/>
      <c r="AD1424" s="1153"/>
      <c r="AE1424" s="1152"/>
      <c r="AF1424" s="1152"/>
      <c r="AG1424" s="1153"/>
      <c r="AH1424" s="1153"/>
      <c r="AI1424" s="732">
        <f t="shared" si="187"/>
        <v>0</v>
      </c>
      <c r="AJ1424" s="733">
        <f t="shared" si="188"/>
        <v>0</v>
      </c>
    </row>
    <row r="1425" spans="1:36">
      <c r="A1425" s="1020" t="s">
        <v>636</v>
      </c>
      <c r="B1425" s="1021" t="s">
        <v>187</v>
      </c>
      <c r="C1425" s="1040" t="s">
        <v>675</v>
      </c>
      <c r="D1425" s="1027"/>
      <c r="E1425" s="1038"/>
      <c r="F1425" s="1036">
        <v>99</v>
      </c>
      <c r="G1425" s="1152"/>
      <c r="H1425" s="1153"/>
      <c r="I1425" s="1152"/>
      <c r="J1425" s="1153"/>
      <c r="K1425" s="1152"/>
      <c r="L1425" s="1153"/>
      <c r="M1425" s="1152"/>
      <c r="N1425" s="1152"/>
      <c r="O1425" s="732">
        <f t="shared" si="181"/>
        <v>0</v>
      </c>
      <c r="P1425" s="1153"/>
      <c r="Q1425" s="1153"/>
      <c r="R1425" s="733">
        <f t="shared" si="184"/>
        <v>0</v>
      </c>
      <c r="S1425" s="732">
        <f t="shared" si="185"/>
        <v>0</v>
      </c>
      <c r="T1425" s="733">
        <f t="shared" si="186"/>
        <v>0</v>
      </c>
      <c r="U1425" s="1152"/>
      <c r="V1425" s="1153"/>
      <c r="W1425" s="1152"/>
      <c r="X1425" s="1152"/>
      <c r="Y1425" s="732">
        <f t="shared" si="182"/>
        <v>0</v>
      </c>
      <c r="Z1425" s="1153"/>
      <c r="AA1425" s="1153"/>
      <c r="AB1425" s="733">
        <f t="shared" si="183"/>
        <v>0</v>
      </c>
      <c r="AC1425" s="1152"/>
      <c r="AD1425" s="1153"/>
      <c r="AE1425" s="1152"/>
      <c r="AF1425" s="1152"/>
      <c r="AG1425" s="1153"/>
      <c r="AH1425" s="1153"/>
      <c r="AI1425" s="732">
        <f t="shared" si="187"/>
        <v>0</v>
      </c>
      <c r="AJ1425" s="733">
        <f t="shared" si="188"/>
        <v>0</v>
      </c>
    </row>
    <row r="1426" spans="1:36">
      <c r="A1426" s="1020" t="s">
        <v>636</v>
      </c>
      <c r="B1426" s="1047" t="s">
        <v>190</v>
      </c>
      <c r="C1426" s="1026" t="s">
        <v>165</v>
      </c>
      <c r="D1426" s="1027"/>
      <c r="E1426" s="1038"/>
      <c r="F1426" s="1036">
        <v>99</v>
      </c>
      <c r="G1426" s="1152"/>
      <c r="H1426" s="1153"/>
      <c r="I1426" s="1152"/>
      <c r="J1426" s="1153"/>
      <c r="K1426" s="1152"/>
      <c r="L1426" s="1153"/>
      <c r="M1426" s="1152"/>
      <c r="N1426" s="1152"/>
      <c r="O1426" s="732">
        <f t="shared" si="181"/>
        <v>0</v>
      </c>
      <c r="P1426" s="1153"/>
      <c r="Q1426" s="1153"/>
      <c r="R1426" s="733">
        <f t="shared" si="184"/>
        <v>0</v>
      </c>
      <c r="S1426" s="732">
        <f t="shared" si="185"/>
        <v>0</v>
      </c>
      <c r="T1426" s="733">
        <f t="shared" si="186"/>
        <v>0</v>
      </c>
      <c r="U1426" s="1152">
        <v>125930498</v>
      </c>
      <c r="V1426" s="1153">
        <v>125930498</v>
      </c>
      <c r="W1426" s="1152"/>
      <c r="X1426" s="1152"/>
      <c r="Y1426" s="732">
        <f t="shared" si="182"/>
        <v>0</v>
      </c>
      <c r="Z1426" s="1153"/>
      <c r="AA1426" s="1153"/>
      <c r="AB1426" s="733">
        <f t="shared" si="183"/>
        <v>0</v>
      </c>
      <c r="AC1426" s="1152"/>
      <c r="AD1426" s="1153"/>
      <c r="AE1426" s="1152"/>
      <c r="AF1426" s="1152"/>
      <c r="AG1426" s="1153"/>
      <c r="AH1426" s="1153"/>
      <c r="AI1426" s="732">
        <f t="shared" si="187"/>
        <v>125930498</v>
      </c>
      <c r="AJ1426" s="733">
        <f t="shared" si="188"/>
        <v>125930498</v>
      </c>
    </row>
    <row r="1427" spans="1:36">
      <c r="A1427" s="1020" t="s">
        <v>636</v>
      </c>
      <c r="B1427" s="1047" t="s">
        <v>191</v>
      </c>
      <c r="C1427" s="1026" t="s">
        <v>167</v>
      </c>
      <c r="D1427" s="1027"/>
      <c r="E1427" s="1038"/>
      <c r="F1427" s="1036">
        <v>99</v>
      </c>
      <c r="G1427" s="1152"/>
      <c r="H1427" s="1153"/>
      <c r="I1427" s="1152"/>
      <c r="J1427" s="1153"/>
      <c r="K1427" s="1152"/>
      <c r="L1427" s="1153"/>
      <c r="M1427" s="1152"/>
      <c r="N1427" s="1152"/>
      <c r="O1427" s="732">
        <f t="shared" si="181"/>
        <v>0</v>
      </c>
      <c r="P1427" s="1153"/>
      <c r="Q1427" s="1153"/>
      <c r="R1427" s="733">
        <f t="shared" si="184"/>
        <v>0</v>
      </c>
      <c r="S1427" s="732">
        <f t="shared" si="185"/>
        <v>0</v>
      </c>
      <c r="T1427" s="733">
        <f t="shared" si="186"/>
        <v>0</v>
      </c>
      <c r="U1427" s="1152"/>
      <c r="V1427" s="1153"/>
      <c r="W1427" s="1152"/>
      <c r="X1427" s="1152"/>
      <c r="Y1427" s="732">
        <f t="shared" si="182"/>
        <v>0</v>
      </c>
      <c r="Z1427" s="1153"/>
      <c r="AA1427" s="1153"/>
      <c r="AB1427" s="733">
        <f t="shared" si="183"/>
        <v>0</v>
      </c>
      <c r="AC1427" s="1152"/>
      <c r="AD1427" s="1153"/>
      <c r="AE1427" s="1152"/>
      <c r="AF1427" s="1152"/>
      <c r="AG1427" s="1153"/>
      <c r="AH1427" s="1153"/>
      <c r="AI1427" s="732">
        <f t="shared" si="187"/>
        <v>0</v>
      </c>
      <c r="AJ1427" s="733">
        <f t="shared" si="188"/>
        <v>0</v>
      </c>
    </row>
    <row r="1428" spans="1:36">
      <c r="A1428" s="1020" t="s">
        <v>636</v>
      </c>
      <c r="B1428" s="1021" t="s">
        <v>187</v>
      </c>
      <c r="C1428" s="1040" t="s">
        <v>676</v>
      </c>
      <c r="D1428" s="1027"/>
      <c r="E1428" s="1038"/>
      <c r="F1428" s="1036">
        <v>99</v>
      </c>
      <c r="G1428" s="1152"/>
      <c r="H1428" s="1153"/>
      <c r="I1428" s="1152"/>
      <c r="J1428" s="1153"/>
      <c r="K1428" s="1152"/>
      <c r="L1428" s="1153"/>
      <c r="M1428" s="1152"/>
      <c r="N1428" s="1152"/>
      <c r="O1428" s="732">
        <f t="shared" si="181"/>
        <v>0</v>
      </c>
      <c r="P1428" s="1153"/>
      <c r="Q1428" s="1153"/>
      <c r="R1428" s="733">
        <f t="shared" si="184"/>
        <v>0</v>
      </c>
      <c r="S1428" s="732">
        <f t="shared" si="185"/>
        <v>0</v>
      </c>
      <c r="T1428" s="733">
        <f t="shared" si="186"/>
        <v>0</v>
      </c>
      <c r="U1428" s="1152"/>
      <c r="V1428" s="1153"/>
      <c r="W1428" s="1152"/>
      <c r="X1428" s="1152"/>
      <c r="Y1428" s="732">
        <f t="shared" si="182"/>
        <v>0</v>
      </c>
      <c r="Z1428" s="1153"/>
      <c r="AA1428" s="1153"/>
      <c r="AB1428" s="733">
        <f t="shared" si="183"/>
        <v>0</v>
      </c>
      <c r="AC1428" s="1152"/>
      <c r="AD1428" s="1153"/>
      <c r="AE1428" s="1152"/>
      <c r="AF1428" s="1152"/>
      <c r="AG1428" s="1153"/>
      <c r="AH1428" s="1153"/>
      <c r="AI1428" s="732">
        <f t="shared" si="187"/>
        <v>0</v>
      </c>
      <c r="AJ1428" s="733">
        <f t="shared" si="188"/>
        <v>0</v>
      </c>
    </row>
    <row r="1429" spans="1:36">
      <c r="A1429" s="1020" t="s">
        <v>636</v>
      </c>
      <c r="B1429" s="1047" t="s">
        <v>190</v>
      </c>
      <c r="C1429" s="1026" t="s">
        <v>165</v>
      </c>
      <c r="D1429" s="1027"/>
      <c r="E1429" s="1038"/>
      <c r="F1429" s="1036">
        <v>99</v>
      </c>
      <c r="G1429" s="1152"/>
      <c r="H1429" s="1153"/>
      <c r="I1429" s="1152"/>
      <c r="J1429" s="1153"/>
      <c r="K1429" s="1152"/>
      <c r="L1429" s="1153"/>
      <c r="M1429" s="1152"/>
      <c r="N1429" s="1152"/>
      <c r="O1429" s="732">
        <f t="shared" si="181"/>
        <v>0</v>
      </c>
      <c r="P1429" s="1153"/>
      <c r="Q1429" s="1153"/>
      <c r="R1429" s="733">
        <f t="shared" si="184"/>
        <v>0</v>
      </c>
      <c r="S1429" s="732">
        <f t="shared" si="185"/>
        <v>0</v>
      </c>
      <c r="T1429" s="733">
        <f t="shared" si="186"/>
        <v>0</v>
      </c>
      <c r="U1429" s="1152"/>
      <c r="V1429" s="1153"/>
      <c r="W1429" s="1152"/>
      <c r="X1429" s="1152"/>
      <c r="Y1429" s="732">
        <f t="shared" si="182"/>
        <v>0</v>
      </c>
      <c r="Z1429" s="1153"/>
      <c r="AA1429" s="1153"/>
      <c r="AB1429" s="733">
        <f t="shared" si="183"/>
        <v>0</v>
      </c>
      <c r="AC1429" s="1152"/>
      <c r="AD1429" s="1153"/>
      <c r="AE1429" s="1152"/>
      <c r="AF1429" s="1152"/>
      <c r="AG1429" s="1153"/>
      <c r="AH1429" s="1153"/>
      <c r="AI1429" s="732">
        <f t="shared" si="187"/>
        <v>0</v>
      </c>
      <c r="AJ1429" s="733">
        <f t="shared" si="188"/>
        <v>0</v>
      </c>
    </row>
    <row r="1430" spans="1:36">
      <c r="A1430" s="1020" t="s">
        <v>636</v>
      </c>
      <c r="B1430" s="1047" t="s">
        <v>191</v>
      </c>
      <c r="C1430" s="1026" t="s">
        <v>167</v>
      </c>
      <c r="D1430" s="1027"/>
      <c r="E1430" s="1038"/>
      <c r="F1430" s="1036">
        <v>99</v>
      </c>
      <c r="G1430" s="1152"/>
      <c r="H1430" s="1153"/>
      <c r="I1430" s="1152"/>
      <c r="J1430" s="1153"/>
      <c r="K1430" s="1152"/>
      <c r="L1430" s="1153"/>
      <c r="M1430" s="1152"/>
      <c r="N1430" s="1152"/>
      <c r="O1430" s="732">
        <f t="shared" si="181"/>
        <v>0</v>
      </c>
      <c r="P1430" s="1153"/>
      <c r="Q1430" s="1153"/>
      <c r="R1430" s="733">
        <f t="shared" si="184"/>
        <v>0</v>
      </c>
      <c r="S1430" s="732">
        <f t="shared" si="185"/>
        <v>0</v>
      </c>
      <c r="T1430" s="733">
        <f t="shared" si="186"/>
        <v>0</v>
      </c>
      <c r="U1430" s="1152"/>
      <c r="V1430" s="1153"/>
      <c r="W1430" s="1152"/>
      <c r="X1430" s="1152"/>
      <c r="Y1430" s="732">
        <f t="shared" si="182"/>
        <v>0</v>
      </c>
      <c r="Z1430" s="1153"/>
      <c r="AA1430" s="1153"/>
      <c r="AB1430" s="733">
        <f t="shared" si="183"/>
        <v>0</v>
      </c>
      <c r="AC1430" s="1152"/>
      <c r="AD1430" s="1153"/>
      <c r="AE1430" s="1152"/>
      <c r="AF1430" s="1152"/>
      <c r="AG1430" s="1153"/>
      <c r="AH1430" s="1153"/>
      <c r="AI1430" s="732">
        <f t="shared" si="187"/>
        <v>0</v>
      </c>
      <c r="AJ1430" s="733">
        <f t="shared" si="188"/>
        <v>0</v>
      </c>
    </row>
    <row r="1431" spans="1:36">
      <c r="A1431" s="1020" t="s">
        <v>636</v>
      </c>
      <c r="B1431" s="1021" t="s">
        <v>187</v>
      </c>
      <c r="C1431" s="1040" t="s">
        <v>677</v>
      </c>
      <c r="D1431" s="1027"/>
      <c r="E1431" s="1038"/>
      <c r="F1431" s="1036">
        <v>99</v>
      </c>
      <c r="G1431" s="1152"/>
      <c r="H1431" s="1153"/>
      <c r="I1431" s="1152"/>
      <c r="J1431" s="1153"/>
      <c r="K1431" s="1152"/>
      <c r="L1431" s="1153"/>
      <c r="M1431" s="1152"/>
      <c r="N1431" s="1152"/>
      <c r="O1431" s="732">
        <f t="shared" si="181"/>
        <v>0</v>
      </c>
      <c r="P1431" s="1153"/>
      <c r="Q1431" s="1153"/>
      <c r="R1431" s="733">
        <f t="shared" si="184"/>
        <v>0</v>
      </c>
      <c r="S1431" s="732">
        <f t="shared" si="185"/>
        <v>0</v>
      </c>
      <c r="T1431" s="733">
        <f t="shared" si="186"/>
        <v>0</v>
      </c>
      <c r="U1431" s="1152"/>
      <c r="V1431" s="1153"/>
      <c r="W1431" s="1152"/>
      <c r="X1431" s="1152"/>
      <c r="Y1431" s="732">
        <f t="shared" si="182"/>
        <v>0</v>
      </c>
      <c r="Z1431" s="1153"/>
      <c r="AA1431" s="1153"/>
      <c r="AB1431" s="733">
        <f t="shared" si="183"/>
        <v>0</v>
      </c>
      <c r="AC1431" s="1152"/>
      <c r="AD1431" s="1153"/>
      <c r="AE1431" s="1152"/>
      <c r="AF1431" s="1152"/>
      <c r="AG1431" s="1153"/>
      <c r="AH1431" s="1153"/>
      <c r="AI1431" s="732">
        <f t="shared" si="187"/>
        <v>0</v>
      </c>
      <c r="AJ1431" s="733">
        <f t="shared" si="188"/>
        <v>0</v>
      </c>
    </row>
    <row r="1432" spans="1:36">
      <c r="A1432" s="1048" t="s">
        <v>636</v>
      </c>
      <c r="B1432" s="1047" t="s">
        <v>190</v>
      </c>
      <c r="C1432" s="1026" t="s">
        <v>165</v>
      </c>
      <c r="D1432" s="1027"/>
      <c r="E1432" s="1038"/>
      <c r="F1432" s="1036">
        <v>99</v>
      </c>
      <c r="G1432" s="1152"/>
      <c r="H1432" s="1153"/>
      <c r="I1432" s="1152"/>
      <c r="J1432" s="1153"/>
      <c r="K1432" s="1152"/>
      <c r="L1432" s="1153"/>
      <c r="M1432" s="1152"/>
      <c r="N1432" s="1152"/>
      <c r="O1432" s="732">
        <f t="shared" si="181"/>
        <v>0</v>
      </c>
      <c r="P1432" s="1153"/>
      <c r="Q1432" s="1153"/>
      <c r="R1432" s="733">
        <f t="shared" si="184"/>
        <v>0</v>
      </c>
      <c r="S1432" s="732">
        <f t="shared" si="185"/>
        <v>0</v>
      </c>
      <c r="T1432" s="733">
        <f t="shared" si="186"/>
        <v>0</v>
      </c>
      <c r="U1432" s="1152"/>
      <c r="V1432" s="1153"/>
      <c r="W1432" s="1152"/>
      <c r="X1432" s="1152"/>
      <c r="Y1432" s="732">
        <f t="shared" si="182"/>
        <v>0</v>
      </c>
      <c r="Z1432" s="1153"/>
      <c r="AA1432" s="1153"/>
      <c r="AB1432" s="733">
        <f t="shared" si="183"/>
        <v>0</v>
      </c>
      <c r="AC1432" s="1152"/>
      <c r="AD1432" s="1153"/>
      <c r="AE1432" s="1152"/>
      <c r="AF1432" s="1152"/>
      <c r="AG1432" s="1153"/>
      <c r="AH1432" s="1153"/>
      <c r="AI1432" s="732">
        <f t="shared" si="187"/>
        <v>0</v>
      </c>
      <c r="AJ1432" s="733">
        <f t="shared" si="188"/>
        <v>0</v>
      </c>
    </row>
    <row r="1433" spans="1:36">
      <c r="A1433" s="1048" t="s">
        <v>636</v>
      </c>
      <c r="B1433" s="1047" t="s">
        <v>191</v>
      </c>
      <c r="C1433" s="1026" t="s">
        <v>167</v>
      </c>
      <c r="D1433" s="1027"/>
      <c r="E1433" s="1038"/>
      <c r="F1433" s="1036">
        <v>99</v>
      </c>
      <c r="G1433" s="1152"/>
      <c r="H1433" s="1153"/>
      <c r="I1433" s="1152"/>
      <c r="J1433" s="1153"/>
      <c r="K1433" s="1152"/>
      <c r="L1433" s="1153"/>
      <c r="M1433" s="1152"/>
      <c r="N1433" s="1152"/>
      <c r="O1433" s="732">
        <f t="shared" si="181"/>
        <v>0</v>
      </c>
      <c r="P1433" s="1153"/>
      <c r="Q1433" s="1153"/>
      <c r="R1433" s="733">
        <f t="shared" si="184"/>
        <v>0</v>
      </c>
      <c r="S1433" s="732">
        <f t="shared" si="185"/>
        <v>0</v>
      </c>
      <c r="T1433" s="733">
        <f t="shared" si="186"/>
        <v>0</v>
      </c>
      <c r="U1433" s="1152"/>
      <c r="V1433" s="1153"/>
      <c r="W1433" s="1152"/>
      <c r="X1433" s="1152"/>
      <c r="Y1433" s="732">
        <f t="shared" si="182"/>
        <v>0</v>
      </c>
      <c r="Z1433" s="1153"/>
      <c r="AA1433" s="1153"/>
      <c r="AB1433" s="733">
        <f t="shared" si="183"/>
        <v>0</v>
      </c>
      <c r="AC1433" s="1152"/>
      <c r="AD1433" s="1153"/>
      <c r="AE1433" s="1152"/>
      <c r="AF1433" s="1152"/>
      <c r="AG1433" s="1153"/>
      <c r="AH1433" s="1153"/>
      <c r="AI1433" s="732">
        <f t="shared" si="187"/>
        <v>0</v>
      </c>
      <c r="AJ1433" s="733">
        <f t="shared" si="188"/>
        <v>0</v>
      </c>
    </row>
    <row r="1434" spans="1:36">
      <c r="A1434" s="1020" t="s">
        <v>636</v>
      </c>
      <c r="B1434" s="1021" t="s">
        <v>187</v>
      </c>
      <c r="C1434" s="1040" t="s">
        <v>678</v>
      </c>
      <c r="D1434" s="1027"/>
      <c r="E1434" s="1038"/>
      <c r="F1434" s="1036">
        <v>99</v>
      </c>
      <c r="G1434" s="1152"/>
      <c r="H1434" s="1153"/>
      <c r="I1434" s="1152"/>
      <c r="J1434" s="1153"/>
      <c r="K1434" s="1152"/>
      <c r="L1434" s="1153"/>
      <c r="M1434" s="1152"/>
      <c r="N1434" s="1152"/>
      <c r="O1434" s="732">
        <f t="shared" si="181"/>
        <v>0</v>
      </c>
      <c r="P1434" s="1153"/>
      <c r="Q1434" s="1153"/>
      <c r="R1434" s="733">
        <f t="shared" si="184"/>
        <v>0</v>
      </c>
      <c r="S1434" s="732">
        <f t="shared" si="185"/>
        <v>0</v>
      </c>
      <c r="T1434" s="733">
        <f t="shared" si="186"/>
        <v>0</v>
      </c>
      <c r="U1434" s="1152"/>
      <c r="V1434" s="1153"/>
      <c r="W1434" s="1152"/>
      <c r="X1434" s="1152"/>
      <c r="Y1434" s="732">
        <f t="shared" si="182"/>
        <v>0</v>
      </c>
      <c r="Z1434" s="1153"/>
      <c r="AA1434" s="1153"/>
      <c r="AB1434" s="733">
        <f t="shared" si="183"/>
        <v>0</v>
      </c>
      <c r="AC1434" s="1152"/>
      <c r="AD1434" s="1153"/>
      <c r="AE1434" s="1152"/>
      <c r="AF1434" s="1152"/>
      <c r="AG1434" s="1153"/>
      <c r="AH1434" s="1153"/>
      <c r="AI1434" s="732">
        <f t="shared" si="187"/>
        <v>0</v>
      </c>
      <c r="AJ1434" s="733">
        <f t="shared" si="188"/>
        <v>0</v>
      </c>
    </row>
    <row r="1435" spans="1:36">
      <c r="A1435" s="1020" t="s">
        <v>636</v>
      </c>
      <c r="B1435" s="1047" t="s">
        <v>190</v>
      </c>
      <c r="C1435" s="1026" t="s">
        <v>165</v>
      </c>
      <c r="D1435" s="1027"/>
      <c r="E1435" s="1038"/>
      <c r="F1435" s="1036">
        <v>99</v>
      </c>
      <c r="G1435" s="1152"/>
      <c r="H1435" s="1153"/>
      <c r="I1435" s="1152"/>
      <c r="J1435" s="1153"/>
      <c r="K1435" s="1152"/>
      <c r="L1435" s="1153"/>
      <c r="M1435" s="1152"/>
      <c r="N1435" s="1152"/>
      <c r="O1435" s="732">
        <f t="shared" si="181"/>
        <v>0</v>
      </c>
      <c r="P1435" s="1153"/>
      <c r="Q1435" s="1153"/>
      <c r="R1435" s="733">
        <f t="shared" si="184"/>
        <v>0</v>
      </c>
      <c r="S1435" s="732">
        <f t="shared" si="185"/>
        <v>0</v>
      </c>
      <c r="T1435" s="733">
        <f t="shared" si="186"/>
        <v>0</v>
      </c>
      <c r="U1435" s="1152"/>
      <c r="V1435" s="1153"/>
      <c r="W1435" s="1152"/>
      <c r="X1435" s="1152"/>
      <c r="Y1435" s="732">
        <f t="shared" si="182"/>
        <v>0</v>
      </c>
      <c r="Z1435" s="1153"/>
      <c r="AA1435" s="1153"/>
      <c r="AB1435" s="733">
        <f t="shared" si="183"/>
        <v>0</v>
      </c>
      <c r="AC1435" s="1152"/>
      <c r="AD1435" s="1153"/>
      <c r="AE1435" s="1152"/>
      <c r="AF1435" s="1152"/>
      <c r="AG1435" s="1153"/>
      <c r="AH1435" s="1153"/>
      <c r="AI1435" s="732">
        <f t="shared" si="187"/>
        <v>0</v>
      </c>
      <c r="AJ1435" s="733">
        <f t="shared" si="188"/>
        <v>0</v>
      </c>
    </row>
    <row r="1436" spans="1:36">
      <c r="A1436" s="1020" t="s">
        <v>636</v>
      </c>
      <c r="B1436" s="1047" t="s">
        <v>191</v>
      </c>
      <c r="C1436" s="1026" t="s">
        <v>167</v>
      </c>
      <c r="D1436" s="1027"/>
      <c r="E1436" s="1038"/>
      <c r="F1436" s="1036">
        <v>99</v>
      </c>
      <c r="G1436" s="1152"/>
      <c r="H1436" s="1153"/>
      <c r="I1436" s="1152"/>
      <c r="J1436" s="1153"/>
      <c r="K1436" s="1152"/>
      <c r="L1436" s="1153"/>
      <c r="M1436" s="1152"/>
      <c r="N1436" s="1152"/>
      <c r="O1436" s="732">
        <f t="shared" si="181"/>
        <v>0</v>
      </c>
      <c r="P1436" s="1153"/>
      <c r="Q1436" s="1153"/>
      <c r="R1436" s="733">
        <f t="shared" si="184"/>
        <v>0</v>
      </c>
      <c r="S1436" s="732">
        <f t="shared" si="185"/>
        <v>0</v>
      </c>
      <c r="T1436" s="733">
        <f t="shared" si="186"/>
        <v>0</v>
      </c>
      <c r="U1436" s="1152"/>
      <c r="V1436" s="1153"/>
      <c r="W1436" s="1152"/>
      <c r="X1436" s="1152"/>
      <c r="Y1436" s="732">
        <f t="shared" si="182"/>
        <v>0</v>
      </c>
      <c r="Z1436" s="1153"/>
      <c r="AA1436" s="1153"/>
      <c r="AB1436" s="733">
        <f t="shared" si="183"/>
        <v>0</v>
      </c>
      <c r="AC1436" s="1152"/>
      <c r="AD1436" s="1153"/>
      <c r="AE1436" s="1152"/>
      <c r="AF1436" s="1152"/>
      <c r="AG1436" s="1153"/>
      <c r="AH1436" s="1153"/>
      <c r="AI1436" s="732">
        <f t="shared" si="187"/>
        <v>0</v>
      </c>
      <c r="AJ1436" s="733">
        <f t="shared" si="188"/>
        <v>0</v>
      </c>
    </row>
    <row r="1437" spans="1:36">
      <c r="A1437" s="1020" t="s">
        <v>636</v>
      </c>
      <c r="B1437" s="1021" t="s">
        <v>187</v>
      </c>
      <c r="C1437" s="1040" t="s">
        <v>679</v>
      </c>
      <c r="D1437" s="1027"/>
      <c r="E1437" s="1038"/>
      <c r="F1437" s="1036">
        <v>99</v>
      </c>
      <c r="G1437" s="1152"/>
      <c r="H1437" s="1153"/>
      <c r="I1437" s="1152"/>
      <c r="J1437" s="1153"/>
      <c r="K1437" s="1152"/>
      <c r="L1437" s="1153"/>
      <c r="M1437" s="1152"/>
      <c r="N1437" s="1152"/>
      <c r="O1437" s="732">
        <f t="shared" si="181"/>
        <v>0</v>
      </c>
      <c r="P1437" s="1153"/>
      <c r="Q1437" s="1153"/>
      <c r="R1437" s="733">
        <f t="shared" si="184"/>
        <v>0</v>
      </c>
      <c r="S1437" s="732">
        <f t="shared" si="185"/>
        <v>0</v>
      </c>
      <c r="T1437" s="733">
        <f t="shared" si="186"/>
        <v>0</v>
      </c>
      <c r="U1437" s="1152"/>
      <c r="V1437" s="1153"/>
      <c r="W1437" s="1152"/>
      <c r="X1437" s="1152"/>
      <c r="Y1437" s="732">
        <f t="shared" si="182"/>
        <v>0</v>
      </c>
      <c r="Z1437" s="1153"/>
      <c r="AA1437" s="1153"/>
      <c r="AB1437" s="733">
        <f t="shared" si="183"/>
        <v>0</v>
      </c>
      <c r="AC1437" s="1152"/>
      <c r="AD1437" s="1153"/>
      <c r="AE1437" s="1152"/>
      <c r="AF1437" s="1152"/>
      <c r="AG1437" s="1153"/>
      <c r="AH1437" s="1153"/>
      <c r="AI1437" s="732">
        <f t="shared" si="187"/>
        <v>0</v>
      </c>
      <c r="AJ1437" s="733">
        <f t="shared" si="188"/>
        <v>0</v>
      </c>
    </row>
    <row r="1438" spans="1:36">
      <c r="A1438" s="1020" t="s">
        <v>636</v>
      </c>
      <c r="B1438" s="1021" t="s">
        <v>190</v>
      </c>
      <c r="C1438" s="1026" t="s">
        <v>165</v>
      </c>
      <c r="D1438" s="1027"/>
      <c r="E1438" s="1038"/>
      <c r="F1438" s="1036">
        <v>99</v>
      </c>
      <c r="G1438" s="1152"/>
      <c r="H1438" s="1153"/>
      <c r="I1438" s="1152"/>
      <c r="J1438" s="1153"/>
      <c r="K1438" s="1152"/>
      <c r="L1438" s="1153"/>
      <c r="M1438" s="1152"/>
      <c r="N1438" s="1152"/>
      <c r="O1438" s="732">
        <f t="shared" si="181"/>
        <v>0</v>
      </c>
      <c r="P1438" s="1153"/>
      <c r="Q1438" s="1153"/>
      <c r="R1438" s="733">
        <f t="shared" si="184"/>
        <v>0</v>
      </c>
      <c r="S1438" s="732">
        <f t="shared" si="185"/>
        <v>0</v>
      </c>
      <c r="T1438" s="733">
        <f t="shared" si="186"/>
        <v>0</v>
      </c>
      <c r="U1438" s="1152"/>
      <c r="V1438" s="1153"/>
      <c r="W1438" s="1152"/>
      <c r="X1438" s="1152"/>
      <c r="Y1438" s="732">
        <f t="shared" si="182"/>
        <v>0</v>
      </c>
      <c r="Z1438" s="1153"/>
      <c r="AA1438" s="1153"/>
      <c r="AB1438" s="733">
        <f t="shared" si="183"/>
        <v>0</v>
      </c>
      <c r="AC1438" s="1152"/>
      <c r="AD1438" s="1153"/>
      <c r="AE1438" s="1152"/>
      <c r="AF1438" s="1152"/>
      <c r="AG1438" s="1153"/>
      <c r="AH1438" s="1153"/>
      <c r="AI1438" s="732">
        <f t="shared" si="187"/>
        <v>0</v>
      </c>
      <c r="AJ1438" s="733">
        <f t="shared" si="188"/>
        <v>0</v>
      </c>
    </row>
    <row r="1439" spans="1:36">
      <c r="A1439" s="1020" t="s">
        <v>636</v>
      </c>
      <c r="B1439" s="1021" t="s">
        <v>191</v>
      </c>
      <c r="C1439" s="1026" t="s">
        <v>167</v>
      </c>
      <c r="D1439" s="1027"/>
      <c r="E1439" s="1038"/>
      <c r="F1439" s="1036">
        <v>99</v>
      </c>
      <c r="G1439" s="1152"/>
      <c r="H1439" s="1153"/>
      <c r="I1439" s="1152"/>
      <c r="J1439" s="1153"/>
      <c r="K1439" s="1152"/>
      <c r="L1439" s="1153"/>
      <c r="M1439" s="1152"/>
      <c r="N1439" s="1152"/>
      <c r="O1439" s="732">
        <f t="shared" si="181"/>
        <v>0</v>
      </c>
      <c r="P1439" s="1153"/>
      <c r="Q1439" s="1153"/>
      <c r="R1439" s="733">
        <f t="shared" si="184"/>
        <v>0</v>
      </c>
      <c r="S1439" s="732">
        <f t="shared" si="185"/>
        <v>0</v>
      </c>
      <c r="T1439" s="733">
        <f t="shared" si="186"/>
        <v>0</v>
      </c>
      <c r="U1439" s="1152">
        <v>3258000</v>
      </c>
      <c r="V1439" s="1153">
        <v>3258000</v>
      </c>
      <c r="W1439" s="1152"/>
      <c r="X1439" s="1152"/>
      <c r="Y1439" s="732">
        <f t="shared" si="182"/>
        <v>0</v>
      </c>
      <c r="Z1439" s="1153"/>
      <c r="AA1439" s="1153"/>
      <c r="AB1439" s="733">
        <f t="shared" si="183"/>
        <v>0</v>
      </c>
      <c r="AC1439" s="1152"/>
      <c r="AD1439" s="1153"/>
      <c r="AE1439" s="1152"/>
      <c r="AF1439" s="1152"/>
      <c r="AG1439" s="1153"/>
      <c r="AH1439" s="1153"/>
      <c r="AI1439" s="732">
        <f t="shared" si="187"/>
        <v>3258000</v>
      </c>
      <c r="AJ1439" s="733">
        <f t="shared" si="188"/>
        <v>3258000</v>
      </c>
    </row>
    <row r="1440" spans="1:36">
      <c r="A1440" s="1020" t="s">
        <v>636</v>
      </c>
      <c r="B1440" s="1021" t="s">
        <v>192</v>
      </c>
      <c r="C1440" s="1039" t="s">
        <v>332</v>
      </c>
      <c r="D1440" s="1034"/>
      <c r="E1440" s="1038"/>
      <c r="F1440" s="1036">
        <v>99</v>
      </c>
      <c r="G1440" s="1152"/>
      <c r="H1440" s="1153"/>
      <c r="I1440" s="1152"/>
      <c r="J1440" s="1153"/>
      <c r="K1440" s="1152"/>
      <c r="L1440" s="1153"/>
      <c r="M1440" s="1152"/>
      <c r="N1440" s="1152"/>
      <c r="O1440" s="732">
        <f t="shared" si="181"/>
        <v>0</v>
      </c>
      <c r="P1440" s="1153"/>
      <c r="Q1440" s="1153"/>
      <c r="R1440" s="733">
        <f t="shared" si="184"/>
        <v>0</v>
      </c>
      <c r="S1440" s="732">
        <f t="shared" si="185"/>
        <v>0</v>
      </c>
      <c r="T1440" s="733">
        <f t="shared" si="186"/>
        <v>0</v>
      </c>
      <c r="U1440" s="1152"/>
      <c r="V1440" s="1153"/>
      <c r="W1440" s="1152"/>
      <c r="X1440" s="1152"/>
      <c r="Y1440" s="732">
        <f t="shared" si="182"/>
        <v>0</v>
      </c>
      <c r="Z1440" s="1153"/>
      <c r="AA1440" s="1153"/>
      <c r="AB1440" s="733">
        <f t="shared" si="183"/>
        <v>0</v>
      </c>
      <c r="AC1440" s="1152"/>
      <c r="AD1440" s="1153"/>
      <c r="AE1440" s="1152"/>
      <c r="AF1440" s="1152"/>
      <c r="AG1440" s="1153"/>
      <c r="AH1440" s="1153"/>
      <c r="AI1440" s="732">
        <f t="shared" si="187"/>
        <v>0</v>
      </c>
      <c r="AJ1440" s="733">
        <f t="shared" si="188"/>
        <v>0</v>
      </c>
    </row>
    <row r="1441" spans="1:36">
      <c r="A1441" s="1020" t="s">
        <v>636</v>
      </c>
      <c r="B1441" s="1021" t="s">
        <v>192</v>
      </c>
      <c r="C1441" s="1040" t="s">
        <v>680</v>
      </c>
      <c r="D1441" s="1027"/>
      <c r="E1441" s="1038"/>
      <c r="F1441" s="1036">
        <v>99</v>
      </c>
      <c r="G1441" s="1152"/>
      <c r="H1441" s="1153"/>
      <c r="I1441" s="1152"/>
      <c r="J1441" s="1153"/>
      <c r="K1441" s="1152"/>
      <c r="L1441" s="1153"/>
      <c r="M1441" s="1152"/>
      <c r="N1441" s="1152"/>
      <c r="O1441" s="732">
        <f t="shared" si="181"/>
        <v>0</v>
      </c>
      <c r="P1441" s="1153"/>
      <c r="Q1441" s="1153"/>
      <c r="R1441" s="733">
        <f t="shared" si="184"/>
        <v>0</v>
      </c>
      <c r="S1441" s="732">
        <f t="shared" si="185"/>
        <v>0</v>
      </c>
      <c r="T1441" s="733">
        <f t="shared" si="186"/>
        <v>0</v>
      </c>
      <c r="U1441" s="1152"/>
      <c r="V1441" s="1153"/>
      <c r="W1441" s="1152"/>
      <c r="X1441" s="1152"/>
      <c r="Y1441" s="732">
        <f t="shared" si="182"/>
        <v>0</v>
      </c>
      <c r="Z1441" s="1153"/>
      <c r="AA1441" s="1153"/>
      <c r="AB1441" s="733">
        <f t="shared" si="183"/>
        <v>0</v>
      </c>
      <c r="AC1441" s="1152"/>
      <c r="AD1441" s="1153"/>
      <c r="AE1441" s="1152"/>
      <c r="AF1441" s="1152"/>
      <c r="AG1441" s="1153"/>
      <c r="AH1441" s="1153"/>
      <c r="AI1441" s="732">
        <f t="shared" si="187"/>
        <v>0</v>
      </c>
      <c r="AJ1441" s="733">
        <f t="shared" si="188"/>
        <v>0</v>
      </c>
    </row>
    <row r="1442" spans="1:36">
      <c r="A1442" s="1020" t="s">
        <v>636</v>
      </c>
      <c r="B1442" s="1047" t="s">
        <v>195</v>
      </c>
      <c r="C1442" s="1026" t="s">
        <v>165</v>
      </c>
      <c r="D1442" s="1027"/>
      <c r="E1442" s="1038"/>
      <c r="F1442" s="1036">
        <v>99</v>
      </c>
      <c r="G1442" s="1152"/>
      <c r="H1442" s="1153"/>
      <c r="I1442" s="1152"/>
      <c r="J1442" s="1153"/>
      <c r="K1442" s="1152"/>
      <c r="L1442" s="1153"/>
      <c r="M1442" s="1152"/>
      <c r="N1442" s="1152"/>
      <c r="O1442" s="732">
        <f t="shared" si="181"/>
        <v>0</v>
      </c>
      <c r="P1442" s="1153"/>
      <c r="Q1442" s="1153"/>
      <c r="R1442" s="733">
        <f t="shared" si="184"/>
        <v>0</v>
      </c>
      <c r="S1442" s="732">
        <f t="shared" si="185"/>
        <v>0</v>
      </c>
      <c r="T1442" s="733">
        <f t="shared" si="186"/>
        <v>0</v>
      </c>
      <c r="U1442" s="1152"/>
      <c r="V1442" s="1153"/>
      <c r="W1442" s="1152"/>
      <c r="X1442" s="1152"/>
      <c r="Y1442" s="732">
        <f t="shared" si="182"/>
        <v>0</v>
      </c>
      <c r="Z1442" s="1153"/>
      <c r="AA1442" s="1153"/>
      <c r="AB1442" s="733">
        <f t="shared" si="183"/>
        <v>0</v>
      </c>
      <c r="AC1442" s="1152"/>
      <c r="AD1442" s="1153"/>
      <c r="AE1442" s="1152"/>
      <c r="AF1442" s="1152"/>
      <c r="AG1442" s="1153"/>
      <c r="AH1442" s="1153"/>
      <c r="AI1442" s="732">
        <f t="shared" si="187"/>
        <v>0</v>
      </c>
      <c r="AJ1442" s="733">
        <f t="shared" si="188"/>
        <v>0</v>
      </c>
    </row>
    <row r="1443" spans="1:36">
      <c r="A1443" s="1020" t="s">
        <v>636</v>
      </c>
      <c r="B1443" s="1047" t="s">
        <v>196</v>
      </c>
      <c r="C1443" s="1026" t="s">
        <v>167</v>
      </c>
      <c r="D1443" s="1027"/>
      <c r="E1443" s="1038"/>
      <c r="F1443" s="1036">
        <v>99</v>
      </c>
      <c r="G1443" s="1152"/>
      <c r="H1443" s="1153"/>
      <c r="I1443" s="1152"/>
      <c r="J1443" s="1153"/>
      <c r="K1443" s="1152"/>
      <c r="L1443" s="1153"/>
      <c r="M1443" s="1152"/>
      <c r="N1443" s="1152"/>
      <c r="O1443" s="732">
        <f t="shared" si="181"/>
        <v>0</v>
      </c>
      <c r="P1443" s="1153"/>
      <c r="Q1443" s="1153"/>
      <c r="R1443" s="733">
        <f t="shared" si="184"/>
        <v>0</v>
      </c>
      <c r="S1443" s="732">
        <f t="shared" si="185"/>
        <v>0</v>
      </c>
      <c r="T1443" s="733">
        <f t="shared" si="186"/>
        <v>0</v>
      </c>
      <c r="U1443" s="1152"/>
      <c r="V1443" s="1153"/>
      <c r="W1443" s="1152"/>
      <c r="X1443" s="1152"/>
      <c r="Y1443" s="732">
        <f t="shared" si="182"/>
        <v>0</v>
      </c>
      <c r="Z1443" s="1153"/>
      <c r="AA1443" s="1153"/>
      <c r="AB1443" s="733">
        <f t="shared" si="183"/>
        <v>0</v>
      </c>
      <c r="AC1443" s="1152"/>
      <c r="AD1443" s="1153"/>
      <c r="AE1443" s="1152"/>
      <c r="AF1443" s="1152"/>
      <c r="AG1443" s="1153"/>
      <c r="AH1443" s="1153"/>
      <c r="AI1443" s="732">
        <f t="shared" si="187"/>
        <v>0</v>
      </c>
      <c r="AJ1443" s="733">
        <f t="shared" si="188"/>
        <v>0</v>
      </c>
    </row>
    <row r="1444" spans="1:36">
      <c r="A1444" s="1020" t="s">
        <v>636</v>
      </c>
      <c r="B1444" s="1021" t="s">
        <v>192</v>
      </c>
      <c r="C1444" s="1040" t="s">
        <v>681</v>
      </c>
      <c r="D1444" s="1027"/>
      <c r="E1444" s="1038"/>
      <c r="F1444" s="1036">
        <v>99</v>
      </c>
      <c r="G1444" s="1152"/>
      <c r="H1444" s="1153"/>
      <c r="I1444" s="1152"/>
      <c r="J1444" s="1153"/>
      <c r="K1444" s="1152"/>
      <c r="L1444" s="1153"/>
      <c r="M1444" s="1152"/>
      <c r="N1444" s="1152"/>
      <c r="O1444" s="732">
        <f t="shared" si="181"/>
        <v>0</v>
      </c>
      <c r="P1444" s="1153"/>
      <c r="Q1444" s="1153"/>
      <c r="R1444" s="733">
        <f t="shared" si="184"/>
        <v>0</v>
      </c>
      <c r="S1444" s="732">
        <f t="shared" si="185"/>
        <v>0</v>
      </c>
      <c r="T1444" s="733">
        <f t="shared" si="186"/>
        <v>0</v>
      </c>
      <c r="U1444" s="1152"/>
      <c r="V1444" s="1153"/>
      <c r="W1444" s="1152"/>
      <c r="X1444" s="1152"/>
      <c r="Y1444" s="732">
        <f t="shared" si="182"/>
        <v>0</v>
      </c>
      <c r="Z1444" s="1153"/>
      <c r="AA1444" s="1153"/>
      <c r="AB1444" s="733">
        <f t="shared" si="183"/>
        <v>0</v>
      </c>
      <c r="AC1444" s="1152"/>
      <c r="AD1444" s="1153"/>
      <c r="AE1444" s="1152"/>
      <c r="AF1444" s="1152"/>
      <c r="AG1444" s="1153"/>
      <c r="AH1444" s="1153"/>
      <c r="AI1444" s="732">
        <f t="shared" si="187"/>
        <v>0</v>
      </c>
      <c r="AJ1444" s="733">
        <f t="shared" si="188"/>
        <v>0</v>
      </c>
    </row>
    <row r="1445" spans="1:36">
      <c r="A1445" s="1020" t="s">
        <v>636</v>
      </c>
      <c r="B1445" s="1047" t="s">
        <v>195</v>
      </c>
      <c r="C1445" s="1026" t="s">
        <v>165</v>
      </c>
      <c r="D1445" s="1027"/>
      <c r="E1445" s="1038"/>
      <c r="F1445" s="1036">
        <v>99</v>
      </c>
      <c r="G1445" s="1152"/>
      <c r="H1445" s="1153"/>
      <c r="I1445" s="1152"/>
      <c r="J1445" s="1153"/>
      <c r="K1445" s="1152"/>
      <c r="L1445" s="1153"/>
      <c r="M1445" s="1152"/>
      <c r="N1445" s="1152"/>
      <c r="O1445" s="732">
        <f t="shared" si="181"/>
        <v>0</v>
      </c>
      <c r="P1445" s="1153"/>
      <c r="Q1445" s="1153"/>
      <c r="R1445" s="733">
        <f t="shared" si="184"/>
        <v>0</v>
      </c>
      <c r="S1445" s="732">
        <f t="shared" si="185"/>
        <v>0</v>
      </c>
      <c r="T1445" s="733">
        <f t="shared" si="186"/>
        <v>0</v>
      </c>
      <c r="U1445" s="1152">
        <v>88886590</v>
      </c>
      <c r="V1445" s="1153">
        <v>88886590</v>
      </c>
      <c r="W1445" s="1152"/>
      <c r="X1445" s="1152"/>
      <c r="Y1445" s="732">
        <f t="shared" si="182"/>
        <v>0</v>
      </c>
      <c r="Z1445" s="1153"/>
      <c r="AA1445" s="1153"/>
      <c r="AB1445" s="733">
        <f t="shared" si="183"/>
        <v>0</v>
      </c>
      <c r="AC1445" s="1152"/>
      <c r="AD1445" s="1153"/>
      <c r="AE1445" s="1152"/>
      <c r="AF1445" s="1152"/>
      <c r="AG1445" s="1153"/>
      <c r="AH1445" s="1153"/>
      <c r="AI1445" s="732">
        <f t="shared" si="187"/>
        <v>88886590</v>
      </c>
      <c r="AJ1445" s="733">
        <f t="shared" si="188"/>
        <v>88886590</v>
      </c>
    </row>
    <row r="1446" spans="1:36">
      <c r="A1446" s="1020" t="s">
        <v>636</v>
      </c>
      <c r="B1446" s="1047" t="s">
        <v>196</v>
      </c>
      <c r="C1446" s="1026" t="s">
        <v>167</v>
      </c>
      <c r="D1446" s="1027"/>
      <c r="E1446" s="1038"/>
      <c r="F1446" s="1036">
        <v>99</v>
      </c>
      <c r="G1446" s="1152"/>
      <c r="H1446" s="1153"/>
      <c r="I1446" s="1152"/>
      <c r="J1446" s="1153"/>
      <c r="K1446" s="1152"/>
      <c r="L1446" s="1153"/>
      <c r="M1446" s="1152"/>
      <c r="N1446" s="1152"/>
      <c r="O1446" s="732">
        <f t="shared" si="181"/>
        <v>0</v>
      </c>
      <c r="P1446" s="1153"/>
      <c r="Q1446" s="1153"/>
      <c r="R1446" s="733">
        <f t="shared" si="184"/>
        <v>0</v>
      </c>
      <c r="S1446" s="732">
        <f t="shared" si="185"/>
        <v>0</v>
      </c>
      <c r="T1446" s="733">
        <f t="shared" si="186"/>
        <v>0</v>
      </c>
      <c r="U1446" s="1152"/>
      <c r="V1446" s="1153"/>
      <c r="W1446" s="1152"/>
      <c r="X1446" s="1152"/>
      <c r="Y1446" s="732">
        <f t="shared" si="182"/>
        <v>0</v>
      </c>
      <c r="Z1446" s="1153"/>
      <c r="AA1446" s="1153"/>
      <c r="AB1446" s="733">
        <f t="shared" si="183"/>
        <v>0</v>
      </c>
      <c r="AC1446" s="1152"/>
      <c r="AD1446" s="1153"/>
      <c r="AE1446" s="1152"/>
      <c r="AF1446" s="1152"/>
      <c r="AG1446" s="1153"/>
      <c r="AH1446" s="1153"/>
      <c r="AI1446" s="732">
        <f t="shared" si="187"/>
        <v>0</v>
      </c>
      <c r="AJ1446" s="733">
        <f t="shared" si="188"/>
        <v>0</v>
      </c>
    </row>
    <row r="1447" spans="1:36">
      <c r="A1447" s="1020" t="s">
        <v>636</v>
      </c>
      <c r="B1447" s="1021" t="s">
        <v>192</v>
      </c>
      <c r="C1447" s="1040" t="s">
        <v>682</v>
      </c>
      <c r="D1447" s="1027"/>
      <c r="E1447" s="1038"/>
      <c r="F1447" s="1036">
        <v>99</v>
      </c>
      <c r="G1447" s="1152"/>
      <c r="H1447" s="1153"/>
      <c r="I1447" s="1152"/>
      <c r="J1447" s="1153"/>
      <c r="K1447" s="1152"/>
      <c r="L1447" s="1153"/>
      <c r="M1447" s="1152"/>
      <c r="N1447" s="1152"/>
      <c r="O1447" s="732">
        <f t="shared" si="181"/>
        <v>0</v>
      </c>
      <c r="P1447" s="1153"/>
      <c r="Q1447" s="1153"/>
      <c r="R1447" s="733">
        <f t="shared" si="184"/>
        <v>0</v>
      </c>
      <c r="S1447" s="732">
        <f t="shared" si="185"/>
        <v>0</v>
      </c>
      <c r="T1447" s="733">
        <f t="shared" si="186"/>
        <v>0</v>
      </c>
      <c r="U1447" s="1152"/>
      <c r="V1447" s="1153"/>
      <c r="W1447" s="1152"/>
      <c r="X1447" s="1152"/>
      <c r="Y1447" s="732">
        <f t="shared" si="182"/>
        <v>0</v>
      </c>
      <c r="Z1447" s="1153"/>
      <c r="AA1447" s="1153"/>
      <c r="AB1447" s="733">
        <f t="shared" si="183"/>
        <v>0</v>
      </c>
      <c r="AC1447" s="1152"/>
      <c r="AD1447" s="1153"/>
      <c r="AE1447" s="1152"/>
      <c r="AF1447" s="1152"/>
      <c r="AG1447" s="1153"/>
      <c r="AH1447" s="1153"/>
      <c r="AI1447" s="732">
        <f t="shared" si="187"/>
        <v>0</v>
      </c>
      <c r="AJ1447" s="733">
        <f t="shared" si="188"/>
        <v>0</v>
      </c>
    </row>
    <row r="1448" spans="1:36">
      <c r="A1448" s="1020" t="s">
        <v>636</v>
      </c>
      <c r="B1448" s="1047" t="s">
        <v>195</v>
      </c>
      <c r="C1448" s="1026" t="s">
        <v>165</v>
      </c>
      <c r="D1448" s="1027"/>
      <c r="E1448" s="1038"/>
      <c r="F1448" s="1036">
        <v>99</v>
      </c>
      <c r="G1448" s="1152"/>
      <c r="H1448" s="1153"/>
      <c r="I1448" s="1152"/>
      <c r="J1448" s="1153"/>
      <c r="K1448" s="1152"/>
      <c r="L1448" s="1153"/>
      <c r="M1448" s="1152"/>
      <c r="N1448" s="1152"/>
      <c r="O1448" s="732">
        <f t="shared" si="181"/>
        <v>0</v>
      </c>
      <c r="P1448" s="1153"/>
      <c r="Q1448" s="1153"/>
      <c r="R1448" s="733">
        <f t="shared" si="184"/>
        <v>0</v>
      </c>
      <c r="S1448" s="732">
        <f t="shared" si="185"/>
        <v>0</v>
      </c>
      <c r="T1448" s="733">
        <f t="shared" si="186"/>
        <v>0</v>
      </c>
      <c r="U1448" s="1152"/>
      <c r="V1448" s="1153"/>
      <c r="W1448" s="1152"/>
      <c r="X1448" s="1152"/>
      <c r="Y1448" s="732">
        <f t="shared" si="182"/>
        <v>0</v>
      </c>
      <c r="Z1448" s="1153"/>
      <c r="AA1448" s="1153"/>
      <c r="AB1448" s="733">
        <f t="shared" si="183"/>
        <v>0</v>
      </c>
      <c r="AC1448" s="1152"/>
      <c r="AD1448" s="1153"/>
      <c r="AE1448" s="1152"/>
      <c r="AF1448" s="1152"/>
      <c r="AG1448" s="1153"/>
      <c r="AH1448" s="1153"/>
      <c r="AI1448" s="732">
        <f t="shared" si="187"/>
        <v>0</v>
      </c>
      <c r="AJ1448" s="733">
        <f t="shared" si="188"/>
        <v>0</v>
      </c>
    </row>
    <row r="1449" spans="1:36">
      <c r="A1449" s="1020" t="s">
        <v>636</v>
      </c>
      <c r="B1449" s="1047" t="s">
        <v>196</v>
      </c>
      <c r="C1449" s="1026" t="s">
        <v>167</v>
      </c>
      <c r="D1449" s="1027"/>
      <c r="E1449" s="1038"/>
      <c r="F1449" s="1036">
        <v>99</v>
      </c>
      <c r="G1449" s="1152"/>
      <c r="H1449" s="1153"/>
      <c r="I1449" s="1152"/>
      <c r="J1449" s="1153"/>
      <c r="K1449" s="1152"/>
      <c r="L1449" s="1153"/>
      <c r="M1449" s="1152"/>
      <c r="N1449" s="1152"/>
      <c r="O1449" s="732">
        <f t="shared" si="181"/>
        <v>0</v>
      </c>
      <c r="P1449" s="1153"/>
      <c r="Q1449" s="1153"/>
      <c r="R1449" s="733">
        <f t="shared" si="184"/>
        <v>0</v>
      </c>
      <c r="S1449" s="732">
        <f t="shared" si="185"/>
        <v>0</v>
      </c>
      <c r="T1449" s="733">
        <f t="shared" si="186"/>
        <v>0</v>
      </c>
      <c r="U1449" s="1152"/>
      <c r="V1449" s="1153"/>
      <c r="W1449" s="1152"/>
      <c r="X1449" s="1152"/>
      <c r="Y1449" s="732">
        <f t="shared" si="182"/>
        <v>0</v>
      </c>
      <c r="Z1449" s="1153"/>
      <c r="AA1449" s="1153"/>
      <c r="AB1449" s="733">
        <f t="shared" si="183"/>
        <v>0</v>
      </c>
      <c r="AC1449" s="1152"/>
      <c r="AD1449" s="1153"/>
      <c r="AE1449" s="1152"/>
      <c r="AF1449" s="1152"/>
      <c r="AG1449" s="1153"/>
      <c r="AH1449" s="1153"/>
      <c r="AI1449" s="732">
        <f t="shared" si="187"/>
        <v>0</v>
      </c>
      <c r="AJ1449" s="733">
        <f t="shared" si="188"/>
        <v>0</v>
      </c>
    </row>
    <row r="1450" spans="1:36">
      <c r="A1450" s="759" t="s">
        <v>636</v>
      </c>
      <c r="B1450" s="729" t="s">
        <v>62</v>
      </c>
      <c r="C1450" s="729" t="s">
        <v>683</v>
      </c>
      <c r="D1450" s="722"/>
      <c r="E1450" s="759">
        <v>197887</v>
      </c>
      <c r="F1450" s="759">
        <v>8</v>
      </c>
      <c r="G1450" s="1152">
        <v>25777150</v>
      </c>
      <c r="H1450" s="1153">
        <v>25871703</v>
      </c>
      <c r="I1450" s="1152"/>
      <c r="J1450" s="1153"/>
      <c r="K1450" s="1152">
        <v>7282616</v>
      </c>
      <c r="L1450" s="1153">
        <v>7674627</v>
      </c>
      <c r="M1450" s="1152">
        <v>9335465</v>
      </c>
      <c r="N1450" s="1152"/>
      <c r="O1450" s="732">
        <f t="shared" si="181"/>
        <v>9335465</v>
      </c>
      <c r="P1450" s="1153">
        <v>8703035</v>
      </c>
      <c r="Q1450" s="1153"/>
      <c r="R1450" s="733">
        <f t="shared" si="184"/>
        <v>8703035</v>
      </c>
      <c r="S1450" s="732">
        <f t="shared" si="185"/>
        <v>42395231</v>
      </c>
      <c r="T1450" s="733">
        <f t="shared" si="186"/>
        <v>42249365</v>
      </c>
      <c r="U1450" s="1152"/>
      <c r="V1450" s="1153"/>
      <c r="W1450" s="1152"/>
      <c r="X1450" s="1152"/>
      <c r="Y1450" s="732">
        <f t="shared" si="182"/>
        <v>0</v>
      </c>
      <c r="Z1450" s="1153"/>
      <c r="AA1450" s="1153"/>
      <c r="AB1450" s="733">
        <f t="shared" si="183"/>
        <v>0</v>
      </c>
      <c r="AC1450" s="1152"/>
      <c r="AD1450" s="1153"/>
      <c r="AE1450" s="1152"/>
      <c r="AF1450" s="1152"/>
      <c r="AG1450" s="1153"/>
      <c r="AH1450" s="1153"/>
      <c r="AI1450" s="732">
        <f t="shared" si="187"/>
        <v>42395231</v>
      </c>
      <c r="AJ1450" s="733">
        <f t="shared" si="188"/>
        <v>42249365</v>
      </c>
    </row>
    <row r="1451" spans="1:36">
      <c r="A1451" s="759" t="s">
        <v>636</v>
      </c>
      <c r="B1451" s="729" t="s">
        <v>62</v>
      </c>
      <c r="C1451" s="762" t="s">
        <v>684</v>
      </c>
      <c r="D1451" s="763"/>
      <c r="E1451" s="759">
        <v>197887</v>
      </c>
      <c r="F1451" s="759">
        <v>8</v>
      </c>
      <c r="G1451" s="1152"/>
      <c r="H1451" s="1153"/>
      <c r="I1451" s="1152"/>
      <c r="J1451" s="1153"/>
      <c r="K1451" s="1152"/>
      <c r="L1451" s="1153"/>
      <c r="M1451" s="1152"/>
      <c r="N1451" s="1152"/>
      <c r="O1451" s="732">
        <f t="shared" si="181"/>
        <v>0</v>
      </c>
      <c r="P1451" s="1153"/>
      <c r="Q1451" s="1153"/>
      <c r="R1451" s="733">
        <f t="shared" si="184"/>
        <v>0</v>
      </c>
      <c r="S1451" s="732">
        <f t="shared" si="185"/>
        <v>0</v>
      </c>
      <c r="T1451" s="733">
        <f t="shared" si="186"/>
        <v>0</v>
      </c>
      <c r="U1451" s="1152"/>
      <c r="V1451" s="1153"/>
      <c r="W1451" s="1152"/>
      <c r="X1451" s="1152"/>
      <c r="Y1451" s="732">
        <f t="shared" si="182"/>
        <v>0</v>
      </c>
      <c r="Z1451" s="1153"/>
      <c r="AA1451" s="1153"/>
      <c r="AB1451" s="733">
        <f t="shared" si="183"/>
        <v>0</v>
      </c>
      <c r="AC1451" s="1152"/>
      <c r="AD1451" s="1153"/>
      <c r="AE1451" s="1152"/>
      <c r="AF1451" s="1152"/>
      <c r="AG1451" s="1153"/>
      <c r="AH1451" s="1153"/>
      <c r="AI1451" s="732">
        <f t="shared" si="187"/>
        <v>0</v>
      </c>
      <c r="AJ1451" s="733">
        <f t="shared" si="188"/>
        <v>0</v>
      </c>
    </row>
    <row r="1452" spans="1:36">
      <c r="A1452" s="759" t="s">
        <v>636</v>
      </c>
      <c r="B1452" s="729" t="s">
        <v>69</v>
      </c>
      <c r="C1452" s="762" t="s">
        <v>70</v>
      </c>
      <c r="D1452" s="763"/>
      <c r="E1452" s="759">
        <v>197887</v>
      </c>
      <c r="F1452" s="759">
        <v>8</v>
      </c>
      <c r="G1452" s="1152"/>
      <c r="H1452" s="1153"/>
      <c r="I1452" s="1152">
        <v>179549</v>
      </c>
      <c r="J1452" s="1153">
        <v>180669</v>
      </c>
      <c r="K1452" s="1152"/>
      <c r="L1452" s="1153"/>
      <c r="M1452" s="1152"/>
      <c r="N1452" s="1152"/>
      <c r="O1452" s="732">
        <f t="shared" si="181"/>
        <v>0</v>
      </c>
      <c r="P1452" s="1153"/>
      <c r="Q1452" s="1153"/>
      <c r="R1452" s="733">
        <f t="shared" si="184"/>
        <v>0</v>
      </c>
      <c r="S1452" s="732">
        <f t="shared" si="185"/>
        <v>179549</v>
      </c>
      <c r="T1452" s="733">
        <f t="shared" si="186"/>
        <v>180669</v>
      </c>
      <c r="U1452" s="1152"/>
      <c r="V1452" s="1153"/>
      <c r="W1452" s="1152"/>
      <c r="X1452" s="1152"/>
      <c r="Y1452" s="732">
        <f t="shared" si="182"/>
        <v>0</v>
      </c>
      <c r="Z1452" s="1153"/>
      <c r="AA1452" s="1153"/>
      <c r="AB1452" s="733">
        <f t="shared" si="183"/>
        <v>0</v>
      </c>
      <c r="AC1452" s="1152"/>
      <c r="AD1452" s="1153"/>
      <c r="AE1452" s="1152"/>
      <c r="AF1452" s="1152"/>
      <c r="AG1452" s="1153"/>
      <c r="AH1452" s="1153"/>
      <c r="AI1452" s="732">
        <f t="shared" si="187"/>
        <v>179549</v>
      </c>
      <c r="AJ1452" s="733">
        <f t="shared" si="188"/>
        <v>180669</v>
      </c>
    </row>
    <row r="1453" spans="1:36">
      <c r="A1453" s="759" t="s">
        <v>636</v>
      </c>
      <c r="B1453" s="729" t="s">
        <v>685</v>
      </c>
      <c r="C1453" s="762" t="s">
        <v>72</v>
      </c>
      <c r="D1453" s="763"/>
      <c r="E1453" s="759">
        <v>197887</v>
      </c>
      <c r="F1453" s="759">
        <v>8</v>
      </c>
      <c r="G1453" s="1152"/>
      <c r="H1453" s="1153"/>
      <c r="I1453" s="1152">
        <v>2798299</v>
      </c>
      <c r="J1453" s="1153">
        <v>2976422</v>
      </c>
      <c r="K1453" s="1152"/>
      <c r="L1453" s="1153"/>
      <c r="M1453" s="1152">
        <v>306496</v>
      </c>
      <c r="N1453" s="1152"/>
      <c r="O1453" s="732">
        <f t="shared" si="181"/>
        <v>306496</v>
      </c>
      <c r="P1453" s="1153">
        <v>309538</v>
      </c>
      <c r="Q1453" s="1153"/>
      <c r="R1453" s="733">
        <f t="shared" si="184"/>
        <v>309538</v>
      </c>
      <c r="S1453" s="732">
        <f t="shared" si="185"/>
        <v>3104795</v>
      </c>
      <c r="T1453" s="733">
        <f t="shared" si="186"/>
        <v>3285960</v>
      </c>
      <c r="U1453" s="1152"/>
      <c r="V1453" s="1153"/>
      <c r="W1453" s="1152"/>
      <c r="X1453" s="1152"/>
      <c r="Y1453" s="732">
        <f t="shared" si="182"/>
        <v>0</v>
      </c>
      <c r="Z1453" s="1153"/>
      <c r="AA1453" s="1153"/>
      <c r="AB1453" s="733">
        <f t="shared" si="183"/>
        <v>0</v>
      </c>
      <c r="AC1453" s="1152"/>
      <c r="AD1453" s="1153"/>
      <c r="AE1453" s="1152"/>
      <c r="AF1453" s="1152"/>
      <c r="AG1453" s="1153"/>
      <c r="AH1453" s="1153"/>
      <c r="AI1453" s="732">
        <f t="shared" si="187"/>
        <v>3104795</v>
      </c>
      <c r="AJ1453" s="733">
        <f t="shared" si="188"/>
        <v>3285960</v>
      </c>
    </row>
    <row r="1454" spans="1:36">
      <c r="A1454" s="759" t="s">
        <v>636</v>
      </c>
      <c r="B1454" s="729" t="s">
        <v>62</v>
      </c>
      <c r="C1454" s="729" t="s">
        <v>686</v>
      </c>
      <c r="D1454" s="722"/>
      <c r="E1454" s="759">
        <v>198154</v>
      </c>
      <c r="F1454" s="759">
        <v>8</v>
      </c>
      <c r="G1454" s="1152">
        <v>32964653</v>
      </c>
      <c r="H1454" s="1153">
        <v>34796061</v>
      </c>
      <c r="I1454" s="1152"/>
      <c r="J1454" s="1153"/>
      <c r="K1454" s="1152">
        <v>11605804</v>
      </c>
      <c r="L1454" s="1153">
        <v>11433771</v>
      </c>
      <c r="M1454" s="1152">
        <v>11777458</v>
      </c>
      <c r="N1454" s="1152"/>
      <c r="O1454" s="732">
        <f t="shared" si="181"/>
        <v>11777458</v>
      </c>
      <c r="P1454" s="1153">
        <v>11955018</v>
      </c>
      <c r="Q1454" s="1153"/>
      <c r="R1454" s="733">
        <f t="shared" si="184"/>
        <v>11955018</v>
      </c>
      <c r="S1454" s="732">
        <f t="shared" si="185"/>
        <v>56347915</v>
      </c>
      <c r="T1454" s="733">
        <f t="shared" si="186"/>
        <v>58184850</v>
      </c>
      <c r="U1454" s="1152"/>
      <c r="V1454" s="1153"/>
      <c r="W1454" s="1152"/>
      <c r="X1454" s="1152"/>
      <c r="Y1454" s="732">
        <f t="shared" si="182"/>
        <v>0</v>
      </c>
      <c r="Z1454" s="1153"/>
      <c r="AA1454" s="1153"/>
      <c r="AB1454" s="733">
        <f t="shared" si="183"/>
        <v>0</v>
      </c>
      <c r="AC1454" s="1152"/>
      <c r="AD1454" s="1153"/>
      <c r="AE1454" s="1152"/>
      <c r="AF1454" s="1152"/>
      <c r="AG1454" s="1153"/>
      <c r="AH1454" s="1153"/>
      <c r="AI1454" s="732">
        <f t="shared" si="187"/>
        <v>56347915</v>
      </c>
      <c r="AJ1454" s="733">
        <f t="shared" si="188"/>
        <v>58184850</v>
      </c>
    </row>
    <row r="1455" spans="1:36">
      <c r="A1455" s="759" t="s">
        <v>636</v>
      </c>
      <c r="B1455" s="729" t="s">
        <v>62</v>
      </c>
      <c r="C1455" s="762" t="s">
        <v>684</v>
      </c>
      <c r="D1455" s="763"/>
      <c r="E1455" s="759">
        <v>198154</v>
      </c>
      <c r="F1455" s="759">
        <v>8</v>
      </c>
      <c r="G1455" s="1152"/>
      <c r="H1455" s="1153"/>
      <c r="I1455" s="1152"/>
      <c r="J1455" s="1153"/>
      <c r="K1455" s="1152"/>
      <c r="L1455" s="1153"/>
      <c r="M1455" s="1152"/>
      <c r="N1455" s="1152"/>
      <c r="O1455" s="732">
        <f t="shared" si="181"/>
        <v>0</v>
      </c>
      <c r="P1455" s="1153"/>
      <c r="Q1455" s="1153"/>
      <c r="R1455" s="733">
        <f t="shared" si="184"/>
        <v>0</v>
      </c>
      <c r="S1455" s="732">
        <f t="shared" si="185"/>
        <v>0</v>
      </c>
      <c r="T1455" s="733">
        <f t="shared" si="186"/>
        <v>0</v>
      </c>
      <c r="U1455" s="1152"/>
      <c r="V1455" s="1153"/>
      <c r="W1455" s="1152"/>
      <c r="X1455" s="1152"/>
      <c r="Y1455" s="732">
        <f t="shared" si="182"/>
        <v>0</v>
      </c>
      <c r="Z1455" s="1153"/>
      <c r="AA1455" s="1153"/>
      <c r="AB1455" s="733">
        <f t="shared" si="183"/>
        <v>0</v>
      </c>
      <c r="AC1455" s="1152"/>
      <c r="AD1455" s="1153"/>
      <c r="AE1455" s="1152"/>
      <c r="AF1455" s="1152"/>
      <c r="AG1455" s="1153"/>
      <c r="AH1455" s="1153"/>
      <c r="AI1455" s="732">
        <f t="shared" si="187"/>
        <v>0</v>
      </c>
      <c r="AJ1455" s="733">
        <f t="shared" si="188"/>
        <v>0</v>
      </c>
    </row>
    <row r="1456" spans="1:36">
      <c r="A1456" s="759" t="s">
        <v>636</v>
      </c>
      <c r="B1456" s="729" t="s">
        <v>69</v>
      </c>
      <c r="C1456" s="762" t="s">
        <v>70</v>
      </c>
      <c r="D1456" s="763"/>
      <c r="E1456" s="759">
        <v>198154</v>
      </c>
      <c r="F1456" s="759">
        <v>8</v>
      </c>
      <c r="G1456" s="1152"/>
      <c r="H1456" s="1153"/>
      <c r="I1456" s="1152">
        <v>180824</v>
      </c>
      <c r="J1456" s="1153">
        <v>182458</v>
      </c>
      <c r="K1456" s="1152"/>
      <c r="L1456" s="1153"/>
      <c r="M1456" s="1152"/>
      <c r="N1456" s="1152"/>
      <c r="O1456" s="732">
        <f t="shared" si="181"/>
        <v>0</v>
      </c>
      <c r="P1456" s="1153"/>
      <c r="Q1456" s="1153"/>
      <c r="R1456" s="733">
        <f t="shared" si="184"/>
        <v>0</v>
      </c>
      <c r="S1456" s="732">
        <f t="shared" si="185"/>
        <v>180824</v>
      </c>
      <c r="T1456" s="733">
        <f t="shared" si="186"/>
        <v>182458</v>
      </c>
      <c r="U1456" s="1152"/>
      <c r="V1456" s="1153"/>
      <c r="W1456" s="1152"/>
      <c r="X1456" s="1152"/>
      <c r="Y1456" s="732">
        <f t="shared" si="182"/>
        <v>0</v>
      </c>
      <c r="Z1456" s="1153"/>
      <c r="AA1456" s="1153"/>
      <c r="AB1456" s="733">
        <f t="shared" si="183"/>
        <v>0</v>
      </c>
      <c r="AC1456" s="1152"/>
      <c r="AD1456" s="1153"/>
      <c r="AE1456" s="1152"/>
      <c r="AF1456" s="1152"/>
      <c r="AG1456" s="1153"/>
      <c r="AH1456" s="1153"/>
      <c r="AI1456" s="732">
        <f t="shared" si="187"/>
        <v>180824</v>
      </c>
      <c r="AJ1456" s="733">
        <f t="shared" si="188"/>
        <v>182458</v>
      </c>
    </row>
    <row r="1457" spans="1:36">
      <c r="A1457" s="759" t="s">
        <v>636</v>
      </c>
      <c r="B1457" s="729" t="s">
        <v>685</v>
      </c>
      <c r="C1457" s="762" t="s">
        <v>72</v>
      </c>
      <c r="D1457" s="763"/>
      <c r="E1457" s="759">
        <v>198154</v>
      </c>
      <c r="F1457" s="759">
        <v>8</v>
      </c>
      <c r="G1457" s="1152"/>
      <c r="H1457" s="1153"/>
      <c r="I1457" s="1152">
        <v>2837591</v>
      </c>
      <c r="J1457" s="1153">
        <v>3279539</v>
      </c>
      <c r="K1457" s="1152"/>
      <c r="L1457" s="1153"/>
      <c r="M1457" s="1152">
        <v>290554</v>
      </c>
      <c r="N1457" s="1152"/>
      <c r="O1457" s="732">
        <f t="shared" si="181"/>
        <v>290554</v>
      </c>
      <c r="P1457" s="1153">
        <v>324013</v>
      </c>
      <c r="Q1457" s="1153"/>
      <c r="R1457" s="733">
        <f t="shared" si="184"/>
        <v>324013</v>
      </c>
      <c r="S1457" s="732">
        <f t="shared" si="185"/>
        <v>3128145</v>
      </c>
      <c r="T1457" s="733">
        <f t="shared" si="186"/>
        <v>3603552</v>
      </c>
      <c r="U1457" s="1152"/>
      <c r="V1457" s="1153"/>
      <c r="W1457" s="1152"/>
      <c r="X1457" s="1152"/>
      <c r="Y1457" s="732">
        <f t="shared" si="182"/>
        <v>0</v>
      </c>
      <c r="Z1457" s="1153"/>
      <c r="AA1457" s="1153"/>
      <c r="AB1457" s="733">
        <f t="shared" si="183"/>
        <v>0</v>
      </c>
      <c r="AC1457" s="1152"/>
      <c r="AD1457" s="1153"/>
      <c r="AE1457" s="1152"/>
      <c r="AF1457" s="1152"/>
      <c r="AG1457" s="1153"/>
      <c r="AH1457" s="1153"/>
      <c r="AI1457" s="732">
        <f t="shared" si="187"/>
        <v>3128145</v>
      </c>
      <c r="AJ1457" s="733">
        <f t="shared" si="188"/>
        <v>3603552</v>
      </c>
    </row>
    <row r="1458" spans="1:36">
      <c r="A1458" s="759" t="s">
        <v>636</v>
      </c>
      <c r="B1458" s="729" t="s">
        <v>62</v>
      </c>
      <c r="C1458" s="729" t="s">
        <v>687</v>
      </c>
      <c r="D1458" s="722"/>
      <c r="E1458" s="759">
        <v>198260</v>
      </c>
      <c r="F1458" s="759">
        <v>8</v>
      </c>
      <c r="G1458" s="1152">
        <v>65875594</v>
      </c>
      <c r="H1458" s="1153">
        <v>67231288</v>
      </c>
      <c r="I1458" s="1152"/>
      <c r="J1458" s="1153"/>
      <c r="K1458" s="1152">
        <v>37884035</v>
      </c>
      <c r="L1458" s="1153">
        <v>39091669</v>
      </c>
      <c r="M1458" s="1152">
        <v>25496200</v>
      </c>
      <c r="N1458" s="1152"/>
      <c r="O1458" s="732">
        <f t="shared" si="181"/>
        <v>25496200</v>
      </c>
      <c r="P1458" s="1153">
        <v>24430869</v>
      </c>
      <c r="Q1458" s="1153"/>
      <c r="R1458" s="733">
        <f t="shared" si="184"/>
        <v>24430869</v>
      </c>
      <c r="S1458" s="732">
        <f t="shared" si="185"/>
        <v>129255829</v>
      </c>
      <c r="T1458" s="733">
        <f t="shared" si="186"/>
        <v>130753826</v>
      </c>
      <c r="U1458" s="1152"/>
      <c r="V1458" s="1153"/>
      <c r="W1458" s="1152"/>
      <c r="X1458" s="1152"/>
      <c r="Y1458" s="732">
        <f t="shared" si="182"/>
        <v>0</v>
      </c>
      <c r="Z1458" s="1153"/>
      <c r="AA1458" s="1153"/>
      <c r="AB1458" s="733">
        <f t="shared" si="183"/>
        <v>0</v>
      </c>
      <c r="AC1458" s="1152"/>
      <c r="AD1458" s="1153"/>
      <c r="AE1458" s="1152"/>
      <c r="AF1458" s="1152"/>
      <c r="AG1458" s="1153"/>
      <c r="AH1458" s="1153"/>
      <c r="AI1458" s="732">
        <f t="shared" si="187"/>
        <v>129255829</v>
      </c>
      <c r="AJ1458" s="733">
        <f t="shared" si="188"/>
        <v>130753826</v>
      </c>
    </row>
    <row r="1459" spans="1:36">
      <c r="A1459" s="759" t="s">
        <v>636</v>
      </c>
      <c r="B1459" s="729" t="s">
        <v>62</v>
      </c>
      <c r="C1459" s="762" t="s">
        <v>684</v>
      </c>
      <c r="D1459" s="763"/>
      <c r="E1459" s="759">
        <v>198260</v>
      </c>
      <c r="F1459" s="759">
        <v>8</v>
      </c>
      <c r="G1459" s="1152"/>
      <c r="H1459" s="1153"/>
      <c r="I1459" s="1152"/>
      <c r="J1459" s="1153"/>
      <c r="K1459" s="1152"/>
      <c r="L1459" s="1153"/>
      <c r="M1459" s="1152"/>
      <c r="N1459" s="1152"/>
      <c r="O1459" s="732">
        <f t="shared" si="181"/>
        <v>0</v>
      </c>
      <c r="P1459" s="1153"/>
      <c r="Q1459" s="1153"/>
      <c r="R1459" s="733">
        <f t="shared" si="184"/>
        <v>0</v>
      </c>
      <c r="S1459" s="732">
        <f t="shared" si="185"/>
        <v>0</v>
      </c>
      <c r="T1459" s="733">
        <f t="shared" si="186"/>
        <v>0</v>
      </c>
      <c r="U1459" s="1152"/>
      <c r="V1459" s="1153"/>
      <c r="W1459" s="1152"/>
      <c r="X1459" s="1152"/>
      <c r="Y1459" s="732">
        <f t="shared" si="182"/>
        <v>0</v>
      </c>
      <c r="Z1459" s="1153"/>
      <c r="AA1459" s="1153"/>
      <c r="AB1459" s="733">
        <f t="shared" si="183"/>
        <v>0</v>
      </c>
      <c r="AC1459" s="1152"/>
      <c r="AD1459" s="1153"/>
      <c r="AE1459" s="1152"/>
      <c r="AF1459" s="1152"/>
      <c r="AG1459" s="1153"/>
      <c r="AH1459" s="1153"/>
      <c r="AI1459" s="732">
        <f t="shared" si="187"/>
        <v>0</v>
      </c>
      <c r="AJ1459" s="733">
        <f t="shared" si="188"/>
        <v>0</v>
      </c>
    </row>
    <row r="1460" spans="1:36">
      <c r="A1460" s="759" t="s">
        <v>636</v>
      </c>
      <c r="B1460" s="729" t="s">
        <v>69</v>
      </c>
      <c r="C1460" s="762" t="s">
        <v>70</v>
      </c>
      <c r="D1460" s="763"/>
      <c r="E1460" s="759">
        <v>198260</v>
      </c>
      <c r="F1460" s="759">
        <v>8</v>
      </c>
      <c r="G1460" s="1152"/>
      <c r="H1460" s="1153"/>
      <c r="I1460" s="1152">
        <v>181845</v>
      </c>
      <c r="J1460" s="1153">
        <v>183123</v>
      </c>
      <c r="K1460" s="1152"/>
      <c r="L1460" s="1153"/>
      <c r="M1460" s="1152"/>
      <c r="N1460" s="1152"/>
      <c r="O1460" s="732">
        <f t="shared" si="181"/>
        <v>0</v>
      </c>
      <c r="P1460" s="1153"/>
      <c r="Q1460" s="1153"/>
      <c r="R1460" s="733">
        <f t="shared" si="184"/>
        <v>0</v>
      </c>
      <c r="S1460" s="732">
        <f t="shared" si="185"/>
        <v>181845</v>
      </c>
      <c r="T1460" s="733">
        <f t="shared" si="186"/>
        <v>183123</v>
      </c>
      <c r="U1460" s="1152"/>
      <c r="V1460" s="1153"/>
      <c r="W1460" s="1152"/>
      <c r="X1460" s="1152"/>
      <c r="Y1460" s="732">
        <f t="shared" si="182"/>
        <v>0</v>
      </c>
      <c r="Z1460" s="1153"/>
      <c r="AA1460" s="1153"/>
      <c r="AB1460" s="733">
        <f t="shared" si="183"/>
        <v>0</v>
      </c>
      <c r="AC1460" s="1152"/>
      <c r="AD1460" s="1153"/>
      <c r="AE1460" s="1152"/>
      <c r="AF1460" s="1152"/>
      <c r="AG1460" s="1153"/>
      <c r="AH1460" s="1153"/>
      <c r="AI1460" s="732">
        <f t="shared" si="187"/>
        <v>181845</v>
      </c>
      <c r="AJ1460" s="733">
        <f t="shared" si="188"/>
        <v>183123</v>
      </c>
    </row>
    <row r="1461" spans="1:36">
      <c r="A1461" s="759" t="s">
        <v>636</v>
      </c>
      <c r="B1461" s="729" t="s">
        <v>685</v>
      </c>
      <c r="C1461" s="762" t="s">
        <v>72</v>
      </c>
      <c r="D1461" s="763"/>
      <c r="E1461" s="759">
        <v>198260</v>
      </c>
      <c r="F1461" s="759">
        <v>8</v>
      </c>
      <c r="G1461" s="1152"/>
      <c r="H1461" s="1153"/>
      <c r="I1461" s="1152">
        <v>4673197</v>
      </c>
      <c r="J1461" s="1153">
        <v>4527561</v>
      </c>
      <c r="K1461" s="1152"/>
      <c r="L1461" s="1153"/>
      <c r="M1461" s="1152">
        <v>339976</v>
      </c>
      <c r="N1461" s="1152"/>
      <c r="O1461" s="732">
        <f t="shared" si="181"/>
        <v>339976</v>
      </c>
      <c r="P1461" s="1153">
        <v>308053</v>
      </c>
      <c r="Q1461" s="1153"/>
      <c r="R1461" s="733">
        <f t="shared" si="184"/>
        <v>308053</v>
      </c>
      <c r="S1461" s="732">
        <f t="shared" si="185"/>
        <v>5013173</v>
      </c>
      <c r="T1461" s="733">
        <f t="shared" si="186"/>
        <v>4835614</v>
      </c>
      <c r="U1461" s="1152"/>
      <c r="V1461" s="1153"/>
      <c r="W1461" s="1152"/>
      <c r="X1461" s="1152"/>
      <c r="Y1461" s="732">
        <f t="shared" si="182"/>
        <v>0</v>
      </c>
      <c r="Z1461" s="1153"/>
      <c r="AA1461" s="1153"/>
      <c r="AB1461" s="733">
        <f t="shared" si="183"/>
        <v>0</v>
      </c>
      <c r="AC1461" s="1152"/>
      <c r="AD1461" s="1153"/>
      <c r="AE1461" s="1152"/>
      <c r="AF1461" s="1152"/>
      <c r="AG1461" s="1153"/>
      <c r="AH1461" s="1153"/>
      <c r="AI1461" s="732">
        <f t="shared" si="187"/>
        <v>5013173</v>
      </c>
      <c r="AJ1461" s="733">
        <f t="shared" si="188"/>
        <v>4835614</v>
      </c>
    </row>
    <row r="1462" spans="1:36">
      <c r="A1462" s="759" t="s">
        <v>636</v>
      </c>
      <c r="B1462" s="729" t="s">
        <v>62</v>
      </c>
      <c r="C1462" s="729" t="s">
        <v>688</v>
      </c>
      <c r="D1462" s="722"/>
      <c r="E1462" s="759">
        <v>198534</v>
      </c>
      <c r="F1462" s="759">
        <v>8</v>
      </c>
      <c r="G1462" s="1152">
        <v>47722228</v>
      </c>
      <c r="H1462" s="1153">
        <v>51178663</v>
      </c>
      <c r="I1462" s="1152"/>
      <c r="J1462" s="1153"/>
      <c r="K1462" s="1152">
        <v>13577062</v>
      </c>
      <c r="L1462" s="1153">
        <v>13268575</v>
      </c>
      <c r="M1462" s="1152">
        <v>16054272</v>
      </c>
      <c r="N1462" s="1152"/>
      <c r="O1462" s="732">
        <f t="shared" si="181"/>
        <v>16054272</v>
      </c>
      <c r="P1462" s="1153">
        <v>16285638</v>
      </c>
      <c r="Q1462" s="1153"/>
      <c r="R1462" s="733">
        <f t="shared" si="184"/>
        <v>16285638</v>
      </c>
      <c r="S1462" s="732">
        <f t="shared" si="185"/>
        <v>77353562</v>
      </c>
      <c r="T1462" s="733">
        <f t="shared" si="186"/>
        <v>80732876</v>
      </c>
      <c r="U1462" s="1152"/>
      <c r="V1462" s="1153"/>
      <c r="W1462" s="1152"/>
      <c r="X1462" s="1152"/>
      <c r="Y1462" s="732">
        <f t="shared" si="182"/>
        <v>0</v>
      </c>
      <c r="Z1462" s="1153"/>
      <c r="AA1462" s="1153"/>
      <c r="AB1462" s="733">
        <f t="shared" si="183"/>
        <v>0</v>
      </c>
      <c r="AC1462" s="1152"/>
      <c r="AD1462" s="1153"/>
      <c r="AE1462" s="1152"/>
      <c r="AF1462" s="1152"/>
      <c r="AG1462" s="1153"/>
      <c r="AH1462" s="1153"/>
      <c r="AI1462" s="732">
        <f t="shared" si="187"/>
        <v>77353562</v>
      </c>
      <c r="AJ1462" s="733">
        <f t="shared" si="188"/>
        <v>80732876</v>
      </c>
    </row>
    <row r="1463" spans="1:36">
      <c r="A1463" s="759" t="s">
        <v>636</v>
      </c>
      <c r="B1463" s="729" t="s">
        <v>62</v>
      </c>
      <c r="C1463" s="762" t="s">
        <v>684</v>
      </c>
      <c r="D1463" s="763"/>
      <c r="E1463" s="759">
        <v>198534</v>
      </c>
      <c r="F1463" s="759">
        <v>8</v>
      </c>
      <c r="G1463" s="1152"/>
      <c r="H1463" s="1153"/>
      <c r="I1463" s="1152"/>
      <c r="J1463" s="1153"/>
      <c r="K1463" s="1152"/>
      <c r="L1463" s="1153"/>
      <c r="M1463" s="1152"/>
      <c r="N1463" s="1152"/>
      <c r="O1463" s="732">
        <f t="shared" si="181"/>
        <v>0</v>
      </c>
      <c r="P1463" s="1153"/>
      <c r="Q1463" s="1153"/>
      <c r="R1463" s="733">
        <f t="shared" si="184"/>
        <v>0</v>
      </c>
      <c r="S1463" s="732">
        <f t="shared" si="185"/>
        <v>0</v>
      </c>
      <c r="T1463" s="733">
        <f t="shared" si="186"/>
        <v>0</v>
      </c>
      <c r="U1463" s="1152"/>
      <c r="V1463" s="1153"/>
      <c r="W1463" s="1152"/>
      <c r="X1463" s="1152"/>
      <c r="Y1463" s="732">
        <f t="shared" si="182"/>
        <v>0</v>
      </c>
      <c r="Z1463" s="1153"/>
      <c r="AA1463" s="1153"/>
      <c r="AB1463" s="733">
        <f t="shared" si="183"/>
        <v>0</v>
      </c>
      <c r="AC1463" s="1152"/>
      <c r="AD1463" s="1153"/>
      <c r="AE1463" s="1152"/>
      <c r="AF1463" s="1152"/>
      <c r="AG1463" s="1153"/>
      <c r="AH1463" s="1153"/>
      <c r="AI1463" s="732">
        <f t="shared" si="187"/>
        <v>0</v>
      </c>
      <c r="AJ1463" s="733">
        <f t="shared" si="188"/>
        <v>0</v>
      </c>
    </row>
    <row r="1464" spans="1:36">
      <c r="A1464" s="759" t="s">
        <v>636</v>
      </c>
      <c r="B1464" s="729" t="s">
        <v>69</v>
      </c>
      <c r="C1464" s="762" t="s">
        <v>70</v>
      </c>
      <c r="D1464" s="763"/>
      <c r="E1464" s="759">
        <v>198534</v>
      </c>
      <c r="F1464" s="759">
        <v>8</v>
      </c>
      <c r="G1464" s="1152"/>
      <c r="H1464" s="1153"/>
      <c r="I1464" s="1152">
        <v>176487</v>
      </c>
      <c r="J1464" s="1153">
        <v>179645</v>
      </c>
      <c r="K1464" s="1152"/>
      <c r="L1464" s="1153"/>
      <c r="M1464" s="1152"/>
      <c r="N1464" s="1152"/>
      <c r="O1464" s="732">
        <f t="shared" si="181"/>
        <v>0</v>
      </c>
      <c r="P1464" s="1153"/>
      <c r="Q1464" s="1153"/>
      <c r="R1464" s="733">
        <f t="shared" si="184"/>
        <v>0</v>
      </c>
      <c r="S1464" s="732">
        <f t="shared" si="185"/>
        <v>176487</v>
      </c>
      <c r="T1464" s="733">
        <f t="shared" si="186"/>
        <v>179645</v>
      </c>
      <c r="U1464" s="1152"/>
      <c r="V1464" s="1153"/>
      <c r="W1464" s="1152"/>
      <c r="X1464" s="1152"/>
      <c r="Y1464" s="732">
        <f t="shared" si="182"/>
        <v>0</v>
      </c>
      <c r="Z1464" s="1153"/>
      <c r="AA1464" s="1153"/>
      <c r="AB1464" s="733">
        <f t="shared" si="183"/>
        <v>0</v>
      </c>
      <c r="AC1464" s="1152"/>
      <c r="AD1464" s="1153"/>
      <c r="AE1464" s="1152"/>
      <c r="AF1464" s="1152"/>
      <c r="AG1464" s="1153"/>
      <c r="AH1464" s="1153"/>
      <c r="AI1464" s="732">
        <f t="shared" si="187"/>
        <v>176487</v>
      </c>
      <c r="AJ1464" s="733">
        <f t="shared" si="188"/>
        <v>179645</v>
      </c>
    </row>
    <row r="1465" spans="1:36">
      <c r="A1465" s="759" t="s">
        <v>636</v>
      </c>
      <c r="B1465" s="729" t="s">
        <v>685</v>
      </c>
      <c r="C1465" s="762" t="s">
        <v>72</v>
      </c>
      <c r="D1465" s="763"/>
      <c r="E1465" s="759">
        <v>198534</v>
      </c>
      <c r="F1465" s="759">
        <v>8</v>
      </c>
      <c r="G1465" s="1152"/>
      <c r="H1465" s="1153"/>
      <c r="I1465" s="1152">
        <v>12132576</v>
      </c>
      <c r="J1465" s="1153">
        <v>13471297</v>
      </c>
      <c r="K1465" s="1152"/>
      <c r="L1465" s="1153"/>
      <c r="M1465" s="1152">
        <v>1393782</v>
      </c>
      <c r="N1465" s="1152"/>
      <c r="O1465" s="732">
        <f t="shared" si="181"/>
        <v>1393782</v>
      </c>
      <c r="P1465" s="1153">
        <v>1415932</v>
      </c>
      <c r="Q1465" s="1153"/>
      <c r="R1465" s="733">
        <f t="shared" si="184"/>
        <v>1415932</v>
      </c>
      <c r="S1465" s="732">
        <f t="shared" si="185"/>
        <v>13526358</v>
      </c>
      <c r="T1465" s="733">
        <f t="shared" si="186"/>
        <v>14887229</v>
      </c>
      <c r="U1465" s="1152"/>
      <c r="V1465" s="1153"/>
      <c r="W1465" s="1152"/>
      <c r="X1465" s="1152"/>
      <c r="Y1465" s="732">
        <f t="shared" si="182"/>
        <v>0</v>
      </c>
      <c r="Z1465" s="1153"/>
      <c r="AA1465" s="1153"/>
      <c r="AB1465" s="733">
        <f t="shared" si="183"/>
        <v>0</v>
      </c>
      <c r="AC1465" s="1152"/>
      <c r="AD1465" s="1153"/>
      <c r="AE1465" s="1152"/>
      <c r="AF1465" s="1152"/>
      <c r="AG1465" s="1153"/>
      <c r="AH1465" s="1153"/>
      <c r="AI1465" s="732">
        <f t="shared" si="187"/>
        <v>13526358</v>
      </c>
      <c r="AJ1465" s="733">
        <f t="shared" si="188"/>
        <v>14887229</v>
      </c>
    </row>
    <row r="1466" spans="1:36">
      <c r="A1466" s="759" t="s">
        <v>636</v>
      </c>
      <c r="B1466" s="729" t="s">
        <v>62</v>
      </c>
      <c r="C1466" s="729" t="s">
        <v>689</v>
      </c>
      <c r="D1466" s="722"/>
      <c r="E1466" s="759">
        <v>198552</v>
      </c>
      <c r="F1466" s="759">
        <v>8</v>
      </c>
      <c r="G1466" s="1152">
        <v>30523909</v>
      </c>
      <c r="H1466" s="1153">
        <v>31655730</v>
      </c>
      <c r="I1466" s="1152"/>
      <c r="J1466" s="1153"/>
      <c r="K1466" s="1152">
        <v>10377344</v>
      </c>
      <c r="L1466" s="1153">
        <v>10314164</v>
      </c>
      <c r="M1466" s="1152">
        <v>11117055</v>
      </c>
      <c r="N1466" s="1152"/>
      <c r="O1466" s="732">
        <f t="shared" si="181"/>
        <v>11117055</v>
      </c>
      <c r="P1466" s="1153">
        <v>10988908</v>
      </c>
      <c r="Q1466" s="1153"/>
      <c r="R1466" s="733">
        <f t="shared" si="184"/>
        <v>10988908</v>
      </c>
      <c r="S1466" s="732">
        <f t="shared" si="185"/>
        <v>52018308</v>
      </c>
      <c r="T1466" s="733">
        <f t="shared" si="186"/>
        <v>52958802</v>
      </c>
      <c r="U1466" s="1152"/>
      <c r="V1466" s="1153"/>
      <c r="W1466" s="1152"/>
      <c r="X1466" s="1152"/>
      <c r="Y1466" s="732">
        <f t="shared" si="182"/>
        <v>0</v>
      </c>
      <c r="Z1466" s="1153"/>
      <c r="AA1466" s="1153"/>
      <c r="AB1466" s="733">
        <f t="shared" si="183"/>
        <v>0</v>
      </c>
      <c r="AC1466" s="1152"/>
      <c r="AD1466" s="1153"/>
      <c r="AE1466" s="1152"/>
      <c r="AF1466" s="1152"/>
      <c r="AG1466" s="1153"/>
      <c r="AH1466" s="1153"/>
      <c r="AI1466" s="732">
        <f t="shared" si="187"/>
        <v>52018308</v>
      </c>
      <c r="AJ1466" s="733">
        <f t="shared" si="188"/>
        <v>52958802</v>
      </c>
    </row>
    <row r="1467" spans="1:36">
      <c r="A1467" s="759" t="s">
        <v>636</v>
      </c>
      <c r="B1467" s="729" t="s">
        <v>62</v>
      </c>
      <c r="C1467" s="762" t="s">
        <v>684</v>
      </c>
      <c r="D1467" s="763"/>
      <c r="E1467" s="759">
        <v>198552</v>
      </c>
      <c r="F1467" s="759">
        <v>8</v>
      </c>
      <c r="G1467" s="1152"/>
      <c r="H1467" s="1153"/>
      <c r="I1467" s="1152"/>
      <c r="J1467" s="1153"/>
      <c r="K1467" s="1152"/>
      <c r="L1467" s="1153"/>
      <c r="M1467" s="1152"/>
      <c r="N1467" s="1152"/>
      <c r="O1467" s="732">
        <f t="shared" si="181"/>
        <v>0</v>
      </c>
      <c r="P1467" s="1153"/>
      <c r="Q1467" s="1153"/>
      <c r="R1467" s="733">
        <f t="shared" si="184"/>
        <v>0</v>
      </c>
      <c r="S1467" s="732">
        <f t="shared" si="185"/>
        <v>0</v>
      </c>
      <c r="T1467" s="733">
        <f t="shared" si="186"/>
        <v>0</v>
      </c>
      <c r="U1467" s="1152"/>
      <c r="V1467" s="1153"/>
      <c r="W1467" s="1152"/>
      <c r="X1467" s="1152"/>
      <c r="Y1467" s="732">
        <f t="shared" si="182"/>
        <v>0</v>
      </c>
      <c r="Z1467" s="1153"/>
      <c r="AA1467" s="1153"/>
      <c r="AB1467" s="733">
        <f t="shared" si="183"/>
        <v>0</v>
      </c>
      <c r="AC1467" s="1152"/>
      <c r="AD1467" s="1153"/>
      <c r="AE1467" s="1152"/>
      <c r="AF1467" s="1152"/>
      <c r="AG1467" s="1153"/>
      <c r="AH1467" s="1153"/>
      <c r="AI1467" s="732">
        <f t="shared" si="187"/>
        <v>0</v>
      </c>
      <c r="AJ1467" s="733">
        <f t="shared" si="188"/>
        <v>0</v>
      </c>
    </row>
    <row r="1468" spans="1:36">
      <c r="A1468" s="759" t="s">
        <v>636</v>
      </c>
      <c r="B1468" s="729" t="s">
        <v>69</v>
      </c>
      <c r="C1468" s="762" t="s">
        <v>70</v>
      </c>
      <c r="D1468" s="763"/>
      <c r="E1468" s="759">
        <v>198552</v>
      </c>
      <c r="F1468" s="759">
        <v>8</v>
      </c>
      <c r="G1468" s="1152"/>
      <c r="H1468" s="1153"/>
      <c r="I1468" s="1152">
        <v>181998</v>
      </c>
      <c r="J1468" s="1153">
        <v>183891</v>
      </c>
      <c r="K1468" s="1152"/>
      <c r="L1468" s="1153"/>
      <c r="M1468" s="1152"/>
      <c r="N1468" s="1152"/>
      <c r="O1468" s="732">
        <f t="shared" si="181"/>
        <v>0</v>
      </c>
      <c r="P1468" s="1153"/>
      <c r="Q1468" s="1153"/>
      <c r="R1468" s="733">
        <f t="shared" si="184"/>
        <v>0</v>
      </c>
      <c r="S1468" s="732">
        <f t="shared" si="185"/>
        <v>181998</v>
      </c>
      <c r="T1468" s="733">
        <f t="shared" si="186"/>
        <v>183891</v>
      </c>
      <c r="U1468" s="1152"/>
      <c r="V1468" s="1153"/>
      <c r="W1468" s="1152"/>
      <c r="X1468" s="1152"/>
      <c r="Y1468" s="732">
        <f t="shared" si="182"/>
        <v>0</v>
      </c>
      <c r="Z1468" s="1153"/>
      <c r="AA1468" s="1153"/>
      <c r="AB1468" s="733">
        <f t="shared" si="183"/>
        <v>0</v>
      </c>
      <c r="AC1468" s="1152"/>
      <c r="AD1468" s="1153"/>
      <c r="AE1468" s="1152"/>
      <c r="AF1468" s="1152"/>
      <c r="AG1468" s="1153"/>
      <c r="AH1468" s="1153"/>
      <c r="AI1468" s="732">
        <f t="shared" si="187"/>
        <v>181998</v>
      </c>
      <c r="AJ1468" s="733">
        <f t="shared" si="188"/>
        <v>183891</v>
      </c>
    </row>
    <row r="1469" spans="1:36">
      <c r="A1469" s="759" t="s">
        <v>636</v>
      </c>
      <c r="B1469" s="729" t="s">
        <v>685</v>
      </c>
      <c r="C1469" s="762" t="s">
        <v>72</v>
      </c>
      <c r="D1469" s="763"/>
      <c r="E1469" s="759">
        <v>198552</v>
      </c>
      <c r="F1469" s="759">
        <v>8</v>
      </c>
      <c r="G1469" s="1152"/>
      <c r="H1469" s="1153"/>
      <c r="I1469" s="1152">
        <v>3240336</v>
      </c>
      <c r="J1469" s="1153">
        <v>3087410</v>
      </c>
      <c r="K1469" s="1152"/>
      <c r="L1469" s="1153"/>
      <c r="M1469" s="1152">
        <v>337585</v>
      </c>
      <c r="N1469" s="1152"/>
      <c r="O1469" s="732">
        <f t="shared" si="181"/>
        <v>337585</v>
      </c>
      <c r="P1469" s="1153">
        <v>309538</v>
      </c>
      <c r="Q1469" s="1153"/>
      <c r="R1469" s="733">
        <f t="shared" si="184"/>
        <v>309538</v>
      </c>
      <c r="S1469" s="732">
        <f t="shared" si="185"/>
        <v>3577921</v>
      </c>
      <c r="T1469" s="733">
        <f t="shared" si="186"/>
        <v>3396948</v>
      </c>
      <c r="U1469" s="1152"/>
      <c r="V1469" s="1153"/>
      <c r="W1469" s="1152"/>
      <c r="X1469" s="1152"/>
      <c r="Y1469" s="732">
        <f t="shared" si="182"/>
        <v>0</v>
      </c>
      <c r="Z1469" s="1153"/>
      <c r="AA1469" s="1153"/>
      <c r="AB1469" s="733">
        <f t="shared" si="183"/>
        <v>0</v>
      </c>
      <c r="AC1469" s="1152"/>
      <c r="AD1469" s="1153"/>
      <c r="AE1469" s="1152"/>
      <c r="AF1469" s="1152"/>
      <c r="AG1469" s="1153"/>
      <c r="AH1469" s="1153"/>
      <c r="AI1469" s="732">
        <f t="shared" si="187"/>
        <v>3577921</v>
      </c>
      <c r="AJ1469" s="733">
        <f t="shared" si="188"/>
        <v>3396948</v>
      </c>
    </row>
    <row r="1470" spans="1:36">
      <c r="A1470" s="759" t="s">
        <v>636</v>
      </c>
      <c r="B1470" s="729" t="s">
        <v>62</v>
      </c>
      <c r="C1470" s="729" t="s">
        <v>690</v>
      </c>
      <c r="D1470" s="722"/>
      <c r="E1470" s="759">
        <v>198622</v>
      </c>
      <c r="F1470" s="759">
        <v>8</v>
      </c>
      <c r="G1470" s="1152">
        <v>39433434</v>
      </c>
      <c r="H1470" s="1153">
        <v>43033203</v>
      </c>
      <c r="I1470" s="1152"/>
      <c r="J1470" s="1153"/>
      <c r="K1470" s="1152">
        <v>16532000</v>
      </c>
      <c r="L1470" s="1153">
        <v>17015000</v>
      </c>
      <c r="M1470" s="1152">
        <v>14254384</v>
      </c>
      <c r="N1470" s="1152"/>
      <c r="O1470" s="732">
        <f t="shared" si="181"/>
        <v>14254384</v>
      </c>
      <c r="P1470" s="1153">
        <v>14904791</v>
      </c>
      <c r="Q1470" s="1153"/>
      <c r="R1470" s="733">
        <f t="shared" si="184"/>
        <v>14904791</v>
      </c>
      <c r="S1470" s="732">
        <f t="shared" si="185"/>
        <v>70219818</v>
      </c>
      <c r="T1470" s="733">
        <f t="shared" si="186"/>
        <v>74952994</v>
      </c>
      <c r="U1470" s="1152"/>
      <c r="V1470" s="1153"/>
      <c r="W1470" s="1152"/>
      <c r="X1470" s="1152"/>
      <c r="Y1470" s="732">
        <f t="shared" si="182"/>
        <v>0</v>
      </c>
      <c r="Z1470" s="1153"/>
      <c r="AA1470" s="1153"/>
      <c r="AB1470" s="733">
        <f t="shared" si="183"/>
        <v>0</v>
      </c>
      <c r="AC1470" s="1152"/>
      <c r="AD1470" s="1153"/>
      <c r="AE1470" s="1152"/>
      <c r="AF1470" s="1152"/>
      <c r="AG1470" s="1153"/>
      <c r="AH1470" s="1153"/>
      <c r="AI1470" s="732">
        <f t="shared" si="187"/>
        <v>70219818</v>
      </c>
      <c r="AJ1470" s="733">
        <f t="shared" si="188"/>
        <v>74952994</v>
      </c>
    </row>
    <row r="1471" spans="1:36">
      <c r="A1471" s="759" t="s">
        <v>636</v>
      </c>
      <c r="B1471" s="729" t="s">
        <v>62</v>
      </c>
      <c r="C1471" s="762" t="s">
        <v>684</v>
      </c>
      <c r="D1471" s="763"/>
      <c r="E1471" s="759">
        <v>198622</v>
      </c>
      <c r="F1471" s="759">
        <v>8</v>
      </c>
      <c r="G1471" s="1152"/>
      <c r="H1471" s="1153"/>
      <c r="I1471" s="1152"/>
      <c r="J1471" s="1153"/>
      <c r="K1471" s="1152"/>
      <c r="L1471" s="1153"/>
      <c r="M1471" s="1152"/>
      <c r="N1471" s="1152"/>
      <c r="O1471" s="732">
        <f t="shared" si="181"/>
        <v>0</v>
      </c>
      <c r="P1471" s="1153"/>
      <c r="Q1471" s="1153"/>
      <c r="R1471" s="733">
        <f t="shared" si="184"/>
        <v>0</v>
      </c>
      <c r="S1471" s="732">
        <f t="shared" si="185"/>
        <v>0</v>
      </c>
      <c r="T1471" s="733">
        <f t="shared" si="186"/>
        <v>0</v>
      </c>
      <c r="U1471" s="1152"/>
      <c r="V1471" s="1153"/>
      <c r="W1471" s="1152"/>
      <c r="X1471" s="1152"/>
      <c r="Y1471" s="732">
        <f t="shared" si="182"/>
        <v>0</v>
      </c>
      <c r="Z1471" s="1153"/>
      <c r="AA1471" s="1153"/>
      <c r="AB1471" s="733">
        <f t="shared" si="183"/>
        <v>0</v>
      </c>
      <c r="AC1471" s="1152"/>
      <c r="AD1471" s="1153"/>
      <c r="AE1471" s="1152"/>
      <c r="AF1471" s="1152"/>
      <c r="AG1471" s="1153"/>
      <c r="AH1471" s="1153"/>
      <c r="AI1471" s="732">
        <f t="shared" si="187"/>
        <v>0</v>
      </c>
      <c r="AJ1471" s="733">
        <f t="shared" si="188"/>
        <v>0</v>
      </c>
    </row>
    <row r="1472" spans="1:36">
      <c r="A1472" s="759" t="s">
        <v>636</v>
      </c>
      <c r="B1472" s="729" t="s">
        <v>69</v>
      </c>
      <c r="C1472" s="762" t="s">
        <v>70</v>
      </c>
      <c r="D1472" s="763"/>
      <c r="E1472" s="759">
        <v>198622</v>
      </c>
      <c r="F1472" s="759">
        <v>8</v>
      </c>
      <c r="G1472" s="1152"/>
      <c r="H1472" s="1153"/>
      <c r="I1472" s="1152">
        <v>180671</v>
      </c>
      <c r="J1472" s="1153">
        <v>182100</v>
      </c>
      <c r="K1472" s="1152"/>
      <c r="L1472" s="1153"/>
      <c r="M1472" s="1152"/>
      <c r="N1472" s="1152"/>
      <c r="O1472" s="732">
        <f t="shared" si="181"/>
        <v>0</v>
      </c>
      <c r="P1472" s="1153"/>
      <c r="Q1472" s="1153"/>
      <c r="R1472" s="733">
        <f t="shared" si="184"/>
        <v>0</v>
      </c>
      <c r="S1472" s="732">
        <f t="shared" si="185"/>
        <v>180671</v>
      </c>
      <c r="T1472" s="733">
        <f t="shared" si="186"/>
        <v>182100</v>
      </c>
      <c r="U1472" s="1152"/>
      <c r="V1472" s="1153"/>
      <c r="W1472" s="1152"/>
      <c r="X1472" s="1152"/>
      <c r="Y1472" s="732">
        <f t="shared" si="182"/>
        <v>0</v>
      </c>
      <c r="Z1472" s="1153"/>
      <c r="AA1472" s="1153"/>
      <c r="AB1472" s="733">
        <f t="shared" si="183"/>
        <v>0</v>
      </c>
      <c r="AC1472" s="1152"/>
      <c r="AD1472" s="1153"/>
      <c r="AE1472" s="1152"/>
      <c r="AF1472" s="1152"/>
      <c r="AG1472" s="1153"/>
      <c r="AH1472" s="1153"/>
      <c r="AI1472" s="732">
        <f t="shared" si="187"/>
        <v>180671</v>
      </c>
      <c r="AJ1472" s="733">
        <f t="shared" si="188"/>
        <v>182100</v>
      </c>
    </row>
    <row r="1473" spans="1:36">
      <c r="A1473" s="759" t="s">
        <v>636</v>
      </c>
      <c r="B1473" s="729" t="s">
        <v>685</v>
      </c>
      <c r="C1473" s="762" t="s">
        <v>72</v>
      </c>
      <c r="D1473" s="763"/>
      <c r="E1473" s="759">
        <v>198622</v>
      </c>
      <c r="F1473" s="759">
        <v>8</v>
      </c>
      <c r="G1473" s="1152"/>
      <c r="H1473" s="1153"/>
      <c r="I1473" s="1152">
        <v>4999636</v>
      </c>
      <c r="J1473" s="1153">
        <v>5011260</v>
      </c>
      <c r="K1473" s="1152"/>
      <c r="L1473" s="1153"/>
      <c r="M1473" s="1152">
        <v>442407</v>
      </c>
      <c r="N1473" s="1152"/>
      <c r="O1473" s="732">
        <f t="shared" si="181"/>
        <v>442407</v>
      </c>
      <c r="P1473" s="1153">
        <v>419769</v>
      </c>
      <c r="Q1473" s="1153"/>
      <c r="R1473" s="733">
        <f t="shared" si="184"/>
        <v>419769</v>
      </c>
      <c r="S1473" s="732">
        <f t="shared" si="185"/>
        <v>5442043</v>
      </c>
      <c r="T1473" s="733">
        <f t="shared" si="186"/>
        <v>5431029</v>
      </c>
      <c r="U1473" s="1152"/>
      <c r="V1473" s="1153"/>
      <c r="W1473" s="1152"/>
      <c r="X1473" s="1152"/>
      <c r="Y1473" s="732">
        <f t="shared" si="182"/>
        <v>0</v>
      </c>
      <c r="Z1473" s="1153"/>
      <c r="AA1473" s="1153"/>
      <c r="AB1473" s="733">
        <f t="shared" si="183"/>
        <v>0</v>
      </c>
      <c r="AC1473" s="1152"/>
      <c r="AD1473" s="1153"/>
      <c r="AE1473" s="1152"/>
      <c r="AF1473" s="1152"/>
      <c r="AG1473" s="1153"/>
      <c r="AH1473" s="1153"/>
      <c r="AI1473" s="732">
        <f t="shared" si="187"/>
        <v>5442043</v>
      </c>
      <c r="AJ1473" s="733">
        <f t="shared" si="188"/>
        <v>5431029</v>
      </c>
    </row>
    <row r="1474" spans="1:36">
      <c r="A1474" s="759" t="s">
        <v>636</v>
      </c>
      <c r="B1474" s="729" t="s">
        <v>62</v>
      </c>
      <c r="C1474" s="729" t="s">
        <v>691</v>
      </c>
      <c r="D1474" s="722"/>
      <c r="E1474" s="759">
        <v>199333</v>
      </c>
      <c r="F1474" s="759">
        <v>8</v>
      </c>
      <c r="G1474" s="1152">
        <v>29631767</v>
      </c>
      <c r="H1474" s="1153">
        <v>31682416</v>
      </c>
      <c r="I1474" s="1152"/>
      <c r="J1474" s="1153"/>
      <c r="K1474" s="1152">
        <v>5994738</v>
      </c>
      <c r="L1474" s="1153">
        <v>6168911</v>
      </c>
      <c r="M1474" s="1152">
        <v>11499656</v>
      </c>
      <c r="N1474" s="1152"/>
      <c r="O1474" s="732">
        <f t="shared" si="181"/>
        <v>11499656</v>
      </c>
      <c r="P1474" s="1153">
        <v>11559572</v>
      </c>
      <c r="Q1474" s="1153"/>
      <c r="R1474" s="733">
        <f t="shared" si="184"/>
        <v>11559572</v>
      </c>
      <c r="S1474" s="732">
        <f t="shared" si="185"/>
        <v>47126161</v>
      </c>
      <c r="T1474" s="733">
        <f t="shared" si="186"/>
        <v>49410899</v>
      </c>
      <c r="U1474" s="1152"/>
      <c r="V1474" s="1153"/>
      <c r="W1474" s="1152"/>
      <c r="X1474" s="1152"/>
      <c r="Y1474" s="732">
        <f t="shared" si="182"/>
        <v>0</v>
      </c>
      <c r="Z1474" s="1153"/>
      <c r="AA1474" s="1153"/>
      <c r="AB1474" s="733">
        <f t="shared" si="183"/>
        <v>0</v>
      </c>
      <c r="AC1474" s="1152"/>
      <c r="AD1474" s="1153"/>
      <c r="AE1474" s="1152"/>
      <c r="AF1474" s="1152"/>
      <c r="AG1474" s="1153"/>
      <c r="AH1474" s="1153"/>
      <c r="AI1474" s="732">
        <f t="shared" si="187"/>
        <v>47126161</v>
      </c>
      <c r="AJ1474" s="733">
        <f t="shared" si="188"/>
        <v>49410899</v>
      </c>
    </row>
    <row r="1475" spans="1:36">
      <c r="A1475" s="759" t="s">
        <v>636</v>
      </c>
      <c r="B1475" s="729" t="s">
        <v>62</v>
      </c>
      <c r="C1475" s="762" t="s">
        <v>684</v>
      </c>
      <c r="D1475" s="763"/>
      <c r="E1475" s="759">
        <v>199333</v>
      </c>
      <c r="F1475" s="759">
        <v>8</v>
      </c>
      <c r="G1475" s="1152"/>
      <c r="H1475" s="1153"/>
      <c r="I1475" s="1152"/>
      <c r="J1475" s="1153"/>
      <c r="K1475" s="1152"/>
      <c r="L1475" s="1153"/>
      <c r="M1475" s="1152"/>
      <c r="N1475" s="1152"/>
      <c r="O1475" s="732">
        <f t="shared" si="181"/>
        <v>0</v>
      </c>
      <c r="P1475" s="1153"/>
      <c r="Q1475" s="1153"/>
      <c r="R1475" s="733">
        <f t="shared" si="184"/>
        <v>0</v>
      </c>
      <c r="S1475" s="732">
        <f t="shared" si="185"/>
        <v>0</v>
      </c>
      <c r="T1475" s="733">
        <f t="shared" si="186"/>
        <v>0</v>
      </c>
      <c r="U1475" s="1152"/>
      <c r="V1475" s="1153"/>
      <c r="W1475" s="1152"/>
      <c r="X1475" s="1152"/>
      <c r="Y1475" s="732">
        <f t="shared" si="182"/>
        <v>0</v>
      </c>
      <c r="Z1475" s="1153"/>
      <c r="AA1475" s="1153"/>
      <c r="AB1475" s="733">
        <f t="shared" si="183"/>
        <v>0</v>
      </c>
      <c r="AC1475" s="1152"/>
      <c r="AD1475" s="1153"/>
      <c r="AE1475" s="1152"/>
      <c r="AF1475" s="1152"/>
      <c r="AG1475" s="1153"/>
      <c r="AH1475" s="1153"/>
      <c r="AI1475" s="732">
        <f t="shared" si="187"/>
        <v>0</v>
      </c>
      <c r="AJ1475" s="733">
        <f t="shared" si="188"/>
        <v>0</v>
      </c>
    </row>
    <row r="1476" spans="1:36">
      <c r="A1476" s="759" t="s">
        <v>636</v>
      </c>
      <c r="B1476" s="729" t="s">
        <v>69</v>
      </c>
      <c r="C1476" s="762" t="s">
        <v>70</v>
      </c>
      <c r="D1476" s="763"/>
      <c r="E1476" s="759">
        <v>199333</v>
      </c>
      <c r="F1476" s="759">
        <v>8</v>
      </c>
      <c r="G1476" s="1152"/>
      <c r="H1476" s="1153"/>
      <c r="I1476" s="1152">
        <v>180416</v>
      </c>
      <c r="J1476" s="1153">
        <v>171230</v>
      </c>
      <c r="K1476" s="1152"/>
      <c r="L1476" s="1153"/>
      <c r="M1476" s="1152"/>
      <c r="N1476" s="1152"/>
      <c r="O1476" s="732">
        <f t="shared" si="181"/>
        <v>0</v>
      </c>
      <c r="P1476" s="1153"/>
      <c r="Q1476" s="1153"/>
      <c r="R1476" s="733">
        <f t="shared" si="184"/>
        <v>0</v>
      </c>
      <c r="S1476" s="732">
        <f t="shared" si="185"/>
        <v>180416</v>
      </c>
      <c r="T1476" s="733">
        <f t="shared" si="186"/>
        <v>171230</v>
      </c>
      <c r="U1476" s="1152"/>
      <c r="V1476" s="1153"/>
      <c r="W1476" s="1152"/>
      <c r="X1476" s="1152"/>
      <c r="Y1476" s="732">
        <f t="shared" si="182"/>
        <v>0</v>
      </c>
      <c r="Z1476" s="1153"/>
      <c r="AA1476" s="1153"/>
      <c r="AB1476" s="733">
        <f t="shared" si="183"/>
        <v>0</v>
      </c>
      <c r="AC1476" s="1152"/>
      <c r="AD1476" s="1153"/>
      <c r="AE1476" s="1152"/>
      <c r="AF1476" s="1152"/>
      <c r="AG1476" s="1153"/>
      <c r="AH1476" s="1153"/>
      <c r="AI1476" s="732">
        <f t="shared" si="187"/>
        <v>180416</v>
      </c>
      <c r="AJ1476" s="733">
        <f t="shared" si="188"/>
        <v>171230</v>
      </c>
    </row>
    <row r="1477" spans="1:36">
      <c r="A1477" s="759" t="s">
        <v>636</v>
      </c>
      <c r="B1477" s="729" t="s">
        <v>685</v>
      </c>
      <c r="C1477" s="762" t="s">
        <v>72</v>
      </c>
      <c r="D1477" s="763"/>
      <c r="E1477" s="759">
        <v>199333</v>
      </c>
      <c r="F1477" s="759">
        <v>8</v>
      </c>
      <c r="G1477" s="1152"/>
      <c r="H1477" s="1153"/>
      <c r="I1477" s="1152">
        <v>2545078</v>
      </c>
      <c r="J1477" s="1153">
        <v>2776332</v>
      </c>
      <c r="K1477" s="1152"/>
      <c r="L1477" s="1153"/>
      <c r="M1477" s="1152">
        <v>288162</v>
      </c>
      <c r="N1477" s="1152"/>
      <c r="O1477" s="732">
        <f t="shared" si="181"/>
        <v>288162</v>
      </c>
      <c r="P1477" s="1153">
        <v>283186</v>
      </c>
      <c r="Q1477" s="1153"/>
      <c r="R1477" s="733">
        <f t="shared" si="184"/>
        <v>283186</v>
      </c>
      <c r="S1477" s="732">
        <f t="shared" si="185"/>
        <v>2833240</v>
      </c>
      <c r="T1477" s="733">
        <f t="shared" si="186"/>
        <v>3059518</v>
      </c>
      <c r="U1477" s="1152"/>
      <c r="V1477" s="1153"/>
      <c r="W1477" s="1152"/>
      <c r="X1477" s="1152"/>
      <c r="Y1477" s="732">
        <f t="shared" si="182"/>
        <v>0</v>
      </c>
      <c r="Z1477" s="1153"/>
      <c r="AA1477" s="1153"/>
      <c r="AB1477" s="733">
        <f t="shared" si="183"/>
        <v>0</v>
      </c>
      <c r="AC1477" s="1152"/>
      <c r="AD1477" s="1153"/>
      <c r="AE1477" s="1152"/>
      <c r="AF1477" s="1152"/>
      <c r="AG1477" s="1153"/>
      <c r="AH1477" s="1153"/>
      <c r="AI1477" s="732">
        <f t="shared" si="187"/>
        <v>2833240</v>
      </c>
      <c r="AJ1477" s="733">
        <f t="shared" si="188"/>
        <v>3059518</v>
      </c>
    </row>
    <row r="1478" spans="1:36">
      <c r="A1478" s="759" t="s">
        <v>636</v>
      </c>
      <c r="B1478" s="729" t="s">
        <v>62</v>
      </c>
      <c r="C1478" s="729" t="s">
        <v>692</v>
      </c>
      <c r="D1478" s="722"/>
      <c r="E1478" s="759">
        <v>199494</v>
      </c>
      <c r="F1478" s="759">
        <v>8</v>
      </c>
      <c r="G1478" s="1152">
        <v>29488265</v>
      </c>
      <c r="H1478" s="1153">
        <v>31637670</v>
      </c>
      <c r="I1478" s="1152"/>
      <c r="J1478" s="1153"/>
      <c r="K1478" s="1152"/>
      <c r="L1478" s="1155">
        <v>6866073</v>
      </c>
      <c r="M1478" s="1152">
        <v>8458810</v>
      </c>
      <c r="N1478" s="1152"/>
      <c r="O1478" s="732">
        <f t="shared" si="181"/>
        <v>8458810</v>
      </c>
      <c r="P1478" s="1153">
        <v>8693390</v>
      </c>
      <c r="Q1478" s="1153"/>
      <c r="R1478" s="733">
        <f t="shared" si="184"/>
        <v>8693390</v>
      </c>
      <c r="S1478" s="732">
        <f t="shared" si="185"/>
        <v>37947075</v>
      </c>
      <c r="T1478" s="733">
        <f t="shared" si="186"/>
        <v>47197133</v>
      </c>
      <c r="U1478" s="1152"/>
      <c r="V1478" s="1153"/>
      <c r="W1478" s="1152"/>
      <c r="X1478" s="1152"/>
      <c r="Y1478" s="732">
        <f t="shared" si="182"/>
        <v>0</v>
      </c>
      <c r="Z1478" s="1153"/>
      <c r="AA1478" s="1153"/>
      <c r="AB1478" s="733">
        <f t="shared" si="183"/>
        <v>0</v>
      </c>
      <c r="AC1478" s="1152"/>
      <c r="AD1478" s="1153"/>
      <c r="AE1478" s="1152"/>
      <c r="AF1478" s="1152"/>
      <c r="AG1478" s="1153"/>
      <c r="AH1478" s="1153"/>
      <c r="AI1478" s="732">
        <f t="shared" si="187"/>
        <v>37947075</v>
      </c>
      <c r="AJ1478" s="733">
        <f t="shared" si="188"/>
        <v>47197133</v>
      </c>
    </row>
    <row r="1479" spans="1:36">
      <c r="A1479" s="759" t="s">
        <v>636</v>
      </c>
      <c r="B1479" s="729" t="s">
        <v>62</v>
      </c>
      <c r="C1479" s="762" t="s">
        <v>684</v>
      </c>
      <c r="D1479" s="763"/>
      <c r="E1479" s="759">
        <v>199494</v>
      </c>
      <c r="F1479" s="759">
        <v>8</v>
      </c>
      <c r="G1479" s="1152"/>
      <c r="H1479" s="1153"/>
      <c r="I1479" s="1152"/>
      <c r="J1479" s="1153"/>
      <c r="K1479" s="1152"/>
      <c r="L1479" s="1153"/>
      <c r="M1479" s="1152"/>
      <c r="N1479" s="1152"/>
      <c r="O1479" s="732">
        <f t="shared" si="181"/>
        <v>0</v>
      </c>
      <c r="P1479" s="1153"/>
      <c r="Q1479" s="1153"/>
      <c r="R1479" s="733">
        <f t="shared" si="184"/>
        <v>0</v>
      </c>
      <c r="S1479" s="732">
        <f t="shared" si="185"/>
        <v>0</v>
      </c>
      <c r="T1479" s="733">
        <f t="shared" si="186"/>
        <v>0</v>
      </c>
      <c r="U1479" s="1152"/>
      <c r="V1479" s="1153"/>
      <c r="W1479" s="1152"/>
      <c r="X1479" s="1152"/>
      <c r="Y1479" s="732">
        <f t="shared" si="182"/>
        <v>0</v>
      </c>
      <c r="Z1479" s="1153"/>
      <c r="AA1479" s="1153"/>
      <c r="AB1479" s="733">
        <f t="shared" si="183"/>
        <v>0</v>
      </c>
      <c r="AC1479" s="1152"/>
      <c r="AD1479" s="1153"/>
      <c r="AE1479" s="1152"/>
      <c r="AF1479" s="1152"/>
      <c r="AG1479" s="1153"/>
      <c r="AH1479" s="1153"/>
      <c r="AI1479" s="732">
        <f t="shared" si="187"/>
        <v>0</v>
      </c>
      <c r="AJ1479" s="733">
        <f t="shared" si="188"/>
        <v>0</v>
      </c>
    </row>
    <row r="1480" spans="1:36">
      <c r="A1480" s="759" t="s">
        <v>636</v>
      </c>
      <c r="B1480" s="729" t="s">
        <v>69</v>
      </c>
      <c r="C1480" s="762" t="s">
        <v>70</v>
      </c>
      <c r="D1480" s="763"/>
      <c r="E1480" s="759">
        <v>199494</v>
      </c>
      <c r="F1480" s="759">
        <v>8</v>
      </c>
      <c r="G1480" s="1152"/>
      <c r="H1480" s="1153"/>
      <c r="I1480" s="1152">
        <v>174599</v>
      </c>
      <c r="J1480" s="1153">
        <v>174735</v>
      </c>
      <c r="K1480" s="1152"/>
      <c r="L1480" s="1153"/>
      <c r="M1480" s="1152"/>
      <c r="N1480" s="1152"/>
      <c r="O1480" s="732">
        <f t="shared" si="181"/>
        <v>0</v>
      </c>
      <c r="P1480" s="1153"/>
      <c r="Q1480" s="1153"/>
      <c r="R1480" s="733">
        <f t="shared" si="184"/>
        <v>0</v>
      </c>
      <c r="S1480" s="732">
        <f t="shared" si="185"/>
        <v>174599</v>
      </c>
      <c r="T1480" s="733">
        <f t="shared" si="186"/>
        <v>174735</v>
      </c>
      <c r="U1480" s="1152"/>
      <c r="V1480" s="1153"/>
      <c r="W1480" s="1152"/>
      <c r="X1480" s="1152"/>
      <c r="Y1480" s="732">
        <f t="shared" si="182"/>
        <v>0</v>
      </c>
      <c r="Z1480" s="1153"/>
      <c r="AA1480" s="1153"/>
      <c r="AB1480" s="733">
        <f t="shared" si="183"/>
        <v>0</v>
      </c>
      <c r="AC1480" s="1152"/>
      <c r="AD1480" s="1153"/>
      <c r="AE1480" s="1152"/>
      <c r="AF1480" s="1152"/>
      <c r="AG1480" s="1153"/>
      <c r="AH1480" s="1153"/>
      <c r="AI1480" s="732">
        <f t="shared" si="187"/>
        <v>174599</v>
      </c>
      <c r="AJ1480" s="733">
        <f t="shared" si="188"/>
        <v>174735</v>
      </c>
    </row>
    <row r="1481" spans="1:36">
      <c r="A1481" s="759" t="s">
        <v>636</v>
      </c>
      <c r="B1481" s="729" t="s">
        <v>685</v>
      </c>
      <c r="C1481" s="762" t="s">
        <v>72</v>
      </c>
      <c r="D1481" s="763"/>
      <c r="E1481" s="759">
        <v>199494</v>
      </c>
      <c r="F1481" s="759">
        <v>8</v>
      </c>
      <c r="G1481" s="1152"/>
      <c r="H1481" s="1153"/>
      <c r="I1481" s="1152">
        <v>4438033</v>
      </c>
      <c r="J1481" s="1153">
        <v>4737796</v>
      </c>
      <c r="K1481" s="1152"/>
      <c r="L1481" s="1153"/>
      <c r="M1481" s="1152">
        <v>493423</v>
      </c>
      <c r="N1481" s="1152"/>
      <c r="O1481" s="732">
        <f t="shared" si="181"/>
        <v>493423</v>
      </c>
      <c r="P1481" s="1153">
        <v>527031</v>
      </c>
      <c r="Q1481" s="1153"/>
      <c r="R1481" s="733">
        <f t="shared" si="184"/>
        <v>527031</v>
      </c>
      <c r="S1481" s="732">
        <f t="shared" si="185"/>
        <v>4931456</v>
      </c>
      <c r="T1481" s="733">
        <f t="shared" si="186"/>
        <v>5264827</v>
      </c>
      <c r="U1481" s="1152"/>
      <c r="V1481" s="1153"/>
      <c r="W1481" s="1152"/>
      <c r="X1481" s="1152"/>
      <c r="Y1481" s="732">
        <f t="shared" si="182"/>
        <v>0</v>
      </c>
      <c r="Z1481" s="1153"/>
      <c r="AA1481" s="1153"/>
      <c r="AB1481" s="733">
        <f t="shared" si="183"/>
        <v>0</v>
      </c>
      <c r="AC1481" s="1152"/>
      <c r="AD1481" s="1153"/>
      <c r="AE1481" s="1152"/>
      <c r="AF1481" s="1152"/>
      <c r="AG1481" s="1153"/>
      <c r="AH1481" s="1153"/>
      <c r="AI1481" s="732">
        <f t="shared" si="187"/>
        <v>4931456</v>
      </c>
      <c r="AJ1481" s="733">
        <f t="shared" si="188"/>
        <v>5264827</v>
      </c>
    </row>
    <row r="1482" spans="1:36">
      <c r="A1482" s="759" t="s">
        <v>636</v>
      </c>
      <c r="B1482" s="729" t="s">
        <v>62</v>
      </c>
      <c r="C1482" s="729" t="s">
        <v>693</v>
      </c>
      <c r="D1482" s="722"/>
      <c r="E1482" s="759">
        <v>199856</v>
      </c>
      <c r="F1482" s="759">
        <v>8</v>
      </c>
      <c r="G1482" s="1152">
        <v>78295665</v>
      </c>
      <c r="H1482" s="1153">
        <v>82347291</v>
      </c>
      <c r="I1482" s="1152"/>
      <c r="J1482" s="1153"/>
      <c r="K1482" s="1152">
        <v>24580436</v>
      </c>
      <c r="L1482" s="1153">
        <v>24748030</v>
      </c>
      <c r="M1482" s="1152">
        <v>29205766</v>
      </c>
      <c r="N1482" s="1152"/>
      <c r="O1482" s="732">
        <f t="shared" ref="O1482:O1545" si="189">SUM(M1482:N1482)</f>
        <v>29205766</v>
      </c>
      <c r="P1482" s="1153">
        <v>28964034</v>
      </c>
      <c r="Q1482" s="1153"/>
      <c r="R1482" s="733">
        <f t="shared" si="184"/>
        <v>28964034</v>
      </c>
      <c r="S1482" s="732">
        <f t="shared" si="185"/>
        <v>132081867</v>
      </c>
      <c r="T1482" s="733">
        <f t="shared" si="186"/>
        <v>136059355</v>
      </c>
      <c r="U1482" s="1152"/>
      <c r="V1482" s="1153"/>
      <c r="W1482" s="1152"/>
      <c r="X1482" s="1152"/>
      <c r="Y1482" s="732">
        <f t="shared" ref="Y1482:Y1545" si="190">SUM(W1482:X1482)</f>
        <v>0</v>
      </c>
      <c r="Z1482" s="1153"/>
      <c r="AA1482" s="1153"/>
      <c r="AB1482" s="733">
        <f t="shared" ref="AB1482:AB1545" si="191">SUM(Z1482:AA1482)</f>
        <v>0</v>
      </c>
      <c r="AC1482" s="1152"/>
      <c r="AD1482" s="1153"/>
      <c r="AE1482" s="1152"/>
      <c r="AF1482" s="1152"/>
      <c r="AG1482" s="1153"/>
      <c r="AH1482" s="1153"/>
      <c r="AI1482" s="732">
        <f t="shared" si="187"/>
        <v>132081867</v>
      </c>
      <c r="AJ1482" s="733">
        <f t="shared" si="188"/>
        <v>136059355</v>
      </c>
    </row>
    <row r="1483" spans="1:36" customFormat="1" ht="15" customHeight="1">
      <c r="A1483" s="759" t="s">
        <v>636</v>
      </c>
      <c r="B1483" s="729" t="s">
        <v>62</v>
      </c>
      <c r="C1483" s="762" t="s">
        <v>684</v>
      </c>
      <c r="D1483" s="763"/>
      <c r="E1483" s="759">
        <v>199856</v>
      </c>
      <c r="F1483" s="759">
        <v>8</v>
      </c>
      <c r="G1483" s="1152"/>
      <c r="H1483" s="1153"/>
      <c r="I1483" s="1152"/>
      <c r="J1483" s="1153"/>
      <c r="K1483" s="1152"/>
      <c r="L1483" s="1153"/>
      <c r="M1483" s="1152"/>
      <c r="N1483" s="1152"/>
      <c r="O1483" s="732">
        <f t="shared" si="189"/>
        <v>0</v>
      </c>
      <c r="P1483" s="1153"/>
      <c r="Q1483" s="1153"/>
      <c r="R1483" s="733">
        <f t="shared" ref="R1483:R1546" si="192">SUM(P1483:Q1483)</f>
        <v>0</v>
      </c>
      <c r="S1483" s="732">
        <f t="shared" ref="S1483:S1546" si="193">SUM(G1483,I1483,K1483,M1483)</f>
        <v>0</v>
      </c>
      <c r="T1483" s="733">
        <f t="shared" ref="T1483:T1546" si="194">SUM(H1483,J1483,L1483,P1483)</f>
        <v>0</v>
      </c>
      <c r="U1483" s="1152"/>
      <c r="V1483" s="1153"/>
      <c r="W1483" s="1152"/>
      <c r="X1483" s="1152"/>
      <c r="Y1483" s="732">
        <f t="shared" si="190"/>
        <v>0</v>
      </c>
      <c r="Z1483" s="1153"/>
      <c r="AA1483" s="1153"/>
      <c r="AB1483" s="733">
        <f t="shared" si="191"/>
        <v>0</v>
      </c>
      <c r="AC1483" s="1152"/>
      <c r="AD1483" s="1153"/>
      <c r="AE1483" s="1152"/>
      <c r="AF1483" s="1152"/>
      <c r="AG1483" s="1153"/>
      <c r="AH1483" s="1153"/>
      <c r="AI1483" s="732">
        <f t="shared" ref="AI1483:AI1546" si="195">SUM(S1483,U1483,W1483,AC1483,AE1483)</f>
        <v>0</v>
      </c>
      <c r="AJ1483" s="733">
        <f t="shared" ref="AJ1483:AJ1546" si="196">SUM(T1483,V1483,Z1483,AD1483,AG1483)</f>
        <v>0</v>
      </c>
    </row>
    <row r="1484" spans="1:36">
      <c r="A1484" s="759" t="s">
        <v>636</v>
      </c>
      <c r="B1484" s="729" t="s">
        <v>69</v>
      </c>
      <c r="C1484" s="762" t="s">
        <v>70</v>
      </c>
      <c r="D1484" s="763"/>
      <c r="E1484" s="759">
        <v>199856</v>
      </c>
      <c r="F1484" s="759">
        <v>8</v>
      </c>
      <c r="G1484" s="1152"/>
      <c r="H1484" s="1153"/>
      <c r="I1484" s="1152">
        <v>183325</v>
      </c>
      <c r="J1484" s="1153">
        <v>184503</v>
      </c>
      <c r="K1484" s="1152"/>
      <c r="L1484" s="1153"/>
      <c r="M1484" s="1152"/>
      <c r="N1484" s="1152"/>
      <c r="O1484" s="732">
        <f t="shared" si="189"/>
        <v>0</v>
      </c>
      <c r="P1484" s="1153"/>
      <c r="Q1484" s="1153"/>
      <c r="R1484" s="733">
        <f t="shared" si="192"/>
        <v>0</v>
      </c>
      <c r="S1484" s="732">
        <f t="shared" si="193"/>
        <v>183325</v>
      </c>
      <c r="T1484" s="733">
        <f t="shared" si="194"/>
        <v>184503</v>
      </c>
      <c r="U1484" s="1152"/>
      <c r="V1484" s="1153"/>
      <c r="W1484" s="1152"/>
      <c r="X1484" s="1152"/>
      <c r="Y1484" s="732">
        <f t="shared" si="190"/>
        <v>0</v>
      </c>
      <c r="Z1484" s="1153"/>
      <c r="AA1484" s="1153"/>
      <c r="AB1484" s="733">
        <f t="shared" si="191"/>
        <v>0</v>
      </c>
      <c r="AC1484" s="1152"/>
      <c r="AD1484" s="1153"/>
      <c r="AE1484" s="1152"/>
      <c r="AF1484" s="1152"/>
      <c r="AG1484" s="1153"/>
      <c r="AH1484" s="1153"/>
      <c r="AI1484" s="732">
        <f t="shared" si="195"/>
        <v>183325</v>
      </c>
      <c r="AJ1484" s="733">
        <f t="shared" si="196"/>
        <v>184503</v>
      </c>
    </row>
    <row r="1485" spans="1:36">
      <c r="A1485" s="759" t="s">
        <v>636</v>
      </c>
      <c r="B1485" s="729" t="s">
        <v>685</v>
      </c>
      <c r="C1485" s="762" t="s">
        <v>72</v>
      </c>
      <c r="D1485" s="763"/>
      <c r="E1485" s="759">
        <v>199856</v>
      </c>
      <c r="F1485" s="759">
        <v>8</v>
      </c>
      <c r="G1485" s="1152"/>
      <c r="H1485" s="1153"/>
      <c r="I1485" s="1152">
        <v>10357786</v>
      </c>
      <c r="J1485" s="1153">
        <v>10851365</v>
      </c>
      <c r="K1485" s="1152"/>
      <c r="L1485" s="1153"/>
      <c r="M1485" s="1152">
        <v>1060980</v>
      </c>
      <c r="N1485" s="1152"/>
      <c r="O1485" s="732">
        <f t="shared" si="189"/>
        <v>1060980</v>
      </c>
      <c r="P1485" s="1153">
        <v>1021772</v>
      </c>
      <c r="Q1485" s="1153"/>
      <c r="R1485" s="733">
        <f t="shared" si="192"/>
        <v>1021772</v>
      </c>
      <c r="S1485" s="732">
        <f t="shared" si="193"/>
        <v>11418766</v>
      </c>
      <c r="T1485" s="733">
        <f t="shared" si="194"/>
        <v>11873137</v>
      </c>
      <c r="U1485" s="1152"/>
      <c r="V1485" s="1153"/>
      <c r="W1485" s="1152"/>
      <c r="X1485" s="1152"/>
      <c r="Y1485" s="732">
        <f t="shared" si="190"/>
        <v>0</v>
      </c>
      <c r="Z1485" s="1153"/>
      <c r="AA1485" s="1153"/>
      <c r="AB1485" s="733">
        <f t="shared" si="191"/>
        <v>0</v>
      </c>
      <c r="AC1485" s="1152"/>
      <c r="AD1485" s="1153"/>
      <c r="AE1485" s="1152"/>
      <c r="AF1485" s="1152"/>
      <c r="AG1485" s="1153"/>
      <c r="AH1485" s="1153"/>
      <c r="AI1485" s="732">
        <f t="shared" si="195"/>
        <v>11418766</v>
      </c>
      <c r="AJ1485" s="733">
        <f t="shared" si="196"/>
        <v>11873137</v>
      </c>
    </row>
    <row r="1486" spans="1:36">
      <c r="A1486" s="759" t="s">
        <v>636</v>
      </c>
      <c r="B1486" s="729" t="s">
        <v>62</v>
      </c>
      <c r="C1486" s="729" t="s">
        <v>694</v>
      </c>
      <c r="D1486" s="722"/>
      <c r="E1486" s="759">
        <v>199786</v>
      </c>
      <c r="F1486" s="759">
        <v>9</v>
      </c>
      <c r="G1486" s="1152">
        <v>16066541</v>
      </c>
      <c r="H1486" s="1153">
        <v>17558885</v>
      </c>
      <c r="I1486" s="1152"/>
      <c r="J1486" s="1153"/>
      <c r="K1486" s="1152">
        <v>3464312</v>
      </c>
      <c r="L1486" s="1153">
        <v>3424312</v>
      </c>
      <c r="M1486" s="1152">
        <v>5584312</v>
      </c>
      <c r="N1486" s="1152"/>
      <c r="O1486" s="732">
        <f t="shared" si="189"/>
        <v>5584312</v>
      </c>
      <c r="P1486" s="1153">
        <v>5746832</v>
      </c>
      <c r="Q1486" s="1153"/>
      <c r="R1486" s="733">
        <f t="shared" si="192"/>
        <v>5746832</v>
      </c>
      <c r="S1486" s="732">
        <f t="shared" si="193"/>
        <v>25115165</v>
      </c>
      <c r="T1486" s="733">
        <f t="shared" si="194"/>
        <v>26730029</v>
      </c>
      <c r="U1486" s="1152"/>
      <c r="V1486" s="1153"/>
      <c r="W1486" s="1152"/>
      <c r="X1486" s="1152"/>
      <c r="Y1486" s="732">
        <f t="shared" si="190"/>
        <v>0</v>
      </c>
      <c r="Z1486" s="1153"/>
      <c r="AA1486" s="1153"/>
      <c r="AB1486" s="733">
        <f t="shared" si="191"/>
        <v>0</v>
      </c>
      <c r="AC1486" s="1152"/>
      <c r="AD1486" s="1153"/>
      <c r="AE1486" s="1152"/>
      <c r="AF1486" s="1152"/>
      <c r="AG1486" s="1153"/>
      <c r="AH1486" s="1153"/>
      <c r="AI1486" s="732">
        <f t="shared" si="195"/>
        <v>25115165</v>
      </c>
      <c r="AJ1486" s="733">
        <f t="shared" si="196"/>
        <v>26730029</v>
      </c>
    </row>
    <row r="1487" spans="1:36">
      <c r="A1487" s="759" t="s">
        <v>636</v>
      </c>
      <c r="B1487" s="729" t="s">
        <v>62</v>
      </c>
      <c r="C1487" s="762" t="s">
        <v>684</v>
      </c>
      <c r="D1487" s="763"/>
      <c r="E1487" s="759">
        <v>199786</v>
      </c>
      <c r="F1487" s="759">
        <v>9</v>
      </c>
      <c r="G1487" s="1152"/>
      <c r="H1487" s="1153"/>
      <c r="I1487" s="1152"/>
      <c r="J1487" s="1153"/>
      <c r="K1487" s="1152"/>
      <c r="L1487" s="1153"/>
      <c r="M1487" s="1152"/>
      <c r="N1487" s="1152"/>
      <c r="O1487" s="732">
        <f t="shared" si="189"/>
        <v>0</v>
      </c>
      <c r="P1487" s="1153"/>
      <c r="Q1487" s="1153"/>
      <c r="R1487" s="733">
        <f t="shared" si="192"/>
        <v>0</v>
      </c>
      <c r="S1487" s="732">
        <f t="shared" si="193"/>
        <v>0</v>
      </c>
      <c r="T1487" s="733">
        <f t="shared" si="194"/>
        <v>0</v>
      </c>
      <c r="U1487" s="1152"/>
      <c r="V1487" s="1153"/>
      <c r="W1487" s="1152"/>
      <c r="X1487" s="1152"/>
      <c r="Y1487" s="732">
        <f t="shared" si="190"/>
        <v>0</v>
      </c>
      <c r="Z1487" s="1153"/>
      <c r="AA1487" s="1153"/>
      <c r="AB1487" s="733">
        <f t="shared" si="191"/>
        <v>0</v>
      </c>
      <c r="AC1487" s="1152"/>
      <c r="AD1487" s="1153"/>
      <c r="AE1487" s="1152"/>
      <c r="AF1487" s="1152"/>
      <c r="AG1487" s="1153"/>
      <c r="AH1487" s="1153"/>
      <c r="AI1487" s="732">
        <f t="shared" si="195"/>
        <v>0</v>
      </c>
      <c r="AJ1487" s="733">
        <f t="shared" si="196"/>
        <v>0</v>
      </c>
    </row>
    <row r="1488" spans="1:36">
      <c r="A1488" s="759" t="s">
        <v>636</v>
      </c>
      <c r="B1488" s="729" t="s">
        <v>69</v>
      </c>
      <c r="C1488" s="762" t="s">
        <v>70</v>
      </c>
      <c r="D1488" s="763"/>
      <c r="E1488" s="759">
        <v>199786</v>
      </c>
      <c r="F1488" s="759">
        <v>9</v>
      </c>
      <c r="G1488" s="1152"/>
      <c r="H1488" s="1153"/>
      <c r="I1488" s="1152">
        <v>173068</v>
      </c>
      <c r="J1488" s="1153">
        <v>174479</v>
      </c>
      <c r="K1488" s="1152"/>
      <c r="L1488" s="1153"/>
      <c r="M1488" s="1152"/>
      <c r="N1488" s="1152"/>
      <c r="O1488" s="732">
        <f t="shared" si="189"/>
        <v>0</v>
      </c>
      <c r="P1488" s="1153"/>
      <c r="Q1488" s="1153"/>
      <c r="R1488" s="733">
        <f t="shared" si="192"/>
        <v>0</v>
      </c>
      <c r="S1488" s="732">
        <f t="shared" si="193"/>
        <v>173068</v>
      </c>
      <c r="T1488" s="733">
        <f t="shared" si="194"/>
        <v>174479</v>
      </c>
      <c r="U1488" s="1152"/>
      <c r="V1488" s="1153"/>
      <c r="W1488" s="1152"/>
      <c r="X1488" s="1152"/>
      <c r="Y1488" s="732">
        <f t="shared" si="190"/>
        <v>0</v>
      </c>
      <c r="Z1488" s="1153"/>
      <c r="AA1488" s="1153"/>
      <c r="AB1488" s="733">
        <f t="shared" si="191"/>
        <v>0</v>
      </c>
      <c r="AC1488" s="1152"/>
      <c r="AD1488" s="1153"/>
      <c r="AE1488" s="1152"/>
      <c r="AF1488" s="1152"/>
      <c r="AG1488" s="1153"/>
      <c r="AH1488" s="1153"/>
      <c r="AI1488" s="732">
        <f t="shared" si="195"/>
        <v>173068</v>
      </c>
      <c r="AJ1488" s="733">
        <f t="shared" si="196"/>
        <v>174479</v>
      </c>
    </row>
    <row r="1489" spans="1:36">
      <c r="A1489" s="759" t="s">
        <v>636</v>
      </c>
      <c r="B1489" s="729" t="s">
        <v>685</v>
      </c>
      <c r="C1489" s="762" t="s">
        <v>72</v>
      </c>
      <c r="D1489" s="763"/>
      <c r="E1489" s="759">
        <v>199786</v>
      </c>
      <c r="F1489" s="759">
        <v>9</v>
      </c>
      <c r="G1489" s="1152"/>
      <c r="H1489" s="1153"/>
      <c r="I1489" s="1152">
        <v>2402150</v>
      </c>
      <c r="J1489" s="1153">
        <v>2790688</v>
      </c>
      <c r="K1489" s="1152"/>
      <c r="L1489" s="1153"/>
      <c r="M1489" s="1152">
        <v>241530</v>
      </c>
      <c r="N1489" s="1152"/>
      <c r="O1489" s="732">
        <f t="shared" si="189"/>
        <v>241530</v>
      </c>
      <c r="P1489" s="1153">
        <v>263516</v>
      </c>
      <c r="Q1489" s="1153"/>
      <c r="R1489" s="733">
        <f t="shared" si="192"/>
        <v>263516</v>
      </c>
      <c r="S1489" s="732">
        <f t="shared" si="193"/>
        <v>2643680</v>
      </c>
      <c r="T1489" s="733">
        <f t="shared" si="194"/>
        <v>3054204</v>
      </c>
      <c r="U1489" s="1152"/>
      <c r="V1489" s="1153"/>
      <c r="W1489" s="1152"/>
      <c r="X1489" s="1152"/>
      <c r="Y1489" s="732">
        <f t="shared" si="190"/>
        <v>0</v>
      </c>
      <c r="Z1489" s="1153"/>
      <c r="AA1489" s="1153"/>
      <c r="AB1489" s="733">
        <f t="shared" si="191"/>
        <v>0</v>
      </c>
      <c r="AC1489" s="1152"/>
      <c r="AD1489" s="1153"/>
      <c r="AE1489" s="1152"/>
      <c r="AF1489" s="1152"/>
      <c r="AG1489" s="1153"/>
      <c r="AH1489" s="1153"/>
      <c r="AI1489" s="732">
        <f t="shared" si="195"/>
        <v>2643680</v>
      </c>
      <c r="AJ1489" s="733">
        <f t="shared" si="196"/>
        <v>3054204</v>
      </c>
    </row>
    <row r="1490" spans="1:36">
      <c r="A1490" s="759" t="s">
        <v>636</v>
      </c>
      <c r="B1490" s="729" t="s">
        <v>62</v>
      </c>
      <c r="C1490" s="729" t="s">
        <v>695</v>
      </c>
      <c r="D1490" s="722"/>
      <c r="E1490" s="759">
        <v>198118</v>
      </c>
      <c r="F1490" s="759">
        <v>9</v>
      </c>
      <c r="G1490" s="1152">
        <v>15249246</v>
      </c>
      <c r="H1490" s="1153">
        <v>16436907</v>
      </c>
      <c r="I1490" s="1152"/>
      <c r="J1490" s="1153"/>
      <c r="K1490" s="1152">
        <v>4200193</v>
      </c>
      <c r="L1490" s="1153">
        <v>4288898</v>
      </c>
      <c r="M1490" s="1152">
        <v>4852379</v>
      </c>
      <c r="N1490" s="1152"/>
      <c r="O1490" s="732">
        <f t="shared" si="189"/>
        <v>4852379</v>
      </c>
      <c r="P1490" s="1153">
        <v>5000950</v>
      </c>
      <c r="Q1490" s="1153"/>
      <c r="R1490" s="733">
        <f t="shared" si="192"/>
        <v>5000950</v>
      </c>
      <c r="S1490" s="732">
        <f t="shared" si="193"/>
        <v>24301818</v>
      </c>
      <c r="T1490" s="733">
        <f t="shared" si="194"/>
        <v>25726755</v>
      </c>
      <c r="U1490" s="1152"/>
      <c r="V1490" s="1153"/>
      <c r="W1490" s="1152"/>
      <c r="X1490" s="1152"/>
      <c r="Y1490" s="732">
        <f t="shared" si="190"/>
        <v>0</v>
      </c>
      <c r="Z1490" s="1153"/>
      <c r="AA1490" s="1153"/>
      <c r="AB1490" s="733">
        <f t="shared" si="191"/>
        <v>0</v>
      </c>
      <c r="AC1490" s="1152"/>
      <c r="AD1490" s="1153"/>
      <c r="AE1490" s="1152"/>
      <c r="AF1490" s="1152"/>
      <c r="AG1490" s="1153"/>
      <c r="AH1490" s="1153"/>
      <c r="AI1490" s="732">
        <f t="shared" si="195"/>
        <v>24301818</v>
      </c>
      <c r="AJ1490" s="733">
        <f t="shared" si="196"/>
        <v>25726755</v>
      </c>
    </row>
    <row r="1491" spans="1:36">
      <c r="A1491" s="759" t="s">
        <v>636</v>
      </c>
      <c r="B1491" s="729" t="s">
        <v>62</v>
      </c>
      <c r="C1491" s="762" t="s">
        <v>684</v>
      </c>
      <c r="D1491" s="763"/>
      <c r="E1491" s="759">
        <v>198118</v>
      </c>
      <c r="F1491" s="759">
        <v>9</v>
      </c>
      <c r="G1491" s="1152"/>
      <c r="H1491" s="1153"/>
      <c r="I1491" s="1152"/>
      <c r="J1491" s="1153"/>
      <c r="K1491" s="1152"/>
      <c r="L1491" s="1153"/>
      <c r="M1491" s="1152"/>
      <c r="N1491" s="1152"/>
      <c r="O1491" s="732">
        <f t="shared" si="189"/>
        <v>0</v>
      </c>
      <c r="P1491" s="1153"/>
      <c r="Q1491" s="1153"/>
      <c r="R1491" s="733">
        <f t="shared" si="192"/>
        <v>0</v>
      </c>
      <c r="S1491" s="732">
        <f t="shared" si="193"/>
        <v>0</v>
      </c>
      <c r="T1491" s="733">
        <f t="shared" si="194"/>
        <v>0</v>
      </c>
      <c r="U1491" s="1152"/>
      <c r="V1491" s="1153"/>
      <c r="W1491" s="1152"/>
      <c r="X1491" s="1152"/>
      <c r="Y1491" s="732">
        <f t="shared" si="190"/>
        <v>0</v>
      </c>
      <c r="Z1491" s="1153"/>
      <c r="AA1491" s="1153"/>
      <c r="AB1491" s="733">
        <f t="shared" si="191"/>
        <v>0</v>
      </c>
      <c r="AC1491" s="1152"/>
      <c r="AD1491" s="1153"/>
      <c r="AE1491" s="1152"/>
      <c r="AF1491" s="1152"/>
      <c r="AG1491" s="1153"/>
      <c r="AH1491" s="1153"/>
      <c r="AI1491" s="732">
        <f t="shared" si="195"/>
        <v>0</v>
      </c>
      <c r="AJ1491" s="733">
        <f t="shared" si="196"/>
        <v>0</v>
      </c>
    </row>
    <row r="1492" spans="1:36">
      <c r="A1492" s="759" t="s">
        <v>636</v>
      </c>
      <c r="B1492" s="729" t="s">
        <v>69</v>
      </c>
      <c r="C1492" s="762" t="s">
        <v>70</v>
      </c>
      <c r="D1492" s="763"/>
      <c r="E1492" s="759">
        <v>198118</v>
      </c>
      <c r="F1492" s="759">
        <v>9</v>
      </c>
      <c r="G1492" s="1152"/>
      <c r="H1492" s="1153"/>
      <c r="I1492" s="1152">
        <v>162302</v>
      </c>
      <c r="J1492" s="1153">
        <v>165144</v>
      </c>
      <c r="K1492" s="1152"/>
      <c r="L1492" s="1153"/>
      <c r="M1492" s="1152"/>
      <c r="N1492" s="1152"/>
      <c r="O1492" s="732">
        <f t="shared" si="189"/>
        <v>0</v>
      </c>
      <c r="P1492" s="1153"/>
      <c r="Q1492" s="1153"/>
      <c r="R1492" s="733">
        <f t="shared" si="192"/>
        <v>0</v>
      </c>
      <c r="S1492" s="732">
        <f t="shared" si="193"/>
        <v>162302</v>
      </c>
      <c r="T1492" s="733">
        <f t="shared" si="194"/>
        <v>165144</v>
      </c>
      <c r="U1492" s="1152"/>
      <c r="V1492" s="1153"/>
      <c r="W1492" s="1152"/>
      <c r="X1492" s="1152"/>
      <c r="Y1492" s="732">
        <f t="shared" si="190"/>
        <v>0</v>
      </c>
      <c r="Z1492" s="1153"/>
      <c r="AA1492" s="1153"/>
      <c r="AB1492" s="733">
        <f t="shared" si="191"/>
        <v>0</v>
      </c>
      <c r="AC1492" s="1152"/>
      <c r="AD1492" s="1153"/>
      <c r="AE1492" s="1152"/>
      <c r="AF1492" s="1152"/>
      <c r="AG1492" s="1153"/>
      <c r="AH1492" s="1153"/>
      <c r="AI1492" s="732">
        <f t="shared" si="195"/>
        <v>162302</v>
      </c>
      <c r="AJ1492" s="733">
        <f t="shared" si="196"/>
        <v>165144</v>
      </c>
    </row>
    <row r="1493" spans="1:36">
      <c r="A1493" s="759" t="s">
        <v>636</v>
      </c>
      <c r="B1493" s="729" t="s">
        <v>685</v>
      </c>
      <c r="C1493" s="762" t="s">
        <v>72</v>
      </c>
      <c r="D1493" s="763"/>
      <c r="E1493" s="759">
        <v>198118</v>
      </c>
      <c r="F1493" s="759">
        <v>9</v>
      </c>
      <c r="G1493" s="1152"/>
      <c r="H1493" s="1153"/>
      <c r="I1493" s="1152">
        <v>2663973</v>
      </c>
      <c r="J1493" s="1153">
        <v>3004026</v>
      </c>
      <c r="K1493" s="1152"/>
      <c r="L1493" s="1153"/>
      <c r="M1493" s="1152">
        <v>277800</v>
      </c>
      <c r="N1493" s="1152"/>
      <c r="O1493" s="732">
        <f t="shared" si="189"/>
        <v>277800</v>
      </c>
      <c r="P1493" s="1153">
        <v>288011</v>
      </c>
      <c r="Q1493" s="1153"/>
      <c r="R1493" s="733">
        <f t="shared" si="192"/>
        <v>288011</v>
      </c>
      <c r="S1493" s="732">
        <f t="shared" si="193"/>
        <v>2941773</v>
      </c>
      <c r="T1493" s="733">
        <f t="shared" si="194"/>
        <v>3292037</v>
      </c>
      <c r="U1493" s="1152"/>
      <c r="V1493" s="1153"/>
      <c r="W1493" s="1152"/>
      <c r="X1493" s="1152"/>
      <c r="Y1493" s="732">
        <f t="shared" si="190"/>
        <v>0</v>
      </c>
      <c r="Z1493" s="1153"/>
      <c r="AA1493" s="1153"/>
      <c r="AB1493" s="733">
        <f t="shared" si="191"/>
        <v>0</v>
      </c>
      <c r="AC1493" s="1152"/>
      <c r="AD1493" s="1153"/>
      <c r="AE1493" s="1152"/>
      <c r="AF1493" s="1152"/>
      <c r="AG1493" s="1153"/>
      <c r="AH1493" s="1153"/>
      <c r="AI1493" s="732">
        <f t="shared" si="195"/>
        <v>2941773</v>
      </c>
      <c r="AJ1493" s="733">
        <f t="shared" si="196"/>
        <v>3292037</v>
      </c>
    </row>
    <row r="1494" spans="1:36">
      <c r="A1494" s="759" t="s">
        <v>636</v>
      </c>
      <c r="B1494" s="729" t="s">
        <v>62</v>
      </c>
      <c r="C1494" s="729" t="s">
        <v>696</v>
      </c>
      <c r="D1494" s="722"/>
      <c r="E1494" s="759">
        <v>198233</v>
      </c>
      <c r="F1494" s="759">
        <v>9</v>
      </c>
      <c r="G1494" s="1152">
        <v>18669501</v>
      </c>
      <c r="H1494" s="1153">
        <v>20023359</v>
      </c>
      <c r="I1494" s="1152"/>
      <c r="J1494" s="1153"/>
      <c r="K1494" s="1152">
        <v>4682000</v>
      </c>
      <c r="L1494" s="1153">
        <v>4775000</v>
      </c>
      <c r="M1494" s="1152">
        <v>6329552</v>
      </c>
      <c r="N1494" s="1152"/>
      <c r="O1494" s="732">
        <f t="shared" si="189"/>
        <v>6329552</v>
      </c>
      <c r="P1494" s="1153">
        <v>6423592</v>
      </c>
      <c r="Q1494" s="1153"/>
      <c r="R1494" s="733">
        <f t="shared" si="192"/>
        <v>6423592</v>
      </c>
      <c r="S1494" s="732">
        <f t="shared" si="193"/>
        <v>29681053</v>
      </c>
      <c r="T1494" s="733">
        <f t="shared" si="194"/>
        <v>31221951</v>
      </c>
      <c r="U1494" s="1152"/>
      <c r="V1494" s="1153"/>
      <c r="W1494" s="1152"/>
      <c r="X1494" s="1152"/>
      <c r="Y1494" s="732">
        <f t="shared" si="190"/>
        <v>0</v>
      </c>
      <c r="Z1494" s="1153"/>
      <c r="AA1494" s="1153"/>
      <c r="AB1494" s="733">
        <f t="shared" si="191"/>
        <v>0</v>
      </c>
      <c r="AC1494" s="1152"/>
      <c r="AD1494" s="1153"/>
      <c r="AE1494" s="1152"/>
      <c r="AF1494" s="1152"/>
      <c r="AG1494" s="1153"/>
      <c r="AH1494" s="1153"/>
      <c r="AI1494" s="732">
        <f t="shared" si="195"/>
        <v>29681053</v>
      </c>
      <c r="AJ1494" s="733">
        <f t="shared" si="196"/>
        <v>31221951</v>
      </c>
    </row>
    <row r="1495" spans="1:36">
      <c r="A1495" s="759" t="s">
        <v>636</v>
      </c>
      <c r="B1495" s="729" t="s">
        <v>62</v>
      </c>
      <c r="C1495" s="762" t="s">
        <v>684</v>
      </c>
      <c r="D1495" s="763"/>
      <c r="E1495" s="759">
        <v>198233</v>
      </c>
      <c r="F1495" s="759">
        <v>9</v>
      </c>
      <c r="G1495" s="1152"/>
      <c r="H1495" s="1153"/>
      <c r="I1495" s="1152"/>
      <c r="J1495" s="1153"/>
      <c r="K1495" s="1152"/>
      <c r="L1495" s="1153"/>
      <c r="M1495" s="1152"/>
      <c r="N1495" s="1152"/>
      <c r="O1495" s="732">
        <f t="shared" si="189"/>
        <v>0</v>
      </c>
      <c r="P1495" s="1153"/>
      <c r="Q1495" s="1153"/>
      <c r="R1495" s="733">
        <f t="shared" si="192"/>
        <v>0</v>
      </c>
      <c r="S1495" s="732">
        <f t="shared" si="193"/>
        <v>0</v>
      </c>
      <c r="T1495" s="733">
        <f t="shared" si="194"/>
        <v>0</v>
      </c>
      <c r="U1495" s="1152"/>
      <c r="V1495" s="1153"/>
      <c r="W1495" s="1152"/>
      <c r="X1495" s="1152"/>
      <c r="Y1495" s="732">
        <f t="shared" si="190"/>
        <v>0</v>
      </c>
      <c r="Z1495" s="1153"/>
      <c r="AA1495" s="1153"/>
      <c r="AB1495" s="733">
        <f t="shared" si="191"/>
        <v>0</v>
      </c>
      <c r="AC1495" s="1152"/>
      <c r="AD1495" s="1153"/>
      <c r="AE1495" s="1152"/>
      <c r="AF1495" s="1152"/>
      <c r="AG1495" s="1153"/>
      <c r="AH1495" s="1153"/>
      <c r="AI1495" s="732">
        <f t="shared" si="195"/>
        <v>0</v>
      </c>
      <c r="AJ1495" s="733">
        <f t="shared" si="196"/>
        <v>0</v>
      </c>
    </row>
    <row r="1496" spans="1:36">
      <c r="A1496" s="759" t="s">
        <v>636</v>
      </c>
      <c r="B1496" s="729" t="s">
        <v>69</v>
      </c>
      <c r="C1496" s="762" t="s">
        <v>70</v>
      </c>
      <c r="D1496" s="763"/>
      <c r="E1496" s="759">
        <v>198233</v>
      </c>
      <c r="F1496" s="759">
        <v>9</v>
      </c>
      <c r="G1496" s="1152"/>
      <c r="H1496" s="1153"/>
      <c r="I1496" s="1152">
        <v>177814</v>
      </c>
      <c r="J1496" s="1153">
        <v>179645</v>
      </c>
      <c r="K1496" s="1152"/>
      <c r="L1496" s="1153"/>
      <c r="M1496" s="1152"/>
      <c r="N1496" s="1152"/>
      <c r="O1496" s="732">
        <f t="shared" si="189"/>
        <v>0</v>
      </c>
      <c r="P1496" s="1153"/>
      <c r="Q1496" s="1153"/>
      <c r="R1496" s="733">
        <f t="shared" si="192"/>
        <v>0</v>
      </c>
      <c r="S1496" s="732">
        <f t="shared" si="193"/>
        <v>177814</v>
      </c>
      <c r="T1496" s="733">
        <f t="shared" si="194"/>
        <v>179645</v>
      </c>
      <c r="U1496" s="1152"/>
      <c r="V1496" s="1153"/>
      <c r="W1496" s="1152"/>
      <c r="X1496" s="1152"/>
      <c r="Y1496" s="732">
        <f t="shared" si="190"/>
        <v>0</v>
      </c>
      <c r="Z1496" s="1153"/>
      <c r="AA1496" s="1153"/>
      <c r="AB1496" s="733">
        <f t="shared" si="191"/>
        <v>0</v>
      </c>
      <c r="AC1496" s="1152"/>
      <c r="AD1496" s="1153"/>
      <c r="AE1496" s="1152"/>
      <c r="AF1496" s="1152"/>
      <c r="AG1496" s="1153"/>
      <c r="AH1496" s="1153"/>
      <c r="AI1496" s="732">
        <f t="shared" si="195"/>
        <v>177814</v>
      </c>
      <c r="AJ1496" s="733">
        <f t="shared" si="196"/>
        <v>179645</v>
      </c>
    </row>
    <row r="1497" spans="1:36">
      <c r="A1497" s="759" t="s">
        <v>636</v>
      </c>
      <c r="B1497" s="729" t="s">
        <v>685</v>
      </c>
      <c r="C1497" s="762" t="s">
        <v>72</v>
      </c>
      <c r="D1497" s="763"/>
      <c r="E1497" s="759">
        <v>198233</v>
      </c>
      <c r="F1497" s="759">
        <v>9</v>
      </c>
      <c r="G1497" s="1152"/>
      <c r="H1497" s="1153"/>
      <c r="I1497" s="1152">
        <v>2399130</v>
      </c>
      <c r="J1497" s="1153">
        <v>2492807</v>
      </c>
      <c r="K1497" s="1152"/>
      <c r="L1497" s="1153"/>
      <c r="M1497" s="1152">
        <v>263850</v>
      </c>
      <c r="N1497" s="1152"/>
      <c r="O1497" s="732">
        <f t="shared" si="189"/>
        <v>263850</v>
      </c>
      <c r="P1497" s="1153">
        <v>255350</v>
      </c>
      <c r="Q1497" s="1153"/>
      <c r="R1497" s="733">
        <f t="shared" si="192"/>
        <v>255350</v>
      </c>
      <c r="S1497" s="732">
        <f t="shared" si="193"/>
        <v>2662980</v>
      </c>
      <c r="T1497" s="733">
        <f t="shared" si="194"/>
        <v>2748157</v>
      </c>
      <c r="U1497" s="1152"/>
      <c r="V1497" s="1153"/>
      <c r="W1497" s="1152"/>
      <c r="X1497" s="1152"/>
      <c r="Y1497" s="732">
        <f t="shared" si="190"/>
        <v>0</v>
      </c>
      <c r="Z1497" s="1153"/>
      <c r="AA1497" s="1153"/>
      <c r="AB1497" s="733">
        <f t="shared" si="191"/>
        <v>0</v>
      </c>
      <c r="AC1497" s="1152"/>
      <c r="AD1497" s="1153"/>
      <c r="AE1497" s="1152"/>
      <c r="AF1497" s="1152"/>
      <c r="AG1497" s="1153"/>
      <c r="AH1497" s="1153"/>
      <c r="AI1497" s="732">
        <f t="shared" si="195"/>
        <v>2662980</v>
      </c>
      <c r="AJ1497" s="733">
        <f t="shared" si="196"/>
        <v>2748157</v>
      </c>
    </row>
    <row r="1498" spans="1:36">
      <c r="A1498" s="759" t="s">
        <v>636</v>
      </c>
      <c r="B1498" s="729" t="s">
        <v>62</v>
      </c>
      <c r="C1498" s="729" t="s">
        <v>697</v>
      </c>
      <c r="D1498" s="722"/>
      <c r="E1498" s="759">
        <v>198251</v>
      </c>
      <c r="F1498" s="759">
        <v>9</v>
      </c>
      <c r="G1498" s="1152">
        <v>20728052</v>
      </c>
      <c r="H1498" s="1153">
        <v>23345754</v>
      </c>
      <c r="I1498" s="1152"/>
      <c r="J1498" s="1153"/>
      <c r="K1498" s="1152">
        <v>5983140</v>
      </c>
      <c r="L1498" s="1153">
        <v>6350354</v>
      </c>
      <c r="M1498" s="1152">
        <v>6843568</v>
      </c>
      <c r="N1498" s="1152"/>
      <c r="O1498" s="732">
        <f t="shared" si="189"/>
        <v>6843568</v>
      </c>
      <c r="P1498" s="1153">
        <v>7462041</v>
      </c>
      <c r="Q1498" s="1153"/>
      <c r="R1498" s="733">
        <f t="shared" si="192"/>
        <v>7462041</v>
      </c>
      <c r="S1498" s="732">
        <f t="shared" si="193"/>
        <v>33554760</v>
      </c>
      <c r="T1498" s="733">
        <f t="shared" si="194"/>
        <v>37158149</v>
      </c>
      <c r="U1498" s="1152"/>
      <c r="V1498" s="1153"/>
      <c r="W1498" s="1152"/>
      <c r="X1498" s="1152"/>
      <c r="Y1498" s="732">
        <f t="shared" si="190"/>
        <v>0</v>
      </c>
      <c r="Z1498" s="1153"/>
      <c r="AA1498" s="1153"/>
      <c r="AB1498" s="733">
        <f t="shared" si="191"/>
        <v>0</v>
      </c>
      <c r="AC1498" s="1152"/>
      <c r="AD1498" s="1153"/>
      <c r="AE1498" s="1152"/>
      <c r="AF1498" s="1152"/>
      <c r="AG1498" s="1153"/>
      <c r="AH1498" s="1153"/>
      <c r="AI1498" s="732">
        <f t="shared" si="195"/>
        <v>33554760</v>
      </c>
      <c r="AJ1498" s="733">
        <f t="shared" si="196"/>
        <v>37158149</v>
      </c>
    </row>
    <row r="1499" spans="1:36">
      <c r="A1499" s="759" t="s">
        <v>636</v>
      </c>
      <c r="B1499" s="729" t="s">
        <v>62</v>
      </c>
      <c r="C1499" s="762" t="s">
        <v>684</v>
      </c>
      <c r="D1499" s="763"/>
      <c r="E1499" s="759">
        <v>198251</v>
      </c>
      <c r="F1499" s="759">
        <v>9</v>
      </c>
      <c r="G1499" s="1152"/>
      <c r="H1499" s="1153"/>
      <c r="I1499" s="1152"/>
      <c r="J1499" s="1153"/>
      <c r="K1499" s="1152"/>
      <c r="L1499" s="1153"/>
      <c r="M1499" s="1152"/>
      <c r="N1499" s="1152"/>
      <c r="O1499" s="732">
        <f t="shared" si="189"/>
        <v>0</v>
      </c>
      <c r="P1499" s="1153"/>
      <c r="Q1499" s="1153"/>
      <c r="R1499" s="733">
        <f t="shared" si="192"/>
        <v>0</v>
      </c>
      <c r="S1499" s="732">
        <f t="shared" si="193"/>
        <v>0</v>
      </c>
      <c r="T1499" s="733">
        <f t="shared" si="194"/>
        <v>0</v>
      </c>
      <c r="U1499" s="1152"/>
      <c r="V1499" s="1153"/>
      <c r="W1499" s="1152"/>
      <c r="X1499" s="1152"/>
      <c r="Y1499" s="732">
        <f t="shared" si="190"/>
        <v>0</v>
      </c>
      <c r="Z1499" s="1153"/>
      <c r="AA1499" s="1153"/>
      <c r="AB1499" s="733">
        <f t="shared" si="191"/>
        <v>0</v>
      </c>
      <c r="AC1499" s="1152"/>
      <c r="AD1499" s="1153"/>
      <c r="AE1499" s="1152"/>
      <c r="AF1499" s="1152"/>
      <c r="AG1499" s="1153"/>
      <c r="AH1499" s="1153"/>
      <c r="AI1499" s="732">
        <f t="shared" si="195"/>
        <v>0</v>
      </c>
      <c r="AJ1499" s="733">
        <f t="shared" si="196"/>
        <v>0</v>
      </c>
    </row>
    <row r="1500" spans="1:36">
      <c r="A1500" s="759" t="s">
        <v>636</v>
      </c>
      <c r="B1500" s="729" t="s">
        <v>69</v>
      </c>
      <c r="C1500" s="762" t="s">
        <v>70</v>
      </c>
      <c r="D1500" s="763"/>
      <c r="E1500" s="759">
        <v>198251</v>
      </c>
      <c r="F1500" s="759">
        <v>9</v>
      </c>
      <c r="G1500" s="1152"/>
      <c r="H1500" s="1153"/>
      <c r="I1500" s="1152">
        <v>178885</v>
      </c>
      <c r="J1500" s="1153">
        <v>179390</v>
      </c>
      <c r="K1500" s="1152"/>
      <c r="L1500" s="1153"/>
      <c r="M1500" s="1152"/>
      <c r="N1500" s="1152"/>
      <c r="O1500" s="732">
        <f t="shared" si="189"/>
        <v>0</v>
      </c>
      <c r="P1500" s="1153"/>
      <c r="Q1500" s="1153"/>
      <c r="R1500" s="733">
        <f t="shared" si="192"/>
        <v>0</v>
      </c>
      <c r="S1500" s="732">
        <f t="shared" si="193"/>
        <v>178885</v>
      </c>
      <c r="T1500" s="733">
        <f t="shared" si="194"/>
        <v>179390</v>
      </c>
      <c r="U1500" s="1152"/>
      <c r="V1500" s="1153"/>
      <c r="W1500" s="1152"/>
      <c r="X1500" s="1152"/>
      <c r="Y1500" s="732">
        <f t="shared" si="190"/>
        <v>0</v>
      </c>
      <c r="Z1500" s="1153"/>
      <c r="AA1500" s="1153"/>
      <c r="AB1500" s="733">
        <f t="shared" si="191"/>
        <v>0</v>
      </c>
      <c r="AC1500" s="1152"/>
      <c r="AD1500" s="1153"/>
      <c r="AE1500" s="1152"/>
      <c r="AF1500" s="1152"/>
      <c r="AG1500" s="1153"/>
      <c r="AH1500" s="1153"/>
      <c r="AI1500" s="732">
        <f t="shared" si="195"/>
        <v>178885</v>
      </c>
      <c r="AJ1500" s="733">
        <f t="shared" si="196"/>
        <v>179390</v>
      </c>
    </row>
    <row r="1501" spans="1:36">
      <c r="A1501" s="759" t="s">
        <v>636</v>
      </c>
      <c r="B1501" s="729" t="s">
        <v>685</v>
      </c>
      <c r="C1501" s="762" t="s">
        <v>72</v>
      </c>
      <c r="D1501" s="763"/>
      <c r="E1501" s="759">
        <v>198251</v>
      </c>
      <c r="F1501" s="759">
        <v>9</v>
      </c>
      <c r="G1501" s="1152"/>
      <c r="H1501" s="1153"/>
      <c r="I1501" s="1152">
        <v>3319197</v>
      </c>
      <c r="J1501" s="1153">
        <v>3525865</v>
      </c>
      <c r="K1501" s="1152"/>
      <c r="L1501" s="1153"/>
      <c r="M1501" s="1152">
        <v>284974</v>
      </c>
      <c r="N1501" s="1152"/>
      <c r="O1501" s="732">
        <f t="shared" si="189"/>
        <v>284974</v>
      </c>
      <c r="P1501" s="1153">
        <v>278733</v>
      </c>
      <c r="Q1501" s="1153"/>
      <c r="R1501" s="733">
        <f t="shared" si="192"/>
        <v>278733</v>
      </c>
      <c r="S1501" s="732">
        <f t="shared" si="193"/>
        <v>3604171</v>
      </c>
      <c r="T1501" s="733">
        <f t="shared" si="194"/>
        <v>3804598</v>
      </c>
      <c r="U1501" s="1152"/>
      <c r="V1501" s="1153"/>
      <c r="W1501" s="1152"/>
      <c r="X1501" s="1152"/>
      <c r="Y1501" s="732">
        <f t="shared" si="190"/>
        <v>0</v>
      </c>
      <c r="Z1501" s="1153"/>
      <c r="AA1501" s="1153"/>
      <c r="AB1501" s="733">
        <f t="shared" si="191"/>
        <v>0</v>
      </c>
      <c r="AC1501" s="1152"/>
      <c r="AD1501" s="1153"/>
      <c r="AE1501" s="1152"/>
      <c r="AF1501" s="1152"/>
      <c r="AG1501" s="1153"/>
      <c r="AH1501" s="1153"/>
      <c r="AI1501" s="732">
        <f t="shared" si="195"/>
        <v>3604171</v>
      </c>
      <c r="AJ1501" s="733">
        <f t="shared" si="196"/>
        <v>3804598</v>
      </c>
    </row>
    <row r="1502" spans="1:36">
      <c r="A1502" s="759" t="s">
        <v>636</v>
      </c>
      <c r="B1502" s="729" t="s">
        <v>62</v>
      </c>
      <c r="C1502" s="729" t="s">
        <v>698</v>
      </c>
      <c r="D1502" s="722"/>
      <c r="E1502" s="759">
        <v>198321</v>
      </c>
      <c r="F1502" s="759">
        <v>9</v>
      </c>
      <c r="G1502" s="1152">
        <v>11712023</v>
      </c>
      <c r="H1502" s="1153">
        <v>12426821</v>
      </c>
      <c r="I1502" s="1152"/>
      <c r="J1502" s="1153"/>
      <c r="K1502" s="1152">
        <v>2179872</v>
      </c>
      <c r="L1502" s="1153">
        <v>2176872</v>
      </c>
      <c r="M1502" s="1152">
        <v>3691268</v>
      </c>
      <c r="N1502" s="1152"/>
      <c r="O1502" s="732">
        <f t="shared" si="189"/>
        <v>3691268</v>
      </c>
      <c r="P1502" s="1153">
        <v>3629747</v>
      </c>
      <c r="Q1502" s="1153"/>
      <c r="R1502" s="733">
        <f t="shared" si="192"/>
        <v>3629747</v>
      </c>
      <c r="S1502" s="732">
        <f t="shared" si="193"/>
        <v>17583163</v>
      </c>
      <c r="T1502" s="733">
        <f t="shared" si="194"/>
        <v>18233440</v>
      </c>
      <c r="U1502" s="1152"/>
      <c r="V1502" s="1153"/>
      <c r="W1502" s="1152"/>
      <c r="X1502" s="1152"/>
      <c r="Y1502" s="732">
        <f t="shared" si="190"/>
        <v>0</v>
      </c>
      <c r="Z1502" s="1153"/>
      <c r="AA1502" s="1153"/>
      <c r="AB1502" s="733">
        <f t="shared" si="191"/>
        <v>0</v>
      </c>
      <c r="AC1502" s="1152"/>
      <c r="AD1502" s="1153"/>
      <c r="AE1502" s="1152"/>
      <c r="AF1502" s="1152"/>
      <c r="AG1502" s="1153"/>
      <c r="AH1502" s="1153"/>
      <c r="AI1502" s="732">
        <f t="shared" si="195"/>
        <v>17583163</v>
      </c>
      <c r="AJ1502" s="733">
        <f t="shared" si="196"/>
        <v>18233440</v>
      </c>
    </row>
    <row r="1503" spans="1:36">
      <c r="A1503" s="759" t="s">
        <v>636</v>
      </c>
      <c r="B1503" s="729" t="s">
        <v>62</v>
      </c>
      <c r="C1503" s="762" t="s">
        <v>684</v>
      </c>
      <c r="D1503" s="763"/>
      <c r="E1503" s="759">
        <v>198321</v>
      </c>
      <c r="F1503" s="759">
        <v>9</v>
      </c>
      <c r="G1503" s="1152"/>
      <c r="H1503" s="1153"/>
      <c r="I1503" s="1152"/>
      <c r="J1503" s="1153"/>
      <c r="K1503" s="1152"/>
      <c r="L1503" s="1153"/>
      <c r="M1503" s="1152"/>
      <c r="N1503" s="1152"/>
      <c r="O1503" s="732">
        <f t="shared" si="189"/>
        <v>0</v>
      </c>
      <c r="P1503" s="1153"/>
      <c r="Q1503" s="1153"/>
      <c r="R1503" s="733">
        <f t="shared" si="192"/>
        <v>0</v>
      </c>
      <c r="S1503" s="732">
        <f t="shared" si="193"/>
        <v>0</v>
      </c>
      <c r="T1503" s="733">
        <f t="shared" si="194"/>
        <v>0</v>
      </c>
      <c r="U1503" s="1152"/>
      <c r="V1503" s="1153"/>
      <c r="W1503" s="1152"/>
      <c r="X1503" s="1152"/>
      <c r="Y1503" s="732">
        <f t="shared" si="190"/>
        <v>0</v>
      </c>
      <c r="Z1503" s="1153"/>
      <c r="AA1503" s="1153"/>
      <c r="AB1503" s="733">
        <f t="shared" si="191"/>
        <v>0</v>
      </c>
      <c r="AC1503" s="1152"/>
      <c r="AD1503" s="1153"/>
      <c r="AE1503" s="1152"/>
      <c r="AF1503" s="1152"/>
      <c r="AG1503" s="1153"/>
      <c r="AH1503" s="1153"/>
      <c r="AI1503" s="732">
        <f t="shared" si="195"/>
        <v>0</v>
      </c>
      <c r="AJ1503" s="733">
        <f t="shared" si="196"/>
        <v>0</v>
      </c>
    </row>
    <row r="1504" spans="1:36">
      <c r="A1504" s="759" t="s">
        <v>636</v>
      </c>
      <c r="B1504" s="729" t="s">
        <v>69</v>
      </c>
      <c r="C1504" s="762" t="s">
        <v>70</v>
      </c>
      <c r="D1504" s="763"/>
      <c r="E1504" s="759">
        <v>198321</v>
      </c>
      <c r="F1504" s="759">
        <v>9</v>
      </c>
      <c r="G1504" s="1152"/>
      <c r="H1504" s="1153"/>
      <c r="I1504" s="1152">
        <v>159751</v>
      </c>
      <c r="J1504" s="1153">
        <v>170490</v>
      </c>
      <c r="K1504" s="1152"/>
      <c r="L1504" s="1153"/>
      <c r="M1504" s="1152"/>
      <c r="N1504" s="1152"/>
      <c r="O1504" s="732">
        <f t="shared" si="189"/>
        <v>0</v>
      </c>
      <c r="P1504" s="1153"/>
      <c r="Q1504" s="1153"/>
      <c r="R1504" s="733">
        <f t="shared" si="192"/>
        <v>0</v>
      </c>
      <c r="S1504" s="732">
        <f t="shared" si="193"/>
        <v>159751</v>
      </c>
      <c r="T1504" s="733">
        <f t="shared" si="194"/>
        <v>170490</v>
      </c>
      <c r="U1504" s="1152"/>
      <c r="V1504" s="1153"/>
      <c r="W1504" s="1152"/>
      <c r="X1504" s="1152"/>
      <c r="Y1504" s="732">
        <f t="shared" si="190"/>
        <v>0</v>
      </c>
      <c r="Z1504" s="1153"/>
      <c r="AA1504" s="1153"/>
      <c r="AB1504" s="733">
        <f t="shared" si="191"/>
        <v>0</v>
      </c>
      <c r="AC1504" s="1152"/>
      <c r="AD1504" s="1153"/>
      <c r="AE1504" s="1152"/>
      <c r="AF1504" s="1152"/>
      <c r="AG1504" s="1153"/>
      <c r="AH1504" s="1153"/>
      <c r="AI1504" s="732">
        <f t="shared" si="195"/>
        <v>159751</v>
      </c>
      <c r="AJ1504" s="733">
        <f t="shared" si="196"/>
        <v>170490</v>
      </c>
    </row>
    <row r="1505" spans="1:36">
      <c r="A1505" s="759" t="s">
        <v>636</v>
      </c>
      <c r="B1505" s="729" t="s">
        <v>685</v>
      </c>
      <c r="C1505" s="762" t="s">
        <v>72</v>
      </c>
      <c r="D1505" s="763"/>
      <c r="E1505" s="759">
        <v>198321</v>
      </c>
      <c r="F1505" s="759">
        <v>9</v>
      </c>
      <c r="G1505" s="1152"/>
      <c r="H1505" s="1153"/>
      <c r="I1505" s="1152">
        <v>2324572</v>
      </c>
      <c r="J1505" s="1153">
        <v>2887975</v>
      </c>
      <c r="K1505" s="1152"/>
      <c r="L1505" s="1153"/>
      <c r="M1505" s="1152">
        <v>316062</v>
      </c>
      <c r="N1505" s="1152"/>
      <c r="O1505" s="732">
        <f t="shared" si="189"/>
        <v>316062</v>
      </c>
      <c r="P1505" s="1153">
        <v>352591</v>
      </c>
      <c r="Q1505" s="1153"/>
      <c r="R1505" s="733">
        <f t="shared" si="192"/>
        <v>352591</v>
      </c>
      <c r="S1505" s="732">
        <f t="shared" si="193"/>
        <v>2640634</v>
      </c>
      <c r="T1505" s="733">
        <f t="shared" si="194"/>
        <v>3240566</v>
      </c>
      <c r="U1505" s="1152"/>
      <c r="V1505" s="1153"/>
      <c r="W1505" s="1152"/>
      <c r="X1505" s="1152"/>
      <c r="Y1505" s="732">
        <f t="shared" si="190"/>
        <v>0</v>
      </c>
      <c r="Z1505" s="1153"/>
      <c r="AA1505" s="1153"/>
      <c r="AB1505" s="733">
        <f t="shared" si="191"/>
        <v>0</v>
      </c>
      <c r="AC1505" s="1152"/>
      <c r="AD1505" s="1153"/>
      <c r="AE1505" s="1152"/>
      <c r="AF1505" s="1152"/>
      <c r="AG1505" s="1153"/>
      <c r="AH1505" s="1153"/>
      <c r="AI1505" s="732">
        <f t="shared" si="195"/>
        <v>2640634</v>
      </c>
      <c r="AJ1505" s="733">
        <f t="shared" si="196"/>
        <v>3240566</v>
      </c>
    </row>
    <row r="1506" spans="1:36">
      <c r="A1506" s="759" t="s">
        <v>636</v>
      </c>
      <c r="B1506" s="729" t="s">
        <v>62</v>
      </c>
      <c r="C1506" s="760" t="s">
        <v>699</v>
      </c>
      <c r="D1506" s="761"/>
      <c r="E1506" s="759">
        <v>198330</v>
      </c>
      <c r="F1506" s="759">
        <v>9</v>
      </c>
      <c r="G1506" s="1152">
        <v>19551992</v>
      </c>
      <c r="H1506" s="1153">
        <v>18061811</v>
      </c>
      <c r="I1506" s="1152"/>
      <c r="J1506" s="1153"/>
      <c r="K1506" s="1152">
        <v>4694259</v>
      </c>
      <c r="L1506" s="1153">
        <v>4987741</v>
      </c>
      <c r="M1506" s="1152">
        <v>6259686</v>
      </c>
      <c r="N1506" s="1152"/>
      <c r="O1506" s="732">
        <f t="shared" si="189"/>
        <v>6259686</v>
      </c>
      <c r="P1506" s="1153">
        <v>6137456</v>
      </c>
      <c r="Q1506" s="1153"/>
      <c r="R1506" s="733">
        <f t="shared" si="192"/>
        <v>6137456</v>
      </c>
      <c r="S1506" s="732">
        <f t="shared" si="193"/>
        <v>30505937</v>
      </c>
      <c r="T1506" s="733">
        <f t="shared" si="194"/>
        <v>29187008</v>
      </c>
      <c r="U1506" s="1152"/>
      <c r="V1506" s="1153"/>
      <c r="W1506" s="1152"/>
      <c r="X1506" s="1152"/>
      <c r="Y1506" s="732">
        <f t="shared" si="190"/>
        <v>0</v>
      </c>
      <c r="Z1506" s="1153"/>
      <c r="AA1506" s="1153"/>
      <c r="AB1506" s="733">
        <f t="shared" si="191"/>
        <v>0</v>
      </c>
      <c r="AC1506" s="1152"/>
      <c r="AD1506" s="1153"/>
      <c r="AE1506" s="1152"/>
      <c r="AF1506" s="1152"/>
      <c r="AG1506" s="1153"/>
      <c r="AH1506" s="1153"/>
      <c r="AI1506" s="732">
        <f t="shared" si="195"/>
        <v>30505937</v>
      </c>
      <c r="AJ1506" s="733">
        <f t="shared" si="196"/>
        <v>29187008</v>
      </c>
    </row>
    <row r="1507" spans="1:36">
      <c r="A1507" s="759" t="s">
        <v>636</v>
      </c>
      <c r="B1507" s="729" t="s">
        <v>62</v>
      </c>
      <c r="C1507" s="762" t="s">
        <v>684</v>
      </c>
      <c r="D1507" s="763"/>
      <c r="E1507" s="759">
        <v>198330</v>
      </c>
      <c r="F1507" s="759">
        <v>9</v>
      </c>
      <c r="G1507" s="1152"/>
      <c r="H1507" s="1153"/>
      <c r="I1507" s="1152"/>
      <c r="J1507" s="1153"/>
      <c r="K1507" s="1152"/>
      <c r="L1507" s="1153"/>
      <c r="M1507" s="1152"/>
      <c r="N1507" s="1152"/>
      <c r="O1507" s="732">
        <f t="shared" si="189"/>
        <v>0</v>
      </c>
      <c r="P1507" s="1153"/>
      <c r="Q1507" s="1153"/>
      <c r="R1507" s="733">
        <f t="shared" si="192"/>
        <v>0</v>
      </c>
      <c r="S1507" s="732">
        <f t="shared" si="193"/>
        <v>0</v>
      </c>
      <c r="T1507" s="733">
        <f t="shared" si="194"/>
        <v>0</v>
      </c>
      <c r="U1507" s="1152"/>
      <c r="V1507" s="1153"/>
      <c r="W1507" s="1152"/>
      <c r="X1507" s="1152"/>
      <c r="Y1507" s="732">
        <f t="shared" si="190"/>
        <v>0</v>
      </c>
      <c r="Z1507" s="1153"/>
      <c r="AA1507" s="1153"/>
      <c r="AB1507" s="733">
        <f t="shared" si="191"/>
        <v>0</v>
      </c>
      <c r="AC1507" s="1152"/>
      <c r="AD1507" s="1153"/>
      <c r="AE1507" s="1152"/>
      <c r="AF1507" s="1152"/>
      <c r="AG1507" s="1153"/>
      <c r="AH1507" s="1153"/>
      <c r="AI1507" s="732">
        <f t="shared" si="195"/>
        <v>0</v>
      </c>
      <c r="AJ1507" s="733">
        <f t="shared" si="196"/>
        <v>0</v>
      </c>
    </row>
    <row r="1508" spans="1:36">
      <c r="A1508" s="759" t="s">
        <v>636</v>
      </c>
      <c r="B1508" s="729" t="s">
        <v>69</v>
      </c>
      <c r="C1508" s="762" t="s">
        <v>70</v>
      </c>
      <c r="D1508" s="763"/>
      <c r="E1508" s="759">
        <v>198330</v>
      </c>
      <c r="F1508" s="759">
        <v>9</v>
      </c>
      <c r="G1508" s="1152"/>
      <c r="H1508" s="1153"/>
      <c r="I1508" s="1152">
        <v>168120</v>
      </c>
      <c r="J1508" s="1153">
        <v>169549</v>
      </c>
      <c r="K1508" s="1152"/>
      <c r="L1508" s="1153"/>
      <c r="M1508" s="1152"/>
      <c r="N1508" s="1152"/>
      <c r="O1508" s="732">
        <f t="shared" si="189"/>
        <v>0</v>
      </c>
      <c r="P1508" s="1153"/>
      <c r="Q1508" s="1153"/>
      <c r="R1508" s="733">
        <f t="shared" si="192"/>
        <v>0</v>
      </c>
      <c r="S1508" s="732">
        <f t="shared" si="193"/>
        <v>168120</v>
      </c>
      <c r="T1508" s="733">
        <f t="shared" si="194"/>
        <v>169549</v>
      </c>
      <c r="U1508" s="1152"/>
      <c r="V1508" s="1153"/>
      <c r="W1508" s="1152"/>
      <c r="X1508" s="1152"/>
      <c r="Y1508" s="732">
        <f t="shared" si="190"/>
        <v>0</v>
      </c>
      <c r="Z1508" s="1153"/>
      <c r="AA1508" s="1153"/>
      <c r="AB1508" s="733">
        <f t="shared" si="191"/>
        <v>0</v>
      </c>
      <c r="AC1508" s="1152"/>
      <c r="AD1508" s="1153"/>
      <c r="AE1508" s="1152"/>
      <c r="AF1508" s="1152"/>
      <c r="AG1508" s="1153"/>
      <c r="AH1508" s="1153"/>
      <c r="AI1508" s="732">
        <f t="shared" si="195"/>
        <v>168120</v>
      </c>
      <c r="AJ1508" s="733">
        <f t="shared" si="196"/>
        <v>169549</v>
      </c>
    </row>
    <row r="1509" spans="1:36">
      <c r="A1509" s="759" t="s">
        <v>636</v>
      </c>
      <c r="B1509" s="729" t="s">
        <v>685</v>
      </c>
      <c r="C1509" s="762" t="s">
        <v>72</v>
      </c>
      <c r="D1509" s="763"/>
      <c r="E1509" s="759">
        <v>198330</v>
      </c>
      <c r="F1509" s="759">
        <v>9</v>
      </c>
      <c r="G1509" s="1152"/>
      <c r="H1509" s="1153"/>
      <c r="I1509" s="1152">
        <v>2202341</v>
      </c>
      <c r="J1509" s="1153">
        <v>2460898</v>
      </c>
      <c r="K1509" s="1152"/>
      <c r="L1509" s="1153"/>
      <c r="M1509" s="1152">
        <v>242327</v>
      </c>
      <c r="N1509" s="1152"/>
      <c r="O1509" s="732">
        <f t="shared" si="189"/>
        <v>242327</v>
      </c>
      <c r="P1509" s="1153">
        <v>239020</v>
      </c>
      <c r="Q1509" s="1153"/>
      <c r="R1509" s="733">
        <f t="shared" si="192"/>
        <v>239020</v>
      </c>
      <c r="S1509" s="732">
        <f t="shared" si="193"/>
        <v>2444668</v>
      </c>
      <c r="T1509" s="733">
        <f t="shared" si="194"/>
        <v>2699918</v>
      </c>
      <c r="U1509" s="1152"/>
      <c r="V1509" s="1153"/>
      <c r="W1509" s="1152"/>
      <c r="X1509" s="1152"/>
      <c r="Y1509" s="732">
        <f t="shared" si="190"/>
        <v>0</v>
      </c>
      <c r="Z1509" s="1153"/>
      <c r="AA1509" s="1153"/>
      <c r="AB1509" s="733">
        <f t="shared" si="191"/>
        <v>0</v>
      </c>
      <c r="AC1509" s="1152"/>
      <c r="AD1509" s="1153"/>
      <c r="AE1509" s="1152"/>
      <c r="AF1509" s="1152"/>
      <c r="AG1509" s="1153"/>
      <c r="AH1509" s="1153"/>
      <c r="AI1509" s="732">
        <f t="shared" si="195"/>
        <v>2444668</v>
      </c>
      <c r="AJ1509" s="733">
        <f t="shared" si="196"/>
        <v>2699918</v>
      </c>
    </row>
    <row r="1510" spans="1:36">
      <c r="A1510" s="759" t="s">
        <v>636</v>
      </c>
      <c r="B1510" s="729" t="s">
        <v>62</v>
      </c>
      <c r="C1510" s="729" t="s">
        <v>700</v>
      </c>
      <c r="D1510" s="722"/>
      <c r="E1510" s="759">
        <v>198367</v>
      </c>
      <c r="F1510" s="759">
        <v>9</v>
      </c>
      <c r="G1510" s="1152">
        <v>13321006</v>
      </c>
      <c r="H1510" s="1153">
        <v>13406319</v>
      </c>
      <c r="I1510" s="1152"/>
      <c r="J1510" s="1153"/>
      <c r="K1510" s="1152">
        <v>3794545</v>
      </c>
      <c r="L1510" s="1153">
        <v>3926193</v>
      </c>
      <c r="M1510" s="1152">
        <v>4125437</v>
      </c>
      <c r="N1510" s="1152"/>
      <c r="O1510" s="732">
        <f t="shared" si="189"/>
        <v>4125437</v>
      </c>
      <c r="P1510" s="1153">
        <v>4015549</v>
      </c>
      <c r="Q1510" s="1153"/>
      <c r="R1510" s="733">
        <f t="shared" si="192"/>
        <v>4015549</v>
      </c>
      <c r="S1510" s="732">
        <f t="shared" si="193"/>
        <v>21240988</v>
      </c>
      <c r="T1510" s="733">
        <f t="shared" si="194"/>
        <v>21348061</v>
      </c>
      <c r="U1510" s="1152"/>
      <c r="V1510" s="1153"/>
      <c r="W1510" s="1152"/>
      <c r="X1510" s="1152"/>
      <c r="Y1510" s="732">
        <f t="shared" si="190"/>
        <v>0</v>
      </c>
      <c r="Z1510" s="1153"/>
      <c r="AA1510" s="1153"/>
      <c r="AB1510" s="733">
        <f t="shared" si="191"/>
        <v>0</v>
      </c>
      <c r="AC1510" s="1152"/>
      <c r="AD1510" s="1153"/>
      <c r="AE1510" s="1152"/>
      <c r="AF1510" s="1152"/>
      <c r="AG1510" s="1153"/>
      <c r="AH1510" s="1153"/>
      <c r="AI1510" s="732">
        <f t="shared" si="195"/>
        <v>21240988</v>
      </c>
      <c r="AJ1510" s="733">
        <f t="shared" si="196"/>
        <v>21348061</v>
      </c>
    </row>
    <row r="1511" spans="1:36">
      <c r="A1511" s="759" t="s">
        <v>636</v>
      </c>
      <c r="B1511" s="729" t="s">
        <v>62</v>
      </c>
      <c r="C1511" s="762" t="s">
        <v>684</v>
      </c>
      <c r="D1511" s="763"/>
      <c r="E1511" s="759">
        <v>198367</v>
      </c>
      <c r="F1511" s="759">
        <v>9</v>
      </c>
      <c r="G1511" s="1152"/>
      <c r="H1511" s="1153"/>
      <c r="I1511" s="1152"/>
      <c r="J1511" s="1153"/>
      <c r="K1511" s="1152"/>
      <c r="L1511" s="1153"/>
      <c r="M1511" s="1152"/>
      <c r="N1511" s="1152"/>
      <c r="O1511" s="732">
        <f t="shared" si="189"/>
        <v>0</v>
      </c>
      <c r="P1511" s="1153"/>
      <c r="Q1511" s="1153"/>
      <c r="R1511" s="733">
        <f t="shared" si="192"/>
        <v>0</v>
      </c>
      <c r="S1511" s="732">
        <f t="shared" si="193"/>
        <v>0</v>
      </c>
      <c r="T1511" s="733">
        <f t="shared" si="194"/>
        <v>0</v>
      </c>
      <c r="U1511" s="1152"/>
      <c r="V1511" s="1153"/>
      <c r="W1511" s="1152"/>
      <c r="X1511" s="1152"/>
      <c r="Y1511" s="732">
        <f t="shared" si="190"/>
        <v>0</v>
      </c>
      <c r="Z1511" s="1153"/>
      <c r="AA1511" s="1153"/>
      <c r="AB1511" s="733">
        <f t="shared" si="191"/>
        <v>0</v>
      </c>
      <c r="AC1511" s="1152"/>
      <c r="AD1511" s="1153"/>
      <c r="AE1511" s="1152"/>
      <c r="AF1511" s="1152"/>
      <c r="AG1511" s="1153"/>
      <c r="AH1511" s="1153"/>
      <c r="AI1511" s="732">
        <f t="shared" si="195"/>
        <v>0</v>
      </c>
      <c r="AJ1511" s="733">
        <f t="shared" si="196"/>
        <v>0</v>
      </c>
    </row>
    <row r="1512" spans="1:36">
      <c r="A1512" s="759" t="s">
        <v>636</v>
      </c>
      <c r="B1512" s="729" t="s">
        <v>69</v>
      </c>
      <c r="C1512" s="762" t="s">
        <v>70</v>
      </c>
      <c r="D1512" s="763"/>
      <c r="E1512" s="759">
        <v>198367</v>
      </c>
      <c r="F1512" s="759">
        <v>9</v>
      </c>
      <c r="G1512" s="1152"/>
      <c r="H1512" s="1153"/>
      <c r="I1512" s="1152">
        <v>164956</v>
      </c>
      <c r="J1512" s="1153">
        <v>166065</v>
      </c>
      <c r="K1512" s="1152"/>
      <c r="L1512" s="1153"/>
      <c r="M1512" s="1152"/>
      <c r="N1512" s="1152"/>
      <c r="O1512" s="732">
        <f t="shared" si="189"/>
        <v>0</v>
      </c>
      <c r="P1512" s="1153"/>
      <c r="Q1512" s="1153"/>
      <c r="R1512" s="733">
        <f t="shared" si="192"/>
        <v>0</v>
      </c>
      <c r="S1512" s="732">
        <f t="shared" si="193"/>
        <v>164956</v>
      </c>
      <c r="T1512" s="733">
        <f t="shared" si="194"/>
        <v>166065</v>
      </c>
      <c r="U1512" s="1152"/>
      <c r="V1512" s="1153"/>
      <c r="W1512" s="1152"/>
      <c r="X1512" s="1152"/>
      <c r="Y1512" s="732">
        <f t="shared" si="190"/>
        <v>0</v>
      </c>
      <c r="Z1512" s="1153"/>
      <c r="AA1512" s="1153"/>
      <c r="AB1512" s="733">
        <f t="shared" si="191"/>
        <v>0</v>
      </c>
      <c r="AC1512" s="1152"/>
      <c r="AD1512" s="1153"/>
      <c r="AE1512" s="1152"/>
      <c r="AF1512" s="1152"/>
      <c r="AG1512" s="1153"/>
      <c r="AH1512" s="1153"/>
      <c r="AI1512" s="732">
        <f t="shared" si="195"/>
        <v>164956</v>
      </c>
      <c r="AJ1512" s="733">
        <f t="shared" si="196"/>
        <v>166065</v>
      </c>
    </row>
    <row r="1513" spans="1:36">
      <c r="A1513" s="759" t="s">
        <v>636</v>
      </c>
      <c r="B1513" s="729" t="s">
        <v>685</v>
      </c>
      <c r="C1513" s="762" t="s">
        <v>72</v>
      </c>
      <c r="D1513" s="763"/>
      <c r="E1513" s="759">
        <v>198367</v>
      </c>
      <c r="F1513" s="759">
        <v>9</v>
      </c>
      <c r="G1513" s="1152"/>
      <c r="H1513" s="1153"/>
      <c r="I1513" s="1152">
        <v>1828265</v>
      </c>
      <c r="J1513" s="1153">
        <v>1862168</v>
      </c>
      <c r="K1513" s="1152"/>
      <c r="L1513" s="1153"/>
      <c r="M1513" s="1152">
        <v>231168</v>
      </c>
      <c r="N1513" s="1152"/>
      <c r="O1513" s="732">
        <f t="shared" si="189"/>
        <v>231168</v>
      </c>
      <c r="P1513" s="1153">
        <v>213782</v>
      </c>
      <c r="Q1513" s="1153"/>
      <c r="R1513" s="733">
        <f t="shared" si="192"/>
        <v>213782</v>
      </c>
      <c r="S1513" s="732">
        <f t="shared" si="193"/>
        <v>2059433</v>
      </c>
      <c r="T1513" s="733">
        <f t="shared" si="194"/>
        <v>2075950</v>
      </c>
      <c r="U1513" s="1152"/>
      <c r="V1513" s="1153"/>
      <c r="W1513" s="1152"/>
      <c r="X1513" s="1152"/>
      <c r="Y1513" s="732">
        <f t="shared" si="190"/>
        <v>0</v>
      </c>
      <c r="Z1513" s="1153"/>
      <c r="AA1513" s="1153"/>
      <c r="AB1513" s="733">
        <f t="shared" si="191"/>
        <v>0</v>
      </c>
      <c r="AC1513" s="1152"/>
      <c r="AD1513" s="1153"/>
      <c r="AE1513" s="1152"/>
      <c r="AF1513" s="1152"/>
      <c r="AG1513" s="1153"/>
      <c r="AH1513" s="1153"/>
      <c r="AI1513" s="732">
        <f t="shared" si="195"/>
        <v>2059433</v>
      </c>
      <c r="AJ1513" s="733">
        <f t="shared" si="196"/>
        <v>2075950</v>
      </c>
    </row>
    <row r="1514" spans="1:36">
      <c r="A1514" s="759" t="s">
        <v>636</v>
      </c>
      <c r="B1514" s="729" t="s">
        <v>62</v>
      </c>
      <c r="C1514" s="729" t="s">
        <v>1673</v>
      </c>
      <c r="D1514" s="722"/>
      <c r="E1514" s="759">
        <v>198376</v>
      </c>
      <c r="F1514" s="759">
        <v>9</v>
      </c>
      <c r="G1514" s="1152">
        <v>15105609</v>
      </c>
      <c r="H1514" s="1153">
        <v>15941331</v>
      </c>
      <c r="I1514" s="1152"/>
      <c r="J1514" s="1153"/>
      <c r="K1514" s="1152">
        <v>4031861</v>
      </c>
      <c r="L1514" s="1153">
        <v>4045288</v>
      </c>
      <c r="M1514" s="1152">
        <v>4963832</v>
      </c>
      <c r="N1514" s="1152"/>
      <c r="O1514" s="732">
        <f t="shared" si="189"/>
        <v>4963832</v>
      </c>
      <c r="P1514" s="1153">
        <v>4992912</v>
      </c>
      <c r="Q1514" s="1153"/>
      <c r="R1514" s="733">
        <f t="shared" si="192"/>
        <v>4992912</v>
      </c>
      <c r="S1514" s="732">
        <f t="shared" si="193"/>
        <v>24101302</v>
      </c>
      <c r="T1514" s="733">
        <f t="shared" si="194"/>
        <v>24979531</v>
      </c>
      <c r="U1514" s="1152"/>
      <c r="V1514" s="1153"/>
      <c r="W1514" s="1152"/>
      <c r="X1514" s="1152"/>
      <c r="Y1514" s="732">
        <f t="shared" si="190"/>
        <v>0</v>
      </c>
      <c r="Z1514" s="1153"/>
      <c r="AA1514" s="1153"/>
      <c r="AB1514" s="733">
        <f t="shared" si="191"/>
        <v>0</v>
      </c>
      <c r="AC1514" s="1152"/>
      <c r="AD1514" s="1153"/>
      <c r="AE1514" s="1152"/>
      <c r="AF1514" s="1152"/>
      <c r="AG1514" s="1153"/>
      <c r="AH1514" s="1153"/>
      <c r="AI1514" s="732">
        <f t="shared" si="195"/>
        <v>24101302</v>
      </c>
      <c r="AJ1514" s="733">
        <f t="shared" si="196"/>
        <v>24979531</v>
      </c>
    </row>
    <row r="1515" spans="1:36">
      <c r="A1515" s="759" t="s">
        <v>636</v>
      </c>
      <c r="B1515" s="729" t="s">
        <v>62</v>
      </c>
      <c r="C1515" s="762" t="s">
        <v>684</v>
      </c>
      <c r="D1515" s="763"/>
      <c r="E1515" s="759">
        <v>198376</v>
      </c>
      <c r="F1515" s="759">
        <v>9</v>
      </c>
      <c r="G1515" s="1152"/>
      <c r="H1515" s="1153"/>
      <c r="I1515" s="1152"/>
      <c r="J1515" s="1153"/>
      <c r="K1515" s="1152"/>
      <c r="L1515" s="1153"/>
      <c r="M1515" s="1152"/>
      <c r="N1515" s="1152"/>
      <c r="O1515" s="732">
        <f t="shared" si="189"/>
        <v>0</v>
      </c>
      <c r="P1515" s="1153"/>
      <c r="Q1515" s="1153"/>
      <c r="R1515" s="733">
        <f t="shared" si="192"/>
        <v>0</v>
      </c>
      <c r="S1515" s="732">
        <f t="shared" si="193"/>
        <v>0</v>
      </c>
      <c r="T1515" s="733">
        <f t="shared" si="194"/>
        <v>0</v>
      </c>
      <c r="U1515" s="1152"/>
      <c r="V1515" s="1153"/>
      <c r="W1515" s="1152"/>
      <c r="X1515" s="1152"/>
      <c r="Y1515" s="732">
        <f t="shared" si="190"/>
        <v>0</v>
      </c>
      <c r="Z1515" s="1153"/>
      <c r="AA1515" s="1153"/>
      <c r="AB1515" s="733">
        <f t="shared" si="191"/>
        <v>0</v>
      </c>
      <c r="AC1515" s="1152"/>
      <c r="AD1515" s="1153"/>
      <c r="AE1515" s="1152"/>
      <c r="AF1515" s="1152"/>
      <c r="AG1515" s="1153"/>
      <c r="AH1515" s="1153"/>
      <c r="AI1515" s="732">
        <f t="shared" si="195"/>
        <v>0</v>
      </c>
      <c r="AJ1515" s="733">
        <f t="shared" si="196"/>
        <v>0</v>
      </c>
    </row>
    <row r="1516" spans="1:36">
      <c r="A1516" s="759" t="s">
        <v>636</v>
      </c>
      <c r="B1516" s="729" t="s">
        <v>69</v>
      </c>
      <c r="C1516" s="762" t="s">
        <v>70</v>
      </c>
      <c r="D1516" s="763"/>
      <c r="E1516" s="759">
        <v>198376</v>
      </c>
      <c r="F1516" s="759">
        <v>9</v>
      </c>
      <c r="G1516" s="1152"/>
      <c r="H1516" s="1153"/>
      <c r="I1516" s="1152">
        <v>178120</v>
      </c>
      <c r="J1516" s="1153">
        <v>178520</v>
      </c>
      <c r="K1516" s="1152"/>
      <c r="L1516" s="1153"/>
      <c r="M1516" s="1152"/>
      <c r="N1516" s="1152"/>
      <c r="O1516" s="732">
        <f t="shared" si="189"/>
        <v>0</v>
      </c>
      <c r="P1516" s="1153"/>
      <c r="Q1516" s="1153"/>
      <c r="R1516" s="733">
        <f t="shared" si="192"/>
        <v>0</v>
      </c>
      <c r="S1516" s="732">
        <f t="shared" si="193"/>
        <v>178120</v>
      </c>
      <c r="T1516" s="733">
        <f t="shared" si="194"/>
        <v>178520</v>
      </c>
      <c r="U1516" s="1152"/>
      <c r="V1516" s="1153"/>
      <c r="W1516" s="1152"/>
      <c r="X1516" s="1152"/>
      <c r="Y1516" s="732">
        <f t="shared" si="190"/>
        <v>0</v>
      </c>
      <c r="Z1516" s="1153"/>
      <c r="AA1516" s="1153"/>
      <c r="AB1516" s="733">
        <f t="shared" si="191"/>
        <v>0</v>
      </c>
      <c r="AC1516" s="1152"/>
      <c r="AD1516" s="1153"/>
      <c r="AE1516" s="1152"/>
      <c r="AF1516" s="1152"/>
      <c r="AG1516" s="1153"/>
      <c r="AH1516" s="1153"/>
      <c r="AI1516" s="732">
        <f t="shared" si="195"/>
        <v>178120</v>
      </c>
      <c r="AJ1516" s="733">
        <f t="shared" si="196"/>
        <v>178520</v>
      </c>
    </row>
    <row r="1517" spans="1:36">
      <c r="A1517" s="759" t="s">
        <v>636</v>
      </c>
      <c r="B1517" s="729" t="s">
        <v>685</v>
      </c>
      <c r="C1517" s="762" t="s">
        <v>72</v>
      </c>
      <c r="D1517" s="763"/>
      <c r="E1517" s="759">
        <v>198376</v>
      </c>
      <c r="F1517" s="759">
        <v>9</v>
      </c>
      <c r="G1517" s="1152"/>
      <c r="H1517" s="1153"/>
      <c r="I1517" s="1152">
        <v>1959505</v>
      </c>
      <c r="J1517" s="1153">
        <v>1851625</v>
      </c>
      <c r="K1517" s="1152"/>
      <c r="L1517" s="1153"/>
      <c r="M1517" s="1152">
        <v>188920</v>
      </c>
      <c r="N1517" s="1152"/>
      <c r="O1517" s="732">
        <f t="shared" si="189"/>
        <v>188920</v>
      </c>
      <c r="P1517" s="1153">
        <v>172584</v>
      </c>
      <c r="Q1517" s="1153"/>
      <c r="R1517" s="733">
        <f t="shared" si="192"/>
        <v>172584</v>
      </c>
      <c r="S1517" s="732">
        <f t="shared" si="193"/>
        <v>2148425</v>
      </c>
      <c r="T1517" s="733">
        <f t="shared" si="194"/>
        <v>2024209</v>
      </c>
      <c r="U1517" s="1152"/>
      <c r="V1517" s="1153"/>
      <c r="W1517" s="1152"/>
      <c r="X1517" s="1152"/>
      <c r="Y1517" s="732">
        <f t="shared" si="190"/>
        <v>0</v>
      </c>
      <c r="Z1517" s="1153"/>
      <c r="AA1517" s="1153"/>
      <c r="AB1517" s="733">
        <f t="shared" si="191"/>
        <v>0</v>
      </c>
      <c r="AC1517" s="1152"/>
      <c r="AD1517" s="1153"/>
      <c r="AE1517" s="1152"/>
      <c r="AF1517" s="1152"/>
      <c r="AG1517" s="1153"/>
      <c r="AH1517" s="1153"/>
      <c r="AI1517" s="732">
        <f t="shared" si="195"/>
        <v>2148425</v>
      </c>
      <c r="AJ1517" s="733">
        <f t="shared" si="196"/>
        <v>2024209</v>
      </c>
    </row>
    <row r="1518" spans="1:36">
      <c r="A1518" s="759" t="s">
        <v>636</v>
      </c>
      <c r="B1518" s="729" t="s">
        <v>62</v>
      </c>
      <c r="C1518" s="729" t="s">
        <v>701</v>
      </c>
      <c r="D1518" s="722"/>
      <c r="E1518" s="759">
        <v>198455</v>
      </c>
      <c r="F1518" s="759">
        <v>9</v>
      </c>
      <c r="G1518" s="1152">
        <v>19607689</v>
      </c>
      <c r="H1518" s="1153">
        <v>20942313</v>
      </c>
      <c r="I1518" s="1152"/>
      <c r="J1518" s="1153"/>
      <c r="K1518" s="1152">
        <v>8827828</v>
      </c>
      <c r="L1518" s="1153">
        <v>8418555</v>
      </c>
      <c r="M1518" s="1152">
        <v>6906780</v>
      </c>
      <c r="N1518" s="1152"/>
      <c r="O1518" s="732">
        <f t="shared" si="189"/>
        <v>6906780</v>
      </c>
      <c r="P1518" s="1153">
        <v>6952461</v>
      </c>
      <c r="Q1518" s="1153"/>
      <c r="R1518" s="733">
        <f t="shared" si="192"/>
        <v>6952461</v>
      </c>
      <c r="S1518" s="732">
        <f t="shared" si="193"/>
        <v>35342297</v>
      </c>
      <c r="T1518" s="733">
        <f t="shared" si="194"/>
        <v>36313329</v>
      </c>
      <c r="U1518" s="1152"/>
      <c r="V1518" s="1153"/>
      <c r="W1518" s="1152"/>
      <c r="X1518" s="1152"/>
      <c r="Y1518" s="732">
        <f t="shared" si="190"/>
        <v>0</v>
      </c>
      <c r="Z1518" s="1153"/>
      <c r="AA1518" s="1153"/>
      <c r="AB1518" s="733">
        <f t="shared" si="191"/>
        <v>0</v>
      </c>
      <c r="AC1518" s="1152"/>
      <c r="AD1518" s="1153"/>
      <c r="AE1518" s="1152"/>
      <c r="AF1518" s="1152"/>
      <c r="AG1518" s="1153"/>
      <c r="AH1518" s="1153"/>
      <c r="AI1518" s="732">
        <f t="shared" si="195"/>
        <v>35342297</v>
      </c>
      <c r="AJ1518" s="733">
        <f t="shared" si="196"/>
        <v>36313329</v>
      </c>
    </row>
    <row r="1519" spans="1:36">
      <c r="A1519" s="759" t="s">
        <v>636</v>
      </c>
      <c r="B1519" s="729" t="s">
        <v>62</v>
      </c>
      <c r="C1519" s="762" t="s">
        <v>684</v>
      </c>
      <c r="D1519" s="763"/>
      <c r="E1519" s="759">
        <v>198455</v>
      </c>
      <c r="F1519" s="759">
        <v>9</v>
      </c>
      <c r="G1519" s="1152"/>
      <c r="H1519" s="1153"/>
      <c r="I1519" s="1152"/>
      <c r="J1519" s="1153"/>
      <c r="K1519" s="1152"/>
      <c r="L1519" s="1153"/>
      <c r="M1519" s="1152"/>
      <c r="N1519" s="1152"/>
      <c r="O1519" s="732">
        <f t="shared" si="189"/>
        <v>0</v>
      </c>
      <c r="P1519" s="1153"/>
      <c r="Q1519" s="1153"/>
      <c r="R1519" s="733">
        <f t="shared" si="192"/>
        <v>0</v>
      </c>
      <c r="S1519" s="732">
        <f t="shared" si="193"/>
        <v>0</v>
      </c>
      <c r="T1519" s="733">
        <f t="shared" si="194"/>
        <v>0</v>
      </c>
      <c r="U1519" s="1152"/>
      <c r="V1519" s="1153"/>
      <c r="W1519" s="1152"/>
      <c r="X1519" s="1152"/>
      <c r="Y1519" s="732">
        <f t="shared" si="190"/>
        <v>0</v>
      </c>
      <c r="Z1519" s="1153"/>
      <c r="AA1519" s="1153"/>
      <c r="AB1519" s="733">
        <f t="shared" si="191"/>
        <v>0</v>
      </c>
      <c r="AC1519" s="1152"/>
      <c r="AD1519" s="1153"/>
      <c r="AE1519" s="1152"/>
      <c r="AF1519" s="1152"/>
      <c r="AG1519" s="1153"/>
      <c r="AH1519" s="1153"/>
      <c r="AI1519" s="732">
        <f t="shared" si="195"/>
        <v>0</v>
      </c>
      <c r="AJ1519" s="733">
        <f t="shared" si="196"/>
        <v>0</v>
      </c>
    </row>
    <row r="1520" spans="1:36">
      <c r="A1520" s="759" t="s">
        <v>636</v>
      </c>
      <c r="B1520" s="729" t="s">
        <v>69</v>
      </c>
      <c r="C1520" s="762" t="s">
        <v>70</v>
      </c>
      <c r="D1520" s="763"/>
      <c r="E1520" s="759">
        <v>198455</v>
      </c>
      <c r="F1520" s="759">
        <v>9</v>
      </c>
      <c r="G1520" s="1152"/>
      <c r="H1520" s="1153"/>
      <c r="I1520" s="1152">
        <v>179089</v>
      </c>
      <c r="J1520" s="1153">
        <v>179185</v>
      </c>
      <c r="K1520" s="1152"/>
      <c r="L1520" s="1153"/>
      <c r="M1520" s="1152"/>
      <c r="N1520" s="1152"/>
      <c r="O1520" s="732">
        <f t="shared" si="189"/>
        <v>0</v>
      </c>
      <c r="P1520" s="1153"/>
      <c r="Q1520" s="1153"/>
      <c r="R1520" s="733">
        <f t="shared" si="192"/>
        <v>0</v>
      </c>
      <c r="S1520" s="732">
        <f t="shared" si="193"/>
        <v>179089</v>
      </c>
      <c r="T1520" s="733">
        <f t="shared" si="194"/>
        <v>179185</v>
      </c>
      <c r="U1520" s="1152"/>
      <c r="V1520" s="1153"/>
      <c r="W1520" s="1152"/>
      <c r="X1520" s="1152"/>
      <c r="Y1520" s="732">
        <f t="shared" si="190"/>
        <v>0</v>
      </c>
      <c r="Z1520" s="1153"/>
      <c r="AA1520" s="1153"/>
      <c r="AB1520" s="733">
        <f t="shared" si="191"/>
        <v>0</v>
      </c>
      <c r="AC1520" s="1152"/>
      <c r="AD1520" s="1153"/>
      <c r="AE1520" s="1152"/>
      <c r="AF1520" s="1152"/>
      <c r="AG1520" s="1153"/>
      <c r="AH1520" s="1153"/>
      <c r="AI1520" s="732">
        <f t="shared" si="195"/>
        <v>179089</v>
      </c>
      <c r="AJ1520" s="733">
        <f t="shared" si="196"/>
        <v>179185</v>
      </c>
    </row>
    <row r="1521" spans="1:36">
      <c r="A1521" s="759" t="s">
        <v>636</v>
      </c>
      <c r="B1521" s="729" t="s">
        <v>685</v>
      </c>
      <c r="C1521" s="762" t="s">
        <v>72</v>
      </c>
      <c r="D1521" s="763"/>
      <c r="E1521" s="759">
        <v>198455</v>
      </c>
      <c r="F1521" s="759">
        <v>9</v>
      </c>
      <c r="G1521" s="1152"/>
      <c r="H1521" s="1153"/>
      <c r="I1521" s="1152">
        <v>2263856</v>
      </c>
      <c r="J1521" s="1153">
        <v>2603013</v>
      </c>
      <c r="K1521" s="1152"/>
      <c r="L1521" s="1153"/>
      <c r="M1521" s="1152">
        <v>218015</v>
      </c>
      <c r="N1521" s="1152"/>
      <c r="O1521" s="732">
        <f t="shared" si="189"/>
        <v>218015</v>
      </c>
      <c r="P1521" s="1153">
        <v>243102</v>
      </c>
      <c r="Q1521" s="1153"/>
      <c r="R1521" s="733">
        <f t="shared" si="192"/>
        <v>243102</v>
      </c>
      <c r="S1521" s="732">
        <f t="shared" si="193"/>
        <v>2481871</v>
      </c>
      <c r="T1521" s="733">
        <f t="shared" si="194"/>
        <v>2846115</v>
      </c>
      <c r="U1521" s="1152"/>
      <c r="V1521" s="1153"/>
      <c r="W1521" s="1152"/>
      <c r="X1521" s="1152"/>
      <c r="Y1521" s="732">
        <f t="shared" si="190"/>
        <v>0</v>
      </c>
      <c r="Z1521" s="1153"/>
      <c r="AA1521" s="1153"/>
      <c r="AB1521" s="733">
        <f t="shared" si="191"/>
        <v>0</v>
      </c>
      <c r="AC1521" s="1152"/>
      <c r="AD1521" s="1153"/>
      <c r="AE1521" s="1152"/>
      <c r="AF1521" s="1152"/>
      <c r="AG1521" s="1153"/>
      <c r="AH1521" s="1153"/>
      <c r="AI1521" s="732">
        <f t="shared" si="195"/>
        <v>2481871</v>
      </c>
      <c r="AJ1521" s="733">
        <f t="shared" si="196"/>
        <v>2846115</v>
      </c>
    </row>
    <row r="1522" spans="1:36">
      <c r="A1522" s="759" t="s">
        <v>636</v>
      </c>
      <c r="B1522" s="729" t="s">
        <v>62</v>
      </c>
      <c r="C1522" s="729" t="s">
        <v>703</v>
      </c>
      <c r="D1522" s="723"/>
      <c r="E1522" s="759">
        <v>198570</v>
      </c>
      <c r="F1522" s="759">
        <v>9</v>
      </c>
      <c r="G1522" s="1152">
        <v>21442118</v>
      </c>
      <c r="H1522" s="1153">
        <v>21861535</v>
      </c>
      <c r="I1522" s="1152"/>
      <c r="J1522" s="1153"/>
      <c r="K1522" s="1152">
        <v>5812097</v>
      </c>
      <c r="L1522" s="1153">
        <v>5836317</v>
      </c>
      <c r="M1522" s="1152">
        <v>7121370</v>
      </c>
      <c r="N1522" s="1152"/>
      <c r="O1522" s="732">
        <f t="shared" si="189"/>
        <v>7121370</v>
      </c>
      <c r="P1522" s="1153">
        <v>7002294</v>
      </c>
      <c r="Q1522" s="1153"/>
      <c r="R1522" s="733">
        <f t="shared" si="192"/>
        <v>7002294</v>
      </c>
      <c r="S1522" s="732">
        <f t="shared" si="193"/>
        <v>34375585</v>
      </c>
      <c r="T1522" s="733">
        <f t="shared" si="194"/>
        <v>34700146</v>
      </c>
      <c r="U1522" s="1152"/>
      <c r="V1522" s="1153"/>
      <c r="W1522" s="1152"/>
      <c r="X1522" s="1152"/>
      <c r="Y1522" s="732">
        <f t="shared" si="190"/>
        <v>0</v>
      </c>
      <c r="Z1522" s="1153"/>
      <c r="AA1522" s="1153"/>
      <c r="AB1522" s="733">
        <f t="shared" si="191"/>
        <v>0</v>
      </c>
      <c r="AC1522" s="1152"/>
      <c r="AD1522" s="1153"/>
      <c r="AE1522" s="1152"/>
      <c r="AF1522" s="1152"/>
      <c r="AG1522" s="1153"/>
      <c r="AH1522" s="1153"/>
      <c r="AI1522" s="732">
        <f t="shared" si="195"/>
        <v>34375585</v>
      </c>
      <c r="AJ1522" s="733">
        <f t="shared" si="196"/>
        <v>34700146</v>
      </c>
    </row>
    <row r="1523" spans="1:36">
      <c r="A1523" s="759" t="s">
        <v>636</v>
      </c>
      <c r="B1523" s="729" t="s">
        <v>62</v>
      </c>
      <c r="C1523" s="762" t="s">
        <v>684</v>
      </c>
      <c r="D1523" s="763"/>
      <c r="E1523" s="759">
        <v>198570</v>
      </c>
      <c r="F1523" s="759">
        <v>9</v>
      </c>
      <c r="G1523" s="1152"/>
      <c r="H1523" s="1153"/>
      <c r="I1523" s="1152"/>
      <c r="J1523" s="1153"/>
      <c r="K1523" s="1152"/>
      <c r="L1523" s="1153"/>
      <c r="M1523" s="1152"/>
      <c r="N1523" s="1152"/>
      <c r="O1523" s="732">
        <f t="shared" si="189"/>
        <v>0</v>
      </c>
      <c r="P1523" s="1153"/>
      <c r="Q1523" s="1153"/>
      <c r="R1523" s="733">
        <f t="shared" si="192"/>
        <v>0</v>
      </c>
      <c r="S1523" s="732">
        <f t="shared" si="193"/>
        <v>0</v>
      </c>
      <c r="T1523" s="733">
        <f t="shared" si="194"/>
        <v>0</v>
      </c>
      <c r="U1523" s="1152"/>
      <c r="V1523" s="1153"/>
      <c r="W1523" s="1152"/>
      <c r="X1523" s="1152"/>
      <c r="Y1523" s="732">
        <f t="shared" si="190"/>
        <v>0</v>
      </c>
      <c r="Z1523" s="1153"/>
      <c r="AA1523" s="1153"/>
      <c r="AB1523" s="733">
        <f t="shared" si="191"/>
        <v>0</v>
      </c>
      <c r="AC1523" s="1152"/>
      <c r="AD1523" s="1153"/>
      <c r="AE1523" s="1152"/>
      <c r="AF1523" s="1152"/>
      <c r="AG1523" s="1153"/>
      <c r="AH1523" s="1153"/>
      <c r="AI1523" s="732">
        <f t="shared" si="195"/>
        <v>0</v>
      </c>
      <c r="AJ1523" s="733">
        <f t="shared" si="196"/>
        <v>0</v>
      </c>
    </row>
    <row r="1524" spans="1:36">
      <c r="A1524" s="759" t="s">
        <v>636</v>
      </c>
      <c r="B1524" s="729" t="s">
        <v>69</v>
      </c>
      <c r="C1524" s="762" t="s">
        <v>70</v>
      </c>
      <c r="D1524" s="763"/>
      <c r="E1524" s="759">
        <v>198570</v>
      </c>
      <c r="F1524" s="759">
        <v>9</v>
      </c>
      <c r="G1524" s="1152"/>
      <c r="H1524" s="1153"/>
      <c r="I1524" s="1152">
        <v>175721</v>
      </c>
      <c r="J1524" s="1153">
        <v>177446</v>
      </c>
      <c r="K1524" s="1152"/>
      <c r="L1524" s="1153"/>
      <c r="M1524" s="1152"/>
      <c r="N1524" s="1152"/>
      <c r="O1524" s="732">
        <f t="shared" si="189"/>
        <v>0</v>
      </c>
      <c r="P1524" s="1153"/>
      <c r="Q1524" s="1153"/>
      <c r="R1524" s="733">
        <f t="shared" si="192"/>
        <v>0</v>
      </c>
      <c r="S1524" s="732">
        <f t="shared" si="193"/>
        <v>175721</v>
      </c>
      <c r="T1524" s="733">
        <f t="shared" si="194"/>
        <v>177446</v>
      </c>
      <c r="U1524" s="1152"/>
      <c r="V1524" s="1153"/>
      <c r="W1524" s="1152"/>
      <c r="X1524" s="1152"/>
      <c r="Y1524" s="732">
        <f t="shared" si="190"/>
        <v>0</v>
      </c>
      <c r="Z1524" s="1153"/>
      <c r="AA1524" s="1153"/>
      <c r="AB1524" s="733">
        <f t="shared" si="191"/>
        <v>0</v>
      </c>
      <c r="AC1524" s="1152"/>
      <c r="AD1524" s="1153"/>
      <c r="AE1524" s="1152"/>
      <c r="AF1524" s="1152"/>
      <c r="AG1524" s="1153"/>
      <c r="AH1524" s="1153"/>
      <c r="AI1524" s="732">
        <f t="shared" si="195"/>
        <v>175721</v>
      </c>
      <c r="AJ1524" s="733">
        <f t="shared" si="196"/>
        <v>177446</v>
      </c>
    </row>
    <row r="1525" spans="1:36">
      <c r="A1525" s="759" t="s">
        <v>636</v>
      </c>
      <c r="B1525" s="729" t="s">
        <v>685</v>
      </c>
      <c r="C1525" s="762" t="s">
        <v>72</v>
      </c>
      <c r="D1525" s="763"/>
      <c r="E1525" s="759">
        <v>198570</v>
      </c>
      <c r="F1525" s="759">
        <v>9</v>
      </c>
      <c r="G1525" s="1152"/>
      <c r="H1525" s="1153"/>
      <c r="I1525" s="1152">
        <v>1451910</v>
      </c>
      <c r="J1525" s="1153">
        <v>1844086</v>
      </c>
      <c r="K1525" s="1152"/>
      <c r="L1525" s="1153"/>
      <c r="M1525" s="1152">
        <v>180948</v>
      </c>
      <c r="N1525" s="1152"/>
      <c r="O1525" s="732">
        <f t="shared" si="189"/>
        <v>180948</v>
      </c>
      <c r="P1525" s="1153">
        <v>195595</v>
      </c>
      <c r="Q1525" s="1153"/>
      <c r="R1525" s="733">
        <f t="shared" si="192"/>
        <v>195595</v>
      </c>
      <c r="S1525" s="732">
        <f t="shared" si="193"/>
        <v>1632858</v>
      </c>
      <c r="T1525" s="733">
        <f t="shared" si="194"/>
        <v>2039681</v>
      </c>
      <c r="U1525" s="1152"/>
      <c r="V1525" s="1153"/>
      <c r="W1525" s="1152"/>
      <c r="X1525" s="1152"/>
      <c r="Y1525" s="732">
        <f t="shared" si="190"/>
        <v>0</v>
      </c>
      <c r="Z1525" s="1153"/>
      <c r="AA1525" s="1153"/>
      <c r="AB1525" s="733">
        <f t="shared" si="191"/>
        <v>0</v>
      </c>
      <c r="AC1525" s="1152"/>
      <c r="AD1525" s="1153"/>
      <c r="AE1525" s="1152"/>
      <c r="AF1525" s="1152"/>
      <c r="AG1525" s="1153"/>
      <c r="AH1525" s="1153"/>
      <c r="AI1525" s="732">
        <f t="shared" si="195"/>
        <v>1632858</v>
      </c>
      <c r="AJ1525" s="733">
        <f t="shared" si="196"/>
        <v>2039681</v>
      </c>
    </row>
    <row r="1526" spans="1:36">
      <c r="A1526" s="759" t="s">
        <v>636</v>
      </c>
      <c r="B1526" s="729" t="s">
        <v>62</v>
      </c>
      <c r="C1526" s="729" t="s">
        <v>704</v>
      </c>
      <c r="D1526" s="722"/>
      <c r="E1526" s="759">
        <v>198774</v>
      </c>
      <c r="F1526" s="759">
        <v>9</v>
      </c>
      <c r="G1526" s="1152">
        <v>16238588</v>
      </c>
      <c r="H1526" s="1153">
        <v>17281175</v>
      </c>
      <c r="I1526" s="1152"/>
      <c r="J1526" s="1153"/>
      <c r="K1526" s="1152">
        <v>4728931</v>
      </c>
      <c r="L1526" s="1153">
        <v>4500000</v>
      </c>
      <c r="M1526" s="1152">
        <v>5491157</v>
      </c>
      <c r="N1526" s="1152"/>
      <c r="O1526" s="732">
        <f t="shared" si="189"/>
        <v>5491157</v>
      </c>
      <c r="P1526" s="1153">
        <v>5602157</v>
      </c>
      <c r="Q1526" s="1153"/>
      <c r="R1526" s="733">
        <f t="shared" si="192"/>
        <v>5602157</v>
      </c>
      <c r="S1526" s="732">
        <f t="shared" si="193"/>
        <v>26458676</v>
      </c>
      <c r="T1526" s="733">
        <f t="shared" si="194"/>
        <v>27383332</v>
      </c>
      <c r="U1526" s="1152"/>
      <c r="V1526" s="1153"/>
      <c r="W1526" s="1152"/>
      <c r="X1526" s="1152"/>
      <c r="Y1526" s="732">
        <f t="shared" si="190"/>
        <v>0</v>
      </c>
      <c r="Z1526" s="1153"/>
      <c r="AA1526" s="1153"/>
      <c r="AB1526" s="733">
        <f t="shared" si="191"/>
        <v>0</v>
      </c>
      <c r="AC1526" s="1152"/>
      <c r="AD1526" s="1153"/>
      <c r="AE1526" s="1152"/>
      <c r="AF1526" s="1152"/>
      <c r="AG1526" s="1153"/>
      <c r="AH1526" s="1153"/>
      <c r="AI1526" s="732">
        <f t="shared" si="195"/>
        <v>26458676</v>
      </c>
      <c r="AJ1526" s="733">
        <f t="shared" si="196"/>
        <v>27383332</v>
      </c>
    </row>
    <row r="1527" spans="1:36">
      <c r="A1527" s="759" t="s">
        <v>636</v>
      </c>
      <c r="B1527" s="729" t="s">
        <v>62</v>
      </c>
      <c r="C1527" s="762" t="s">
        <v>684</v>
      </c>
      <c r="D1527" s="763"/>
      <c r="E1527" s="759">
        <v>198774</v>
      </c>
      <c r="F1527" s="759">
        <v>9</v>
      </c>
      <c r="G1527" s="1152"/>
      <c r="H1527" s="1153"/>
      <c r="I1527" s="1152"/>
      <c r="J1527" s="1153"/>
      <c r="K1527" s="1152"/>
      <c r="L1527" s="1153"/>
      <c r="M1527" s="1152"/>
      <c r="N1527" s="1152"/>
      <c r="O1527" s="732">
        <f t="shared" si="189"/>
        <v>0</v>
      </c>
      <c r="P1527" s="1153"/>
      <c r="Q1527" s="1153"/>
      <c r="R1527" s="733">
        <f t="shared" si="192"/>
        <v>0</v>
      </c>
      <c r="S1527" s="732">
        <f t="shared" si="193"/>
        <v>0</v>
      </c>
      <c r="T1527" s="733">
        <f t="shared" si="194"/>
        <v>0</v>
      </c>
      <c r="U1527" s="1152"/>
      <c r="V1527" s="1153"/>
      <c r="W1527" s="1152"/>
      <c r="X1527" s="1152"/>
      <c r="Y1527" s="732">
        <f t="shared" si="190"/>
        <v>0</v>
      </c>
      <c r="Z1527" s="1153"/>
      <c r="AA1527" s="1153"/>
      <c r="AB1527" s="733">
        <f t="shared" si="191"/>
        <v>0</v>
      </c>
      <c r="AC1527" s="1152"/>
      <c r="AD1527" s="1153"/>
      <c r="AE1527" s="1152"/>
      <c r="AF1527" s="1152"/>
      <c r="AG1527" s="1153"/>
      <c r="AH1527" s="1153"/>
      <c r="AI1527" s="732">
        <f t="shared" si="195"/>
        <v>0</v>
      </c>
      <c r="AJ1527" s="733">
        <f t="shared" si="196"/>
        <v>0</v>
      </c>
    </row>
    <row r="1528" spans="1:36">
      <c r="A1528" s="759" t="s">
        <v>636</v>
      </c>
      <c r="B1528" s="729" t="s">
        <v>69</v>
      </c>
      <c r="C1528" s="762" t="s">
        <v>70</v>
      </c>
      <c r="D1528" s="763"/>
      <c r="E1528" s="759">
        <v>198774</v>
      </c>
      <c r="F1528" s="759">
        <v>9</v>
      </c>
      <c r="G1528" s="1152"/>
      <c r="H1528" s="1153"/>
      <c r="I1528" s="1152">
        <v>168069</v>
      </c>
      <c r="J1528" s="1153">
        <v>167701</v>
      </c>
      <c r="K1528" s="1152"/>
      <c r="L1528" s="1153"/>
      <c r="M1528" s="1152"/>
      <c r="N1528" s="1152"/>
      <c r="O1528" s="732">
        <f t="shared" si="189"/>
        <v>0</v>
      </c>
      <c r="P1528" s="1153"/>
      <c r="Q1528" s="1153"/>
      <c r="R1528" s="733">
        <f t="shared" si="192"/>
        <v>0</v>
      </c>
      <c r="S1528" s="732">
        <f t="shared" si="193"/>
        <v>168069</v>
      </c>
      <c r="T1528" s="733">
        <f t="shared" si="194"/>
        <v>167701</v>
      </c>
      <c r="U1528" s="1152"/>
      <c r="V1528" s="1153"/>
      <c r="W1528" s="1152"/>
      <c r="X1528" s="1152"/>
      <c r="Y1528" s="732">
        <f t="shared" si="190"/>
        <v>0</v>
      </c>
      <c r="Z1528" s="1153"/>
      <c r="AA1528" s="1153"/>
      <c r="AB1528" s="733">
        <f t="shared" si="191"/>
        <v>0</v>
      </c>
      <c r="AC1528" s="1152"/>
      <c r="AD1528" s="1153"/>
      <c r="AE1528" s="1152"/>
      <c r="AF1528" s="1152"/>
      <c r="AG1528" s="1153"/>
      <c r="AH1528" s="1153"/>
      <c r="AI1528" s="732">
        <f t="shared" si="195"/>
        <v>168069</v>
      </c>
      <c r="AJ1528" s="733">
        <f t="shared" si="196"/>
        <v>167701</v>
      </c>
    </row>
    <row r="1529" spans="1:36">
      <c r="A1529" s="759" t="s">
        <v>636</v>
      </c>
      <c r="B1529" s="729" t="s">
        <v>685</v>
      </c>
      <c r="C1529" s="762" t="s">
        <v>72</v>
      </c>
      <c r="D1529" s="763"/>
      <c r="E1529" s="759">
        <v>198774</v>
      </c>
      <c r="F1529" s="759">
        <v>9</v>
      </c>
      <c r="G1529" s="1152"/>
      <c r="H1529" s="1153"/>
      <c r="I1529" s="1152">
        <v>2425003</v>
      </c>
      <c r="J1529" s="1153">
        <v>2569041</v>
      </c>
      <c r="K1529" s="1152"/>
      <c r="L1529" s="1153"/>
      <c r="M1529" s="1152">
        <v>278597</v>
      </c>
      <c r="N1529" s="1152"/>
      <c r="O1529" s="732">
        <f t="shared" si="189"/>
        <v>278597</v>
      </c>
      <c r="P1529" s="1153">
        <v>271681</v>
      </c>
      <c r="Q1529" s="1153"/>
      <c r="R1529" s="733">
        <f t="shared" si="192"/>
        <v>271681</v>
      </c>
      <c r="S1529" s="732">
        <f t="shared" si="193"/>
        <v>2703600</v>
      </c>
      <c r="T1529" s="733">
        <f t="shared" si="194"/>
        <v>2840722</v>
      </c>
      <c r="U1529" s="1152"/>
      <c r="V1529" s="1153"/>
      <c r="W1529" s="1152"/>
      <c r="X1529" s="1152"/>
      <c r="Y1529" s="732">
        <f t="shared" si="190"/>
        <v>0</v>
      </c>
      <c r="Z1529" s="1153"/>
      <c r="AA1529" s="1153"/>
      <c r="AB1529" s="733">
        <f t="shared" si="191"/>
        <v>0</v>
      </c>
      <c r="AC1529" s="1152"/>
      <c r="AD1529" s="1153"/>
      <c r="AE1529" s="1152"/>
      <c r="AF1529" s="1152"/>
      <c r="AG1529" s="1153"/>
      <c r="AH1529" s="1153"/>
      <c r="AI1529" s="732">
        <f t="shared" si="195"/>
        <v>2703600</v>
      </c>
      <c r="AJ1529" s="733">
        <f t="shared" si="196"/>
        <v>2840722</v>
      </c>
    </row>
    <row r="1530" spans="1:36">
      <c r="A1530" s="759" t="s">
        <v>636</v>
      </c>
      <c r="B1530" s="729" t="s">
        <v>62</v>
      </c>
      <c r="C1530" s="729" t="s">
        <v>705</v>
      </c>
      <c r="D1530" s="722"/>
      <c r="E1530" s="759">
        <v>198817</v>
      </c>
      <c r="F1530" s="759">
        <v>9</v>
      </c>
      <c r="G1530" s="1152">
        <v>15377076</v>
      </c>
      <c r="H1530" s="1153">
        <v>15040902</v>
      </c>
      <c r="I1530" s="1152"/>
      <c r="J1530" s="1153"/>
      <c r="K1530" s="1152">
        <v>2928933</v>
      </c>
      <c r="L1530" s="1153">
        <v>2821148</v>
      </c>
      <c r="M1530" s="1152">
        <v>377865</v>
      </c>
      <c r="N1530" s="1152"/>
      <c r="O1530" s="732">
        <f t="shared" si="189"/>
        <v>377865</v>
      </c>
      <c r="P1530" s="1155">
        <v>3610457</v>
      </c>
      <c r="Q1530" s="1153"/>
      <c r="R1530" s="733">
        <f t="shared" si="192"/>
        <v>3610457</v>
      </c>
      <c r="S1530" s="732">
        <f t="shared" si="193"/>
        <v>18683874</v>
      </c>
      <c r="T1530" s="733">
        <f t="shared" si="194"/>
        <v>21472507</v>
      </c>
      <c r="U1530" s="1152"/>
      <c r="V1530" s="1153"/>
      <c r="W1530" s="1152"/>
      <c r="X1530" s="1152"/>
      <c r="Y1530" s="732">
        <f t="shared" si="190"/>
        <v>0</v>
      </c>
      <c r="Z1530" s="1153"/>
      <c r="AA1530" s="1153"/>
      <c r="AB1530" s="733">
        <f t="shared" si="191"/>
        <v>0</v>
      </c>
      <c r="AC1530" s="1152"/>
      <c r="AD1530" s="1153"/>
      <c r="AE1530" s="1152"/>
      <c r="AF1530" s="1152"/>
      <c r="AG1530" s="1153"/>
      <c r="AH1530" s="1153"/>
      <c r="AI1530" s="732">
        <f t="shared" si="195"/>
        <v>18683874</v>
      </c>
      <c r="AJ1530" s="733">
        <f t="shared" si="196"/>
        <v>21472507</v>
      </c>
    </row>
    <row r="1531" spans="1:36">
      <c r="A1531" s="759" t="s">
        <v>636</v>
      </c>
      <c r="B1531" s="729" t="s">
        <v>62</v>
      </c>
      <c r="C1531" s="762" t="s">
        <v>684</v>
      </c>
      <c r="D1531" s="763"/>
      <c r="E1531" s="759">
        <v>198817</v>
      </c>
      <c r="F1531" s="759">
        <v>9</v>
      </c>
      <c r="G1531" s="1152"/>
      <c r="H1531" s="1153"/>
      <c r="I1531" s="1152"/>
      <c r="J1531" s="1153"/>
      <c r="K1531" s="1152"/>
      <c r="L1531" s="1153"/>
      <c r="M1531" s="1152"/>
      <c r="N1531" s="1152"/>
      <c r="O1531" s="732">
        <f t="shared" si="189"/>
        <v>0</v>
      </c>
      <c r="P1531" s="1153"/>
      <c r="Q1531" s="1153"/>
      <c r="R1531" s="733">
        <f t="shared" si="192"/>
        <v>0</v>
      </c>
      <c r="S1531" s="732">
        <f t="shared" si="193"/>
        <v>0</v>
      </c>
      <c r="T1531" s="733">
        <f t="shared" si="194"/>
        <v>0</v>
      </c>
      <c r="U1531" s="1152"/>
      <c r="V1531" s="1153"/>
      <c r="W1531" s="1152"/>
      <c r="X1531" s="1152"/>
      <c r="Y1531" s="732">
        <f t="shared" si="190"/>
        <v>0</v>
      </c>
      <c r="Z1531" s="1153"/>
      <c r="AA1531" s="1153"/>
      <c r="AB1531" s="733">
        <f t="shared" si="191"/>
        <v>0</v>
      </c>
      <c r="AC1531" s="1152"/>
      <c r="AD1531" s="1153"/>
      <c r="AE1531" s="1152"/>
      <c r="AF1531" s="1152"/>
      <c r="AG1531" s="1153"/>
      <c r="AH1531" s="1153"/>
      <c r="AI1531" s="732">
        <f t="shared" si="195"/>
        <v>0</v>
      </c>
      <c r="AJ1531" s="733">
        <f t="shared" si="196"/>
        <v>0</v>
      </c>
    </row>
    <row r="1532" spans="1:36">
      <c r="A1532" s="759" t="s">
        <v>636</v>
      </c>
      <c r="B1532" s="729" t="s">
        <v>69</v>
      </c>
      <c r="C1532" s="762" t="s">
        <v>70</v>
      </c>
      <c r="D1532" s="763"/>
      <c r="E1532" s="759">
        <v>198817</v>
      </c>
      <c r="F1532" s="759">
        <v>9</v>
      </c>
      <c r="G1532" s="1152"/>
      <c r="H1532" s="1153"/>
      <c r="I1532" s="1152">
        <v>160006</v>
      </c>
      <c r="J1532" s="1153">
        <v>160695</v>
      </c>
      <c r="K1532" s="1152"/>
      <c r="L1532" s="1153"/>
      <c r="M1532" s="1152"/>
      <c r="N1532" s="1152"/>
      <c r="O1532" s="732">
        <f t="shared" si="189"/>
        <v>0</v>
      </c>
      <c r="P1532" s="1153"/>
      <c r="Q1532" s="1153"/>
      <c r="R1532" s="733">
        <f t="shared" si="192"/>
        <v>0</v>
      </c>
      <c r="S1532" s="732">
        <f t="shared" si="193"/>
        <v>160006</v>
      </c>
      <c r="T1532" s="733">
        <f t="shared" si="194"/>
        <v>160695</v>
      </c>
      <c r="U1532" s="1152"/>
      <c r="V1532" s="1153"/>
      <c r="W1532" s="1152"/>
      <c r="X1532" s="1152"/>
      <c r="Y1532" s="732">
        <f t="shared" si="190"/>
        <v>0</v>
      </c>
      <c r="Z1532" s="1153"/>
      <c r="AA1532" s="1153"/>
      <c r="AB1532" s="733">
        <f t="shared" si="191"/>
        <v>0</v>
      </c>
      <c r="AC1532" s="1152"/>
      <c r="AD1532" s="1153"/>
      <c r="AE1532" s="1152"/>
      <c r="AF1532" s="1152"/>
      <c r="AG1532" s="1153"/>
      <c r="AH1532" s="1153"/>
      <c r="AI1532" s="732">
        <f t="shared" si="195"/>
        <v>160006</v>
      </c>
      <c r="AJ1532" s="733">
        <f t="shared" si="196"/>
        <v>160695</v>
      </c>
    </row>
    <row r="1533" spans="1:36">
      <c r="A1533" s="759" t="s">
        <v>636</v>
      </c>
      <c r="B1533" s="729" t="s">
        <v>685</v>
      </c>
      <c r="C1533" s="762" t="s">
        <v>72</v>
      </c>
      <c r="D1533" s="763"/>
      <c r="E1533" s="759">
        <v>198817</v>
      </c>
      <c r="F1533" s="759">
        <v>9</v>
      </c>
      <c r="G1533" s="1152"/>
      <c r="H1533" s="1153"/>
      <c r="I1533" s="1152">
        <v>7348795</v>
      </c>
      <c r="J1533" s="1153">
        <v>7038782</v>
      </c>
      <c r="K1533" s="1152"/>
      <c r="L1533" s="1153"/>
      <c r="M1533" s="1152">
        <v>938620</v>
      </c>
      <c r="N1533" s="1152"/>
      <c r="O1533" s="732">
        <f t="shared" si="189"/>
        <v>938620</v>
      </c>
      <c r="P1533" s="1153">
        <v>812816</v>
      </c>
      <c r="Q1533" s="1153"/>
      <c r="R1533" s="733">
        <f t="shared" si="192"/>
        <v>812816</v>
      </c>
      <c r="S1533" s="732">
        <f t="shared" si="193"/>
        <v>8287415</v>
      </c>
      <c r="T1533" s="733">
        <f t="shared" si="194"/>
        <v>7851598</v>
      </c>
      <c r="U1533" s="1152"/>
      <c r="V1533" s="1153"/>
      <c r="W1533" s="1152"/>
      <c r="X1533" s="1152"/>
      <c r="Y1533" s="732">
        <f t="shared" si="190"/>
        <v>0</v>
      </c>
      <c r="Z1533" s="1153"/>
      <c r="AA1533" s="1153"/>
      <c r="AB1533" s="733">
        <f t="shared" si="191"/>
        <v>0</v>
      </c>
      <c r="AC1533" s="1152"/>
      <c r="AD1533" s="1153"/>
      <c r="AE1533" s="1152"/>
      <c r="AF1533" s="1152"/>
      <c r="AG1533" s="1153"/>
      <c r="AH1533" s="1153"/>
      <c r="AI1533" s="732">
        <f t="shared" si="195"/>
        <v>8287415</v>
      </c>
      <c r="AJ1533" s="733">
        <f t="shared" si="196"/>
        <v>7851598</v>
      </c>
    </row>
    <row r="1534" spans="1:36">
      <c r="A1534" s="759" t="s">
        <v>636</v>
      </c>
      <c r="B1534" s="729" t="s">
        <v>62</v>
      </c>
      <c r="C1534" s="729" t="s">
        <v>706</v>
      </c>
      <c r="D1534" s="722"/>
      <c r="E1534" s="759">
        <v>198987</v>
      </c>
      <c r="F1534" s="759">
        <v>9</v>
      </c>
      <c r="G1534" s="1152">
        <v>11775398</v>
      </c>
      <c r="H1534" s="1153">
        <v>12282560</v>
      </c>
      <c r="I1534" s="1152"/>
      <c r="J1534" s="1153"/>
      <c r="K1534" s="1152">
        <v>3600364</v>
      </c>
      <c r="L1534" s="1153">
        <v>4240158</v>
      </c>
      <c r="M1534" s="1152">
        <v>3776106</v>
      </c>
      <c r="N1534" s="1152"/>
      <c r="O1534" s="732">
        <f t="shared" si="189"/>
        <v>3776106</v>
      </c>
      <c r="P1534" s="1153">
        <v>3711730</v>
      </c>
      <c r="Q1534" s="1153"/>
      <c r="R1534" s="733">
        <f t="shared" si="192"/>
        <v>3711730</v>
      </c>
      <c r="S1534" s="732">
        <f t="shared" si="193"/>
        <v>19151868</v>
      </c>
      <c r="T1534" s="733">
        <f t="shared" si="194"/>
        <v>20234448</v>
      </c>
      <c r="U1534" s="1152"/>
      <c r="V1534" s="1153"/>
      <c r="W1534" s="1152"/>
      <c r="X1534" s="1152"/>
      <c r="Y1534" s="732">
        <f t="shared" si="190"/>
        <v>0</v>
      </c>
      <c r="Z1534" s="1153"/>
      <c r="AA1534" s="1153"/>
      <c r="AB1534" s="733">
        <f t="shared" si="191"/>
        <v>0</v>
      </c>
      <c r="AC1534" s="1152"/>
      <c r="AD1534" s="1153"/>
      <c r="AE1534" s="1152"/>
      <c r="AF1534" s="1152"/>
      <c r="AG1534" s="1153"/>
      <c r="AH1534" s="1153"/>
      <c r="AI1534" s="732">
        <f t="shared" si="195"/>
        <v>19151868</v>
      </c>
      <c r="AJ1534" s="733">
        <f t="shared" si="196"/>
        <v>20234448</v>
      </c>
    </row>
    <row r="1535" spans="1:36">
      <c r="A1535" s="759" t="s">
        <v>636</v>
      </c>
      <c r="B1535" s="729" t="s">
        <v>62</v>
      </c>
      <c r="C1535" s="762" t="s">
        <v>684</v>
      </c>
      <c r="D1535" s="763"/>
      <c r="E1535" s="759">
        <v>198987</v>
      </c>
      <c r="F1535" s="759">
        <v>9</v>
      </c>
      <c r="G1535" s="1152"/>
      <c r="H1535" s="1153"/>
      <c r="I1535" s="1152"/>
      <c r="J1535" s="1153"/>
      <c r="K1535" s="1152"/>
      <c r="L1535" s="1153"/>
      <c r="M1535" s="1152"/>
      <c r="N1535" s="1152"/>
      <c r="O1535" s="732">
        <f t="shared" si="189"/>
        <v>0</v>
      </c>
      <c r="P1535" s="1153"/>
      <c r="Q1535" s="1153"/>
      <c r="R1535" s="733">
        <f t="shared" si="192"/>
        <v>0</v>
      </c>
      <c r="S1535" s="732">
        <f t="shared" si="193"/>
        <v>0</v>
      </c>
      <c r="T1535" s="733">
        <f t="shared" si="194"/>
        <v>0</v>
      </c>
      <c r="U1535" s="1152"/>
      <c r="V1535" s="1153"/>
      <c r="W1535" s="1152"/>
      <c r="X1535" s="1152"/>
      <c r="Y1535" s="732">
        <f t="shared" si="190"/>
        <v>0</v>
      </c>
      <c r="Z1535" s="1153"/>
      <c r="AA1535" s="1153"/>
      <c r="AB1535" s="733">
        <f t="shared" si="191"/>
        <v>0</v>
      </c>
      <c r="AC1535" s="1152"/>
      <c r="AD1535" s="1153"/>
      <c r="AE1535" s="1152"/>
      <c r="AF1535" s="1152"/>
      <c r="AG1535" s="1153"/>
      <c r="AH1535" s="1153"/>
      <c r="AI1535" s="732">
        <f t="shared" si="195"/>
        <v>0</v>
      </c>
      <c r="AJ1535" s="733">
        <f t="shared" si="196"/>
        <v>0</v>
      </c>
    </row>
    <row r="1536" spans="1:36">
      <c r="A1536" s="759" t="s">
        <v>636</v>
      </c>
      <c r="B1536" s="729" t="s">
        <v>69</v>
      </c>
      <c r="C1536" s="762" t="s">
        <v>70</v>
      </c>
      <c r="D1536" s="763"/>
      <c r="E1536" s="759">
        <v>198987</v>
      </c>
      <c r="F1536" s="759">
        <v>9</v>
      </c>
      <c r="G1536" s="1152"/>
      <c r="H1536" s="1153"/>
      <c r="I1536" s="1152">
        <v>173578</v>
      </c>
      <c r="J1536" s="1153">
        <v>163456</v>
      </c>
      <c r="K1536" s="1152"/>
      <c r="L1536" s="1153"/>
      <c r="M1536" s="1152"/>
      <c r="N1536" s="1152"/>
      <c r="O1536" s="732">
        <f t="shared" si="189"/>
        <v>0</v>
      </c>
      <c r="P1536" s="1153"/>
      <c r="Q1536" s="1153"/>
      <c r="R1536" s="733">
        <f t="shared" si="192"/>
        <v>0</v>
      </c>
      <c r="S1536" s="732">
        <f t="shared" si="193"/>
        <v>173578</v>
      </c>
      <c r="T1536" s="733">
        <f t="shared" si="194"/>
        <v>163456</v>
      </c>
      <c r="U1536" s="1152"/>
      <c r="V1536" s="1153"/>
      <c r="W1536" s="1152"/>
      <c r="X1536" s="1152"/>
      <c r="Y1536" s="732">
        <f t="shared" si="190"/>
        <v>0</v>
      </c>
      <c r="Z1536" s="1153"/>
      <c r="AA1536" s="1153"/>
      <c r="AB1536" s="733">
        <f t="shared" si="191"/>
        <v>0</v>
      </c>
      <c r="AC1536" s="1152"/>
      <c r="AD1536" s="1153"/>
      <c r="AE1536" s="1152"/>
      <c r="AF1536" s="1152"/>
      <c r="AG1536" s="1153"/>
      <c r="AH1536" s="1153"/>
      <c r="AI1536" s="732">
        <f t="shared" si="195"/>
        <v>173578</v>
      </c>
      <c r="AJ1536" s="733">
        <f t="shared" si="196"/>
        <v>163456</v>
      </c>
    </row>
    <row r="1537" spans="1:36">
      <c r="A1537" s="759" t="s">
        <v>636</v>
      </c>
      <c r="B1537" s="729" t="s">
        <v>685</v>
      </c>
      <c r="C1537" s="762" t="s">
        <v>72</v>
      </c>
      <c r="D1537" s="763"/>
      <c r="E1537" s="759">
        <v>198987</v>
      </c>
      <c r="F1537" s="759">
        <v>9</v>
      </c>
      <c r="G1537" s="1152"/>
      <c r="H1537" s="1153"/>
      <c r="I1537" s="1152">
        <v>1255430</v>
      </c>
      <c r="J1537" s="1153">
        <v>1368279</v>
      </c>
      <c r="K1537" s="1152"/>
      <c r="L1537" s="1153"/>
      <c r="M1537" s="1152">
        <v>129932</v>
      </c>
      <c r="N1537" s="1152"/>
      <c r="O1537" s="732">
        <f t="shared" si="189"/>
        <v>129932</v>
      </c>
      <c r="P1537" s="1153">
        <v>141408</v>
      </c>
      <c r="Q1537" s="1153"/>
      <c r="R1537" s="733">
        <f t="shared" si="192"/>
        <v>141408</v>
      </c>
      <c r="S1537" s="732">
        <f t="shared" si="193"/>
        <v>1385362</v>
      </c>
      <c r="T1537" s="733">
        <f t="shared" si="194"/>
        <v>1509687</v>
      </c>
      <c r="U1537" s="1152"/>
      <c r="V1537" s="1153"/>
      <c r="W1537" s="1152"/>
      <c r="X1537" s="1152"/>
      <c r="Y1537" s="732">
        <f t="shared" si="190"/>
        <v>0</v>
      </c>
      <c r="Z1537" s="1153"/>
      <c r="AA1537" s="1153"/>
      <c r="AB1537" s="733">
        <f t="shared" si="191"/>
        <v>0</v>
      </c>
      <c r="AC1537" s="1152"/>
      <c r="AD1537" s="1153"/>
      <c r="AE1537" s="1152"/>
      <c r="AF1537" s="1152"/>
      <c r="AG1537" s="1153"/>
      <c r="AH1537" s="1153"/>
      <c r="AI1537" s="732">
        <f t="shared" si="195"/>
        <v>1385362</v>
      </c>
      <c r="AJ1537" s="733">
        <f t="shared" si="196"/>
        <v>1509687</v>
      </c>
    </row>
    <row r="1538" spans="1:36">
      <c r="A1538" s="759" t="s">
        <v>636</v>
      </c>
      <c r="B1538" s="729" t="s">
        <v>62</v>
      </c>
      <c r="C1538" s="729" t="s">
        <v>707</v>
      </c>
      <c r="D1538" s="722"/>
      <c r="E1538" s="759">
        <v>199087</v>
      </c>
      <c r="F1538" s="759">
        <v>9</v>
      </c>
      <c r="G1538" s="1152">
        <v>12474094</v>
      </c>
      <c r="H1538" s="1153">
        <v>12927454</v>
      </c>
      <c r="I1538" s="1152"/>
      <c r="J1538" s="1153"/>
      <c r="K1538" s="1152">
        <v>2340226</v>
      </c>
      <c r="L1538" s="1153">
        <v>2395226</v>
      </c>
      <c r="M1538" s="1152">
        <v>4170351</v>
      </c>
      <c r="N1538" s="1152"/>
      <c r="O1538" s="732">
        <f t="shared" si="189"/>
        <v>4170351</v>
      </c>
      <c r="P1538" s="1153">
        <v>4052521</v>
      </c>
      <c r="Q1538" s="1153"/>
      <c r="R1538" s="733">
        <f t="shared" si="192"/>
        <v>4052521</v>
      </c>
      <c r="S1538" s="732">
        <f t="shared" si="193"/>
        <v>18984671</v>
      </c>
      <c r="T1538" s="733">
        <f t="shared" si="194"/>
        <v>19375201</v>
      </c>
      <c r="U1538" s="1152"/>
      <c r="V1538" s="1153"/>
      <c r="W1538" s="1152"/>
      <c r="X1538" s="1152"/>
      <c r="Y1538" s="732">
        <f t="shared" si="190"/>
        <v>0</v>
      </c>
      <c r="Z1538" s="1153"/>
      <c r="AA1538" s="1153"/>
      <c r="AB1538" s="733">
        <f t="shared" si="191"/>
        <v>0</v>
      </c>
      <c r="AC1538" s="1152"/>
      <c r="AD1538" s="1153"/>
      <c r="AE1538" s="1152"/>
      <c r="AF1538" s="1152"/>
      <c r="AG1538" s="1153"/>
      <c r="AH1538" s="1153"/>
      <c r="AI1538" s="732">
        <f t="shared" si="195"/>
        <v>18984671</v>
      </c>
      <c r="AJ1538" s="733">
        <f t="shared" si="196"/>
        <v>19375201</v>
      </c>
    </row>
    <row r="1539" spans="1:36">
      <c r="A1539" s="759" t="s">
        <v>636</v>
      </c>
      <c r="B1539" s="729" t="s">
        <v>62</v>
      </c>
      <c r="C1539" s="762" t="s">
        <v>684</v>
      </c>
      <c r="D1539" s="763"/>
      <c r="E1539" s="759">
        <v>199087</v>
      </c>
      <c r="F1539" s="759">
        <v>9</v>
      </c>
      <c r="G1539" s="1152"/>
      <c r="H1539" s="1153"/>
      <c r="I1539" s="1152"/>
      <c r="J1539" s="1153"/>
      <c r="K1539" s="1152"/>
      <c r="L1539" s="1153"/>
      <c r="M1539" s="1152"/>
      <c r="N1539" s="1152"/>
      <c r="O1539" s="732">
        <f t="shared" si="189"/>
        <v>0</v>
      </c>
      <c r="P1539" s="1153"/>
      <c r="Q1539" s="1153"/>
      <c r="R1539" s="733">
        <f t="shared" si="192"/>
        <v>0</v>
      </c>
      <c r="S1539" s="732">
        <f t="shared" si="193"/>
        <v>0</v>
      </c>
      <c r="T1539" s="733">
        <f t="shared" si="194"/>
        <v>0</v>
      </c>
      <c r="U1539" s="1152"/>
      <c r="V1539" s="1153"/>
      <c r="W1539" s="1152"/>
      <c r="X1539" s="1152"/>
      <c r="Y1539" s="732">
        <f t="shared" si="190"/>
        <v>0</v>
      </c>
      <c r="Z1539" s="1153"/>
      <c r="AA1539" s="1153"/>
      <c r="AB1539" s="733">
        <f t="shared" si="191"/>
        <v>0</v>
      </c>
      <c r="AC1539" s="1152"/>
      <c r="AD1539" s="1153"/>
      <c r="AE1539" s="1152"/>
      <c r="AF1539" s="1152"/>
      <c r="AG1539" s="1153"/>
      <c r="AH1539" s="1153"/>
      <c r="AI1539" s="732">
        <f t="shared" si="195"/>
        <v>0</v>
      </c>
      <c r="AJ1539" s="733">
        <f t="shared" si="196"/>
        <v>0</v>
      </c>
    </row>
    <row r="1540" spans="1:36">
      <c r="A1540" s="759" t="s">
        <v>636</v>
      </c>
      <c r="B1540" s="729" t="s">
        <v>69</v>
      </c>
      <c r="C1540" s="762" t="s">
        <v>70</v>
      </c>
      <c r="D1540" s="763"/>
      <c r="E1540" s="759">
        <v>199087</v>
      </c>
      <c r="F1540" s="759">
        <v>9</v>
      </c>
      <c r="G1540" s="1152"/>
      <c r="H1540" s="1153"/>
      <c r="I1540" s="1152">
        <v>160312</v>
      </c>
      <c r="J1540" s="1153">
        <v>163917</v>
      </c>
      <c r="K1540" s="1152"/>
      <c r="L1540" s="1153"/>
      <c r="M1540" s="1152"/>
      <c r="N1540" s="1152"/>
      <c r="O1540" s="732">
        <f t="shared" si="189"/>
        <v>0</v>
      </c>
      <c r="P1540" s="1153"/>
      <c r="Q1540" s="1153"/>
      <c r="R1540" s="733">
        <f t="shared" si="192"/>
        <v>0</v>
      </c>
      <c r="S1540" s="732">
        <f t="shared" si="193"/>
        <v>160312</v>
      </c>
      <c r="T1540" s="733">
        <f t="shared" si="194"/>
        <v>163917</v>
      </c>
      <c r="U1540" s="1152"/>
      <c r="V1540" s="1153"/>
      <c r="W1540" s="1152"/>
      <c r="X1540" s="1152"/>
      <c r="Y1540" s="732">
        <f t="shared" si="190"/>
        <v>0</v>
      </c>
      <c r="Z1540" s="1153"/>
      <c r="AA1540" s="1153"/>
      <c r="AB1540" s="733">
        <f t="shared" si="191"/>
        <v>0</v>
      </c>
      <c r="AC1540" s="1152"/>
      <c r="AD1540" s="1153"/>
      <c r="AE1540" s="1152"/>
      <c r="AF1540" s="1152"/>
      <c r="AG1540" s="1153"/>
      <c r="AH1540" s="1153"/>
      <c r="AI1540" s="732">
        <f t="shared" si="195"/>
        <v>160312</v>
      </c>
      <c r="AJ1540" s="733">
        <f t="shared" si="196"/>
        <v>163917</v>
      </c>
    </row>
    <row r="1541" spans="1:36">
      <c r="A1541" s="759" t="s">
        <v>636</v>
      </c>
      <c r="B1541" s="729" t="s">
        <v>685</v>
      </c>
      <c r="C1541" s="762" t="s">
        <v>72</v>
      </c>
      <c r="D1541" s="763"/>
      <c r="E1541" s="759">
        <v>199087</v>
      </c>
      <c r="F1541" s="759">
        <v>9</v>
      </c>
      <c r="G1541" s="1152"/>
      <c r="H1541" s="1153"/>
      <c r="I1541" s="1152">
        <v>1729288</v>
      </c>
      <c r="J1541" s="1153">
        <v>1827403</v>
      </c>
      <c r="K1541" s="1152"/>
      <c r="L1541" s="1153"/>
      <c r="M1541" s="1152">
        <v>224791</v>
      </c>
      <c r="N1541" s="1152"/>
      <c r="O1541" s="732">
        <f t="shared" si="189"/>
        <v>224791</v>
      </c>
      <c r="P1541" s="1153">
        <v>224174</v>
      </c>
      <c r="Q1541" s="1153"/>
      <c r="R1541" s="733">
        <f t="shared" si="192"/>
        <v>224174</v>
      </c>
      <c r="S1541" s="732">
        <f t="shared" si="193"/>
        <v>1954079</v>
      </c>
      <c r="T1541" s="733">
        <f t="shared" si="194"/>
        <v>2051577</v>
      </c>
      <c r="U1541" s="1152"/>
      <c r="V1541" s="1153"/>
      <c r="W1541" s="1152"/>
      <c r="X1541" s="1152"/>
      <c r="Y1541" s="732">
        <f t="shared" si="190"/>
        <v>0</v>
      </c>
      <c r="Z1541" s="1153"/>
      <c r="AA1541" s="1153"/>
      <c r="AB1541" s="733">
        <f t="shared" si="191"/>
        <v>0</v>
      </c>
      <c r="AC1541" s="1152"/>
      <c r="AD1541" s="1153"/>
      <c r="AE1541" s="1152"/>
      <c r="AF1541" s="1152"/>
      <c r="AG1541" s="1153"/>
      <c r="AH1541" s="1153"/>
      <c r="AI1541" s="732">
        <f t="shared" si="195"/>
        <v>1954079</v>
      </c>
      <c r="AJ1541" s="733">
        <f t="shared" si="196"/>
        <v>2051577</v>
      </c>
    </row>
    <row r="1542" spans="1:36">
      <c r="A1542" s="759" t="s">
        <v>636</v>
      </c>
      <c r="B1542" s="729" t="s">
        <v>62</v>
      </c>
      <c r="C1542" s="729" t="s">
        <v>708</v>
      </c>
      <c r="D1542" s="722"/>
      <c r="E1542" s="759">
        <v>199421</v>
      </c>
      <c r="F1542" s="759">
        <v>9</v>
      </c>
      <c r="G1542" s="1152">
        <v>11616410</v>
      </c>
      <c r="H1542" s="1153">
        <v>11850493</v>
      </c>
      <c r="I1542" s="1152"/>
      <c r="J1542" s="1153"/>
      <c r="K1542" s="1152">
        <v>2618000</v>
      </c>
      <c r="L1542" s="1153">
        <v>2618000</v>
      </c>
      <c r="M1542" s="1152">
        <v>3639700</v>
      </c>
      <c r="N1542" s="1152"/>
      <c r="O1542" s="732">
        <f t="shared" si="189"/>
        <v>3639700</v>
      </c>
      <c r="P1542" s="1153">
        <v>3605635</v>
      </c>
      <c r="Q1542" s="1153"/>
      <c r="R1542" s="733">
        <f t="shared" si="192"/>
        <v>3605635</v>
      </c>
      <c r="S1542" s="732">
        <f t="shared" si="193"/>
        <v>17874110</v>
      </c>
      <c r="T1542" s="733">
        <f t="shared" si="194"/>
        <v>18074128</v>
      </c>
      <c r="U1542" s="1152"/>
      <c r="V1542" s="1153"/>
      <c r="W1542" s="1152"/>
      <c r="X1542" s="1152"/>
      <c r="Y1542" s="732">
        <f t="shared" si="190"/>
        <v>0</v>
      </c>
      <c r="Z1542" s="1153"/>
      <c r="AA1542" s="1153"/>
      <c r="AB1542" s="733">
        <f t="shared" si="191"/>
        <v>0</v>
      </c>
      <c r="AC1542" s="1152"/>
      <c r="AD1542" s="1153"/>
      <c r="AE1542" s="1152"/>
      <c r="AF1542" s="1152"/>
      <c r="AG1542" s="1153"/>
      <c r="AH1542" s="1153"/>
      <c r="AI1542" s="732">
        <f t="shared" si="195"/>
        <v>17874110</v>
      </c>
      <c r="AJ1542" s="733">
        <f t="shared" si="196"/>
        <v>18074128</v>
      </c>
    </row>
    <row r="1543" spans="1:36">
      <c r="A1543" s="759" t="s">
        <v>636</v>
      </c>
      <c r="B1543" s="729" t="s">
        <v>62</v>
      </c>
      <c r="C1543" s="762" t="s">
        <v>684</v>
      </c>
      <c r="D1543" s="763"/>
      <c r="E1543" s="759">
        <v>199421</v>
      </c>
      <c r="F1543" s="759">
        <v>9</v>
      </c>
      <c r="G1543" s="1152"/>
      <c r="H1543" s="1153"/>
      <c r="I1543" s="1152"/>
      <c r="J1543" s="1153"/>
      <c r="K1543" s="1152"/>
      <c r="L1543" s="1153"/>
      <c r="M1543" s="1152"/>
      <c r="N1543" s="1152"/>
      <c r="O1543" s="732">
        <f t="shared" si="189"/>
        <v>0</v>
      </c>
      <c r="P1543" s="1153"/>
      <c r="Q1543" s="1153"/>
      <c r="R1543" s="733">
        <f t="shared" si="192"/>
        <v>0</v>
      </c>
      <c r="S1543" s="732">
        <f t="shared" si="193"/>
        <v>0</v>
      </c>
      <c r="T1543" s="733">
        <f t="shared" si="194"/>
        <v>0</v>
      </c>
      <c r="U1543" s="1152"/>
      <c r="V1543" s="1153"/>
      <c r="W1543" s="1152"/>
      <c r="X1543" s="1152"/>
      <c r="Y1543" s="732">
        <f t="shared" si="190"/>
        <v>0</v>
      </c>
      <c r="Z1543" s="1153"/>
      <c r="AA1543" s="1153"/>
      <c r="AB1543" s="733">
        <f t="shared" si="191"/>
        <v>0</v>
      </c>
      <c r="AC1543" s="1152"/>
      <c r="AD1543" s="1153"/>
      <c r="AE1543" s="1152"/>
      <c r="AF1543" s="1152"/>
      <c r="AG1543" s="1153"/>
      <c r="AH1543" s="1153"/>
      <c r="AI1543" s="732">
        <f t="shared" si="195"/>
        <v>0</v>
      </c>
      <c r="AJ1543" s="733">
        <f t="shared" si="196"/>
        <v>0</v>
      </c>
    </row>
    <row r="1544" spans="1:36">
      <c r="A1544" s="759" t="s">
        <v>636</v>
      </c>
      <c r="B1544" s="729" t="s">
        <v>69</v>
      </c>
      <c r="C1544" s="762" t="s">
        <v>70</v>
      </c>
      <c r="D1544" s="763"/>
      <c r="E1544" s="759">
        <v>199421</v>
      </c>
      <c r="F1544" s="759">
        <v>9</v>
      </c>
      <c r="G1544" s="1152"/>
      <c r="H1544" s="1153"/>
      <c r="I1544" s="1152">
        <v>170720</v>
      </c>
      <c r="J1544" s="1153">
        <v>171053</v>
      </c>
      <c r="K1544" s="1152"/>
      <c r="L1544" s="1153"/>
      <c r="M1544" s="1152"/>
      <c r="N1544" s="1152"/>
      <c r="O1544" s="732">
        <f t="shared" si="189"/>
        <v>0</v>
      </c>
      <c r="P1544" s="1153"/>
      <c r="Q1544" s="1153"/>
      <c r="R1544" s="733">
        <f t="shared" si="192"/>
        <v>0</v>
      </c>
      <c r="S1544" s="732">
        <f t="shared" si="193"/>
        <v>170720</v>
      </c>
      <c r="T1544" s="733">
        <f t="shared" si="194"/>
        <v>171053</v>
      </c>
      <c r="U1544" s="1152"/>
      <c r="V1544" s="1153"/>
      <c r="W1544" s="1152"/>
      <c r="X1544" s="1152"/>
      <c r="Y1544" s="732">
        <f t="shared" si="190"/>
        <v>0</v>
      </c>
      <c r="Z1544" s="1153"/>
      <c r="AA1544" s="1153"/>
      <c r="AB1544" s="733">
        <f t="shared" si="191"/>
        <v>0</v>
      </c>
      <c r="AC1544" s="1152"/>
      <c r="AD1544" s="1153"/>
      <c r="AE1544" s="1152"/>
      <c r="AF1544" s="1152"/>
      <c r="AG1544" s="1153"/>
      <c r="AH1544" s="1153"/>
      <c r="AI1544" s="732">
        <f t="shared" si="195"/>
        <v>170720</v>
      </c>
      <c r="AJ1544" s="733">
        <f t="shared" si="196"/>
        <v>171053</v>
      </c>
    </row>
    <row r="1545" spans="1:36">
      <c r="A1545" s="759" t="s">
        <v>636</v>
      </c>
      <c r="B1545" s="729" t="s">
        <v>685</v>
      </c>
      <c r="C1545" s="762" t="s">
        <v>72</v>
      </c>
      <c r="D1545" s="763"/>
      <c r="E1545" s="759">
        <v>199421</v>
      </c>
      <c r="F1545" s="759">
        <v>9</v>
      </c>
      <c r="G1545" s="1152"/>
      <c r="H1545" s="1153"/>
      <c r="I1545" s="1152">
        <v>1848217</v>
      </c>
      <c r="J1545" s="1153">
        <v>1989631</v>
      </c>
      <c r="K1545" s="1152"/>
      <c r="L1545" s="1153"/>
      <c r="M1545" s="1152">
        <v>201674</v>
      </c>
      <c r="N1545" s="1152"/>
      <c r="O1545" s="732">
        <f t="shared" si="189"/>
        <v>201674</v>
      </c>
      <c r="P1545" s="1153">
        <v>196338</v>
      </c>
      <c r="Q1545" s="1153"/>
      <c r="R1545" s="733">
        <f t="shared" si="192"/>
        <v>196338</v>
      </c>
      <c r="S1545" s="732">
        <f t="shared" si="193"/>
        <v>2049891</v>
      </c>
      <c r="T1545" s="733">
        <f t="shared" si="194"/>
        <v>2185969</v>
      </c>
      <c r="U1545" s="1152"/>
      <c r="V1545" s="1153"/>
      <c r="W1545" s="1152"/>
      <c r="X1545" s="1152"/>
      <c r="Y1545" s="732">
        <f t="shared" si="190"/>
        <v>0</v>
      </c>
      <c r="Z1545" s="1153"/>
      <c r="AA1545" s="1153"/>
      <c r="AB1545" s="733">
        <f t="shared" si="191"/>
        <v>0</v>
      </c>
      <c r="AC1545" s="1152"/>
      <c r="AD1545" s="1153"/>
      <c r="AE1545" s="1152"/>
      <c r="AF1545" s="1152"/>
      <c r="AG1545" s="1153"/>
      <c r="AH1545" s="1153"/>
      <c r="AI1545" s="732">
        <f t="shared" si="195"/>
        <v>2049891</v>
      </c>
      <c r="AJ1545" s="733">
        <f t="shared" si="196"/>
        <v>2185969</v>
      </c>
    </row>
    <row r="1546" spans="1:36">
      <c r="A1546" s="759" t="s">
        <v>636</v>
      </c>
      <c r="B1546" s="729" t="s">
        <v>62</v>
      </c>
      <c r="C1546" s="729" t="s">
        <v>709</v>
      </c>
      <c r="D1546" s="723"/>
      <c r="E1546" s="759">
        <v>199449</v>
      </c>
      <c r="F1546" s="759">
        <v>9</v>
      </c>
      <c r="G1546" s="1152">
        <v>12773945</v>
      </c>
      <c r="H1546" s="1153">
        <v>12596689</v>
      </c>
      <c r="I1546" s="1152"/>
      <c r="J1546" s="1153"/>
      <c r="K1546" s="1152">
        <v>2483586</v>
      </c>
      <c r="L1546" s="1153">
        <v>2480819</v>
      </c>
      <c r="M1546" s="1152">
        <v>3480006</v>
      </c>
      <c r="N1546" s="1152"/>
      <c r="O1546" s="732">
        <f t="shared" ref="O1546:O1609" si="197">SUM(M1546:N1546)</f>
        <v>3480006</v>
      </c>
      <c r="P1546" s="1153">
        <v>3369332</v>
      </c>
      <c r="Q1546" s="1153"/>
      <c r="R1546" s="733">
        <f t="shared" si="192"/>
        <v>3369332</v>
      </c>
      <c r="S1546" s="732">
        <f t="shared" si="193"/>
        <v>18737537</v>
      </c>
      <c r="T1546" s="733">
        <f t="shared" si="194"/>
        <v>18446840</v>
      </c>
      <c r="U1546" s="1152"/>
      <c r="V1546" s="1153"/>
      <c r="W1546" s="1152"/>
      <c r="X1546" s="1152"/>
      <c r="Y1546" s="732">
        <f t="shared" ref="Y1546:Y1609" si="198">SUM(W1546:X1546)</f>
        <v>0</v>
      </c>
      <c r="Z1546" s="1153"/>
      <c r="AA1546" s="1153"/>
      <c r="AB1546" s="733">
        <f t="shared" ref="AB1546:AB1609" si="199">SUM(Z1546:AA1546)</f>
        <v>0</v>
      </c>
      <c r="AC1546" s="1152"/>
      <c r="AD1546" s="1153"/>
      <c r="AE1546" s="1152"/>
      <c r="AF1546" s="1152"/>
      <c r="AG1546" s="1153"/>
      <c r="AH1546" s="1153"/>
      <c r="AI1546" s="732">
        <f t="shared" si="195"/>
        <v>18737537</v>
      </c>
      <c r="AJ1546" s="733">
        <f t="shared" si="196"/>
        <v>18446840</v>
      </c>
    </row>
    <row r="1547" spans="1:36">
      <c r="A1547" s="759" t="s">
        <v>636</v>
      </c>
      <c r="B1547" s="729" t="s">
        <v>62</v>
      </c>
      <c r="C1547" s="762" t="s">
        <v>684</v>
      </c>
      <c r="D1547" s="763"/>
      <c r="E1547" s="759">
        <v>199449</v>
      </c>
      <c r="F1547" s="759">
        <v>9</v>
      </c>
      <c r="G1547" s="1152"/>
      <c r="H1547" s="1153"/>
      <c r="I1547" s="1152"/>
      <c r="J1547" s="1153"/>
      <c r="K1547" s="1152"/>
      <c r="L1547" s="1153"/>
      <c r="M1547" s="1152"/>
      <c r="N1547" s="1152"/>
      <c r="O1547" s="732">
        <f t="shared" si="197"/>
        <v>0</v>
      </c>
      <c r="P1547" s="1153"/>
      <c r="Q1547" s="1153"/>
      <c r="R1547" s="733">
        <f t="shared" ref="R1547:R1610" si="200">SUM(P1547:Q1547)</f>
        <v>0</v>
      </c>
      <c r="S1547" s="732">
        <f t="shared" ref="S1547:S1610" si="201">SUM(G1547,I1547,K1547,M1547)</f>
        <v>0</v>
      </c>
      <c r="T1547" s="733">
        <f t="shared" ref="T1547:T1610" si="202">SUM(H1547,J1547,L1547,P1547)</f>
        <v>0</v>
      </c>
      <c r="U1547" s="1152"/>
      <c r="V1547" s="1153"/>
      <c r="W1547" s="1152"/>
      <c r="X1547" s="1152"/>
      <c r="Y1547" s="732">
        <f t="shared" si="198"/>
        <v>0</v>
      </c>
      <c r="Z1547" s="1153"/>
      <c r="AA1547" s="1153"/>
      <c r="AB1547" s="733">
        <f t="shared" si="199"/>
        <v>0</v>
      </c>
      <c r="AC1547" s="1152"/>
      <c r="AD1547" s="1153"/>
      <c r="AE1547" s="1152"/>
      <c r="AF1547" s="1152"/>
      <c r="AG1547" s="1153"/>
      <c r="AH1547" s="1153"/>
      <c r="AI1547" s="732">
        <f t="shared" ref="AI1547:AI1610" si="203">SUM(S1547,U1547,W1547,AC1547,AE1547)</f>
        <v>0</v>
      </c>
      <c r="AJ1547" s="733">
        <f t="shared" ref="AJ1547:AJ1610" si="204">SUM(T1547,V1547,Z1547,AD1547,AG1547)</f>
        <v>0</v>
      </c>
    </row>
    <row r="1548" spans="1:36">
      <c r="A1548" s="759" t="s">
        <v>636</v>
      </c>
      <c r="B1548" s="729" t="s">
        <v>69</v>
      </c>
      <c r="C1548" s="762" t="s">
        <v>70</v>
      </c>
      <c r="D1548" s="763"/>
      <c r="E1548" s="759">
        <v>199449</v>
      </c>
      <c r="F1548" s="759">
        <v>9</v>
      </c>
      <c r="G1548" s="1152"/>
      <c r="H1548" s="1153"/>
      <c r="I1548" s="1152">
        <v>158883</v>
      </c>
      <c r="J1548" s="1153">
        <v>160234</v>
      </c>
      <c r="K1548" s="1152"/>
      <c r="L1548" s="1153"/>
      <c r="M1548" s="1152"/>
      <c r="N1548" s="1152"/>
      <c r="O1548" s="732">
        <f t="shared" si="197"/>
        <v>0</v>
      </c>
      <c r="P1548" s="1153"/>
      <c r="Q1548" s="1153"/>
      <c r="R1548" s="733">
        <f t="shared" si="200"/>
        <v>0</v>
      </c>
      <c r="S1548" s="732">
        <f t="shared" si="201"/>
        <v>158883</v>
      </c>
      <c r="T1548" s="733">
        <f t="shared" si="202"/>
        <v>160234</v>
      </c>
      <c r="U1548" s="1152"/>
      <c r="V1548" s="1153"/>
      <c r="W1548" s="1152"/>
      <c r="X1548" s="1152"/>
      <c r="Y1548" s="732">
        <f t="shared" si="198"/>
        <v>0</v>
      </c>
      <c r="Z1548" s="1153"/>
      <c r="AA1548" s="1153"/>
      <c r="AB1548" s="733">
        <f t="shared" si="199"/>
        <v>0</v>
      </c>
      <c r="AC1548" s="1152"/>
      <c r="AD1548" s="1153"/>
      <c r="AE1548" s="1152"/>
      <c r="AF1548" s="1152"/>
      <c r="AG1548" s="1153"/>
      <c r="AH1548" s="1153"/>
      <c r="AI1548" s="732">
        <f t="shared" si="203"/>
        <v>158883</v>
      </c>
      <c r="AJ1548" s="733">
        <f t="shared" si="204"/>
        <v>160234</v>
      </c>
    </row>
    <row r="1549" spans="1:36">
      <c r="A1549" s="759" t="s">
        <v>636</v>
      </c>
      <c r="B1549" s="729" t="s">
        <v>685</v>
      </c>
      <c r="C1549" s="762" t="s">
        <v>72</v>
      </c>
      <c r="D1549" s="763"/>
      <c r="E1549" s="759">
        <v>199449</v>
      </c>
      <c r="F1549" s="759">
        <v>9</v>
      </c>
      <c r="G1549" s="1152"/>
      <c r="H1549" s="1153"/>
      <c r="I1549" s="1152">
        <v>2661365</v>
      </c>
      <c r="J1549" s="1153">
        <v>2702775</v>
      </c>
      <c r="K1549" s="1152"/>
      <c r="L1549" s="1153"/>
      <c r="M1549" s="1152">
        <v>259864</v>
      </c>
      <c r="N1549" s="1152"/>
      <c r="O1549" s="732">
        <f t="shared" si="197"/>
        <v>259864</v>
      </c>
      <c r="P1549" s="1153">
        <v>253866</v>
      </c>
      <c r="Q1549" s="1153"/>
      <c r="R1549" s="733">
        <f t="shared" si="200"/>
        <v>253866</v>
      </c>
      <c r="S1549" s="732">
        <f t="shared" si="201"/>
        <v>2921229</v>
      </c>
      <c r="T1549" s="733">
        <f t="shared" si="202"/>
        <v>2956641</v>
      </c>
      <c r="U1549" s="1152"/>
      <c r="V1549" s="1153"/>
      <c r="W1549" s="1152"/>
      <c r="X1549" s="1152"/>
      <c r="Y1549" s="732">
        <f t="shared" si="198"/>
        <v>0</v>
      </c>
      <c r="Z1549" s="1153"/>
      <c r="AA1549" s="1153"/>
      <c r="AB1549" s="733">
        <f t="shared" si="199"/>
        <v>0</v>
      </c>
      <c r="AC1549" s="1152"/>
      <c r="AD1549" s="1153"/>
      <c r="AE1549" s="1152"/>
      <c r="AF1549" s="1152"/>
      <c r="AG1549" s="1153"/>
      <c r="AH1549" s="1153"/>
      <c r="AI1549" s="732">
        <f t="shared" si="203"/>
        <v>2921229</v>
      </c>
      <c r="AJ1549" s="733">
        <f t="shared" si="204"/>
        <v>2956641</v>
      </c>
    </row>
    <row r="1550" spans="1:36">
      <c r="A1550" s="759" t="s">
        <v>636</v>
      </c>
      <c r="B1550" s="729" t="s">
        <v>62</v>
      </c>
      <c r="C1550" s="729" t="s">
        <v>711</v>
      </c>
      <c r="D1550" s="722"/>
      <c r="E1550" s="759">
        <v>199634</v>
      </c>
      <c r="F1550" s="759">
        <v>9</v>
      </c>
      <c r="G1550" s="1152">
        <v>15793176</v>
      </c>
      <c r="H1550" s="1153">
        <v>16571593</v>
      </c>
      <c r="I1550" s="1152"/>
      <c r="J1550" s="1153"/>
      <c r="K1550" s="1152">
        <v>4670410</v>
      </c>
      <c r="L1550" s="1153">
        <v>4673353</v>
      </c>
      <c r="M1550" s="1152">
        <v>5632553</v>
      </c>
      <c r="N1550" s="1152"/>
      <c r="O1550" s="732">
        <f t="shared" si="197"/>
        <v>5632553</v>
      </c>
      <c r="P1550" s="1153">
        <v>5555539</v>
      </c>
      <c r="Q1550" s="1153"/>
      <c r="R1550" s="733">
        <f t="shared" si="200"/>
        <v>5555539</v>
      </c>
      <c r="S1550" s="732">
        <f t="shared" si="201"/>
        <v>26096139</v>
      </c>
      <c r="T1550" s="733">
        <f t="shared" si="202"/>
        <v>26800485</v>
      </c>
      <c r="U1550" s="1152"/>
      <c r="V1550" s="1153"/>
      <c r="W1550" s="1152"/>
      <c r="X1550" s="1152"/>
      <c r="Y1550" s="732">
        <f t="shared" si="198"/>
        <v>0</v>
      </c>
      <c r="Z1550" s="1153"/>
      <c r="AA1550" s="1153"/>
      <c r="AB1550" s="733">
        <f t="shared" si="199"/>
        <v>0</v>
      </c>
      <c r="AC1550" s="1152"/>
      <c r="AD1550" s="1153"/>
      <c r="AE1550" s="1152"/>
      <c r="AF1550" s="1152"/>
      <c r="AG1550" s="1153"/>
      <c r="AH1550" s="1153"/>
      <c r="AI1550" s="732">
        <f t="shared" si="203"/>
        <v>26096139</v>
      </c>
      <c r="AJ1550" s="733">
        <f t="shared" si="204"/>
        <v>26800485</v>
      </c>
    </row>
    <row r="1551" spans="1:36">
      <c r="A1551" s="759" t="s">
        <v>636</v>
      </c>
      <c r="B1551" s="729" t="s">
        <v>62</v>
      </c>
      <c r="C1551" s="762" t="s">
        <v>684</v>
      </c>
      <c r="D1551" s="763"/>
      <c r="E1551" s="759">
        <v>199634</v>
      </c>
      <c r="F1551" s="759">
        <v>9</v>
      </c>
      <c r="G1551" s="1152"/>
      <c r="H1551" s="1153"/>
      <c r="I1551" s="1152"/>
      <c r="J1551" s="1153"/>
      <c r="K1551" s="1152"/>
      <c r="L1551" s="1153"/>
      <c r="M1551" s="1152"/>
      <c r="N1551" s="1152"/>
      <c r="O1551" s="732">
        <f t="shared" si="197"/>
        <v>0</v>
      </c>
      <c r="P1551" s="1153"/>
      <c r="Q1551" s="1153"/>
      <c r="R1551" s="733">
        <f t="shared" si="200"/>
        <v>0</v>
      </c>
      <c r="S1551" s="732">
        <f t="shared" si="201"/>
        <v>0</v>
      </c>
      <c r="T1551" s="733">
        <f t="shared" si="202"/>
        <v>0</v>
      </c>
      <c r="U1551" s="1152"/>
      <c r="V1551" s="1153"/>
      <c r="W1551" s="1152"/>
      <c r="X1551" s="1152"/>
      <c r="Y1551" s="732">
        <f t="shared" si="198"/>
        <v>0</v>
      </c>
      <c r="Z1551" s="1153"/>
      <c r="AA1551" s="1153"/>
      <c r="AB1551" s="733">
        <f t="shared" si="199"/>
        <v>0</v>
      </c>
      <c r="AC1551" s="1152"/>
      <c r="AD1551" s="1153"/>
      <c r="AE1551" s="1152"/>
      <c r="AF1551" s="1152"/>
      <c r="AG1551" s="1153"/>
      <c r="AH1551" s="1153"/>
      <c r="AI1551" s="732">
        <f t="shared" si="203"/>
        <v>0</v>
      </c>
      <c r="AJ1551" s="733">
        <f t="shared" si="204"/>
        <v>0</v>
      </c>
    </row>
    <row r="1552" spans="1:36">
      <c r="A1552" s="759" t="s">
        <v>636</v>
      </c>
      <c r="B1552" s="729" t="s">
        <v>69</v>
      </c>
      <c r="C1552" s="762" t="s">
        <v>70</v>
      </c>
      <c r="D1552" s="763"/>
      <c r="E1552" s="759">
        <v>199634</v>
      </c>
      <c r="F1552" s="759">
        <v>9</v>
      </c>
      <c r="G1552" s="1152"/>
      <c r="H1552" s="1153"/>
      <c r="I1552" s="1152">
        <v>165517</v>
      </c>
      <c r="J1552" s="1153">
        <v>167446</v>
      </c>
      <c r="K1552" s="1152"/>
      <c r="L1552" s="1153"/>
      <c r="M1552" s="1152"/>
      <c r="N1552" s="1152"/>
      <c r="O1552" s="732">
        <f t="shared" si="197"/>
        <v>0</v>
      </c>
      <c r="P1552" s="1153"/>
      <c r="Q1552" s="1153"/>
      <c r="R1552" s="733">
        <f t="shared" si="200"/>
        <v>0</v>
      </c>
      <c r="S1552" s="732">
        <f t="shared" si="201"/>
        <v>165517</v>
      </c>
      <c r="T1552" s="733">
        <f t="shared" si="202"/>
        <v>167446</v>
      </c>
      <c r="U1552" s="1152"/>
      <c r="V1552" s="1153"/>
      <c r="W1552" s="1152"/>
      <c r="X1552" s="1152"/>
      <c r="Y1552" s="732">
        <f t="shared" si="198"/>
        <v>0</v>
      </c>
      <c r="Z1552" s="1153"/>
      <c r="AA1552" s="1153"/>
      <c r="AB1552" s="733">
        <f t="shared" si="199"/>
        <v>0</v>
      </c>
      <c r="AC1552" s="1152"/>
      <c r="AD1552" s="1153"/>
      <c r="AE1552" s="1152"/>
      <c r="AF1552" s="1152"/>
      <c r="AG1552" s="1153"/>
      <c r="AH1552" s="1153"/>
      <c r="AI1552" s="732">
        <f t="shared" si="203"/>
        <v>165517</v>
      </c>
      <c r="AJ1552" s="733">
        <f t="shared" si="204"/>
        <v>167446</v>
      </c>
    </row>
    <row r="1553" spans="1:36">
      <c r="A1553" s="759" t="s">
        <v>636</v>
      </c>
      <c r="B1553" s="729" t="s">
        <v>685</v>
      </c>
      <c r="C1553" s="762" t="s">
        <v>72</v>
      </c>
      <c r="D1553" s="763"/>
      <c r="E1553" s="759">
        <v>199634</v>
      </c>
      <c r="F1553" s="759">
        <v>9</v>
      </c>
      <c r="G1553" s="1152"/>
      <c r="H1553" s="1153"/>
      <c r="I1553" s="1152">
        <v>1814547</v>
      </c>
      <c r="J1553" s="1153">
        <v>2012901</v>
      </c>
      <c r="K1553" s="1152"/>
      <c r="L1553" s="1153"/>
      <c r="M1553" s="1152">
        <v>218812</v>
      </c>
      <c r="N1553" s="1152"/>
      <c r="O1553" s="732">
        <f t="shared" si="197"/>
        <v>218812</v>
      </c>
      <c r="P1553" s="1153">
        <v>212297</v>
      </c>
      <c r="Q1553" s="1153"/>
      <c r="R1553" s="733">
        <f t="shared" si="200"/>
        <v>212297</v>
      </c>
      <c r="S1553" s="732">
        <f t="shared" si="201"/>
        <v>2033359</v>
      </c>
      <c r="T1553" s="733">
        <f t="shared" si="202"/>
        <v>2225198</v>
      </c>
      <c r="U1553" s="1152"/>
      <c r="V1553" s="1153"/>
      <c r="W1553" s="1152"/>
      <c r="X1553" s="1152"/>
      <c r="Y1553" s="732">
        <f t="shared" si="198"/>
        <v>0</v>
      </c>
      <c r="Z1553" s="1153"/>
      <c r="AA1553" s="1153"/>
      <c r="AB1553" s="733">
        <f t="shared" si="199"/>
        <v>0</v>
      </c>
      <c r="AC1553" s="1152"/>
      <c r="AD1553" s="1153"/>
      <c r="AE1553" s="1152"/>
      <c r="AF1553" s="1152"/>
      <c r="AG1553" s="1153"/>
      <c r="AH1553" s="1153"/>
      <c r="AI1553" s="732">
        <f t="shared" si="203"/>
        <v>2033359</v>
      </c>
      <c r="AJ1553" s="733">
        <f t="shared" si="204"/>
        <v>2225198</v>
      </c>
    </row>
    <row r="1554" spans="1:36">
      <c r="A1554" s="759" t="s">
        <v>636</v>
      </c>
      <c r="B1554" s="729" t="s">
        <v>62</v>
      </c>
      <c r="C1554" s="729" t="s">
        <v>736</v>
      </c>
      <c r="D1554" s="723"/>
      <c r="E1554" s="759">
        <v>197850</v>
      </c>
      <c r="F1554" s="759">
        <v>9</v>
      </c>
      <c r="G1554" s="1152">
        <v>11022332</v>
      </c>
      <c r="H1554" s="1153">
        <v>12110440</v>
      </c>
      <c r="I1554" s="1152"/>
      <c r="J1554" s="1153"/>
      <c r="K1554" s="1152">
        <v>3599588</v>
      </c>
      <c r="L1554" s="1153">
        <v>3367338</v>
      </c>
      <c r="M1554" s="1152">
        <v>3120694</v>
      </c>
      <c r="N1554" s="1152"/>
      <c r="O1554" s="732">
        <f t="shared" si="197"/>
        <v>3120694</v>
      </c>
      <c r="P1554" s="1153">
        <v>3287349</v>
      </c>
      <c r="Q1554" s="1153"/>
      <c r="R1554" s="733">
        <f t="shared" si="200"/>
        <v>3287349</v>
      </c>
      <c r="S1554" s="732">
        <f t="shared" si="201"/>
        <v>17742614</v>
      </c>
      <c r="T1554" s="733">
        <f t="shared" si="202"/>
        <v>18765127</v>
      </c>
      <c r="U1554" s="1152"/>
      <c r="V1554" s="1153"/>
      <c r="W1554" s="1152"/>
      <c r="X1554" s="1152"/>
      <c r="Y1554" s="732">
        <f t="shared" si="198"/>
        <v>0</v>
      </c>
      <c r="Z1554" s="1153"/>
      <c r="AA1554" s="1153"/>
      <c r="AB1554" s="733">
        <f t="shared" si="199"/>
        <v>0</v>
      </c>
      <c r="AC1554" s="1152"/>
      <c r="AD1554" s="1153"/>
      <c r="AE1554" s="1152"/>
      <c r="AF1554" s="1152"/>
      <c r="AG1554" s="1153"/>
      <c r="AH1554" s="1153"/>
      <c r="AI1554" s="732">
        <f t="shared" si="203"/>
        <v>17742614</v>
      </c>
      <c r="AJ1554" s="733">
        <f t="shared" si="204"/>
        <v>18765127</v>
      </c>
    </row>
    <row r="1555" spans="1:36">
      <c r="A1555" s="759" t="s">
        <v>636</v>
      </c>
      <c r="B1555" s="729" t="s">
        <v>62</v>
      </c>
      <c r="C1555" s="762" t="s">
        <v>684</v>
      </c>
      <c r="D1555" s="763"/>
      <c r="E1555" s="759">
        <v>197850</v>
      </c>
      <c r="F1555" s="759">
        <v>9</v>
      </c>
      <c r="G1555" s="1152"/>
      <c r="H1555" s="1153"/>
      <c r="I1555" s="1152"/>
      <c r="J1555" s="1153"/>
      <c r="K1555" s="1152"/>
      <c r="L1555" s="1153"/>
      <c r="M1555" s="1152"/>
      <c r="N1555" s="1152"/>
      <c r="O1555" s="732">
        <f t="shared" si="197"/>
        <v>0</v>
      </c>
      <c r="P1555" s="1153"/>
      <c r="Q1555" s="1153"/>
      <c r="R1555" s="733">
        <f t="shared" si="200"/>
        <v>0</v>
      </c>
      <c r="S1555" s="732">
        <f t="shared" si="201"/>
        <v>0</v>
      </c>
      <c r="T1555" s="733">
        <f t="shared" si="202"/>
        <v>0</v>
      </c>
      <c r="U1555" s="1152"/>
      <c r="V1555" s="1153"/>
      <c r="W1555" s="1152"/>
      <c r="X1555" s="1152"/>
      <c r="Y1555" s="732">
        <f t="shared" si="198"/>
        <v>0</v>
      </c>
      <c r="Z1555" s="1153"/>
      <c r="AA1555" s="1153"/>
      <c r="AB1555" s="733">
        <f t="shared" si="199"/>
        <v>0</v>
      </c>
      <c r="AC1555" s="1152"/>
      <c r="AD1555" s="1153"/>
      <c r="AE1555" s="1152"/>
      <c r="AF1555" s="1152"/>
      <c r="AG1555" s="1153"/>
      <c r="AH1555" s="1153"/>
      <c r="AI1555" s="732">
        <f t="shared" si="203"/>
        <v>0</v>
      </c>
      <c r="AJ1555" s="733">
        <f t="shared" si="204"/>
        <v>0</v>
      </c>
    </row>
    <row r="1556" spans="1:36">
      <c r="A1556" s="759" t="s">
        <v>636</v>
      </c>
      <c r="B1556" s="729" t="s">
        <v>69</v>
      </c>
      <c r="C1556" s="762" t="s">
        <v>70</v>
      </c>
      <c r="D1556" s="763"/>
      <c r="E1556" s="759">
        <v>197850</v>
      </c>
      <c r="F1556" s="759">
        <v>9</v>
      </c>
      <c r="G1556" s="1152"/>
      <c r="H1556" s="1153"/>
      <c r="I1556" s="1152">
        <v>170669</v>
      </c>
      <c r="J1556" s="1153">
        <v>172434</v>
      </c>
      <c r="K1556" s="1152"/>
      <c r="L1556" s="1153"/>
      <c r="M1556" s="1152"/>
      <c r="N1556" s="1152"/>
      <c r="O1556" s="732">
        <f t="shared" si="197"/>
        <v>0</v>
      </c>
      <c r="P1556" s="1153"/>
      <c r="Q1556" s="1153"/>
      <c r="R1556" s="733">
        <f t="shared" si="200"/>
        <v>0</v>
      </c>
      <c r="S1556" s="732">
        <f t="shared" si="201"/>
        <v>170669</v>
      </c>
      <c r="T1556" s="733">
        <f t="shared" si="202"/>
        <v>172434</v>
      </c>
      <c r="U1556" s="1152"/>
      <c r="V1556" s="1153"/>
      <c r="W1556" s="1152"/>
      <c r="X1556" s="1152"/>
      <c r="Y1556" s="732">
        <f t="shared" si="198"/>
        <v>0</v>
      </c>
      <c r="Z1556" s="1153"/>
      <c r="AA1556" s="1153"/>
      <c r="AB1556" s="733">
        <f t="shared" si="199"/>
        <v>0</v>
      </c>
      <c r="AC1556" s="1152"/>
      <c r="AD1556" s="1153"/>
      <c r="AE1556" s="1152"/>
      <c r="AF1556" s="1152"/>
      <c r="AG1556" s="1153"/>
      <c r="AH1556" s="1153"/>
      <c r="AI1556" s="732">
        <f t="shared" si="203"/>
        <v>170669</v>
      </c>
      <c r="AJ1556" s="733">
        <f t="shared" si="204"/>
        <v>172434</v>
      </c>
    </row>
    <row r="1557" spans="1:36">
      <c r="A1557" s="759" t="s">
        <v>636</v>
      </c>
      <c r="B1557" s="729" t="s">
        <v>685</v>
      </c>
      <c r="C1557" s="762" t="s">
        <v>72</v>
      </c>
      <c r="D1557" s="763"/>
      <c r="E1557" s="759">
        <v>197850</v>
      </c>
      <c r="F1557" s="759">
        <v>9</v>
      </c>
      <c r="G1557" s="1152"/>
      <c r="H1557" s="1153"/>
      <c r="I1557" s="1152">
        <v>2416832</v>
      </c>
      <c r="J1557" s="1153">
        <v>2894182</v>
      </c>
      <c r="K1557" s="1152"/>
      <c r="L1557" s="1153"/>
      <c r="M1557" s="1152">
        <v>256676</v>
      </c>
      <c r="N1557" s="1152"/>
      <c r="O1557" s="732">
        <f t="shared" si="197"/>
        <v>256676</v>
      </c>
      <c r="P1557" s="1153">
        <v>296548</v>
      </c>
      <c r="Q1557" s="1153"/>
      <c r="R1557" s="733">
        <f t="shared" si="200"/>
        <v>296548</v>
      </c>
      <c r="S1557" s="732">
        <f t="shared" si="201"/>
        <v>2673508</v>
      </c>
      <c r="T1557" s="733">
        <f t="shared" si="202"/>
        <v>3190730</v>
      </c>
      <c r="U1557" s="1152"/>
      <c r="V1557" s="1153"/>
      <c r="W1557" s="1152"/>
      <c r="X1557" s="1152"/>
      <c r="Y1557" s="732">
        <f t="shared" si="198"/>
        <v>0</v>
      </c>
      <c r="Z1557" s="1153"/>
      <c r="AA1557" s="1153"/>
      <c r="AB1557" s="733">
        <f t="shared" si="199"/>
        <v>0</v>
      </c>
      <c r="AC1557" s="1152"/>
      <c r="AD1557" s="1153"/>
      <c r="AE1557" s="1152"/>
      <c r="AF1557" s="1152"/>
      <c r="AG1557" s="1153"/>
      <c r="AH1557" s="1153"/>
      <c r="AI1557" s="732">
        <f t="shared" si="203"/>
        <v>2673508</v>
      </c>
      <c r="AJ1557" s="733">
        <f t="shared" si="204"/>
        <v>3190730</v>
      </c>
    </row>
    <row r="1558" spans="1:36">
      <c r="A1558" s="759" t="s">
        <v>636</v>
      </c>
      <c r="B1558" s="729" t="s">
        <v>62</v>
      </c>
      <c r="C1558" s="729" t="s">
        <v>712</v>
      </c>
      <c r="D1558" s="722"/>
      <c r="E1558" s="759">
        <v>199740</v>
      </c>
      <c r="F1558" s="759">
        <v>9</v>
      </c>
      <c r="G1558" s="1152">
        <v>11931657</v>
      </c>
      <c r="H1558" s="1153">
        <v>12199034</v>
      </c>
      <c r="I1558" s="1152"/>
      <c r="J1558" s="1153"/>
      <c r="K1558" s="1152">
        <v>1915236</v>
      </c>
      <c r="L1558" s="1153">
        <v>1827716</v>
      </c>
      <c r="M1558" s="1152">
        <v>3443409</v>
      </c>
      <c r="N1558" s="1152"/>
      <c r="O1558" s="732">
        <f t="shared" si="197"/>
        <v>3443409</v>
      </c>
      <c r="P1558" s="1153">
        <v>3361294</v>
      </c>
      <c r="Q1558" s="1153"/>
      <c r="R1558" s="733">
        <f t="shared" si="200"/>
        <v>3361294</v>
      </c>
      <c r="S1558" s="732">
        <f t="shared" si="201"/>
        <v>17290302</v>
      </c>
      <c r="T1558" s="733">
        <f t="shared" si="202"/>
        <v>17388044</v>
      </c>
      <c r="U1558" s="1152"/>
      <c r="V1558" s="1153"/>
      <c r="W1558" s="1152"/>
      <c r="X1558" s="1152"/>
      <c r="Y1558" s="732">
        <f t="shared" si="198"/>
        <v>0</v>
      </c>
      <c r="Z1558" s="1153"/>
      <c r="AA1558" s="1153"/>
      <c r="AB1558" s="733">
        <f t="shared" si="199"/>
        <v>0</v>
      </c>
      <c r="AC1558" s="1152"/>
      <c r="AD1558" s="1153"/>
      <c r="AE1558" s="1152"/>
      <c r="AF1558" s="1152"/>
      <c r="AG1558" s="1153"/>
      <c r="AH1558" s="1153"/>
      <c r="AI1558" s="732">
        <f t="shared" si="203"/>
        <v>17290302</v>
      </c>
      <c r="AJ1558" s="733">
        <f t="shared" si="204"/>
        <v>17388044</v>
      </c>
    </row>
    <row r="1559" spans="1:36">
      <c r="A1559" s="759" t="s">
        <v>636</v>
      </c>
      <c r="B1559" s="729" t="s">
        <v>62</v>
      </c>
      <c r="C1559" s="762" t="s">
        <v>684</v>
      </c>
      <c r="D1559" s="763"/>
      <c r="E1559" s="759">
        <v>199740</v>
      </c>
      <c r="F1559" s="759">
        <v>9</v>
      </c>
      <c r="G1559" s="1152"/>
      <c r="H1559" s="1153"/>
      <c r="I1559" s="1152"/>
      <c r="J1559" s="1153"/>
      <c r="K1559" s="1152"/>
      <c r="L1559" s="1153"/>
      <c r="M1559" s="1152"/>
      <c r="N1559" s="1152"/>
      <c r="O1559" s="732">
        <f t="shared" si="197"/>
        <v>0</v>
      </c>
      <c r="P1559" s="1153"/>
      <c r="Q1559" s="1153"/>
      <c r="R1559" s="733">
        <f t="shared" si="200"/>
        <v>0</v>
      </c>
      <c r="S1559" s="732">
        <f t="shared" si="201"/>
        <v>0</v>
      </c>
      <c r="T1559" s="733">
        <f t="shared" si="202"/>
        <v>0</v>
      </c>
      <c r="U1559" s="1152"/>
      <c r="V1559" s="1153"/>
      <c r="W1559" s="1152"/>
      <c r="X1559" s="1152"/>
      <c r="Y1559" s="732">
        <f t="shared" si="198"/>
        <v>0</v>
      </c>
      <c r="Z1559" s="1153"/>
      <c r="AA1559" s="1153"/>
      <c r="AB1559" s="733">
        <f t="shared" si="199"/>
        <v>0</v>
      </c>
      <c r="AC1559" s="1152"/>
      <c r="AD1559" s="1153"/>
      <c r="AE1559" s="1152"/>
      <c r="AF1559" s="1152"/>
      <c r="AG1559" s="1153"/>
      <c r="AH1559" s="1153"/>
      <c r="AI1559" s="732">
        <f t="shared" si="203"/>
        <v>0</v>
      </c>
      <c r="AJ1559" s="733">
        <f t="shared" si="204"/>
        <v>0</v>
      </c>
    </row>
    <row r="1560" spans="1:36">
      <c r="A1560" s="759" t="s">
        <v>636</v>
      </c>
      <c r="B1560" s="729" t="s">
        <v>69</v>
      </c>
      <c r="C1560" s="762" t="s">
        <v>70</v>
      </c>
      <c r="D1560" s="763"/>
      <c r="E1560" s="759">
        <v>199740</v>
      </c>
      <c r="F1560" s="759">
        <v>9</v>
      </c>
      <c r="G1560" s="1152"/>
      <c r="H1560" s="1153"/>
      <c r="I1560" s="1152">
        <v>163834</v>
      </c>
      <c r="J1560" s="1153">
        <v>165201</v>
      </c>
      <c r="K1560" s="1152"/>
      <c r="L1560" s="1153"/>
      <c r="M1560" s="1152"/>
      <c r="N1560" s="1152"/>
      <c r="O1560" s="732">
        <f t="shared" si="197"/>
        <v>0</v>
      </c>
      <c r="P1560" s="1153"/>
      <c r="Q1560" s="1153"/>
      <c r="R1560" s="733">
        <f t="shared" si="200"/>
        <v>0</v>
      </c>
      <c r="S1560" s="732">
        <f t="shared" si="201"/>
        <v>163834</v>
      </c>
      <c r="T1560" s="733">
        <f t="shared" si="202"/>
        <v>165201</v>
      </c>
      <c r="U1560" s="1152"/>
      <c r="V1560" s="1153"/>
      <c r="W1560" s="1152"/>
      <c r="X1560" s="1152"/>
      <c r="Y1560" s="732">
        <f t="shared" si="198"/>
        <v>0</v>
      </c>
      <c r="Z1560" s="1153"/>
      <c r="AA1560" s="1153"/>
      <c r="AB1560" s="733">
        <f t="shared" si="199"/>
        <v>0</v>
      </c>
      <c r="AC1560" s="1152"/>
      <c r="AD1560" s="1153"/>
      <c r="AE1560" s="1152"/>
      <c r="AF1560" s="1152"/>
      <c r="AG1560" s="1153"/>
      <c r="AH1560" s="1153"/>
      <c r="AI1560" s="732">
        <f t="shared" si="203"/>
        <v>163834</v>
      </c>
      <c r="AJ1560" s="733">
        <f t="shared" si="204"/>
        <v>165201</v>
      </c>
    </row>
    <row r="1561" spans="1:36">
      <c r="A1561" s="759" t="s">
        <v>636</v>
      </c>
      <c r="B1561" s="729" t="s">
        <v>685</v>
      </c>
      <c r="C1561" s="762" t="s">
        <v>72</v>
      </c>
      <c r="D1561" s="763"/>
      <c r="E1561" s="759">
        <v>199740</v>
      </c>
      <c r="F1561" s="759">
        <v>9</v>
      </c>
      <c r="G1561" s="1152"/>
      <c r="H1561" s="1153"/>
      <c r="I1561" s="1152">
        <v>2113736</v>
      </c>
      <c r="J1561" s="1153">
        <v>2473932</v>
      </c>
      <c r="K1561" s="1152"/>
      <c r="L1561" s="1153"/>
      <c r="M1561" s="1152">
        <v>309286</v>
      </c>
      <c r="N1561" s="1152"/>
      <c r="O1561" s="732">
        <f t="shared" si="197"/>
        <v>309286</v>
      </c>
      <c r="P1561" s="1153">
        <v>282444</v>
      </c>
      <c r="Q1561" s="1153"/>
      <c r="R1561" s="733">
        <f t="shared" si="200"/>
        <v>282444</v>
      </c>
      <c r="S1561" s="732">
        <f t="shared" si="201"/>
        <v>2423022</v>
      </c>
      <c r="T1561" s="733">
        <f t="shared" si="202"/>
        <v>2756376</v>
      </c>
      <c r="U1561" s="1152"/>
      <c r="V1561" s="1153"/>
      <c r="W1561" s="1152"/>
      <c r="X1561" s="1152"/>
      <c r="Y1561" s="732">
        <f t="shared" si="198"/>
        <v>0</v>
      </c>
      <c r="Z1561" s="1153"/>
      <c r="AA1561" s="1153"/>
      <c r="AB1561" s="733">
        <f t="shared" si="199"/>
        <v>0</v>
      </c>
      <c r="AC1561" s="1152"/>
      <c r="AD1561" s="1153"/>
      <c r="AE1561" s="1152"/>
      <c r="AF1561" s="1152"/>
      <c r="AG1561" s="1153"/>
      <c r="AH1561" s="1153"/>
      <c r="AI1561" s="732">
        <f t="shared" si="203"/>
        <v>2423022</v>
      </c>
      <c r="AJ1561" s="733">
        <f t="shared" si="204"/>
        <v>2756376</v>
      </c>
    </row>
    <row r="1562" spans="1:36">
      <c r="A1562" s="759" t="s">
        <v>636</v>
      </c>
      <c r="B1562" s="729" t="s">
        <v>62</v>
      </c>
      <c r="C1562" s="729" t="s">
        <v>713</v>
      </c>
      <c r="D1562" s="722"/>
      <c r="E1562" s="759">
        <v>199768</v>
      </c>
      <c r="F1562" s="759">
        <v>9</v>
      </c>
      <c r="G1562" s="1152">
        <v>12580792</v>
      </c>
      <c r="H1562" s="1153">
        <v>13600949</v>
      </c>
      <c r="I1562" s="1152"/>
      <c r="J1562" s="1153"/>
      <c r="K1562" s="1152">
        <v>2872000</v>
      </c>
      <c r="L1562" s="1153">
        <v>2872000</v>
      </c>
      <c r="M1562" s="1152">
        <v>4112129</v>
      </c>
      <c r="N1562" s="1152"/>
      <c r="O1562" s="732">
        <f t="shared" si="197"/>
        <v>4112129</v>
      </c>
      <c r="P1562" s="1153">
        <v>4279180</v>
      </c>
      <c r="Q1562" s="1153"/>
      <c r="R1562" s="733">
        <f t="shared" si="200"/>
        <v>4279180</v>
      </c>
      <c r="S1562" s="732">
        <f t="shared" si="201"/>
        <v>19564921</v>
      </c>
      <c r="T1562" s="733">
        <f t="shared" si="202"/>
        <v>20752129</v>
      </c>
      <c r="U1562" s="1152"/>
      <c r="V1562" s="1153"/>
      <c r="W1562" s="1152"/>
      <c r="X1562" s="1152"/>
      <c r="Y1562" s="732">
        <f t="shared" si="198"/>
        <v>0</v>
      </c>
      <c r="Z1562" s="1153"/>
      <c r="AA1562" s="1153"/>
      <c r="AB1562" s="733">
        <f t="shared" si="199"/>
        <v>0</v>
      </c>
      <c r="AC1562" s="1152"/>
      <c r="AD1562" s="1153"/>
      <c r="AE1562" s="1152"/>
      <c r="AF1562" s="1152"/>
      <c r="AG1562" s="1153"/>
      <c r="AH1562" s="1153"/>
      <c r="AI1562" s="732">
        <f t="shared" si="203"/>
        <v>19564921</v>
      </c>
      <c r="AJ1562" s="733">
        <f t="shared" si="204"/>
        <v>20752129</v>
      </c>
    </row>
    <row r="1563" spans="1:36">
      <c r="A1563" s="759" t="s">
        <v>636</v>
      </c>
      <c r="B1563" s="729" t="s">
        <v>62</v>
      </c>
      <c r="C1563" s="762" t="s">
        <v>684</v>
      </c>
      <c r="D1563" s="763"/>
      <c r="E1563" s="759">
        <v>199768</v>
      </c>
      <c r="F1563" s="759">
        <v>9</v>
      </c>
      <c r="G1563" s="1152"/>
      <c r="H1563" s="1153"/>
      <c r="I1563" s="1152"/>
      <c r="J1563" s="1153"/>
      <c r="K1563" s="1152"/>
      <c r="L1563" s="1153"/>
      <c r="M1563" s="1152"/>
      <c r="N1563" s="1152"/>
      <c r="O1563" s="732">
        <f t="shared" si="197"/>
        <v>0</v>
      </c>
      <c r="P1563" s="1153"/>
      <c r="Q1563" s="1153"/>
      <c r="R1563" s="733">
        <f t="shared" si="200"/>
        <v>0</v>
      </c>
      <c r="S1563" s="732">
        <f t="shared" si="201"/>
        <v>0</v>
      </c>
      <c r="T1563" s="733">
        <f t="shared" si="202"/>
        <v>0</v>
      </c>
      <c r="U1563" s="1152"/>
      <c r="V1563" s="1153"/>
      <c r="W1563" s="1152"/>
      <c r="X1563" s="1152"/>
      <c r="Y1563" s="732">
        <f t="shared" si="198"/>
        <v>0</v>
      </c>
      <c r="Z1563" s="1153"/>
      <c r="AA1563" s="1153"/>
      <c r="AB1563" s="733">
        <f t="shared" si="199"/>
        <v>0</v>
      </c>
      <c r="AC1563" s="1152"/>
      <c r="AD1563" s="1153"/>
      <c r="AE1563" s="1152"/>
      <c r="AF1563" s="1152"/>
      <c r="AG1563" s="1153"/>
      <c r="AH1563" s="1153"/>
      <c r="AI1563" s="732">
        <f t="shared" si="203"/>
        <v>0</v>
      </c>
      <c r="AJ1563" s="733">
        <f t="shared" si="204"/>
        <v>0</v>
      </c>
    </row>
    <row r="1564" spans="1:36">
      <c r="A1564" s="759" t="s">
        <v>636</v>
      </c>
      <c r="B1564" s="729" t="s">
        <v>69</v>
      </c>
      <c r="C1564" s="762" t="s">
        <v>70</v>
      </c>
      <c r="D1564" s="763"/>
      <c r="E1564" s="759">
        <v>199768</v>
      </c>
      <c r="F1564" s="759">
        <v>9</v>
      </c>
      <c r="G1564" s="1152"/>
      <c r="H1564" s="1153"/>
      <c r="I1564" s="1152">
        <v>159700</v>
      </c>
      <c r="J1564" s="1153">
        <v>161922</v>
      </c>
      <c r="K1564" s="1152"/>
      <c r="L1564" s="1153"/>
      <c r="M1564" s="1152"/>
      <c r="N1564" s="1152"/>
      <c r="O1564" s="732">
        <f t="shared" si="197"/>
        <v>0</v>
      </c>
      <c r="P1564" s="1153"/>
      <c r="Q1564" s="1153"/>
      <c r="R1564" s="733">
        <f t="shared" si="200"/>
        <v>0</v>
      </c>
      <c r="S1564" s="732">
        <f t="shared" si="201"/>
        <v>159700</v>
      </c>
      <c r="T1564" s="733">
        <f t="shared" si="202"/>
        <v>161922</v>
      </c>
      <c r="U1564" s="1152"/>
      <c r="V1564" s="1153"/>
      <c r="W1564" s="1152"/>
      <c r="X1564" s="1152"/>
      <c r="Y1564" s="732">
        <f t="shared" si="198"/>
        <v>0</v>
      </c>
      <c r="Z1564" s="1153"/>
      <c r="AA1564" s="1153"/>
      <c r="AB1564" s="733">
        <f t="shared" si="199"/>
        <v>0</v>
      </c>
      <c r="AC1564" s="1152"/>
      <c r="AD1564" s="1153"/>
      <c r="AE1564" s="1152"/>
      <c r="AF1564" s="1152"/>
      <c r="AG1564" s="1153"/>
      <c r="AH1564" s="1153"/>
      <c r="AI1564" s="732">
        <f t="shared" si="203"/>
        <v>159700</v>
      </c>
      <c r="AJ1564" s="733">
        <f t="shared" si="204"/>
        <v>161922</v>
      </c>
    </row>
    <row r="1565" spans="1:36">
      <c r="A1565" s="759" t="s">
        <v>636</v>
      </c>
      <c r="B1565" s="729" t="s">
        <v>685</v>
      </c>
      <c r="C1565" s="762" t="s">
        <v>72</v>
      </c>
      <c r="D1565" s="763"/>
      <c r="E1565" s="759">
        <v>199768</v>
      </c>
      <c r="F1565" s="759">
        <v>9</v>
      </c>
      <c r="G1565" s="1152"/>
      <c r="H1565" s="1153"/>
      <c r="I1565" s="1152">
        <v>2033425</v>
      </c>
      <c r="J1565" s="1153">
        <v>2091432</v>
      </c>
      <c r="K1565" s="1152"/>
      <c r="L1565" s="1153"/>
      <c r="M1565" s="1152">
        <v>246712</v>
      </c>
      <c r="N1565" s="1152"/>
      <c r="O1565" s="732">
        <f t="shared" si="197"/>
        <v>246712</v>
      </c>
      <c r="P1565" s="1153">
        <v>224916</v>
      </c>
      <c r="Q1565" s="1153"/>
      <c r="R1565" s="733">
        <f t="shared" si="200"/>
        <v>224916</v>
      </c>
      <c r="S1565" s="732">
        <f t="shared" si="201"/>
        <v>2280137</v>
      </c>
      <c r="T1565" s="733">
        <f t="shared" si="202"/>
        <v>2316348</v>
      </c>
      <c r="U1565" s="1152"/>
      <c r="V1565" s="1153"/>
      <c r="W1565" s="1152"/>
      <c r="X1565" s="1152"/>
      <c r="Y1565" s="732">
        <f t="shared" si="198"/>
        <v>0</v>
      </c>
      <c r="Z1565" s="1153"/>
      <c r="AA1565" s="1153"/>
      <c r="AB1565" s="733">
        <f t="shared" si="199"/>
        <v>0</v>
      </c>
      <c r="AC1565" s="1152"/>
      <c r="AD1565" s="1153"/>
      <c r="AE1565" s="1152"/>
      <c r="AF1565" s="1152"/>
      <c r="AG1565" s="1153"/>
      <c r="AH1565" s="1153"/>
      <c r="AI1565" s="732">
        <f t="shared" si="203"/>
        <v>2280137</v>
      </c>
      <c r="AJ1565" s="733">
        <f t="shared" si="204"/>
        <v>2316348</v>
      </c>
    </row>
    <row r="1566" spans="1:36">
      <c r="A1566" s="759" t="s">
        <v>636</v>
      </c>
      <c r="B1566" s="729" t="s">
        <v>62</v>
      </c>
      <c r="C1566" s="729" t="s">
        <v>714</v>
      </c>
      <c r="D1566" s="722"/>
      <c r="E1566" s="759">
        <v>199838</v>
      </c>
      <c r="F1566" s="759">
        <v>9</v>
      </c>
      <c r="G1566" s="1152">
        <v>12771710</v>
      </c>
      <c r="H1566" s="1153">
        <v>13433646</v>
      </c>
      <c r="I1566" s="1152"/>
      <c r="J1566" s="1153"/>
      <c r="K1566" s="1152">
        <v>2594000</v>
      </c>
      <c r="L1566" s="1153">
        <v>2564233</v>
      </c>
      <c r="M1566" s="1152">
        <v>3776106</v>
      </c>
      <c r="N1566" s="1152"/>
      <c r="O1566" s="732">
        <f t="shared" si="197"/>
        <v>3776106</v>
      </c>
      <c r="P1566" s="1153">
        <v>3808181</v>
      </c>
      <c r="Q1566" s="1153"/>
      <c r="R1566" s="733">
        <f t="shared" si="200"/>
        <v>3808181</v>
      </c>
      <c r="S1566" s="732">
        <f t="shared" si="201"/>
        <v>19141816</v>
      </c>
      <c r="T1566" s="733">
        <f t="shared" si="202"/>
        <v>19806060</v>
      </c>
      <c r="U1566" s="1152"/>
      <c r="V1566" s="1153"/>
      <c r="W1566" s="1152"/>
      <c r="X1566" s="1152"/>
      <c r="Y1566" s="732">
        <f t="shared" si="198"/>
        <v>0</v>
      </c>
      <c r="Z1566" s="1153"/>
      <c r="AA1566" s="1153"/>
      <c r="AB1566" s="733">
        <f t="shared" si="199"/>
        <v>0</v>
      </c>
      <c r="AC1566" s="1152"/>
      <c r="AD1566" s="1153"/>
      <c r="AE1566" s="1152"/>
      <c r="AF1566" s="1152"/>
      <c r="AG1566" s="1153"/>
      <c r="AH1566" s="1153"/>
      <c r="AI1566" s="732">
        <f t="shared" si="203"/>
        <v>19141816</v>
      </c>
      <c r="AJ1566" s="733">
        <f t="shared" si="204"/>
        <v>19806060</v>
      </c>
    </row>
    <row r="1567" spans="1:36">
      <c r="A1567" s="759" t="s">
        <v>636</v>
      </c>
      <c r="B1567" s="729" t="s">
        <v>62</v>
      </c>
      <c r="C1567" s="762" t="s">
        <v>684</v>
      </c>
      <c r="D1567" s="763"/>
      <c r="E1567" s="759">
        <v>199838</v>
      </c>
      <c r="F1567" s="759">
        <v>9</v>
      </c>
      <c r="G1567" s="1152"/>
      <c r="H1567" s="1153"/>
      <c r="I1567" s="1152"/>
      <c r="J1567" s="1153"/>
      <c r="K1567" s="1152"/>
      <c r="L1567" s="1153"/>
      <c r="M1567" s="1152"/>
      <c r="N1567" s="1152"/>
      <c r="O1567" s="732">
        <f t="shared" si="197"/>
        <v>0</v>
      </c>
      <c r="P1567" s="1153"/>
      <c r="Q1567" s="1153"/>
      <c r="R1567" s="733">
        <f t="shared" si="200"/>
        <v>0</v>
      </c>
      <c r="S1567" s="732">
        <f t="shared" si="201"/>
        <v>0</v>
      </c>
      <c r="T1567" s="733">
        <f t="shared" si="202"/>
        <v>0</v>
      </c>
      <c r="U1567" s="1152"/>
      <c r="V1567" s="1153"/>
      <c r="W1567" s="1152"/>
      <c r="X1567" s="1152"/>
      <c r="Y1567" s="732">
        <f t="shared" si="198"/>
        <v>0</v>
      </c>
      <c r="Z1567" s="1153"/>
      <c r="AA1567" s="1153"/>
      <c r="AB1567" s="733">
        <f t="shared" si="199"/>
        <v>0</v>
      </c>
      <c r="AC1567" s="1152"/>
      <c r="AD1567" s="1153"/>
      <c r="AE1567" s="1152"/>
      <c r="AF1567" s="1152"/>
      <c r="AG1567" s="1153"/>
      <c r="AH1567" s="1153"/>
      <c r="AI1567" s="732">
        <f t="shared" si="203"/>
        <v>0</v>
      </c>
      <c r="AJ1567" s="733">
        <f t="shared" si="204"/>
        <v>0</v>
      </c>
    </row>
    <row r="1568" spans="1:36">
      <c r="A1568" s="759" t="s">
        <v>636</v>
      </c>
      <c r="B1568" s="729" t="s">
        <v>69</v>
      </c>
      <c r="C1568" s="762" t="s">
        <v>70</v>
      </c>
      <c r="D1568" s="763"/>
      <c r="E1568" s="759">
        <v>199838</v>
      </c>
      <c r="F1568" s="759">
        <v>9</v>
      </c>
      <c r="G1568" s="1152"/>
      <c r="H1568" s="1153"/>
      <c r="I1568" s="1152">
        <v>172149</v>
      </c>
      <c r="J1568" s="1153">
        <v>174070</v>
      </c>
      <c r="K1568" s="1152"/>
      <c r="L1568" s="1153"/>
      <c r="M1568" s="1152"/>
      <c r="N1568" s="1152"/>
      <c r="O1568" s="732">
        <f t="shared" si="197"/>
        <v>0</v>
      </c>
      <c r="P1568" s="1153"/>
      <c r="Q1568" s="1153"/>
      <c r="R1568" s="733">
        <f t="shared" si="200"/>
        <v>0</v>
      </c>
      <c r="S1568" s="732">
        <f t="shared" si="201"/>
        <v>172149</v>
      </c>
      <c r="T1568" s="733">
        <f t="shared" si="202"/>
        <v>174070</v>
      </c>
      <c r="U1568" s="1152"/>
      <c r="V1568" s="1153"/>
      <c r="W1568" s="1152"/>
      <c r="X1568" s="1152"/>
      <c r="Y1568" s="732">
        <f t="shared" si="198"/>
        <v>0</v>
      </c>
      <c r="Z1568" s="1153"/>
      <c r="AA1568" s="1153"/>
      <c r="AB1568" s="733">
        <f t="shared" si="199"/>
        <v>0</v>
      </c>
      <c r="AC1568" s="1152"/>
      <c r="AD1568" s="1153"/>
      <c r="AE1568" s="1152"/>
      <c r="AF1568" s="1152"/>
      <c r="AG1568" s="1153"/>
      <c r="AH1568" s="1153"/>
      <c r="AI1568" s="732">
        <f t="shared" si="203"/>
        <v>172149</v>
      </c>
      <c r="AJ1568" s="733">
        <f t="shared" si="204"/>
        <v>174070</v>
      </c>
    </row>
    <row r="1569" spans="1:36">
      <c r="A1569" s="759" t="s">
        <v>636</v>
      </c>
      <c r="B1569" s="729" t="s">
        <v>685</v>
      </c>
      <c r="C1569" s="762" t="s">
        <v>72</v>
      </c>
      <c r="D1569" s="763"/>
      <c r="E1569" s="759">
        <v>199838</v>
      </c>
      <c r="F1569" s="759">
        <v>9</v>
      </c>
      <c r="G1569" s="1152"/>
      <c r="H1569" s="1153"/>
      <c r="I1569" s="1152">
        <v>1924759</v>
      </c>
      <c r="J1569" s="1153">
        <v>1947418</v>
      </c>
      <c r="K1569" s="1152"/>
      <c r="L1569" s="1153"/>
      <c r="M1569" s="1152">
        <v>203667</v>
      </c>
      <c r="N1569" s="1152"/>
      <c r="O1569" s="732">
        <f t="shared" si="197"/>
        <v>203667</v>
      </c>
      <c r="P1569" s="1153">
        <v>194111</v>
      </c>
      <c r="Q1569" s="1153"/>
      <c r="R1569" s="733">
        <f t="shared" si="200"/>
        <v>194111</v>
      </c>
      <c r="S1569" s="732">
        <f t="shared" si="201"/>
        <v>2128426</v>
      </c>
      <c r="T1569" s="733">
        <f t="shared" si="202"/>
        <v>2141529</v>
      </c>
      <c r="U1569" s="1152"/>
      <c r="V1569" s="1153"/>
      <c r="W1569" s="1152"/>
      <c r="X1569" s="1152"/>
      <c r="Y1569" s="732">
        <f t="shared" si="198"/>
        <v>0</v>
      </c>
      <c r="Z1569" s="1153"/>
      <c r="AA1569" s="1153"/>
      <c r="AB1569" s="733">
        <f t="shared" si="199"/>
        <v>0</v>
      </c>
      <c r="AC1569" s="1152"/>
      <c r="AD1569" s="1153"/>
      <c r="AE1569" s="1152"/>
      <c r="AF1569" s="1152"/>
      <c r="AG1569" s="1153"/>
      <c r="AH1569" s="1153"/>
      <c r="AI1569" s="732">
        <f t="shared" si="203"/>
        <v>2128426</v>
      </c>
      <c r="AJ1569" s="733">
        <f t="shared" si="204"/>
        <v>2141529</v>
      </c>
    </row>
    <row r="1570" spans="1:36">
      <c r="A1570" s="759" t="s">
        <v>636</v>
      </c>
      <c r="B1570" s="729" t="s">
        <v>62</v>
      </c>
      <c r="C1570" s="729" t="s">
        <v>715</v>
      </c>
      <c r="D1570" s="722"/>
      <c r="E1570" s="759">
        <v>199892</v>
      </c>
      <c r="F1570" s="759">
        <v>9</v>
      </c>
      <c r="G1570" s="1152">
        <v>14564795</v>
      </c>
      <c r="H1570" s="1153">
        <v>14754890</v>
      </c>
      <c r="I1570" s="1152"/>
      <c r="J1570" s="1153"/>
      <c r="K1570" s="1152">
        <v>6031398</v>
      </c>
      <c r="L1570" s="1153">
        <v>4985186</v>
      </c>
      <c r="M1570" s="1152">
        <v>4845725</v>
      </c>
      <c r="N1570" s="1152"/>
      <c r="O1570" s="732">
        <f t="shared" si="197"/>
        <v>4845725</v>
      </c>
      <c r="P1570" s="1153">
        <v>4637653</v>
      </c>
      <c r="Q1570" s="1153"/>
      <c r="R1570" s="733">
        <f t="shared" si="200"/>
        <v>4637653</v>
      </c>
      <c r="S1570" s="732">
        <f t="shared" si="201"/>
        <v>25441918</v>
      </c>
      <c r="T1570" s="733">
        <f t="shared" si="202"/>
        <v>24377729</v>
      </c>
      <c r="U1570" s="1152"/>
      <c r="V1570" s="1153"/>
      <c r="W1570" s="1152"/>
      <c r="X1570" s="1152"/>
      <c r="Y1570" s="732">
        <f t="shared" si="198"/>
        <v>0</v>
      </c>
      <c r="Z1570" s="1153"/>
      <c r="AA1570" s="1153"/>
      <c r="AB1570" s="733">
        <f t="shared" si="199"/>
        <v>0</v>
      </c>
      <c r="AC1570" s="1152"/>
      <c r="AD1570" s="1153"/>
      <c r="AE1570" s="1152"/>
      <c r="AF1570" s="1152"/>
      <c r="AG1570" s="1153"/>
      <c r="AH1570" s="1153"/>
      <c r="AI1570" s="732">
        <f t="shared" si="203"/>
        <v>25441918</v>
      </c>
      <c r="AJ1570" s="733">
        <f t="shared" si="204"/>
        <v>24377729</v>
      </c>
    </row>
    <row r="1571" spans="1:36">
      <c r="A1571" s="759" t="s">
        <v>636</v>
      </c>
      <c r="B1571" s="729" t="s">
        <v>62</v>
      </c>
      <c r="C1571" s="762" t="s">
        <v>684</v>
      </c>
      <c r="D1571" s="763"/>
      <c r="E1571" s="759">
        <v>199892</v>
      </c>
      <c r="F1571" s="759">
        <v>9</v>
      </c>
      <c r="G1571" s="1152"/>
      <c r="H1571" s="1153"/>
      <c r="I1571" s="1152"/>
      <c r="J1571" s="1153"/>
      <c r="K1571" s="1152"/>
      <c r="L1571" s="1153"/>
      <c r="M1571" s="1152"/>
      <c r="N1571" s="1152"/>
      <c r="O1571" s="732">
        <f t="shared" si="197"/>
        <v>0</v>
      </c>
      <c r="P1571" s="1153"/>
      <c r="Q1571" s="1153"/>
      <c r="R1571" s="733">
        <f t="shared" si="200"/>
        <v>0</v>
      </c>
      <c r="S1571" s="732">
        <f t="shared" si="201"/>
        <v>0</v>
      </c>
      <c r="T1571" s="733">
        <f t="shared" si="202"/>
        <v>0</v>
      </c>
      <c r="U1571" s="1152"/>
      <c r="V1571" s="1153"/>
      <c r="W1571" s="1152"/>
      <c r="X1571" s="1152"/>
      <c r="Y1571" s="732">
        <f t="shared" si="198"/>
        <v>0</v>
      </c>
      <c r="Z1571" s="1153"/>
      <c r="AA1571" s="1153"/>
      <c r="AB1571" s="733">
        <f t="shared" si="199"/>
        <v>0</v>
      </c>
      <c r="AC1571" s="1152"/>
      <c r="AD1571" s="1153"/>
      <c r="AE1571" s="1152"/>
      <c r="AF1571" s="1152"/>
      <c r="AG1571" s="1153"/>
      <c r="AH1571" s="1153"/>
      <c r="AI1571" s="732">
        <f t="shared" si="203"/>
        <v>0</v>
      </c>
      <c r="AJ1571" s="733">
        <f t="shared" si="204"/>
        <v>0</v>
      </c>
    </row>
    <row r="1572" spans="1:36">
      <c r="A1572" s="759" t="s">
        <v>636</v>
      </c>
      <c r="B1572" s="729" t="s">
        <v>69</v>
      </c>
      <c r="C1572" s="762" t="s">
        <v>70</v>
      </c>
      <c r="D1572" s="763"/>
      <c r="E1572" s="759">
        <v>199892</v>
      </c>
      <c r="F1572" s="759">
        <v>9</v>
      </c>
      <c r="G1572" s="1152"/>
      <c r="H1572" s="1153"/>
      <c r="I1572" s="1152">
        <v>161537</v>
      </c>
      <c r="J1572" s="1153">
        <v>163814</v>
      </c>
      <c r="K1572" s="1152"/>
      <c r="L1572" s="1153"/>
      <c r="M1572" s="1152"/>
      <c r="N1572" s="1152"/>
      <c r="O1572" s="732">
        <f t="shared" si="197"/>
        <v>0</v>
      </c>
      <c r="P1572" s="1153"/>
      <c r="Q1572" s="1153"/>
      <c r="R1572" s="733">
        <f t="shared" si="200"/>
        <v>0</v>
      </c>
      <c r="S1572" s="732">
        <f t="shared" si="201"/>
        <v>161537</v>
      </c>
      <c r="T1572" s="733">
        <f t="shared" si="202"/>
        <v>163814</v>
      </c>
      <c r="U1572" s="1152"/>
      <c r="V1572" s="1153"/>
      <c r="W1572" s="1152"/>
      <c r="X1572" s="1152"/>
      <c r="Y1572" s="732">
        <f t="shared" si="198"/>
        <v>0</v>
      </c>
      <c r="Z1572" s="1153"/>
      <c r="AA1572" s="1153"/>
      <c r="AB1572" s="733">
        <f t="shared" si="199"/>
        <v>0</v>
      </c>
      <c r="AC1572" s="1152"/>
      <c r="AD1572" s="1153"/>
      <c r="AE1572" s="1152"/>
      <c r="AF1572" s="1152"/>
      <c r="AG1572" s="1153"/>
      <c r="AH1572" s="1153"/>
      <c r="AI1572" s="732">
        <f t="shared" si="203"/>
        <v>161537</v>
      </c>
      <c r="AJ1572" s="733">
        <f t="shared" si="204"/>
        <v>163814</v>
      </c>
    </row>
    <row r="1573" spans="1:36">
      <c r="A1573" s="759" t="s">
        <v>636</v>
      </c>
      <c r="B1573" s="729" t="s">
        <v>685</v>
      </c>
      <c r="C1573" s="762" t="s">
        <v>72</v>
      </c>
      <c r="D1573" s="763"/>
      <c r="E1573" s="759">
        <v>199892</v>
      </c>
      <c r="F1573" s="759">
        <v>9</v>
      </c>
      <c r="G1573" s="1152"/>
      <c r="H1573" s="1153"/>
      <c r="I1573" s="1152">
        <v>2066273</v>
      </c>
      <c r="J1573" s="1153">
        <v>2214378</v>
      </c>
      <c r="K1573" s="1152"/>
      <c r="L1573" s="1153"/>
      <c r="M1573" s="1152">
        <v>225189</v>
      </c>
      <c r="N1573" s="1152"/>
      <c r="O1573" s="732">
        <f t="shared" si="197"/>
        <v>225189</v>
      </c>
      <c r="P1573" s="1153">
        <v>224916</v>
      </c>
      <c r="Q1573" s="1153"/>
      <c r="R1573" s="733">
        <f t="shared" si="200"/>
        <v>224916</v>
      </c>
      <c r="S1573" s="732">
        <f t="shared" si="201"/>
        <v>2291462</v>
      </c>
      <c r="T1573" s="733">
        <f t="shared" si="202"/>
        <v>2439294</v>
      </c>
      <c r="U1573" s="1152"/>
      <c r="V1573" s="1153"/>
      <c r="W1573" s="1152"/>
      <c r="X1573" s="1152"/>
      <c r="Y1573" s="732">
        <f t="shared" si="198"/>
        <v>0</v>
      </c>
      <c r="Z1573" s="1153"/>
      <c r="AA1573" s="1153"/>
      <c r="AB1573" s="733">
        <f t="shared" si="199"/>
        <v>0</v>
      </c>
      <c r="AC1573" s="1152"/>
      <c r="AD1573" s="1153"/>
      <c r="AE1573" s="1152"/>
      <c r="AF1573" s="1152"/>
      <c r="AG1573" s="1153"/>
      <c r="AH1573" s="1153"/>
      <c r="AI1573" s="732">
        <f t="shared" si="203"/>
        <v>2291462</v>
      </c>
      <c r="AJ1573" s="733">
        <f t="shared" si="204"/>
        <v>2439294</v>
      </c>
    </row>
    <row r="1574" spans="1:36">
      <c r="A1574" s="759" t="s">
        <v>636</v>
      </c>
      <c r="B1574" s="729" t="s">
        <v>62</v>
      </c>
      <c r="C1574" s="729" t="s">
        <v>717</v>
      </c>
      <c r="D1574" s="722"/>
      <c r="E1574" s="759">
        <v>199926</v>
      </c>
      <c r="F1574" s="759">
        <v>9</v>
      </c>
      <c r="G1574" s="1152">
        <v>12359723</v>
      </c>
      <c r="H1574" s="1153">
        <v>12925049</v>
      </c>
      <c r="I1574" s="1152"/>
      <c r="J1574" s="1153"/>
      <c r="K1574" s="1152">
        <v>4562587</v>
      </c>
      <c r="L1574" s="1153">
        <v>4236395</v>
      </c>
      <c r="M1574" s="1152">
        <v>351154</v>
      </c>
      <c r="N1574" s="1152"/>
      <c r="O1574" s="732">
        <f t="shared" si="197"/>
        <v>351154</v>
      </c>
      <c r="P1574" s="1155">
        <v>3687618</v>
      </c>
      <c r="Q1574" s="1153"/>
      <c r="R1574" s="733">
        <f t="shared" si="200"/>
        <v>3687618</v>
      </c>
      <c r="S1574" s="732">
        <f t="shared" si="201"/>
        <v>17273464</v>
      </c>
      <c r="T1574" s="733">
        <f t="shared" si="202"/>
        <v>20849062</v>
      </c>
      <c r="U1574" s="1152"/>
      <c r="V1574" s="1153"/>
      <c r="W1574" s="1152"/>
      <c r="X1574" s="1152"/>
      <c r="Y1574" s="732">
        <f t="shared" si="198"/>
        <v>0</v>
      </c>
      <c r="Z1574" s="1153"/>
      <c r="AA1574" s="1153"/>
      <c r="AB1574" s="733">
        <f t="shared" si="199"/>
        <v>0</v>
      </c>
      <c r="AC1574" s="1152"/>
      <c r="AD1574" s="1153"/>
      <c r="AE1574" s="1152"/>
      <c r="AF1574" s="1152"/>
      <c r="AG1574" s="1153"/>
      <c r="AH1574" s="1153"/>
      <c r="AI1574" s="732">
        <f t="shared" si="203"/>
        <v>17273464</v>
      </c>
      <c r="AJ1574" s="733">
        <f t="shared" si="204"/>
        <v>20849062</v>
      </c>
    </row>
    <row r="1575" spans="1:36">
      <c r="A1575" s="759" t="s">
        <v>636</v>
      </c>
      <c r="B1575" s="729" t="s">
        <v>62</v>
      </c>
      <c r="C1575" s="762" t="s">
        <v>684</v>
      </c>
      <c r="D1575" s="763"/>
      <c r="E1575" s="759">
        <v>199926</v>
      </c>
      <c r="F1575" s="759">
        <v>9</v>
      </c>
      <c r="G1575" s="1152"/>
      <c r="H1575" s="1153"/>
      <c r="I1575" s="1152"/>
      <c r="J1575" s="1153"/>
      <c r="K1575" s="1152"/>
      <c r="L1575" s="1153"/>
      <c r="M1575" s="1152"/>
      <c r="N1575" s="1152"/>
      <c r="O1575" s="732">
        <f t="shared" si="197"/>
        <v>0</v>
      </c>
      <c r="P1575" s="1153"/>
      <c r="Q1575" s="1153"/>
      <c r="R1575" s="733">
        <f t="shared" si="200"/>
        <v>0</v>
      </c>
      <c r="S1575" s="732">
        <f t="shared" si="201"/>
        <v>0</v>
      </c>
      <c r="T1575" s="733">
        <f t="shared" si="202"/>
        <v>0</v>
      </c>
      <c r="U1575" s="1152"/>
      <c r="V1575" s="1153"/>
      <c r="W1575" s="1152"/>
      <c r="X1575" s="1152"/>
      <c r="Y1575" s="732">
        <f t="shared" si="198"/>
        <v>0</v>
      </c>
      <c r="Z1575" s="1153"/>
      <c r="AA1575" s="1153"/>
      <c r="AB1575" s="733">
        <f t="shared" si="199"/>
        <v>0</v>
      </c>
      <c r="AC1575" s="1152"/>
      <c r="AD1575" s="1153"/>
      <c r="AE1575" s="1152"/>
      <c r="AF1575" s="1152"/>
      <c r="AG1575" s="1153"/>
      <c r="AH1575" s="1153"/>
      <c r="AI1575" s="732">
        <f t="shared" si="203"/>
        <v>0</v>
      </c>
      <c r="AJ1575" s="733">
        <f t="shared" si="204"/>
        <v>0</v>
      </c>
    </row>
    <row r="1576" spans="1:36">
      <c r="A1576" s="759" t="s">
        <v>636</v>
      </c>
      <c r="B1576" s="729" t="s">
        <v>69</v>
      </c>
      <c r="C1576" s="762" t="s">
        <v>70</v>
      </c>
      <c r="D1576" s="763"/>
      <c r="E1576" s="759">
        <v>199926</v>
      </c>
      <c r="F1576" s="759">
        <v>9</v>
      </c>
      <c r="G1576" s="1152"/>
      <c r="H1576" s="1153"/>
      <c r="I1576" s="1152">
        <v>157659</v>
      </c>
      <c r="J1576" s="1153">
        <v>159672</v>
      </c>
      <c r="K1576" s="1152"/>
      <c r="L1576" s="1153"/>
      <c r="M1576" s="1152"/>
      <c r="N1576" s="1152"/>
      <c r="O1576" s="732">
        <f t="shared" si="197"/>
        <v>0</v>
      </c>
      <c r="P1576" s="1153"/>
      <c r="Q1576" s="1153"/>
      <c r="R1576" s="733">
        <f t="shared" si="200"/>
        <v>0</v>
      </c>
      <c r="S1576" s="732">
        <f t="shared" si="201"/>
        <v>157659</v>
      </c>
      <c r="T1576" s="733">
        <f t="shared" si="202"/>
        <v>159672</v>
      </c>
      <c r="U1576" s="1152"/>
      <c r="V1576" s="1153"/>
      <c r="W1576" s="1152"/>
      <c r="X1576" s="1152"/>
      <c r="Y1576" s="732">
        <f t="shared" si="198"/>
        <v>0</v>
      </c>
      <c r="Z1576" s="1153"/>
      <c r="AA1576" s="1153"/>
      <c r="AB1576" s="733">
        <f t="shared" si="199"/>
        <v>0</v>
      </c>
      <c r="AC1576" s="1152"/>
      <c r="AD1576" s="1153"/>
      <c r="AE1576" s="1152"/>
      <c r="AF1576" s="1152"/>
      <c r="AG1576" s="1153"/>
      <c r="AH1576" s="1153"/>
      <c r="AI1576" s="732">
        <f t="shared" si="203"/>
        <v>157659</v>
      </c>
      <c r="AJ1576" s="733">
        <f t="shared" si="204"/>
        <v>159672</v>
      </c>
    </row>
    <row r="1577" spans="1:36">
      <c r="A1577" s="759" t="s">
        <v>636</v>
      </c>
      <c r="B1577" s="729" t="s">
        <v>685</v>
      </c>
      <c r="C1577" s="762" t="s">
        <v>72</v>
      </c>
      <c r="D1577" s="763"/>
      <c r="E1577" s="759">
        <v>199926</v>
      </c>
      <c r="F1577" s="759">
        <v>9</v>
      </c>
      <c r="G1577" s="1152"/>
      <c r="H1577" s="1153"/>
      <c r="I1577" s="1152">
        <v>1955644</v>
      </c>
      <c r="J1577" s="1153">
        <v>2101362</v>
      </c>
      <c r="K1577" s="1152"/>
      <c r="L1577" s="1153"/>
      <c r="M1577" s="1152">
        <v>203667</v>
      </c>
      <c r="N1577" s="1152"/>
      <c r="O1577" s="732">
        <f t="shared" si="197"/>
        <v>203667</v>
      </c>
      <c r="P1577" s="1153">
        <v>196338</v>
      </c>
      <c r="Q1577" s="1153"/>
      <c r="R1577" s="733">
        <f t="shared" si="200"/>
        <v>196338</v>
      </c>
      <c r="S1577" s="732">
        <f t="shared" si="201"/>
        <v>2159311</v>
      </c>
      <c r="T1577" s="733">
        <f t="shared" si="202"/>
        <v>2297700</v>
      </c>
      <c r="U1577" s="1152"/>
      <c r="V1577" s="1153"/>
      <c r="W1577" s="1152"/>
      <c r="X1577" s="1152"/>
      <c r="Y1577" s="732">
        <f t="shared" si="198"/>
        <v>0</v>
      </c>
      <c r="Z1577" s="1153"/>
      <c r="AA1577" s="1153"/>
      <c r="AB1577" s="733">
        <f t="shared" si="199"/>
        <v>0</v>
      </c>
      <c r="AC1577" s="1152"/>
      <c r="AD1577" s="1153"/>
      <c r="AE1577" s="1152"/>
      <c r="AF1577" s="1152"/>
      <c r="AG1577" s="1153"/>
      <c r="AH1577" s="1153"/>
      <c r="AI1577" s="732">
        <f t="shared" si="203"/>
        <v>2159311</v>
      </c>
      <c r="AJ1577" s="733">
        <f t="shared" si="204"/>
        <v>2297700</v>
      </c>
    </row>
    <row r="1578" spans="1:36">
      <c r="A1578" s="759" t="s">
        <v>636</v>
      </c>
      <c r="B1578" s="729" t="s">
        <v>62</v>
      </c>
      <c r="C1578" s="729" t="s">
        <v>718</v>
      </c>
      <c r="D1578" s="722"/>
      <c r="E1578" s="759">
        <v>197966</v>
      </c>
      <c r="F1578" s="759">
        <v>10</v>
      </c>
      <c r="G1578" s="1152">
        <v>7364874</v>
      </c>
      <c r="H1578" s="1153">
        <v>7646182</v>
      </c>
      <c r="I1578" s="1152"/>
      <c r="J1578" s="1153"/>
      <c r="K1578" s="1152">
        <v>2697118</v>
      </c>
      <c r="L1578" s="1153">
        <v>2779372</v>
      </c>
      <c r="M1578" s="1152">
        <v>2056065</v>
      </c>
      <c r="N1578" s="1152"/>
      <c r="O1578" s="732">
        <f t="shared" si="197"/>
        <v>2056065</v>
      </c>
      <c r="P1578" s="1153">
        <v>2047962</v>
      </c>
      <c r="Q1578" s="1153"/>
      <c r="R1578" s="733">
        <f t="shared" si="200"/>
        <v>2047962</v>
      </c>
      <c r="S1578" s="732">
        <f t="shared" si="201"/>
        <v>12118057</v>
      </c>
      <c r="T1578" s="733">
        <f t="shared" si="202"/>
        <v>12473516</v>
      </c>
      <c r="U1578" s="1152"/>
      <c r="V1578" s="1153"/>
      <c r="W1578" s="1152"/>
      <c r="X1578" s="1152"/>
      <c r="Y1578" s="732">
        <f t="shared" si="198"/>
        <v>0</v>
      </c>
      <c r="Z1578" s="1153"/>
      <c r="AA1578" s="1153"/>
      <c r="AB1578" s="733">
        <f t="shared" si="199"/>
        <v>0</v>
      </c>
      <c r="AC1578" s="1152"/>
      <c r="AD1578" s="1153"/>
      <c r="AE1578" s="1152"/>
      <c r="AF1578" s="1152"/>
      <c r="AG1578" s="1153"/>
      <c r="AH1578" s="1153"/>
      <c r="AI1578" s="732">
        <f t="shared" si="203"/>
        <v>12118057</v>
      </c>
      <c r="AJ1578" s="733">
        <f t="shared" si="204"/>
        <v>12473516</v>
      </c>
    </row>
    <row r="1579" spans="1:36">
      <c r="A1579" s="759" t="s">
        <v>636</v>
      </c>
      <c r="B1579" s="729" t="s">
        <v>62</v>
      </c>
      <c r="C1579" s="762" t="s">
        <v>684</v>
      </c>
      <c r="D1579" s="763"/>
      <c r="E1579" s="759">
        <v>197966</v>
      </c>
      <c r="F1579" s="759">
        <v>10</v>
      </c>
      <c r="G1579" s="1152"/>
      <c r="H1579" s="1153"/>
      <c r="I1579" s="1152"/>
      <c r="J1579" s="1153"/>
      <c r="K1579" s="1152"/>
      <c r="L1579" s="1153"/>
      <c r="M1579" s="1152"/>
      <c r="N1579" s="1152"/>
      <c r="O1579" s="732">
        <f t="shared" si="197"/>
        <v>0</v>
      </c>
      <c r="P1579" s="1153"/>
      <c r="Q1579" s="1153"/>
      <c r="R1579" s="733">
        <f t="shared" si="200"/>
        <v>0</v>
      </c>
      <c r="S1579" s="732">
        <f t="shared" si="201"/>
        <v>0</v>
      </c>
      <c r="T1579" s="733">
        <f t="shared" si="202"/>
        <v>0</v>
      </c>
      <c r="U1579" s="1152"/>
      <c r="V1579" s="1153"/>
      <c r="W1579" s="1152"/>
      <c r="X1579" s="1152"/>
      <c r="Y1579" s="732">
        <f t="shared" si="198"/>
        <v>0</v>
      </c>
      <c r="Z1579" s="1153"/>
      <c r="AA1579" s="1153"/>
      <c r="AB1579" s="733">
        <f t="shared" si="199"/>
        <v>0</v>
      </c>
      <c r="AC1579" s="1152"/>
      <c r="AD1579" s="1153"/>
      <c r="AE1579" s="1152"/>
      <c r="AF1579" s="1152"/>
      <c r="AG1579" s="1153"/>
      <c r="AH1579" s="1153"/>
      <c r="AI1579" s="732">
        <f t="shared" si="203"/>
        <v>0</v>
      </c>
      <c r="AJ1579" s="733">
        <f t="shared" si="204"/>
        <v>0</v>
      </c>
    </row>
    <row r="1580" spans="1:36">
      <c r="A1580" s="759" t="s">
        <v>636</v>
      </c>
      <c r="B1580" s="729" t="s">
        <v>69</v>
      </c>
      <c r="C1580" s="762" t="s">
        <v>70</v>
      </c>
      <c r="D1580" s="763"/>
      <c r="E1580" s="759">
        <v>197966</v>
      </c>
      <c r="F1580" s="759">
        <v>10</v>
      </c>
      <c r="G1580" s="1152"/>
      <c r="H1580" s="1153"/>
      <c r="I1580" s="1152">
        <v>157863</v>
      </c>
      <c r="J1580" s="1153">
        <v>158399</v>
      </c>
      <c r="K1580" s="1152"/>
      <c r="L1580" s="1153"/>
      <c r="M1580" s="1152"/>
      <c r="N1580" s="1152"/>
      <c r="O1580" s="732">
        <f t="shared" si="197"/>
        <v>0</v>
      </c>
      <c r="P1580" s="1153"/>
      <c r="Q1580" s="1153"/>
      <c r="R1580" s="733">
        <f t="shared" si="200"/>
        <v>0</v>
      </c>
      <c r="S1580" s="732">
        <f t="shared" si="201"/>
        <v>157863</v>
      </c>
      <c r="T1580" s="733">
        <f t="shared" si="202"/>
        <v>158399</v>
      </c>
      <c r="U1580" s="1152"/>
      <c r="V1580" s="1153"/>
      <c r="W1580" s="1152"/>
      <c r="X1580" s="1152"/>
      <c r="Y1580" s="732">
        <f t="shared" si="198"/>
        <v>0</v>
      </c>
      <c r="Z1580" s="1153"/>
      <c r="AA1580" s="1153"/>
      <c r="AB1580" s="733">
        <f t="shared" si="199"/>
        <v>0</v>
      </c>
      <c r="AC1580" s="1152"/>
      <c r="AD1580" s="1153"/>
      <c r="AE1580" s="1152"/>
      <c r="AF1580" s="1152"/>
      <c r="AG1580" s="1153"/>
      <c r="AH1580" s="1153"/>
      <c r="AI1580" s="732">
        <f t="shared" si="203"/>
        <v>157863</v>
      </c>
      <c r="AJ1580" s="733">
        <f t="shared" si="204"/>
        <v>158399</v>
      </c>
    </row>
    <row r="1581" spans="1:36">
      <c r="A1581" s="759" t="s">
        <v>636</v>
      </c>
      <c r="B1581" s="729" t="s">
        <v>685</v>
      </c>
      <c r="C1581" s="762" t="s">
        <v>72</v>
      </c>
      <c r="D1581" s="763"/>
      <c r="E1581" s="759">
        <v>197966</v>
      </c>
      <c r="F1581" s="759">
        <v>10</v>
      </c>
      <c r="G1581" s="1152"/>
      <c r="H1581" s="1153"/>
      <c r="I1581" s="1152">
        <v>1244567</v>
      </c>
      <c r="J1581" s="1153">
        <v>1353717</v>
      </c>
      <c r="K1581" s="1152"/>
      <c r="L1581" s="1153"/>
      <c r="M1581" s="1152">
        <v>143085</v>
      </c>
      <c r="N1581" s="1152"/>
      <c r="O1581" s="732">
        <f t="shared" si="197"/>
        <v>143085</v>
      </c>
      <c r="P1581" s="1153">
        <v>141779</v>
      </c>
      <c r="Q1581" s="1153"/>
      <c r="R1581" s="733">
        <f t="shared" si="200"/>
        <v>141779</v>
      </c>
      <c r="S1581" s="732">
        <f t="shared" si="201"/>
        <v>1387652</v>
      </c>
      <c r="T1581" s="733">
        <f t="shared" si="202"/>
        <v>1495496</v>
      </c>
      <c r="U1581" s="1152"/>
      <c r="V1581" s="1153"/>
      <c r="W1581" s="1152"/>
      <c r="X1581" s="1152"/>
      <c r="Y1581" s="732">
        <f t="shared" si="198"/>
        <v>0</v>
      </c>
      <c r="Z1581" s="1153"/>
      <c r="AA1581" s="1153"/>
      <c r="AB1581" s="733">
        <f t="shared" si="199"/>
        <v>0</v>
      </c>
      <c r="AC1581" s="1152"/>
      <c r="AD1581" s="1153"/>
      <c r="AE1581" s="1152"/>
      <c r="AF1581" s="1152"/>
      <c r="AG1581" s="1153"/>
      <c r="AH1581" s="1153"/>
      <c r="AI1581" s="732">
        <f t="shared" si="203"/>
        <v>1387652</v>
      </c>
      <c r="AJ1581" s="733">
        <f t="shared" si="204"/>
        <v>1495496</v>
      </c>
    </row>
    <row r="1582" spans="1:36">
      <c r="A1582" s="759" t="s">
        <v>636</v>
      </c>
      <c r="B1582" s="729" t="s">
        <v>62</v>
      </c>
      <c r="C1582" s="729" t="s">
        <v>719</v>
      </c>
      <c r="D1582" s="722"/>
      <c r="E1582" s="759">
        <v>198011</v>
      </c>
      <c r="F1582" s="759">
        <v>10</v>
      </c>
      <c r="G1582" s="1152">
        <v>6886661</v>
      </c>
      <c r="H1582" s="1153">
        <v>7038580</v>
      </c>
      <c r="I1582" s="1152"/>
      <c r="J1582" s="1153"/>
      <c r="K1582" s="1152">
        <v>1069551</v>
      </c>
      <c r="L1582" s="1153">
        <v>1069551</v>
      </c>
      <c r="M1582" s="1152">
        <v>1927976</v>
      </c>
      <c r="N1582" s="1152"/>
      <c r="O1582" s="732">
        <f t="shared" si="197"/>
        <v>1927976</v>
      </c>
      <c r="P1582" s="1153">
        <v>1922577</v>
      </c>
      <c r="Q1582" s="1153"/>
      <c r="R1582" s="733">
        <f t="shared" si="200"/>
        <v>1922577</v>
      </c>
      <c r="S1582" s="732">
        <f t="shared" si="201"/>
        <v>9884188</v>
      </c>
      <c r="T1582" s="733">
        <f t="shared" si="202"/>
        <v>10030708</v>
      </c>
      <c r="U1582" s="1152"/>
      <c r="V1582" s="1153"/>
      <c r="W1582" s="1152"/>
      <c r="X1582" s="1152"/>
      <c r="Y1582" s="732">
        <f t="shared" si="198"/>
        <v>0</v>
      </c>
      <c r="Z1582" s="1153"/>
      <c r="AA1582" s="1153"/>
      <c r="AB1582" s="733">
        <f t="shared" si="199"/>
        <v>0</v>
      </c>
      <c r="AC1582" s="1152"/>
      <c r="AD1582" s="1153"/>
      <c r="AE1582" s="1152"/>
      <c r="AF1582" s="1152"/>
      <c r="AG1582" s="1153"/>
      <c r="AH1582" s="1153"/>
      <c r="AI1582" s="732">
        <f t="shared" si="203"/>
        <v>9884188</v>
      </c>
      <c r="AJ1582" s="733">
        <f t="shared" si="204"/>
        <v>10030708</v>
      </c>
    </row>
    <row r="1583" spans="1:36">
      <c r="A1583" s="759" t="s">
        <v>636</v>
      </c>
      <c r="B1583" s="729" t="s">
        <v>62</v>
      </c>
      <c r="C1583" s="762" t="s">
        <v>684</v>
      </c>
      <c r="D1583" s="763"/>
      <c r="E1583" s="759">
        <v>198011</v>
      </c>
      <c r="F1583" s="759">
        <v>10</v>
      </c>
      <c r="G1583" s="1152"/>
      <c r="H1583" s="1153"/>
      <c r="I1583" s="1152"/>
      <c r="J1583" s="1153"/>
      <c r="K1583" s="1152"/>
      <c r="L1583" s="1153"/>
      <c r="M1583" s="1152"/>
      <c r="N1583" s="1152"/>
      <c r="O1583" s="732">
        <f t="shared" si="197"/>
        <v>0</v>
      </c>
      <c r="P1583" s="1153"/>
      <c r="Q1583" s="1153"/>
      <c r="R1583" s="733">
        <f t="shared" si="200"/>
        <v>0</v>
      </c>
      <c r="S1583" s="732">
        <f t="shared" si="201"/>
        <v>0</v>
      </c>
      <c r="T1583" s="733">
        <f t="shared" si="202"/>
        <v>0</v>
      </c>
      <c r="U1583" s="1152"/>
      <c r="V1583" s="1153"/>
      <c r="W1583" s="1152"/>
      <c r="X1583" s="1152"/>
      <c r="Y1583" s="732">
        <f t="shared" si="198"/>
        <v>0</v>
      </c>
      <c r="Z1583" s="1153"/>
      <c r="AA1583" s="1153"/>
      <c r="AB1583" s="733">
        <f t="shared" si="199"/>
        <v>0</v>
      </c>
      <c r="AC1583" s="1152"/>
      <c r="AD1583" s="1153"/>
      <c r="AE1583" s="1152"/>
      <c r="AF1583" s="1152"/>
      <c r="AG1583" s="1153"/>
      <c r="AH1583" s="1153"/>
      <c r="AI1583" s="732">
        <f t="shared" si="203"/>
        <v>0</v>
      </c>
      <c r="AJ1583" s="733">
        <f t="shared" si="204"/>
        <v>0</v>
      </c>
    </row>
    <row r="1584" spans="1:36">
      <c r="A1584" s="759" t="s">
        <v>636</v>
      </c>
      <c r="B1584" s="729" t="s">
        <v>69</v>
      </c>
      <c r="C1584" s="762" t="s">
        <v>70</v>
      </c>
      <c r="D1584" s="763"/>
      <c r="E1584" s="759">
        <v>198011</v>
      </c>
      <c r="F1584" s="759">
        <v>10</v>
      </c>
      <c r="G1584" s="1152"/>
      <c r="H1584" s="1153"/>
      <c r="I1584" s="1152">
        <v>155924</v>
      </c>
      <c r="J1584" s="1153">
        <v>157677</v>
      </c>
      <c r="K1584" s="1152"/>
      <c r="L1584" s="1153"/>
      <c r="M1584" s="1152"/>
      <c r="N1584" s="1152"/>
      <c r="O1584" s="732">
        <f t="shared" si="197"/>
        <v>0</v>
      </c>
      <c r="P1584" s="1153"/>
      <c r="Q1584" s="1153"/>
      <c r="R1584" s="733">
        <f t="shared" si="200"/>
        <v>0</v>
      </c>
      <c r="S1584" s="732">
        <f t="shared" si="201"/>
        <v>155924</v>
      </c>
      <c r="T1584" s="733">
        <f t="shared" si="202"/>
        <v>157677</v>
      </c>
      <c r="U1584" s="1152"/>
      <c r="V1584" s="1153"/>
      <c r="W1584" s="1152"/>
      <c r="X1584" s="1152"/>
      <c r="Y1584" s="732">
        <f t="shared" si="198"/>
        <v>0</v>
      </c>
      <c r="Z1584" s="1153"/>
      <c r="AA1584" s="1153"/>
      <c r="AB1584" s="733">
        <f t="shared" si="199"/>
        <v>0</v>
      </c>
      <c r="AC1584" s="1152"/>
      <c r="AD1584" s="1153"/>
      <c r="AE1584" s="1152"/>
      <c r="AF1584" s="1152"/>
      <c r="AG1584" s="1153"/>
      <c r="AH1584" s="1153"/>
      <c r="AI1584" s="732">
        <f t="shared" si="203"/>
        <v>155924</v>
      </c>
      <c r="AJ1584" s="733">
        <f t="shared" si="204"/>
        <v>157677</v>
      </c>
    </row>
    <row r="1585" spans="1:36">
      <c r="A1585" s="759" t="s">
        <v>636</v>
      </c>
      <c r="B1585" s="729" t="s">
        <v>685</v>
      </c>
      <c r="C1585" s="762" t="s">
        <v>72</v>
      </c>
      <c r="D1585" s="763"/>
      <c r="E1585" s="759">
        <v>198011</v>
      </c>
      <c r="F1585" s="759">
        <v>10</v>
      </c>
      <c r="G1585" s="1152"/>
      <c r="H1585" s="1153"/>
      <c r="I1585" s="1152">
        <v>847686</v>
      </c>
      <c r="J1585" s="1153">
        <v>891994</v>
      </c>
      <c r="K1585" s="1152"/>
      <c r="L1585" s="1153"/>
      <c r="M1585" s="1152">
        <v>91670</v>
      </c>
      <c r="N1585" s="1152"/>
      <c r="O1585" s="732">
        <f t="shared" si="197"/>
        <v>91670</v>
      </c>
      <c r="P1585" s="1153">
        <v>85364</v>
      </c>
      <c r="Q1585" s="1153"/>
      <c r="R1585" s="733">
        <f t="shared" si="200"/>
        <v>85364</v>
      </c>
      <c r="S1585" s="732">
        <f t="shared" si="201"/>
        <v>939356</v>
      </c>
      <c r="T1585" s="733">
        <f t="shared" si="202"/>
        <v>977358</v>
      </c>
      <c r="U1585" s="1152"/>
      <c r="V1585" s="1153"/>
      <c r="W1585" s="1152"/>
      <c r="X1585" s="1152"/>
      <c r="Y1585" s="732">
        <f t="shared" si="198"/>
        <v>0</v>
      </c>
      <c r="Z1585" s="1153"/>
      <c r="AA1585" s="1153"/>
      <c r="AB1585" s="733">
        <f t="shared" si="199"/>
        <v>0</v>
      </c>
      <c r="AC1585" s="1152"/>
      <c r="AD1585" s="1153"/>
      <c r="AE1585" s="1152"/>
      <c r="AF1585" s="1152"/>
      <c r="AG1585" s="1153"/>
      <c r="AH1585" s="1153"/>
      <c r="AI1585" s="732">
        <f t="shared" si="203"/>
        <v>939356</v>
      </c>
      <c r="AJ1585" s="733">
        <f t="shared" si="204"/>
        <v>977358</v>
      </c>
    </row>
    <row r="1586" spans="1:36">
      <c r="A1586" s="759" t="s">
        <v>636</v>
      </c>
      <c r="B1586" s="729" t="s">
        <v>62</v>
      </c>
      <c r="C1586" s="729" t="s">
        <v>720</v>
      </c>
      <c r="D1586" s="722"/>
      <c r="E1586" s="759">
        <v>198039</v>
      </c>
      <c r="F1586" s="759">
        <v>10</v>
      </c>
      <c r="G1586" s="1152">
        <v>9981873</v>
      </c>
      <c r="H1586" s="1153">
        <v>11068549</v>
      </c>
      <c r="I1586" s="1152"/>
      <c r="J1586" s="1153"/>
      <c r="K1586" s="1152">
        <v>4848460</v>
      </c>
      <c r="L1586" s="1153">
        <v>5076916</v>
      </c>
      <c r="M1586" s="1152">
        <v>2862854</v>
      </c>
      <c r="N1586" s="1152"/>
      <c r="O1586" s="732">
        <f t="shared" si="197"/>
        <v>2862854</v>
      </c>
      <c r="P1586" s="1153">
        <v>3041400</v>
      </c>
      <c r="Q1586" s="1153"/>
      <c r="R1586" s="733">
        <f t="shared" si="200"/>
        <v>3041400</v>
      </c>
      <c r="S1586" s="732">
        <f t="shared" si="201"/>
        <v>17693187</v>
      </c>
      <c r="T1586" s="733">
        <f t="shared" si="202"/>
        <v>19186865</v>
      </c>
      <c r="U1586" s="1152"/>
      <c r="V1586" s="1153"/>
      <c r="W1586" s="1152"/>
      <c r="X1586" s="1152"/>
      <c r="Y1586" s="732">
        <f t="shared" si="198"/>
        <v>0</v>
      </c>
      <c r="Z1586" s="1153"/>
      <c r="AA1586" s="1153"/>
      <c r="AB1586" s="733">
        <f t="shared" si="199"/>
        <v>0</v>
      </c>
      <c r="AC1586" s="1152"/>
      <c r="AD1586" s="1153"/>
      <c r="AE1586" s="1152"/>
      <c r="AF1586" s="1152"/>
      <c r="AG1586" s="1153"/>
      <c r="AH1586" s="1153"/>
      <c r="AI1586" s="732">
        <f t="shared" si="203"/>
        <v>17693187</v>
      </c>
      <c r="AJ1586" s="733">
        <f t="shared" si="204"/>
        <v>19186865</v>
      </c>
    </row>
    <row r="1587" spans="1:36">
      <c r="A1587" s="759" t="s">
        <v>636</v>
      </c>
      <c r="B1587" s="729" t="s">
        <v>62</v>
      </c>
      <c r="C1587" s="762" t="s">
        <v>684</v>
      </c>
      <c r="D1587" s="763"/>
      <c r="E1587" s="759">
        <v>198039</v>
      </c>
      <c r="F1587" s="759">
        <v>10</v>
      </c>
      <c r="G1587" s="1152"/>
      <c r="H1587" s="1153"/>
      <c r="I1587" s="1152"/>
      <c r="J1587" s="1153"/>
      <c r="K1587" s="1152"/>
      <c r="L1587" s="1153"/>
      <c r="M1587" s="1152"/>
      <c r="N1587" s="1152"/>
      <c r="O1587" s="732">
        <f t="shared" si="197"/>
        <v>0</v>
      </c>
      <c r="P1587" s="1153"/>
      <c r="Q1587" s="1153"/>
      <c r="R1587" s="733">
        <f t="shared" si="200"/>
        <v>0</v>
      </c>
      <c r="S1587" s="732">
        <f t="shared" si="201"/>
        <v>0</v>
      </c>
      <c r="T1587" s="733">
        <f t="shared" si="202"/>
        <v>0</v>
      </c>
      <c r="U1587" s="1152"/>
      <c r="V1587" s="1153"/>
      <c r="W1587" s="1152"/>
      <c r="X1587" s="1152"/>
      <c r="Y1587" s="732">
        <f t="shared" si="198"/>
        <v>0</v>
      </c>
      <c r="Z1587" s="1153"/>
      <c r="AA1587" s="1153"/>
      <c r="AB1587" s="733">
        <f t="shared" si="199"/>
        <v>0</v>
      </c>
      <c r="AC1587" s="1152"/>
      <c r="AD1587" s="1153"/>
      <c r="AE1587" s="1152"/>
      <c r="AF1587" s="1152"/>
      <c r="AG1587" s="1153"/>
      <c r="AH1587" s="1153"/>
      <c r="AI1587" s="732">
        <f t="shared" si="203"/>
        <v>0</v>
      </c>
      <c r="AJ1587" s="733">
        <f t="shared" si="204"/>
        <v>0</v>
      </c>
    </row>
    <row r="1588" spans="1:36">
      <c r="A1588" s="759" t="s">
        <v>636</v>
      </c>
      <c r="B1588" s="729" t="s">
        <v>69</v>
      </c>
      <c r="C1588" s="762" t="s">
        <v>70</v>
      </c>
      <c r="D1588" s="763"/>
      <c r="E1588" s="759">
        <v>198039</v>
      </c>
      <c r="F1588" s="759">
        <v>10</v>
      </c>
      <c r="G1588" s="1152"/>
      <c r="H1588" s="1153"/>
      <c r="I1588" s="1152">
        <v>169804</v>
      </c>
      <c r="J1588" s="1153">
        <v>171333</v>
      </c>
      <c r="K1588" s="1152"/>
      <c r="L1588" s="1153"/>
      <c r="M1588" s="1152"/>
      <c r="N1588" s="1152"/>
      <c r="O1588" s="732">
        <f t="shared" si="197"/>
        <v>0</v>
      </c>
      <c r="P1588" s="1153"/>
      <c r="Q1588" s="1153"/>
      <c r="R1588" s="733">
        <f t="shared" si="200"/>
        <v>0</v>
      </c>
      <c r="S1588" s="732">
        <f t="shared" si="201"/>
        <v>169804</v>
      </c>
      <c r="T1588" s="733">
        <f t="shared" si="202"/>
        <v>171333</v>
      </c>
      <c r="U1588" s="1152"/>
      <c r="V1588" s="1153"/>
      <c r="W1588" s="1152"/>
      <c r="X1588" s="1152"/>
      <c r="Y1588" s="732">
        <f t="shared" si="198"/>
        <v>0</v>
      </c>
      <c r="Z1588" s="1153"/>
      <c r="AA1588" s="1153"/>
      <c r="AB1588" s="733">
        <f t="shared" si="199"/>
        <v>0</v>
      </c>
      <c r="AC1588" s="1152"/>
      <c r="AD1588" s="1153"/>
      <c r="AE1588" s="1152"/>
      <c r="AF1588" s="1152"/>
      <c r="AG1588" s="1153"/>
      <c r="AH1588" s="1153"/>
      <c r="AI1588" s="732">
        <f t="shared" si="203"/>
        <v>169804</v>
      </c>
      <c r="AJ1588" s="733">
        <f t="shared" si="204"/>
        <v>171333</v>
      </c>
    </row>
    <row r="1589" spans="1:36">
      <c r="A1589" s="759" t="s">
        <v>636</v>
      </c>
      <c r="B1589" s="729" t="s">
        <v>685</v>
      </c>
      <c r="C1589" s="762" t="s">
        <v>72</v>
      </c>
      <c r="D1589" s="763"/>
      <c r="E1589" s="759">
        <v>198039</v>
      </c>
      <c r="F1589" s="759">
        <v>10</v>
      </c>
      <c r="G1589" s="1152"/>
      <c r="H1589" s="1153"/>
      <c r="I1589" s="1152">
        <v>1651509</v>
      </c>
      <c r="J1589" s="1153">
        <v>1873278</v>
      </c>
      <c r="K1589" s="1152"/>
      <c r="L1589" s="1153"/>
      <c r="M1589" s="1152">
        <v>216022</v>
      </c>
      <c r="N1589" s="1152"/>
      <c r="O1589" s="732">
        <f t="shared" si="197"/>
        <v>216022</v>
      </c>
      <c r="P1589" s="1153">
        <v>224174</v>
      </c>
      <c r="Q1589" s="1153"/>
      <c r="R1589" s="733">
        <f t="shared" si="200"/>
        <v>224174</v>
      </c>
      <c r="S1589" s="732">
        <f t="shared" si="201"/>
        <v>1867531</v>
      </c>
      <c r="T1589" s="733">
        <f t="shared" si="202"/>
        <v>2097452</v>
      </c>
      <c r="U1589" s="1152"/>
      <c r="V1589" s="1153"/>
      <c r="W1589" s="1152"/>
      <c r="X1589" s="1152"/>
      <c r="Y1589" s="732">
        <f t="shared" si="198"/>
        <v>0</v>
      </c>
      <c r="Z1589" s="1153"/>
      <c r="AA1589" s="1153"/>
      <c r="AB1589" s="733">
        <f t="shared" si="199"/>
        <v>0</v>
      </c>
      <c r="AC1589" s="1152"/>
      <c r="AD1589" s="1153"/>
      <c r="AE1589" s="1152"/>
      <c r="AF1589" s="1152"/>
      <c r="AG1589" s="1153"/>
      <c r="AH1589" s="1153"/>
      <c r="AI1589" s="732">
        <f t="shared" si="203"/>
        <v>1867531</v>
      </c>
      <c r="AJ1589" s="733">
        <f t="shared" si="204"/>
        <v>2097452</v>
      </c>
    </row>
    <row r="1590" spans="1:36">
      <c r="A1590" s="759" t="s">
        <v>636</v>
      </c>
      <c r="B1590" s="729" t="s">
        <v>62</v>
      </c>
      <c r="C1590" s="729" t="s">
        <v>721</v>
      </c>
      <c r="D1590" s="722"/>
      <c r="E1590" s="759">
        <v>198084</v>
      </c>
      <c r="F1590" s="759">
        <v>10</v>
      </c>
      <c r="G1590" s="1152">
        <v>7940114</v>
      </c>
      <c r="H1590" s="1153">
        <v>8112732</v>
      </c>
      <c r="I1590" s="1152"/>
      <c r="J1590" s="1153"/>
      <c r="K1590" s="1152">
        <v>3873426</v>
      </c>
      <c r="L1590" s="1153">
        <v>3988757</v>
      </c>
      <c r="M1590" s="1152">
        <v>2132585</v>
      </c>
      <c r="N1590" s="1152"/>
      <c r="O1590" s="732">
        <f t="shared" si="197"/>
        <v>2132585</v>
      </c>
      <c r="P1590" s="1153">
        <v>2123515</v>
      </c>
      <c r="Q1590" s="1153"/>
      <c r="R1590" s="733">
        <f t="shared" si="200"/>
        <v>2123515</v>
      </c>
      <c r="S1590" s="732">
        <f t="shared" si="201"/>
        <v>13946125</v>
      </c>
      <c r="T1590" s="733">
        <f t="shared" si="202"/>
        <v>14225004</v>
      </c>
      <c r="U1590" s="1152"/>
      <c r="V1590" s="1153"/>
      <c r="W1590" s="1152"/>
      <c r="X1590" s="1152"/>
      <c r="Y1590" s="732">
        <f t="shared" si="198"/>
        <v>0</v>
      </c>
      <c r="Z1590" s="1153"/>
      <c r="AA1590" s="1153"/>
      <c r="AB1590" s="733">
        <f t="shared" si="199"/>
        <v>0</v>
      </c>
      <c r="AC1590" s="1152"/>
      <c r="AD1590" s="1153"/>
      <c r="AE1590" s="1152"/>
      <c r="AF1590" s="1152"/>
      <c r="AG1590" s="1153"/>
      <c r="AH1590" s="1153"/>
      <c r="AI1590" s="732">
        <f t="shared" si="203"/>
        <v>13946125</v>
      </c>
      <c r="AJ1590" s="733">
        <f t="shared" si="204"/>
        <v>14225004</v>
      </c>
    </row>
    <row r="1591" spans="1:36">
      <c r="A1591" s="759" t="s">
        <v>636</v>
      </c>
      <c r="B1591" s="729" t="s">
        <v>62</v>
      </c>
      <c r="C1591" s="762" t="s">
        <v>684</v>
      </c>
      <c r="D1591" s="763"/>
      <c r="E1591" s="759">
        <v>198084</v>
      </c>
      <c r="F1591" s="759">
        <v>10</v>
      </c>
      <c r="G1591" s="1152"/>
      <c r="H1591" s="1153"/>
      <c r="I1591" s="1152"/>
      <c r="J1591" s="1153"/>
      <c r="K1591" s="1152"/>
      <c r="L1591" s="1153"/>
      <c r="M1591" s="1152"/>
      <c r="N1591" s="1152"/>
      <c r="O1591" s="732">
        <f t="shared" si="197"/>
        <v>0</v>
      </c>
      <c r="P1591" s="1153"/>
      <c r="Q1591" s="1153"/>
      <c r="R1591" s="733">
        <f t="shared" si="200"/>
        <v>0</v>
      </c>
      <c r="S1591" s="732">
        <f t="shared" si="201"/>
        <v>0</v>
      </c>
      <c r="T1591" s="733">
        <f t="shared" si="202"/>
        <v>0</v>
      </c>
      <c r="U1591" s="1152"/>
      <c r="V1591" s="1153"/>
      <c r="W1591" s="1152"/>
      <c r="X1591" s="1152"/>
      <c r="Y1591" s="732">
        <f t="shared" si="198"/>
        <v>0</v>
      </c>
      <c r="Z1591" s="1153"/>
      <c r="AA1591" s="1153"/>
      <c r="AB1591" s="733">
        <f t="shared" si="199"/>
        <v>0</v>
      </c>
      <c r="AC1591" s="1152"/>
      <c r="AD1591" s="1153"/>
      <c r="AE1591" s="1152"/>
      <c r="AF1591" s="1152"/>
      <c r="AG1591" s="1153"/>
      <c r="AH1591" s="1153"/>
      <c r="AI1591" s="732">
        <f t="shared" si="203"/>
        <v>0</v>
      </c>
      <c r="AJ1591" s="733">
        <f t="shared" si="204"/>
        <v>0</v>
      </c>
    </row>
    <row r="1592" spans="1:36">
      <c r="A1592" s="759" t="s">
        <v>636</v>
      </c>
      <c r="B1592" s="729" t="s">
        <v>69</v>
      </c>
      <c r="C1592" s="762" t="s">
        <v>70</v>
      </c>
      <c r="D1592" s="763"/>
      <c r="E1592" s="759">
        <v>198084</v>
      </c>
      <c r="F1592" s="759">
        <v>10</v>
      </c>
      <c r="G1592" s="1152"/>
      <c r="H1592" s="1153"/>
      <c r="I1592" s="1152">
        <v>159088</v>
      </c>
      <c r="J1592" s="1153">
        <v>161365</v>
      </c>
      <c r="K1592" s="1152"/>
      <c r="L1592" s="1153"/>
      <c r="M1592" s="1152"/>
      <c r="N1592" s="1152"/>
      <c r="O1592" s="732">
        <f t="shared" si="197"/>
        <v>0</v>
      </c>
      <c r="P1592" s="1153"/>
      <c r="Q1592" s="1153"/>
      <c r="R1592" s="733">
        <f t="shared" si="200"/>
        <v>0</v>
      </c>
      <c r="S1592" s="732">
        <f t="shared" si="201"/>
        <v>159088</v>
      </c>
      <c r="T1592" s="733">
        <f t="shared" si="202"/>
        <v>161365</v>
      </c>
      <c r="U1592" s="1152"/>
      <c r="V1592" s="1153"/>
      <c r="W1592" s="1152"/>
      <c r="X1592" s="1152"/>
      <c r="Y1592" s="732">
        <f t="shared" si="198"/>
        <v>0</v>
      </c>
      <c r="Z1592" s="1153"/>
      <c r="AA1592" s="1153"/>
      <c r="AB1592" s="733">
        <f t="shared" si="199"/>
        <v>0</v>
      </c>
      <c r="AC1592" s="1152"/>
      <c r="AD1592" s="1153"/>
      <c r="AE1592" s="1152"/>
      <c r="AF1592" s="1152"/>
      <c r="AG1592" s="1153"/>
      <c r="AH1592" s="1153"/>
      <c r="AI1592" s="732">
        <f t="shared" si="203"/>
        <v>159088</v>
      </c>
      <c r="AJ1592" s="733">
        <f t="shared" si="204"/>
        <v>161365</v>
      </c>
    </row>
    <row r="1593" spans="1:36">
      <c r="A1593" s="759" t="s">
        <v>636</v>
      </c>
      <c r="B1593" s="729" t="s">
        <v>685</v>
      </c>
      <c r="C1593" s="762" t="s">
        <v>72</v>
      </c>
      <c r="D1593" s="763"/>
      <c r="E1593" s="759">
        <v>198084</v>
      </c>
      <c r="F1593" s="759">
        <v>10</v>
      </c>
      <c r="G1593" s="1152"/>
      <c r="H1593" s="1153"/>
      <c r="I1593" s="1152">
        <v>1646242</v>
      </c>
      <c r="J1593" s="1153">
        <v>1728772</v>
      </c>
      <c r="K1593" s="1152"/>
      <c r="L1593" s="1153"/>
      <c r="M1593" s="1152">
        <v>162614</v>
      </c>
      <c r="N1593" s="1152"/>
      <c r="O1593" s="732">
        <f t="shared" si="197"/>
        <v>162614</v>
      </c>
      <c r="P1593" s="1153">
        <v>157738</v>
      </c>
      <c r="Q1593" s="1153"/>
      <c r="R1593" s="733">
        <f t="shared" si="200"/>
        <v>157738</v>
      </c>
      <c r="S1593" s="732">
        <f t="shared" si="201"/>
        <v>1808856</v>
      </c>
      <c r="T1593" s="733">
        <f t="shared" si="202"/>
        <v>1886510</v>
      </c>
      <c r="U1593" s="1152"/>
      <c r="V1593" s="1153"/>
      <c r="W1593" s="1152"/>
      <c r="X1593" s="1152"/>
      <c r="Y1593" s="732">
        <f t="shared" si="198"/>
        <v>0</v>
      </c>
      <c r="Z1593" s="1153"/>
      <c r="AA1593" s="1153"/>
      <c r="AB1593" s="733">
        <f t="shared" si="199"/>
        <v>0</v>
      </c>
      <c r="AC1593" s="1152"/>
      <c r="AD1593" s="1153"/>
      <c r="AE1593" s="1152"/>
      <c r="AF1593" s="1152"/>
      <c r="AG1593" s="1153"/>
      <c r="AH1593" s="1153"/>
      <c r="AI1593" s="732">
        <f t="shared" si="203"/>
        <v>1808856</v>
      </c>
      <c r="AJ1593" s="733">
        <f t="shared" si="204"/>
        <v>1886510</v>
      </c>
    </row>
    <row r="1594" spans="1:36">
      <c r="A1594" s="759" t="s">
        <v>636</v>
      </c>
      <c r="B1594" s="729" t="s">
        <v>62</v>
      </c>
      <c r="C1594" s="729" t="s">
        <v>722</v>
      </c>
      <c r="D1594" s="722"/>
      <c r="E1594" s="759">
        <v>198206</v>
      </c>
      <c r="F1594" s="759">
        <v>10</v>
      </c>
      <c r="G1594" s="1152">
        <v>8150179</v>
      </c>
      <c r="H1594" s="1153">
        <v>8057346</v>
      </c>
      <c r="I1594" s="1152"/>
      <c r="J1594" s="1153"/>
      <c r="K1594" s="1152">
        <v>2615000</v>
      </c>
      <c r="L1594" s="1153">
        <v>2665000</v>
      </c>
      <c r="M1594" s="1152">
        <v>2252356</v>
      </c>
      <c r="N1594" s="1152"/>
      <c r="O1594" s="732">
        <f t="shared" si="197"/>
        <v>2252356</v>
      </c>
      <c r="P1594" s="1153">
        <v>2192637</v>
      </c>
      <c r="Q1594" s="1153"/>
      <c r="R1594" s="733">
        <f t="shared" si="200"/>
        <v>2192637</v>
      </c>
      <c r="S1594" s="732">
        <f t="shared" si="201"/>
        <v>13017535</v>
      </c>
      <c r="T1594" s="733">
        <f t="shared" si="202"/>
        <v>12914983</v>
      </c>
      <c r="U1594" s="1152"/>
      <c r="V1594" s="1153"/>
      <c r="W1594" s="1152"/>
      <c r="X1594" s="1152"/>
      <c r="Y1594" s="732">
        <f t="shared" si="198"/>
        <v>0</v>
      </c>
      <c r="Z1594" s="1153"/>
      <c r="AA1594" s="1153"/>
      <c r="AB1594" s="733">
        <f t="shared" si="199"/>
        <v>0</v>
      </c>
      <c r="AC1594" s="1152"/>
      <c r="AD1594" s="1153"/>
      <c r="AE1594" s="1152"/>
      <c r="AF1594" s="1152"/>
      <c r="AG1594" s="1153"/>
      <c r="AH1594" s="1153"/>
      <c r="AI1594" s="732">
        <f t="shared" si="203"/>
        <v>13017535</v>
      </c>
      <c r="AJ1594" s="733">
        <f t="shared" si="204"/>
        <v>12914983</v>
      </c>
    </row>
    <row r="1595" spans="1:36">
      <c r="A1595" s="759" t="s">
        <v>636</v>
      </c>
      <c r="B1595" s="729" t="s">
        <v>62</v>
      </c>
      <c r="C1595" s="762" t="s">
        <v>684</v>
      </c>
      <c r="D1595" s="763"/>
      <c r="E1595" s="759">
        <v>198206</v>
      </c>
      <c r="F1595" s="759">
        <v>10</v>
      </c>
      <c r="G1595" s="1152"/>
      <c r="H1595" s="1153"/>
      <c r="I1595" s="1152"/>
      <c r="J1595" s="1153"/>
      <c r="K1595" s="1152"/>
      <c r="L1595" s="1153"/>
      <c r="M1595" s="1152"/>
      <c r="N1595" s="1152"/>
      <c r="O1595" s="732">
        <f t="shared" si="197"/>
        <v>0</v>
      </c>
      <c r="P1595" s="1153"/>
      <c r="Q1595" s="1153"/>
      <c r="R1595" s="733">
        <f t="shared" si="200"/>
        <v>0</v>
      </c>
      <c r="S1595" s="732">
        <f t="shared" si="201"/>
        <v>0</v>
      </c>
      <c r="T1595" s="733">
        <f t="shared" si="202"/>
        <v>0</v>
      </c>
      <c r="U1595" s="1152"/>
      <c r="V1595" s="1153"/>
      <c r="W1595" s="1152"/>
      <c r="X1595" s="1152"/>
      <c r="Y1595" s="732">
        <f t="shared" si="198"/>
        <v>0</v>
      </c>
      <c r="Z1595" s="1153"/>
      <c r="AA1595" s="1153"/>
      <c r="AB1595" s="733">
        <f t="shared" si="199"/>
        <v>0</v>
      </c>
      <c r="AC1595" s="1152"/>
      <c r="AD1595" s="1153"/>
      <c r="AE1595" s="1152"/>
      <c r="AF1595" s="1152"/>
      <c r="AG1595" s="1153"/>
      <c r="AH1595" s="1153"/>
      <c r="AI1595" s="732">
        <f t="shared" si="203"/>
        <v>0</v>
      </c>
      <c r="AJ1595" s="733">
        <f t="shared" si="204"/>
        <v>0</v>
      </c>
    </row>
    <row r="1596" spans="1:36">
      <c r="A1596" s="759" t="s">
        <v>636</v>
      </c>
      <c r="B1596" s="729" t="s">
        <v>69</v>
      </c>
      <c r="C1596" s="762" t="s">
        <v>70</v>
      </c>
      <c r="D1596" s="763"/>
      <c r="E1596" s="759">
        <v>198206</v>
      </c>
      <c r="F1596" s="759">
        <v>10</v>
      </c>
      <c r="G1596" s="1152"/>
      <c r="H1596" s="1153"/>
      <c r="I1596" s="1152">
        <v>163476</v>
      </c>
      <c r="J1596" s="1153">
        <v>165662</v>
      </c>
      <c r="K1596" s="1152"/>
      <c r="L1596" s="1153"/>
      <c r="M1596" s="1152"/>
      <c r="N1596" s="1152"/>
      <c r="O1596" s="732">
        <f t="shared" si="197"/>
        <v>0</v>
      </c>
      <c r="P1596" s="1153"/>
      <c r="Q1596" s="1153"/>
      <c r="R1596" s="733">
        <f t="shared" si="200"/>
        <v>0</v>
      </c>
      <c r="S1596" s="732">
        <f t="shared" si="201"/>
        <v>163476</v>
      </c>
      <c r="T1596" s="733">
        <f t="shared" si="202"/>
        <v>165662</v>
      </c>
      <c r="U1596" s="1152"/>
      <c r="V1596" s="1153"/>
      <c r="W1596" s="1152"/>
      <c r="X1596" s="1152"/>
      <c r="Y1596" s="732">
        <f t="shared" si="198"/>
        <v>0</v>
      </c>
      <c r="Z1596" s="1153"/>
      <c r="AA1596" s="1153"/>
      <c r="AB1596" s="733">
        <f t="shared" si="199"/>
        <v>0</v>
      </c>
      <c r="AC1596" s="1152"/>
      <c r="AD1596" s="1153"/>
      <c r="AE1596" s="1152"/>
      <c r="AF1596" s="1152"/>
      <c r="AG1596" s="1153"/>
      <c r="AH1596" s="1153"/>
      <c r="AI1596" s="732">
        <f t="shared" si="203"/>
        <v>163476</v>
      </c>
      <c r="AJ1596" s="733">
        <f t="shared" si="204"/>
        <v>165662</v>
      </c>
    </row>
    <row r="1597" spans="1:36">
      <c r="A1597" s="759" t="s">
        <v>636</v>
      </c>
      <c r="B1597" s="729" t="s">
        <v>685</v>
      </c>
      <c r="C1597" s="762" t="s">
        <v>72</v>
      </c>
      <c r="D1597" s="763"/>
      <c r="E1597" s="759">
        <v>198206</v>
      </c>
      <c r="F1597" s="759">
        <v>10</v>
      </c>
      <c r="G1597" s="1152"/>
      <c r="H1597" s="1153"/>
      <c r="I1597" s="1152">
        <v>1194537</v>
      </c>
      <c r="J1597" s="1153">
        <v>1345436</v>
      </c>
      <c r="K1597" s="1152"/>
      <c r="L1597" s="1153"/>
      <c r="M1597" s="1152">
        <v>134316</v>
      </c>
      <c r="N1597" s="1152"/>
      <c r="O1597" s="732">
        <f t="shared" si="197"/>
        <v>134316</v>
      </c>
      <c r="P1597" s="1153">
        <v>134727</v>
      </c>
      <c r="Q1597" s="1153"/>
      <c r="R1597" s="733">
        <f t="shared" si="200"/>
        <v>134727</v>
      </c>
      <c r="S1597" s="732">
        <f t="shared" si="201"/>
        <v>1328853</v>
      </c>
      <c r="T1597" s="733">
        <f t="shared" si="202"/>
        <v>1480163</v>
      </c>
      <c r="U1597" s="1152"/>
      <c r="V1597" s="1153"/>
      <c r="W1597" s="1152"/>
      <c r="X1597" s="1152"/>
      <c r="Y1597" s="732">
        <f t="shared" si="198"/>
        <v>0</v>
      </c>
      <c r="Z1597" s="1153"/>
      <c r="AA1597" s="1153"/>
      <c r="AB1597" s="733">
        <f t="shared" si="199"/>
        <v>0</v>
      </c>
      <c r="AC1597" s="1152"/>
      <c r="AD1597" s="1153"/>
      <c r="AE1597" s="1152"/>
      <c r="AF1597" s="1152"/>
      <c r="AG1597" s="1153"/>
      <c r="AH1597" s="1153"/>
      <c r="AI1597" s="732">
        <f t="shared" si="203"/>
        <v>1328853</v>
      </c>
      <c r="AJ1597" s="733">
        <f t="shared" si="204"/>
        <v>1480163</v>
      </c>
    </row>
    <row r="1598" spans="1:36">
      <c r="A1598" s="759" t="s">
        <v>636</v>
      </c>
      <c r="B1598" s="729" t="s">
        <v>62</v>
      </c>
      <c r="C1598" s="729" t="s">
        <v>1674</v>
      </c>
      <c r="D1598" s="722" t="s">
        <v>1455</v>
      </c>
      <c r="E1598" s="759">
        <v>197814</v>
      </c>
      <c r="F1598" s="759">
        <v>10</v>
      </c>
      <c r="G1598" s="1152">
        <v>10968636</v>
      </c>
      <c r="H1598" s="1153">
        <v>11844246</v>
      </c>
      <c r="I1598" s="1152"/>
      <c r="J1598" s="1153"/>
      <c r="K1598" s="1152">
        <v>2752284</v>
      </c>
      <c r="L1598" s="1153">
        <v>2756205</v>
      </c>
      <c r="M1598" s="1152">
        <v>3398495</v>
      </c>
      <c r="N1598" s="1152"/>
      <c r="O1598" s="732">
        <f t="shared" si="197"/>
        <v>3398495</v>
      </c>
      <c r="P1598" s="1153">
        <v>3428809</v>
      </c>
      <c r="Q1598" s="1153"/>
      <c r="R1598" s="733">
        <f t="shared" si="200"/>
        <v>3428809</v>
      </c>
      <c r="S1598" s="732">
        <f t="shared" si="201"/>
        <v>17119415</v>
      </c>
      <c r="T1598" s="733">
        <f t="shared" si="202"/>
        <v>18029260</v>
      </c>
      <c r="U1598" s="1152"/>
      <c r="V1598" s="1153"/>
      <c r="W1598" s="1152"/>
      <c r="X1598" s="1152"/>
      <c r="Y1598" s="732">
        <f t="shared" si="198"/>
        <v>0</v>
      </c>
      <c r="Z1598" s="1153"/>
      <c r="AA1598" s="1153"/>
      <c r="AB1598" s="733">
        <f t="shared" si="199"/>
        <v>0</v>
      </c>
      <c r="AC1598" s="1152"/>
      <c r="AD1598" s="1153"/>
      <c r="AE1598" s="1152"/>
      <c r="AF1598" s="1152"/>
      <c r="AG1598" s="1153"/>
      <c r="AH1598" s="1153"/>
      <c r="AI1598" s="732">
        <f t="shared" si="203"/>
        <v>17119415</v>
      </c>
      <c r="AJ1598" s="733">
        <f t="shared" si="204"/>
        <v>18029260</v>
      </c>
    </row>
    <row r="1599" spans="1:36">
      <c r="A1599" s="759" t="s">
        <v>636</v>
      </c>
      <c r="B1599" s="729" t="s">
        <v>62</v>
      </c>
      <c r="C1599" s="762" t="s">
        <v>684</v>
      </c>
      <c r="D1599" s="763"/>
      <c r="E1599" s="759">
        <v>197814</v>
      </c>
      <c r="F1599" s="759">
        <v>10</v>
      </c>
      <c r="G1599" s="1152"/>
      <c r="H1599" s="1153"/>
      <c r="I1599" s="1152"/>
      <c r="J1599" s="1153"/>
      <c r="K1599" s="1152"/>
      <c r="L1599" s="1153"/>
      <c r="M1599" s="1152"/>
      <c r="N1599" s="1152"/>
      <c r="O1599" s="732">
        <f t="shared" si="197"/>
        <v>0</v>
      </c>
      <c r="P1599" s="1153"/>
      <c r="Q1599" s="1153"/>
      <c r="R1599" s="733">
        <f t="shared" si="200"/>
        <v>0</v>
      </c>
      <c r="S1599" s="732">
        <f t="shared" si="201"/>
        <v>0</v>
      </c>
      <c r="T1599" s="733">
        <f t="shared" si="202"/>
        <v>0</v>
      </c>
      <c r="U1599" s="1152"/>
      <c r="V1599" s="1153"/>
      <c r="W1599" s="1152"/>
      <c r="X1599" s="1152"/>
      <c r="Y1599" s="732">
        <f t="shared" si="198"/>
        <v>0</v>
      </c>
      <c r="Z1599" s="1153"/>
      <c r="AA1599" s="1153"/>
      <c r="AB1599" s="733">
        <f t="shared" si="199"/>
        <v>0</v>
      </c>
      <c r="AC1599" s="1152"/>
      <c r="AD1599" s="1153"/>
      <c r="AE1599" s="1152"/>
      <c r="AF1599" s="1152"/>
      <c r="AG1599" s="1153"/>
      <c r="AH1599" s="1153"/>
      <c r="AI1599" s="732">
        <f t="shared" si="203"/>
        <v>0</v>
      </c>
      <c r="AJ1599" s="733">
        <f t="shared" si="204"/>
        <v>0</v>
      </c>
    </row>
    <row r="1600" spans="1:36">
      <c r="A1600" s="759" t="s">
        <v>636</v>
      </c>
      <c r="B1600" s="729" t="s">
        <v>69</v>
      </c>
      <c r="C1600" s="762" t="s">
        <v>70</v>
      </c>
      <c r="D1600" s="763"/>
      <c r="E1600" s="759">
        <v>197814</v>
      </c>
      <c r="F1600" s="759">
        <v>10</v>
      </c>
      <c r="G1600" s="1152"/>
      <c r="H1600" s="1153"/>
      <c r="I1600" s="1152">
        <v>163425</v>
      </c>
      <c r="J1600" s="1153">
        <v>164587</v>
      </c>
      <c r="K1600" s="1152"/>
      <c r="L1600" s="1153"/>
      <c r="M1600" s="1152"/>
      <c r="N1600" s="1152"/>
      <c r="O1600" s="732">
        <f t="shared" si="197"/>
        <v>0</v>
      </c>
      <c r="P1600" s="1153"/>
      <c r="Q1600" s="1153"/>
      <c r="R1600" s="733">
        <f t="shared" si="200"/>
        <v>0</v>
      </c>
      <c r="S1600" s="732">
        <f t="shared" si="201"/>
        <v>163425</v>
      </c>
      <c r="T1600" s="733">
        <f t="shared" si="202"/>
        <v>164587</v>
      </c>
      <c r="U1600" s="1152"/>
      <c r="V1600" s="1153"/>
      <c r="W1600" s="1152"/>
      <c r="X1600" s="1152"/>
      <c r="Y1600" s="732">
        <f t="shared" si="198"/>
        <v>0</v>
      </c>
      <c r="Z1600" s="1153"/>
      <c r="AA1600" s="1153"/>
      <c r="AB1600" s="733">
        <f t="shared" si="199"/>
        <v>0</v>
      </c>
      <c r="AC1600" s="1152"/>
      <c r="AD1600" s="1153"/>
      <c r="AE1600" s="1152"/>
      <c r="AF1600" s="1152"/>
      <c r="AG1600" s="1153"/>
      <c r="AH1600" s="1153"/>
      <c r="AI1600" s="732">
        <f t="shared" si="203"/>
        <v>163425</v>
      </c>
      <c r="AJ1600" s="733">
        <f t="shared" si="204"/>
        <v>164587</v>
      </c>
    </row>
    <row r="1601" spans="1:36">
      <c r="A1601" s="759" t="s">
        <v>636</v>
      </c>
      <c r="B1601" s="729" t="s">
        <v>685</v>
      </c>
      <c r="C1601" s="762" t="s">
        <v>72</v>
      </c>
      <c r="D1601" s="763"/>
      <c r="E1601" s="759">
        <v>197814</v>
      </c>
      <c r="F1601" s="759">
        <v>10</v>
      </c>
      <c r="G1601" s="1152"/>
      <c r="H1601" s="1153"/>
      <c r="I1601" s="1152">
        <v>1265202</v>
      </c>
      <c r="J1601" s="1153">
        <v>1600886</v>
      </c>
      <c r="K1601" s="1152"/>
      <c r="L1601" s="1153"/>
      <c r="M1601" s="1152">
        <v>149860</v>
      </c>
      <c r="N1601" s="1152"/>
      <c r="O1601" s="732">
        <f t="shared" si="197"/>
        <v>149860</v>
      </c>
      <c r="P1601" s="1153">
        <v>173698</v>
      </c>
      <c r="Q1601" s="1153"/>
      <c r="R1601" s="733">
        <f t="shared" si="200"/>
        <v>173698</v>
      </c>
      <c r="S1601" s="732">
        <f t="shared" si="201"/>
        <v>1415062</v>
      </c>
      <c r="T1601" s="733">
        <f t="shared" si="202"/>
        <v>1774584</v>
      </c>
      <c r="U1601" s="1152"/>
      <c r="V1601" s="1153"/>
      <c r="W1601" s="1152"/>
      <c r="X1601" s="1152"/>
      <c r="Y1601" s="732">
        <f t="shared" si="198"/>
        <v>0</v>
      </c>
      <c r="Z1601" s="1153"/>
      <c r="AA1601" s="1153"/>
      <c r="AB1601" s="733">
        <f t="shared" si="199"/>
        <v>0</v>
      </c>
      <c r="AC1601" s="1152"/>
      <c r="AD1601" s="1153"/>
      <c r="AE1601" s="1152"/>
      <c r="AF1601" s="1152"/>
      <c r="AG1601" s="1153"/>
      <c r="AH1601" s="1153"/>
      <c r="AI1601" s="732">
        <f t="shared" si="203"/>
        <v>1415062</v>
      </c>
      <c r="AJ1601" s="733">
        <f t="shared" si="204"/>
        <v>1774584</v>
      </c>
    </row>
    <row r="1602" spans="1:36">
      <c r="A1602" s="759" t="s">
        <v>636</v>
      </c>
      <c r="B1602" s="729" t="s">
        <v>62</v>
      </c>
      <c r="C1602" s="729" t="s">
        <v>702</v>
      </c>
      <c r="D1602" s="723"/>
      <c r="E1602" s="759">
        <v>198491</v>
      </c>
      <c r="F1602" s="759">
        <v>10</v>
      </c>
      <c r="G1602" s="1152">
        <v>9831436</v>
      </c>
      <c r="H1602" s="1153">
        <v>9781572</v>
      </c>
      <c r="I1602" s="1152"/>
      <c r="J1602" s="1153"/>
      <c r="K1602" s="1152">
        <v>1840078</v>
      </c>
      <c r="L1602" s="1153">
        <v>1824796</v>
      </c>
      <c r="M1602" s="1152">
        <v>2962663</v>
      </c>
      <c r="N1602" s="1152"/>
      <c r="O1602" s="732">
        <f t="shared" si="197"/>
        <v>2962663</v>
      </c>
      <c r="P1602" s="1153">
        <v>2713469</v>
      </c>
      <c r="Q1602" s="1153"/>
      <c r="R1602" s="733">
        <f t="shared" si="200"/>
        <v>2713469</v>
      </c>
      <c r="S1602" s="732">
        <f t="shared" si="201"/>
        <v>14634177</v>
      </c>
      <c r="T1602" s="733">
        <f t="shared" si="202"/>
        <v>14319837</v>
      </c>
      <c r="U1602" s="1152"/>
      <c r="V1602" s="1153"/>
      <c r="W1602" s="1152"/>
      <c r="X1602" s="1152"/>
      <c r="Y1602" s="732">
        <f t="shared" si="198"/>
        <v>0</v>
      </c>
      <c r="Z1602" s="1153"/>
      <c r="AA1602" s="1153"/>
      <c r="AB1602" s="733">
        <f t="shared" si="199"/>
        <v>0</v>
      </c>
      <c r="AC1602" s="1152"/>
      <c r="AD1602" s="1153"/>
      <c r="AE1602" s="1152"/>
      <c r="AF1602" s="1152"/>
      <c r="AG1602" s="1153"/>
      <c r="AH1602" s="1153"/>
      <c r="AI1602" s="732">
        <f t="shared" si="203"/>
        <v>14634177</v>
      </c>
      <c r="AJ1602" s="733">
        <f t="shared" si="204"/>
        <v>14319837</v>
      </c>
    </row>
    <row r="1603" spans="1:36">
      <c r="A1603" s="759" t="s">
        <v>636</v>
      </c>
      <c r="B1603" s="729" t="s">
        <v>62</v>
      </c>
      <c r="C1603" s="762" t="s">
        <v>684</v>
      </c>
      <c r="D1603" s="763"/>
      <c r="E1603" s="759">
        <v>198491</v>
      </c>
      <c r="F1603" s="759">
        <v>10</v>
      </c>
      <c r="G1603" s="1152"/>
      <c r="H1603" s="1153"/>
      <c r="I1603" s="1152"/>
      <c r="J1603" s="1153"/>
      <c r="K1603" s="1152"/>
      <c r="L1603" s="1153"/>
      <c r="M1603" s="1152"/>
      <c r="N1603" s="1152"/>
      <c r="O1603" s="732">
        <f t="shared" si="197"/>
        <v>0</v>
      </c>
      <c r="P1603" s="1153"/>
      <c r="Q1603" s="1153"/>
      <c r="R1603" s="733">
        <f t="shared" si="200"/>
        <v>0</v>
      </c>
      <c r="S1603" s="732">
        <f t="shared" si="201"/>
        <v>0</v>
      </c>
      <c r="T1603" s="733">
        <f t="shared" si="202"/>
        <v>0</v>
      </c>
      <c r="U1603" s="1152"/>
      <c r="V1603" s="1153"/>
      <c r="W1603" s="1152"/>
      <c r="X1603" s="1152"/>
      <c r="Y1603" s="732">
        <f t="shared" si="198"/>
        <v>0</v>
      </c>
      <c r="Z1603" s="1153"/>
      <c r="AA1603" s="1153"/>
      <c r="AB1603" s="733">
        <f t="shared" si="199"/>
        <v>0</v>
      </c>
      <c r="AC1603" s="1152"/>
      <c r="AD1603" s="1153"/>
      <c r="AE1603" s="1152"/>
      <c r="AF1603" s="1152"/>
      <c r="AG1603" s="1153"/>
      <c r="AH1603" s="1153"/>
      <c r="AI1603" s="732">
        <f t="shared" si="203"/>
        <v>0</v>
      </c>
      <c r="AJ1603" s="733">
        <f t="shared" si="204"/>
        <v>0</v>
      </c>
    </row>
    <row r="1604" spans="1:36">
      <c r="A1604" s="759" t="s">
        <v>636</v>
      </c>
      <c r="B1604" s="729" t="s">
        <v>69</v>
      </c>
      <c r="C1604" s="762" t="s">
        <v>70</v>
      </c>
      <c r="D1604" s="763"/>
      <c r="E1604" s="759">
        <v>198491</v>
      </c>
      <c r="F1604" s="759">
        <v>10</v>
      </c>
      <c r="G1604" s="1152"/>
      <c r="H1604" s="1153"/>
      <c r="I1604" s="1152">
        <v>154750</v>
      </c>
      <c r="J1604" s="1153">
        <v>155382</v>
      </c>
      <c r="K1604" s="1152"/>
      <c r="L1604" s="1153"/>
      <c r="M1604" s="1152"/>
      <c r="N1604" s="1152"/>
      <c r="O1604" s="732">
        <f t="shared" si="197"/>
        <v>0</v>
      </c>
      <c r="P1604" s="1153"/>
      <c r="Q1604" s="1153"/>
      <c r="R1604" s="733">
        <f t="shared" si="200"/>
        <v>0</v>
      </c>
      <c r="S1604" s="732">
        <f t="shared" si="201"/>
        <v>154750</v>
      </c>
      <c r="T1604" s="733">
        <f t="shared" si="202"/>
        <v>155382</v>
      </c>
      <c r="U1604" s="1152"/>
      <c r="V1604" s="1153"/>
      <c r="W1604" s="1152"/>
      <c r="X1604" s="1152"/>
      <c r="Y1604" s="732">
        <f t="shared" si="198"/>
        <v>0</v>
      </c>
      <c r="Z1604" s="1153"/>
      <c r="AA1604" s="1153"/>
      <c r="AB1604" s="733">
        <f t="shared" si="199"/>
        <v>0</v>
      </c>
      <c r="AC1604" s="1152"/>
      <c r="AD1604" s="1153"/>
      <c r="AE1604" s="1152"/>
      <c r="AF1604" s="1152"/>
      <c r="AG1604" s="1153"/>
      <c r="AH1604" s="1153"/>
      <c r="AI1604" s="732">
        <f t="shared" si="203"/>
        <v>154750</v>
      </c>
      <c r="AJ1604" s="733">
        <f t="shared" si="204"/>
        <v>155382</v>
      </c>
    </row>
    <row r="1605" spans="1:36">
      <c r="A1605" s="759" t="s">
        <v>636</v>
      </c>
      <c r="B1605" s="729" t="s">
        <v>685</v>
      </c>
      <c r="C1605" s="762" t="s">
        <v>72</v>
      </c>
      <c r="D1605" s="763"/>
      <c r="E1605" s="759">
        <v>198491</v>
      </c>
      <c r="F1605" s="759">
        <v>10</v>
      </c>
      <c r="G1605" s="1152"/>
      <c r="H1605" s="1153"/>
      <c r="I1605" s="1152">
        <v>1160158</v>
      </c>
      <c r="J1605" s="1153">
        <v>1283733</v>
      </c>
      <c r="K1605" s="1152"/>
      <c r="L1605" s="1153"/>
      <c r="M1605" s="1152">
        <v>132324</v>
      </c>
      <c r="N1605" s="1152"/>
      <c r="O1605" s="732">
        <f t="shared" si="197"/>
        <v>132324</v>
      </c>
      <c r="P1605" s="1153">
        <v>138438</v>
      </c>
      <c r="Q1605" s="1153"/>
      <c r="R1605" s="733">
        <f t="shared" si="200"/>
        <v>138438</v>
      </c>
      <c r="S1605" s="732">
        <f t="shared" si="201"/>
        <v>1292482</v>
      </c>
      <c r="T1605" s="733">
        <f t="shared" si="202"/>
        <v>1422171</v>
      </c>
      <c r="U1605" s="1152"/>
      <c r="V1605" s="1153"/>
      <c r="W1605" s="1152"/>
      <c r="X1605" s="1152"/>
      <c r="Y1605" s="732">
        <f t="shared" si="198"/>
        <v>0</v>
      </c>
      <c r="Z1605" s="1153"/>
      <c r="AA1605" s="1153"/>
      <c r="AB1605" s="733">
        <f t="shared" si="199"/>
        <v>0</v>
      </c>
      <c r="AC1605" s="1152"/>
      <c r="AD1605" s="1153"/>
      <c r="AE1605" s="1152"/>
      <c r="AF1605" s="1152"/>
      <c r="AG1605" s="1153"/>
      <c r="AH1605" s="1153"/>
      <c r="AI1605" s="732">
        <f t="shared" si="203"/>
        <v>1292482</v>
      </c>
      <c r="AJ1605" s="733">
        <f t="shared" si="204"/>
        <v>1422171</v>
      </c>
    </row>
    <row r="1606" spans="1:36">
      <c r="A1606" s="759" t="s">
        <v>636</v>
      </c>
      <c r="B1606" s="729" t="s">
        <v>62</v>
      </c>
      <c r="C1606" s="729" t="s">
        <v>723</v>
      </c>
      <c r="D1606" s="722"/>
      <c r="E1606" s="759">
        <v>198640</v>
      </c>
      <c r="F1606" s="759">
        <v>10</v>
      </c>
      <c r="G1606" s="1152">
        <v>5731483</v>
      </c>
      <c r="H1606" s="1153">
        <v>5983463</v>
      </c>
      <c r="I1606" s="1152"/>
      <c r="J1606" s="1153"/>
      <c r="K1606" s="1152">
        <v>1431892</v>
      </c>
      <c r="L1606" s="1153">
        <v>1366118</v>
      </c>
      <c r="M1606" s="1152">
        <v>1422278</v>
      </c>
      <c r="N1606" s="1152"/>
      <c r="O1606" s="732">
        <f t="shared" si="197"/>
        <v>1422278</v>
      </c>
      <c r="P1606" s="1153">
        <v>1411390</v>
      </c>
      <c r="Q1606" s="1153"/>
      <c r="R1606" s="733">
        <f t="shared" si="200"/>
        <v>1411390</v>
      </c>
      <c r="S1606" s="732">
        <f t="shared" si="201"/>
        <v>8585653</v>
      </c>
      <c r="T1606" s="733">
        <f t="shared" si="202"/>
        <v>8760971</v>
      </c>
      <c r="U1606" s="1152"/>
      <c r="V1606" s="1153"/>
      <c r="W1606" s="1152"/>
      <c r="X1606" s="1152"/>
      <c r="Y1606" s="732">
        <f t="shared" si="198"/>
        <v>0</v>
      </c>
      <c r="Z1606" s="1153"/>
      <c r="AA1606" s="1153"/>
      <c r="AB1606" s="733">
        <f t="shared" si="199"/>
        <v>0</v>
      </c>
      <c r="AC1606" s="1152"/>
      <c r="AD1606" s="1153"/>
      <c r="AE1606" s="1152"/>
      <c r="AF1606" s="1152"/>
      <c r="AG1606" s="1153"/>
      <c r="AH1606" s="1153"/>
      <c r="AI1606" s="732">
        <f t="shared" si="203"/>
        <v>8585653</v>
      </c>
      <c r="AJ1606" s="733">
        <f t="shared" si="204"/>
        <v>8760971</v>
      </c>
    </row>
    <row r="1607" spans="1:36">
      <c r="A1607" s="759" t="s">
        <v>636</v>
      </c>
      <c r="B1607" s="729" t="s">
        <v>62</v>
      </c>
      <c r="C1607" s="762" t="s">
        <v>684</v>
      </c>
      <c r="D1607" s="763"/>
      <c r="E1607" s="759">
        <v>198640</v>
      </c>
      <c r="F1607" s="759">
        <v>10</v>
      </c>
      <c r="G1607" s="1152"/>
      <c r="H1607" s="1153"/>
      <c r="I1607" s="1152"/>
      <c r="J1607" s="1153"/>
      <c r="K1607" s="1152"/>
      <c r="L1607" s="1153"/>
      <c r="M1607" s="1152"/>
      <c r="N1607" s="1152"/>
      <c r="O1607" s="732">
        <f t="shared" si="197"/>
        <v>0</v>
      </c>
      <c r="P1607" s="1153"/>
      <c r="Q1607" s="1153"/>
      <c r="R1607" s="733">
        <f t="shared" si="200"/>
        <v>0</v>
      </c>
      <c r="S1607" s="732">
        <f t="shared" si="201"/>
        <v>0</v>
      </c>
      <c r="T1607" s="733">
        <f t="shared" si="202"/>
        <v>0</v>
      </c>
      <c r="U1607" s="1152"/>
      <c r="V1607" s="1153"/>
      <c r="W1607" s="1152"/>
      <c r="X1607" s="1152"/>
      <c r="Y1607" s="732">
        <f t="shared" si="198"/>
        <v>0</v>
      </c>
      <c r="Z1607" s="1153"/>
      <c r="AA1607" s="1153"/>
      <c r="AB1607" s="733">
        <f t="shared" si="199"/>
        <v>0</v>
      </c>
      <c r="AC1607" s="1152"/>
      <c r="AD1607" s="1153"/>
      <c r="AE1607" s="1152"/>
      <c r="AF1607" s="1152"/>
      <c r="AG1607" s="1153"/>
      <c r="AH1607" s="1153"/>
      <c r="AI1607" s="732">
        <f t="shared" si="203"/>
        <v>0</v>
      </c>
      <c r="AJ1607" s="733">
        <f t="shared" si="204"/>
        <v>0</v>
      </c>
    </row>
    <row r="1608" spans="1:36">
      <c r="A1608" s="759" t="s">
        <v>636</v>
      </c>
      <c r="B1608" s="729" t="s">
        <v>69</v>
      </c>
      <c r="C1608" s="762" t="s">
        <v>70</v>
      </c>
      <c r="D1608" s="763"/>
      <c r="E1608" s="759">
        <v>198640</v>
      </c>
      <c r="F1608" s="759">
        <v>10</v>
      </c>
      <c r="G1608" s="1152"/>
      <c r="H1608" s="1153"/>
      <c r="I1608" s="1152">
        <v>156485</v>
      </c>
      <c r="J1608" s="1153">
        <v>160190</v>
      </c>
      <c r="K1608" s="1152"/>
      <c r="L1608" s="1153"/>
      <c r="M1608" s="1152"/>
      <c r="N1608" s="1152"/>
      <c r="O1608" s="732">
        <f t="shared" si="197"/>
        <v>0</v>
      </c>
      <c r="P1608" s="1153"/>
      <c r="Q1608" s="1153"/>
      <c r="R1608" s="733">
        <f t="shared" si="200"/>
        <v>0</v>
      </c>
      <c r="S1608" s="732">
        <f t="shared" si="201"/>
        <v>156485</v>
      </c>
      <c r="T1608" s="733">
        <f t="shared" si="202"/>
        <v>160190</v>
      </c>
      <c r="U1608" s="1152"/>
      <c r="V1608" s="1153"/>
      <c r="W1608" s="1152"/>
      <c r="X1608" s="1152"/>
      <c r="Y1608" s="732">
        <f t="shared" si="198"/>
        <v>0</v>
      </c>
      <c r="Z1608" s="1153"/>
      <c r="AA1608" s="1153"/>
      <c r="AB1608" s="733">
        <f t="shared" si="199"/>
        <v>0</v>
      </c>
      <c r="AC1608" s="1152"/>
      <c r="AD1608" s="1153"/>
      <c r="AE1608" s="1152"/>
      <c r="AF1608" s="1152"/>
      <c r="AG1608" s="1153"/>
      <c r="AH1608" s="1153"/>
      <c r="AI1608" s="732">
        <f t="shared" si="203"/>
        <v>156485</v>
      </c>
      <c r="AJ1608" s="733">
        <f t="shared" si="204"/>
        <v>160190</v>
      </c>
    </row>
    <row r="1609" spans="1:36">
      <c r="A1609" s="759" t="s">
        <v>636</v>
      </c>
      <c r="B1609" s="729" t="s">
        <v>685</v>
      </c>
      <c r="C1609" s="762" t="s">
        <v>72</v>
      </c>
      <c r="D1609" s="763"/>
      <c r="E1609" s="759">
        <v>198640</v>
      </c>
      <c r="F1609" s="759">
        <v>10</v>
      </c>
      <c r="G1609" s="1152"/>
      <c r="H1609" s="1153"/>
      <c r="I1609" s="1152">
        <v>871879</v>
      </c>
      <c r="J1609" s="1153">
        <v>875709</v>
      </c>
      <c r="K1609" s="1152"/>
      <c r="L1609" s="1153"/>
      <c r="M1609" s="1152">
        <v>122758</v>
      </c>
      <c r="N1609" s="1152"/>
      <c r="O1609" s="732">
        <f t="shared" si="197"/>
        <v>122758</v>
      </c>
      <c r="P1609" s="1153">
        <v>111716</v>
      </c>
      <c r="Q1609" s="1153"/>
      <c r="R1609" s="733">
        <f t="shared" si="200"/>
        <v>111716</v>
      </c>
      <c r="S1609" s="732">
        <f t="shared" si="201"/>
        <v>994637</v>
      </c>
      <c r="T1609" s="733">
        <f t="shared" si="202"/>
        <v>987425</v>
      </c>
      <c r="U1609" s="1152"/>
      <c r="V1609" s="1153"/>
      <c r="W1609" s="1152"/>
      <c r="X1609" s="1152"/>
      <c r="Y1609" s="732">
        <f t="shared" si="198"/>
        <v>0</v>
      </c>
      <c r="Z1609" s="1153"/>
      <c r="AA1609" s="1153"/>
      <c r="AB1609" s="733">
        <f t="shared" si="199"/>
        <v>0</v>
      </c>
      <c r="AC1609" s="1152"/>
      <c r="AD1609" s="1153"/>
      <c r="AE1609" s="1152"/>
      <c r="AF1609" s="1152"/>
      <c r="AG1609" s="1153"/>
      <c r="AH1609" s="1153"/>
      <c r="AI1609" s="732">
        <f t="shared" si="203"/>
        <v>994637</v>
      </c>
      <c r="AJ1609" s="733">
        <f t="shared" si="204"/>
        <v>987425</v>
      </c>
    </row>
    <row r="1610" spans="1:36">
      <c r="A1610" s="759" t="s">
        <v>636</v>
      </c>
      <c r="B1610" s="729" t="s">
        <v>62</v>
      </c>
      <c r="C1610" s="729" t="s">
        <v>724</v>
      </c>
      <c r="D1610" s="723"/>
      <c r="E1610" s="759">
        <v>198668</v>
      </c>
      <c r="F1610" s="759">
        <v>10</v>
      </c>
      <c r="G1610" s="1152">
        <v>7629160</v>
      </c>
      <c r="H1610" s="1153">
        <v>7638335</v>
      </c>
      <c r="I1610" s="1152"/>
      <c r="J1610" s="1153"/>
      <c r="K1610" s="1152">
        <v>2928840</v>
      </c>
      <c r="L1610" s="1153">
        <v>3016705</v>
      </c>
      <c r="M1610" s="1152">
        <v>2293943</v>
      </c>
      <c r="N1610" s="1152"/>
      <c r="O1610" s="732">
        <f t="shared" ref="O1610:O1673" si="205">SUM(M1610:N1610)</f>
        <v>2293943</v>
      </c>
      <c r="P1610" s="1153">
        <v>2165310</v>
      </c>
      <c r="Q1610" s="1153"/>
      <c r="R1610" s="733">
        <f t="shared" si="200"/>
        <v>2165310</v>
      </c>
      <c r="S1610" s="732">
        <f t="shared" si="201"/>
        <v>12851943</v>
      </c>
      <c r="T1610" s="733">
        <f t="shared" si="202"/>
        <v>12820350</v>
      </c>
      <c r="U1610" s="1152"/>
      <c r="V1610" s="1153"/>
      <c r="W1610" s="1152"/>
      <c r="X1610" s="1152"/>
      <c r="Y1610" s="732">
        <f t="shared" ref="Y1610:Y1673" si="206">SUM(W1610:X1610)</f>
        <v>0</v>
      </c>
      <c r="Z1610" s="1153"/>
      <c r="AA1610" s="1153"/>
      <c r="AB1610" s="733">
        <f t="shared" ref="AB1610:AB1673" si="207">SUM(Z1610:AA1610)</f>
        <v>0</v>
      </c>
      <c r="AC1610" s="1152"/>
      <c r="AD1610" s="1153"/>
      <c r="AE1610" s="1152"/>
      <c r="AF1610" s="1152"/>
      <c r="AG1610" s="1153"/>
      <c r="AH1610" s="1153"/>
      <c r="AI1610" s="732">
        <f t="shared" si="203"/>
        <v>12851943</v>
      </c>
      <c r="AJ1610" s="733">
        <f t="shared" si="204"/>
        <v>12820350</v>
      </c>
    </row>
    <row r="1611" spans="1:36">
      <c r="A1611" s="759" t="s">
        <v>636</v>
      </c>
      <c r="B1611" s="729" t="s">
        <v>62</v>
      </c>
      <c r="C1611" s="762" t="s">
        <v>684</v>
      </c>
      <c r="D1611" s="763"/>
      <c r="E1611" s="759">
        <v>198668</v>
      </c>
      <c r="F1611" s="759">
        <v>10</v>
      </c>
      <c r="G1611" s="1152"/>
      <c r="H1611" s="1153"/>
      <c r="I1611" s="1152"/>
      <c r="J1611" s="1153"/>
      <c r="K1611" s="1152"/>
      <c r="L1611" s="1153"/>
      <c r="M1611" s="1152"/>
      <c r="N1611" s="1152"/>
      <c r="O1611" s="732">
        <f t="shared" si="205"/>
        <v>0</v>
      </c>
      <c r="P1611" s="1153"/>
      <c r="Q1611" s="1153"/>
      <c r="R1611" s="733">
        <f t="shared" ref="R1611:R1674" si="208">SUM(P1611:Q1611)</f>
        <v>0</v>
      </c>
      <c r="S1611" s="732">
        <f t="shared" ref="S1611:S1674" si="209">SUM(G1611,I1611,K1611,M1611)</f>
        <v>0</v>
      </c>
      <c r="T1611" s="733">
        <f t="shared" ref="T1611:T1674" si="210">SUM(H1611,J1611,L1611,P1611)</f>
        <v>0</v>
      </c>
      <c r="U1611" s="1152"/>
      <c r="V1611" s="1153"/>
      <c r="W1611" s="1152"/>
      <c r="X1611" s="1152"/>
      <c r="Y1611" s="732">
        <f t="shared" si="206"/>
        <v>0</v>
      </c>
      <c r="Z1611" s="1153"/>
      <c r="AA1611" s="1153"/>
      <c r="AB1611" s="733">
        <f t="shared" si="207"/>
        <v>0</v>
      </c>
      <c r="AC1611" s="1152"/>
      <c r="AD1611" s="1153"/>
      <c r="AE1611" s="1152"/>
      <c r="AF1611" s="1152"/>
      <c r="AG1611" s="1153"/>
      <c r="AH1611" s="1153"/>
      <c r="AI1611" s="732">
        <f t="shared" ref="AI1611:AI1674" si="211">SUM(S1611,U1611,W1611,AC1611,AE1611)</f>
        <v>0</v>
      </c>
      <c r="AJ1611" s="733">
        <f t="shared" ref="AJ1611:AJ1674" si="212">SUM(T1611,V1611,Z1611,AD1611,AG1611)</f>
        <v>0</v>
      </c>
    </row>
    <row r="1612" spans="1:36">
      <c r="A1612" s="759" t="s">
        <v>636</v>
      </c>
      <c r="B1612" s="729" t="s">
        <v>69</v>
      </c>
      <c r="C1612" s="762" t="s">
        <v>70</v>
      </c>
      <c r="D1612" s="763"/>
      <c r="E1612" s="759">
        <v>198668</v>
      </c>
      <c r="F1612" s="759">
        <v>10</v>
      </c>
      <c r="G1612" s="1152"/>
      <c r="H1612" s="1153"/>
      <c r="I1612" s="1152">
        <v>166538</v>
      </c>
      <c r="J1612" s="1153">
        <v>167197</v>
      </c>
      <c r="K1612" s="1152"/>
      <c r="L1612" s="1153"/>
      <c r="M1612" s="1152"/>
      <c r="N1612" s="1152"/>
      <c r="O1612" s="732">
        <f t="shared" si="205"/>
        <v>0</v>
      </c>
      <c r="P1612" s="1153"/>
      <c r="Q1612" s="1153"/>
      <c r="R1612" s="733">
        <f t="shared" si="208"/>
        <v>0</v>
      </c>
      <c r="S1612" s="732">
        <f t="shared" si="209"/>
        <v>166538</v>
      </c>
      <c r="T1612" s="733">
        <f t="shared" si="210"/>
        <v>167197</v>
      </c>
      <c r="U1612" s="1152"/>
      <c r="V1612" s="1153"/>
      <c r="W1612" s="1152"/>
      <c r="X1612" s="1152"/>
      <c r="Y1612" s="732">
        <f t="shared" si="206"/>
        <v>0</v>
      </c>
      <c r="Z1612" s="1153"/>
      <c r="AA1612" s="1153"/>
      <c r="AB1612" s="733">
        <f t="shared" si="207"/>
        <v>0</v>
      </c>
      <c r="AC1612" s="1152"/>
      <c r="AD1612" s="1153"/>
      <c r="AE1612" s="1152"/>
      <c r="AF1612" s="1152"/>
      <c r="AG1612" s="1153"/>
      <c r="AH1612" s="1153"/>
      <c r="AI1612" s="732">
        <f t="shared" si="211"/>
        <v>166538</v>
      </c>
      <c r="AJ1612" s="733">
        <f t="shared" si="212"/>
        <v>167197</v>
      </c>
    </row>
    <row r="1613" spans="1:36">
      <c r="A1613" s="759" t="s">
        <v>636</v>
      </c>
      <c r="B1613" s="729" t="s">
        <v>685</v>
      </c>
      <c r="C1613" s="762" t="s">
        <v>72</v>
      </c>
      <c r="D1613" s="763"/>
      <c r="E1613" s="759">
        <v>198668</v>
      </c>
      <c r="F1613" s="759">
        <v>10</v>
      </c>
      <c r="G1613" s="1152"/>
      <c r="H1613" s="1153"/>
      <c r="I1613" s="1152">
        <v>954993</v>
      </c>
      <c r="J1613" s="1153">
        <v>904729</v>
      </c>
      <c r="K1613" s="1152"/>
      <c r="L1613" s="1153"/>
      <c r="M1613" s="1152">
        <v>119171</v>
      </c>
      <c r="N1613" s="1152"/>
      <c r="O1613" s="732">
        <f t="shared" si="205"/>
        <v>119171</v>
      </c>
      <c r="P1613" s="1153">
        <v>103179</v>
      </c>
      <c r="Q1613" s="1153"/>
      <c r="R1613" s="733">
        <f t="shared" si="208"/>
        <v>103179</v>
      </c>
      <c r="S1613" s="732">
        <f t="shared" si="209"/>
        <v>1074164</v>
      </c>
      <c r="T1613" s="733">
        <f t="shared" si="210"/>
        <v>1007908</v>
      </c>
      <c r="U1613" s="1152"/>
      <c r="V1613" s="1153"/>
      <c r="W1613" s="1152"/>
      <c r="X1613" s="1152"/>
      <c r="Y1613" s="732">
        <f t="shared" si="206"/>
        <v>0</v>
      </c>
      <c r="Z1613" s="1153"/>
      <c r="AA1613" s="1153"/>
      <c r="AB1613" s="733">
        <f t="shared" si="207"/>
        <v>0</v>
      </c>
      <c r="AC1613" s="1152"/>
      <c r="AD1613" s="1153"/>
      <c r="AE1613" s="1152"/>
      <c r="AF1613" s="1152"/>
      <c r="AG1613" s="1153"/>
      <c r="AH1613" s="1153"/>
      <c r="AI1613" s="732">
        <f t="shared" si="211"/>
        <v>1074164</v>
      </c>
      <c r="AJ1613" s="733">
        <f t="shared" si="212"/>
        <v>1007908</v>
      </c>
    </row>
    <row r="1614" spans="1:36">
      <c r="A1614" s="759" t="s">
        <v>636</v>
      </c>
      <c r="B1614" s="729" t="s">
        <v>62</v>
      </c>
      <c r="C1614" s="729" t="s">
        <v>725</v>
      </c>
      <c r="D1614" s="723"/>
      <c r="E1614" s="759">
        <v>198710</v>
      </c>
      <c r="F1614" s="759">
        <v>10</v>
      </c>
      <c r="G1614" s="1152">
        <v>8828216</v>
      </c>
      <c r="H1614" s="1153">
        <v>9569894</v>
      </c>
      <c r="I1614" s="1152"/>
      <c r="J1614" s="1153"/>
      <c r="K1614" s="1152">
        <v>2684078</v>
      </c>
      <c r="L1614" s="1153">
        <v>2715583</v>
      </c>
      <c r="M1614" s="1152">
        <v>2871171</v>
      </c>
      <c r="N1614" s="1152"/>
      <c r="O1614" s="732">
        <f t="shared" si="205"/>
        <v>2871171</v>
      </c>
      <c r="P1614" s="1153">
        <v>2978708</v>
      </c>
      <c r="Q1614" s="1153"/>
      <c r="R1614" s="733">
        <f t="shared" si="208"/>
        <v>2978708</v>
      </c>
      <c r="S1614" s="732">
        <f t="shared" si="209"/>
        <v>14383465</v>
      </c>
      <c r="T1614" s="733">
        <f t="shared" si="210"/>
        <v>15264185</v>
      </c>
      <c r="U1614" s="1152"/>
      <c r="V1614" s="1153"/>
      <c r="W1614" s="1152"/>
      <c r="X1614" s="1152"/>
      <c r="Y1614" s="732">
        <f t="shared" si="206"/>
        <v>0</v>
      </c>
      <c r="Z1614" s="1153"/>
      <c r="AA1614" s="1153"/>
      <c r="AB1614" s="733">
        <f t="shared" si="207"/>
        <v>0</v>
      </c>
      <c r="AC1614" s="1152"/>
      <c r="AD1614" s="1153"/>
      <c r="AE1614" s="1152"/>
      <c r="AF1614" s="1152"/>
      <c r="AG1614" s="1153"/>
      <c r="AH1614" s="1153"/>
      <c r="AI1614" s="732">
        <f t="shared" si="211"/>
        <v>14383465</v>
      </c>
      <c r="AJ1614" s="733">
        <f t="shared" si="212"/>
        <v>15264185</v>
      </c>
    </row>
    <row r="1615" spans="1:36">
      <c r="A1615" s="759" t="s">
        <v>636</v>
      </c>
      <c r="B1615" s="729" t="s">
        <v>62</v>
      </c>
      <c r="C1615" s="762" t="s">
        <v>684</v>
      </c>
      <c r="D1615" s="763"/>
      <c r="E1615" s="759">
        <v>198710</v>
      </c>
      <c r="F1615" s="759">
        <v>10</v>
      </c>
      <c r="G1615" s="1152"/>
      <c r="H1615" s="1153"/>
      <c r="I1615" s="1152"/>
      <c r="J1615" s="1153"/>
      <c r="K1615" s="1152"/>
      <c r="L1615" s="1153"/>
      <c r="M1615" s="1152"/>
      <c r="N1615" s="1152"/>
      <c r="O1615" s="732">
        <f t="shared" si="205"/>
        <v>0</v>
      </c>
      <c r="P1615" s="1153"/>
      <c r="Q1615" s="1153"/>
      <c r="R1615" s="733">
        <f t="shared" si="208"/>
        <v>0</v>
      </c>
      <c r="S1615" s="732">
        <f t="shared" si="209"/>
        <v>0</v>
      </c>
      <c r="T1615" s="733">
        <f t="shared" si="210"/>
        <v>0</v>
      </c>
      <c r="U1615" s="1152"/>
      <c r="V1615" s="1153"/>
      <c r="W1615" s="1152"/>
      <c r="X1615" s="1152"/>
      <c r="Y1615" s="732">
        <f t="shared" si="206"/>
        <v>0</v>
      </c>
      <c r="Z1615" s="1153"/>
      <c r="AA1615" s="1153"/>
      <c r="AB1615" s="733">
        <f t="shared" si="207"/>
        <v>0</v>
      </c>
      <c r="AC1615" s="1152"/>
      <c r="AD1615" s="1153"/>
      <c r="AE1615" s="1152"/>
      <c r="AF1615" s="1152"/>
      <c r="AG1615" s="1153"/>
      <c r="AH1615" s="1153"/>
      <c r="AI1615" s="732">
        <f t="shared" si="211"/>
        <v>0</v>
      </c>
      <c r="AJ1615" s="733">
        <f t="shared" si="212"/>
        <v>0</v>
      </c>
    </row>
    <row r="1616" spans="1:36">
      <c r="A1616" s="759" t="s">
        <v>636</v>
      </c>
      <c r="B1616" s="729" t="s">
        <v>69</v>
      </c>
      <c r="C1616" s="762" t="s">
        <v>70</v>
      </c>
      <c r="D1616" s="763"/>
      <c r="E1616" s="759">
        <v>198710</v>
      </c>
      <c r="F1616" s="759">
        <v>10</v>
      </c>
      <c r="G1616" s="1152"/>
      <c r="H1616" s="1153"/>
      <c r="I1616" s="1152">
        <v>155312</v>
      </c>
      <c r="J1616" s="1153">
        <v>155842</v>
      </c>
      <c r="K1616" s="1152"/>
      <c r="L1616" s="1153"/>
      <c r="M1616" s="1152"/>
      <c r="N1616" s="1152"/>
      <c r="O1616" s="732">
        <f t="shared" si="205"/>
        <v>0</v>
      </c>
      <c r="P1616" s="1153"/>
      <c r="Q1616" s="1153"/>
      <c r="R1616" s="733">
        <f t="shared" si="208"/>
        <v>0</v>
      </c>
      <c r="S1616" s="732">
        <f t="shared" si="209"/>
        <v>155312</v>
      </c>
      <c r="T1616" s="733">
        <f t="shared" si="210"/>
        <v>155842</v>
      </c>
      <c r="U1616" s="1152"/>
      <c r="V1616" s="1153"/>
      <c r="W1616" s="1152"/>
      <c r="X1616" s="1152"/>
      <c r="Y1616" s="732">
        <f t="shared" si="206"/>
        <v>0</v>
      </c>
      <c r="Z1616" s="1153"/>
      <c r="AA1616" s="1153"/>
      <c r="AB1616" s="733">
        <f t="shared" si="207"/>
        <v>0</v>
      </c>
      <c r="AC1616" s="1152"/>
      <c r="AD1616" s="1153"/>
      <c r="AE1616" s="1152"/>
      <c r="AF1616" s="1152"/>
      <c r="AG1616" s="1153"/>
      <c r="AH1616" s="1153"/>
      <c r="AI1616" s="732">
        <f t="shared" si="211"/>
        <v>155312</v>
      </c>
      <c r="AJ1616" s="733">
        <f t="shared" si="212"/>
        <v>155842</v>
      </c>
    </row>
    <row r="1617" spans="1:36">
      <c r="A1617" s="759" t="s">
        <v>636</v>
      </c>
      <c r="B1617" s="729" t="s">
        <v>685</v>
      </c>
      <c r="C1617" s="762" t="s">
        <v>72</v>
      </c>
      <c r="D1617" s="763"/>
      <c r="E1617" s="759">
        <v>198710</v>
      </c>
      <c r="F1617" s="759">
        <v>10</v>
      </c>
      <c r="G1617" s="1152"/>
      <c r="H1617" s="1153"/>
      <c r="I1617" s="1152">
        <v>830483</v>
      </c>
      <c r="J1617" s="1153">
        <v>876487</v>
      </c>
      <c r="K1617" s="1152"/>
      <c r="L1617" s="1153"/>
      <c r="M1617" s="1152">
        <v>95656</v>
      </c>
      <c r="N1617" s="1152"/>
      <c r="O1617" s="732">
        <f t="shared" si="205"/>
        <v>95656</v>
      </c>
      <c r="P1617" s="1153">
        <v>90189</v>
      </c>
      <c r="Q1617" s="1153"/>
      <c r="R1617" s="733">
        <f t="shared" si="208"/>
        <v>90189</v>
      </c>
      <c r="S1617" s="732">
        <f t="shared" si="209"/>
        <v>926139</v>
      </c>
      <c r="T1617" s="733">
        <f t="shared" si="210"/>
        <v>966676</v>
      </c>
      <c r="U1617" s="1152"/>
      <c r="V1617" s="1153"/>
      <c r="W1617" s="1152"/>
      <c r="X1617" s="1152"/>
      <c r="Y1617" s="732">
        <f t="shared" si="206"/>
        <v>0</v>
      </c>
      <c r="Z1617" s="1153"/>
      <c r="AA1617" s="1153"/>
      <c r="AB1617" s="733">
        <f t="shared" si="207"/>
        <v>0</v>
      </c>
      <c r="AC1617" s="1152"/>
      <c r="AD1617" s="1153"/>
      <c r="AE1617" s="1152"/>
      <c r="AF1617" s="1152"/>
      <c r="AG1617" s="1153"/>
      <c r="AH1617" s="1153"/>
      <c r="AI1617" s="732">
        <f t="shared" si="211"/>
        <v>926139</v>
      </c>
      <c r="AJ1617" s="733">
        <f t="shared" si="212"/>
        <v>966676</v>
      </c>
    </row>
    <row r="1618" spans="1:36">
      <c r="A1618" s="759" t="s">
        <v>636</v>
      </c>
      <c r="B1618" s="729" t="s">
        <v>62</v>
      </c>
      <c r="C1618" s="729" t="s">
        <v>726</v>
      </c>
      <c r="D1618" s="722"/>
      <c r="E1618" s="759">
        <v>198729</v>
      </c>
      <c r="F1618" s="759">
        <v>10</v>
      </c>
      <c r="G1618" s="1152">
        <v>6162505</v>
      </c>
      <c r="H1618" s="1153">
        <v>6460416</v>
      </c>
      <c r="I1618" s="1152"/>
      <c r="J1618" s="1153"/>
      <c r="K1618" s="1152">
        <v>1977200</v>
      </c>
      <c r="L1618" s="1153">
        <v>2092246</v>
      </c>
      <c r="M1618" s="1152">
        <v>1641857</v>
      </c>
      <c r="N1618" s="1152"/>
      <c r="O1618" s="732">
        <f t="shared" si="205"/>
        <v>1641857</v>
      </c>
      <c r="P1618" s="1153">
        <v>1679843</v>
      </c>
      <c r="Q1618" s="1153"/>
      <c r="R1618" s="733">
        <f t="shared" si="208"/>
        <v>1679843</v>
      </c>
      <c r="S1618" s="732">
        <f t="shared" si="209"/>
        <v>9781562</v>
      </c>
      <c r="T1618" s="733">
        <f t="shared" si="210"/>
        <v>10232505</v>
      </c>
      <c r="U1618" s="1152"/>
      <c r="V1618" s="1153"/>
      <c r="W1618" s="1152"/>
      <c r="X1618" s="1152"/>
      <c r="Y1618" s="732">
        <f t="shared" si="206"/>
        <v>0</v>
      </c>
      <c r="Z1618" s="1153"/>
      <c r="AA1618" s="1153"/>
      <c r="AB1618" s="733">
        <f t="shared" si="207"/>
        <v>0</v>
      </c>
      <c r="AC1618" s="1152"/>
      <c r="AD1618" s="1153"/>
      <c r="AE1618" s="1152"/>
      <c r="AF1618" s="1152"/>
      <c r="AG1618" s="1153"/>
      <c r="AH1618" s="1153"/>
      <c r="AI1618" s="732">
        <f t="shared" si="211"/>
        <v>9781562</v>
      </c>
      <c r="AJ1618" s="733">
        <f t="shared" si="212"/>
        <v>10232505</v>
      </c>
    </row>
    <row r="1619" spans="1:36">
      <c r="A1619" s="759" t="s">
        <v>636</v>
      </c>
      <c r="B1619" s="729" t="s">
        <v>62</v>
      </c>
      <c r="C1619" s="762" t="s">
        <v>684</v>
      </c>
      <c r="D1619" s="763"/>
      <c r="E1619" s="759">
        <v>198729</v>
      </c>
      <c r="F1619" s="759">
        <v>10</v>
      </c>
      <c r="G1619" s="1152"/>
      <c r="H1619" s="1153"/>
      <c r="I1619" s="1152"/>
      <c r="J1619" s="1153"/>
      <c r="K1619" s="1152"/>
      <c r="L1619" s="1153"/>
      <c r="M1619" s="1152"/>
      <c r="N1619" s="1152"/>
      <c r="O1619" s="732">
        <f t="shared" si="205"/>
        <v>0</v>
      </c>
      <c r="P1619" s="1153"/>
      <c r="Q1619" s="1153"/>
      <c r="R1619" s="733">
        <f t="shared" si="208"/>
        <v>0</v>
      </c>
      <c r="S1619" s="732">
        <f t="shared" si="209"/>
        <v>0</v>
      </c>
      <c r="T1619" s="733">
        <f t="shared" si="210"/>
        <v>0</v>
      </c>
      <c r="U1619" s="1152"/>
      <c r="V1619" s="1153"/>
      <c r="W1619" s="1152"/>
      <c r="X1619" s="1152"/>
      <c r="Y1619" s="732">
        <f t="shared" si="206"/>
        <v>0</v>
      </c>
      <c r="Z1619" s="1153"/>
      <c r="AA1619" s="1153"/>
      <c r="AB1619" s="733">
        <f t="shared" si="207"/>
        <v>0</v>
      </c>
      <c r="AC1619" s="1152"/>
      <c r="AD1619" s="1153"/>
      <c r="AE1619" s="1152"/>
      <c r="AF1619" s="1152"/>
      <c r="AG1619" s="1153"/>
      <c r="AH1619" s="1153"/>
      <c r="AI1619" s="732">
        <f t="shared" si="211"/>
        <v>0</v>
      </c>
      <c r="AJ1619" s="733">
        <f t="shared" si="212"/>
        <v>0</v>
      </c>
    </row>
    <row r="1620" spans="1:36">
      <c r="A1620" s="759" t="s">
        <v>636</v>
      </c>
      <c r="B1620" s="729" t="s">
        <v>69</v>
      </c>
      <c r="C1620" s="762" t="s">
        <v>70</v>
      </c>
      <c r="D1620" s="763"/>
      <c r="E1620" s="759">
        <v>198729</v>
      </c>
      <c r="F1620" s="759">
        <v>10</v>
      </c>
      <c r="G1620" s="1152"/>
      <c r="H1620" s="1153"/>
      <c r="I1620" s="1152">
        <v>159853</v>
      </c>
      <c r="J1620" s="1153">
        <v>159978</v>
      </c>
      <c r="K1620" s="1152"/>
      <c r="L1620" s="1153"/>
      <c r="M1620" s="1152"/>
      <c r="N1620" s="1152"/>
      <c r="O1620" s="732">
        <f t="shared" si="205"/>
        <v>0</v>
      </c>
      <c r="P1620" s="1153"/>
      <c r="Q1620" s="1153"/>
      <c r="R1620" s="733">
        <f t="shared" si="208"/>
        <v>0</v>
      </c>
      <c r="S1620" s="732">
        <f t="shared" si="209"/>
        <v>159853</v>
      </c>
      <c r="T1620" s="733">
        <f t="shared" si="210"/>
        <v>159978</v>
      </c>
      <c r="U1620" s="1152"/>
      <c r="V1620" s="1153"/>
      <c r="W1620" s="1152"/>
      <c r="X1620" s="1152"/>
      <c r="Y1620" s="732">
        <f t="shared" si="206"/>
        <v>0</v>
      </c>
      <c r="Z1620" s="1153"/>
      <c r="AA1620" s="1153"/>
      <c r="AB1620" s="733">
        <f t="shared" si="207"/>
        <v>0</v>
      </c>
      <c r="AC1620" s="1152"/>
      <c r="AD1620" s="1153"/>
      <c r="AE1620" s="1152"/>
      <c r="AF1620" s="1152"/>
      <c r="AG1620" s="1153"/>
      <c r="AH1620" s="1153"/>
      <c r="AI1620" s="732">
        <f t="shared" si="211"/>
        <v>159853</v>
      </c>
      <c r="AJ1620" s="733">
        <f t="shared" si="212"/>
        <v>159978</v>
      </c>
    </row>
    <row r="1621" spans="1:36">
      <c r="A1621" s="759" t="s">
        <v>636</v>
      </c>
      <c r="B1621" s="729" t="s">
        <v>685</v>
      </c>
      <c r="C1621" s="762" t="s">
        <v>72</v>
      </c>
      <c r="D1621" s="763"/>
      <c r="E1621" s="759">
        <v>198729</v>
      </c>
      <c r="F1621" s="759">
        <v>10</v>
      </c>
      <c r="G1621" s="1152"/>
      <c r="H1621" s="1153"/>
      <c r="I1621" s="1152">
        <v>755518</v>
      </c>
      <c r="J1621" s="1153">
        <v>976239</v>
      </c>
      <c r="K1621" s="1152"/>
      <c r="L1621" s="1153"/>
      <c r="M1621" s="1152">
        <v>84097</v>
      </c>
      <c r="N1621" s="1152"/>
      <c r="O1621" s="732">
        <f t="shared" si="205"/>
        <v>84097</v>
      </c>
      <c r="P1621" s="1153">
        <v>100581</v>
      </c>
      <c r="Q1621" s="1153"/>
      <c r="R1621" s="733">
        <f t="shared" si="208"/>
        <v>100581</v>
      </c>
      <c r="S1621" s="732">
        <f t="shared" si="209"/>
        <v>839615</v>
      </c>
      <c r="T1621" s="733">
        <f t="shared" si="210"/>
        <v>1076820</v>
      </c>
      <c r="U1621" s="1152"/>
      <c r="V1621" s="1153"/>
      <c r="W1621" s="1152"/>
      <c r="X1621" s="1152"/>
      <c r="Y1621" s="732">
        <f t="shared" si="206"/>
        <v>0</v>
      </c>
      <c r="Z1621" s="1153"/>
      <c r="AA1621" s="1153"/>
      <c r="AB1621" s="733">
        <f t="shared" si="207"/>
        <v>0</v>
      </c>
      <c r="AC1621" s="1152"/>
      <c r="AD1621" s="1153"/>
      <c r="AE1621" s="1152"/>
      <c r="AF1621" s="1152"/>
      <c r="AG1621" s="1153"/>
      <c r="AH1621" s="1153"/>
      <c r="AI1621" s="732">
        <f t="shared" si="211"/>
        <v>839615</v>
      </c>
      <c r="AJ1621" s="733">
        <f t="shared" si="212"/>
        <v>1076820</v>
      </c>
    </row>
    <row r="1622" spans="1:36">
      <c r="A1622" s="759" t="s">
        <v>636</v>
      </c>
      <c r="B1622" s="729" t="s">
        <v>62</v>
      </c>
      <c r="C1622" s="729" t="s">
        <v>727</v>
      </c>
      <c r="D1622" s="722"/>
      <c r="E1622" s="759">
        <v>198905</v>
      </c>
      <c r="F1622" s="759">
        <v>10</v>
      </c>
      <c r="G1622" s="1152">
        <v>4630991</v>
      </c>
      <c r="H1622" s="1153">
        <v>5080089</v>
      </c>
      <c r="I1622" s="1152"/>
      <c r="J1622" s="1153"/>
      <c r="K1622" s="1152">
        <v>1119829</v>
      </c>
      <c r="L1622" s="1153">
        <v>1029054</v>
      </c>
      <c r="M1622" s="1152">
        <v>1031359</v>
      </c>
      <c r="N1622" s="1152"/>
      <c r="O1622" s="732">
        <f t="shared" si="205"/>
        <v>1031359</v>
      </c>
      <c r="P1622" s="1153">
        <v>1165441</v>
      </c>
      <c r="Q1622" s="1153"/>
      <c r="R1622" s="733">
        <f t="shared" si="208"/>
        <v>1165441</v>
      </c>
      <c r="S1622" s="732">
        <f t="shared" si="209"/>
        <v>6782179</v>
      </c>
      <c r="T1622" s="733">
        <f t="shared" si="210"/>
        <v>7274584</v>
      </c>
      <c r="U1622" s="1152"/>
      <c r="V1622" s="1153"/>
      <c r="W1622" s="1152"/>
      <c r="X1622" s="1152"/>
      <c r="Y1622" s="732">
        <f t="shared" si="206"/>
        <v>0</v>
      </c>
      <c r="Z1622" s="1153"/>
      <c r="AA1622" s="1153"/>
      <c r="AB1622" s="733">
        <f t="shared" si="207"/>
        <v>0</v>
      </c>
      <c r="AC1622" s="1152"/>
      <c r="AD1622" s="1153"/>
      <c r="AE1622" s="1152"/>
      <c r="AF1622" s="1152"/>
      <c r="AG1622" s="1153"/>
      <c r="AH1622" s="1153"/>
      <c r="AI1622" s="732">
        <f t="shared" si="211"/>
        <v>6782179</v>
      </c>
      <c r="AJ1622" s="733">
        <f t="shared" si="212"/>
        <v>7274584</v>
      </c>
    </row>
    <row r="1623" spans="1:36">
      <c r="A1623" s="759" t="s">
        <v>636</v>
      </c>
      <c r="B1623" s="729" t="s">
        <v>62</v>
      </c>
      <c r="C1623" s="762" t="s">
        <v>684</v>
      </c>
      <c r="D1623" s="763"/>
      <c r="E1623" s="759">
        <v>198905</v>
      </c>
      <c r="F1623" s="759">
        <v>10</v>
      </c>
      <c r="G1623" s="1152"/>
      <c r="H1623" s="1153"/>
      <c r="I1623" s="1152"/>
      <c r="J1623" s="1153"/>
      <c r="K1623" s="1152"/>
      <c r="L1623" s="1153"/>
      <c r="M1623" s="1152"/>
      <c r="N1623" s="1152"/>
      <c r="O1623" s="732">
        <f t="shared" si="205"/>
        <v>0</v>
      </c>
      <c r="P1623" s="1153"/>
      <c r="Q1623" s="1153"/>
      <c r="R1623" s="733">
        <f t="shared" si="208"/>
        <v>0</v>
      </c>
      <c r="S1623" s="732">
        <f t="shared" si="209"/>
        <v>0</v>
      </c>
      <c r="T1623" s="733">
        <f t="shared" si="210"/>
        <v>0</v>
      </c>
      <c r="U1623" s="1152"/>
      <c r="V1623" s="1153"/>
      <c r="W1623" s="1152"/>
      <c r="X1623" s="1152"/>
      <c r="Y1623" s="732">
        <f t="shared" si="206"/>
        <v>0</v>
      </c>
      <c r="Z1623" s="1153"/>
      <c r="AA1623" s="1153"/>
      <c r="AB1623" s="733">
        <f t="shared" si="207"/>
        <v>0</v>
      </c>
      <c r="AC1623" s="1152"/>
      <c r="AD1623" s="1153"/>
      <c r="AE1623" s="1152"/>
      <c r="AF1623" s="1152"/>
      <c r="AG1623" s="1153"/>
      <c r="AH1623" s="1153"/>
      <c r="AI1623" s="732">
        <f t="shared" si="211"/>
        <v>0</v>
      </c>
      <c r="AJ1623" s="733">
        <f t="shared" si="212"/>
        <v>0</v>
      </c>
    </row>
    <row r="1624" spans="1:36">
      <c r="A1624" s="759" t="s">
        <v>636</v>
      </c>
      <c r="B1624" s="729" t="s">
        <v>69</v>
      </c>
      <c r="C1624" s="762" t="s">
        <v>70</v>
      </c>
      <c r="D1624" s="763"/>
      <c r="E1624" s="759">
        <v>198905</v>
      </c>
      <c r="F1624" s="759">
        <v>10</v>
      </c>
      <c r="G1624" s="1152"/>
      <c r="H1624" s="1153"/>
      <c r="I1624" s="1152">
        <v>156077</v>
      </c>
      <c r="J1624" s="1153">
        <v>156047</v>
      </c>
      <c r="K1624" s="1152"/>
      <c r="L1624" s="1153"/>
      <c r="M1624" s="1152"/>
      <c r="N1624" s="1152"/>
      <c r="O1624" s="732">
        <f t="shared" si="205"/>
        <v>0</v>
      </c>
      <c r="P1624" s="1153"/>
      <c r="Q1624" s="1153"/>
      <c r="R1624" s="733">
        <f t="shared" si="208"/>
        <v>0</v>
      </c>
      <c r="S1624" s="732">
        <f t="shared" si="209"/>
        <v>156077</v>
      </c>
      <c r="T1624" s="733">
        <f t="shared" si="210"/>
        <v>156047</v>
      </c>
      <c r="U1624" s="1152"/>
      <c r="V1624" s="1153"/>
      <c r="W1624" s="1152"/>
      <c r="X1624" s="1152"/>
      <c r="Y1624" s="732">
        <f t="shared" si="206"/>
        <v>0</v>
      </c>
      <c r="Z1624" s="1153"/>
      <c r="AA1624" s="1153"/>
      <c r="AB1624" s="733">
        <f t="shared" si="207"/>
        <v>0</v>
      </c>
      <c r="AC1624" s="1152"/>
      <c r="AD1624" s="1153"/>
      <c r="AE1624" s="1152"/>
      <c r="AF1624" s="1152"/>
      <c r="AG1624" s="1153"/>
      <c r="AH1624" s="1153"/>
      <c r="AI1624" s="732">
        <f t="shared" si="211"/>
        <v>156077</v>
      </c>
      <c r="AJ1624" s="733">
        <f t="shared" si="212"/>
        <v>156047</v>
      </c>
    </row>
    <row r="1625" spans="1:36">
      <c r="A1625" s="759" t="s">
        <v>636</v>
      </c>
      <c r="B1625" s="729" t="s">
        <v>685</v>
      </c>
      <c r="C1625" s="762" t="s">
        <v>72</v>
      </c>
      <c r="D1625" s="763"/>
      <c r="E1625" s="759">
        <v>198905</v>
      </c>
      <c r="F1625" s="759">
        <v>10</v>
      </c>
      <c r="G1625" s="1152"/>
      <c r="H1625" s="1153"/>
      <c r="I1625" s="1152">
        <v>744622</v>
      </c>
      <c r="J1625" s="1153">
        <v>668202</v>
      </c>
      <c r="K1625" s="1152"/>
      <c r="L1625" s="1153"/>
      <c r="M1625" s="1152">
        <v>73336</v>
      </c>
      <c r="N1625" s="1152"/>
      <c r="O1625" s="732">
        <f t="shared" si="205"/>
        <v>73336</v>
      </c>
      <c r="P1625" s="1153">
        <v>59755</v>
      </c>
      <c r="Q1625" s="1153"/>
      <c r="R1625" s="733">
        <f t="shared" si="208"/>
        <v>59755</v>
      </c>
      <c r="S1625" s="732">
        <f t="shared" si="209"/>
        <v>817958</v>
      </c>
      <c r="T1625" s="733">
        <f t="shared" si="210"/>
        <v>727957</v>
      </c>
      <c r="U1625" s="1152"/>
      <c r="V1625" s="1153"/>
      <c r="W1625" s="1152"/>
      <c r="X1625" s="1152"/>
      <c r="Y1625" s="732">
        <f t="shared" si="206"/>
        <v>0</v>
      </c>
      <c r="Z1625" s="1153"/>
      <c r="AA1625" s="1153"/>
      <c r="AB1625" s="733">
        <f t="shared" si="207"/>
        <v>0</v>
      </c>
      <c r="AC1625" s="1152"/>
      <c r="AD1625" s="1153"/>
      <c r="AE1625" s="1152"/>
      <c r="AF1625" s="1152"/>
      <c r="AG1625" s="1153"/>
      <c r="AH1625" s="1153"/>
      <c r="AI1625" s="732">
        <f t="shared" si="211"/>
        <v>817958</v>
      </c>
      <c r="AJ1625" s="733">
        <f t="shared" si="212"/>
        <v>727957</v>
      </c>
    </row>
    <row r="1626" spans="1:36">
      <c r="A1626" s="759" t="s">
        <v>636</v>
      </c>
      <c r="B1626" s="729" t="s">
        <v>62</v>
      </c>
      <c r="C1626" s="729" t="s">
        <v>728</v>
      </c>
      <c r="D1626" s="722"/>
      <c r="E1626" s="759">
        <v>198914</v>
      </c>
      <c r="F1626" s="759">
        <v>10</v>
      </c>
      <c r="G1626" s="1152">
        <v>6717369</v>
      </c>
      <c r="H1626" s="1153">
        <v>6231045</v>
      </c>
      <c r="I1626" s="1152"/>
      <c r="J1626" s="1153"/>
      <c r="K1626" s="1152">
        <v>1088832</v>
      </c>
      <c r="L1626" s="1153">
        <v>1103349</v>
      </c>
      <c r="M1626" s="1152">
        <v>1317748</v>
      </c>
      <c r="N1626" s="1152"/>
      <c r="O1626" s="732">
        <f t="shared" si="205"/>
        <v>1317748</v>
      </c>
      <c r="P1626" s="1153">
        <v>1229742</v>
      </c>
      <c r="Q1626" s="1153"/>
      <c r="R1626" s="733">
        <f t="shared" si="208"/>
        <v>1229742</v>
      </c>
      <c r="S1626" s="732">
        <f t="shared" si="209"/>
        <v>9123949</v>
      </c>
      <c r="T1626" s="733">
        <f t="shared" si="210"/>
        <v>8564136</v>
      </c>
      <c r="U1626" s="1152"/>
      <c r="V1626" s="1153"/>
      <c r="W1626" s="1152"/>
      <c r="X1626" s="1152"/>
      <c r="Y1626" s="732">
        <f t="shared" si="206"/>
        <v>0</v>
      </c>
      <c r="Z1626" s="1153"/>
      <c r="AA1626" s="1153"/>
      <c r="AB1626" s="733">
        <f t="shared" si="207"/>
        <v>0</v>
      </c>
      <c r="AC1626" s="1152"/>
      <c r="AD1626" s="1153"/>
      <c r="AE1626" s="1152"/>
      <c r="AF1626" s="1152"/>
      <c r="AG1626" s="1153"/>
      <c r="AH1626" s="1153"/>
      <c r="AI1626" s="732">
        <f t="shared" si="211"/>
        <v>9123949</v>
      </c>
      <c r="AJ1626" s="733">
        <f t="shared" si="212"/>
        <v>8564136</v>
      </c>
    </row>
    <row r="1627" spans="1:36">
      <c r="A1627" s="759" t="s">
        <v>636</v>
      </c>
      <c r="B1627" s="729" t="s">
        <v>62</v>
      </c>
      <c r="C1627" s="762" t="s">
        <v>684</v>
      </c>
      <c r="D1627" s="763"/>
      <c r="E1627" s="759">
        <v>198914</v>
      </c>
      <c r="F1627" s="759">
        <v>10</v>
      </c>
      <c r="G1627" s="1152"/>
      <c r="H1627" s="1153"/>
      <c r="I1627" s="1152"/>
      <c r="J1627" s="1153"/>
      <c r="K1627" s="1152"/>
      <c r="L1627" s="1153"/>
      <c r="M1627" s="1152"/>
      <c r="N1627" s="1152"/>
      <c r="O1627" s="732">
        <f t="shared" si="205"/>
        <v>0</v>
      </c>
      <c r="P1627" s="1153"/>
      <c r="Q1627" s="1153"/>
      <c r="R1627" s="733">
        <f t="shared" si="208"/>
        <v>0</v>
      </c>
      <c r="S1627" s="732">
        <f t="shared" si="209"/>
        <v>0</v>
      </c>
      <c r="T1627" s="733">
        <f t="shared" si="210"/>
        <v>0</v>
      </c>
      <c r="U1627" s="1152"/>
      <c r="V1627" s="1153"/>
      <c r="W1627" s="1152"/>
      <c r="X1627" s="1152"/>
      <c r="Y1627" s="732">
        <f t="shared" si="206"/>
        <v>0</v>
      </c>
      <c r="Z1627" s="1153"/>
      <c r="AA1627" s="1153"/>
      <c r="AB1627" s="733">
        <f t="shared" si="207"/>
        <v>0</v>
      </c>
      <c r="AC1627" s="1152"/>
      <c r="AD1627" s="1153"/>
      <c r="AE1627" s="1152"/>
      <c r="AF1627" s="1152"/>
      <c r="AG1627" s="1153"/>
      <c r="AH1627" s="1153"/>
      <c r="AI1627" s="732">
        <f t="shared" si="211"/>
        <v>0</v>
      </c>
      <c r="AJ1627" s="733">
        <f t="shared" si="212"/>
        <v>0</v>
      </c>
    </row>
    <row r="1628" spans="1:36">
      <c r="A1628" s="759" t="s">
        <v>636</v>
      </c>
      <c r="B1628" s="729" t="s">
        <v>69</v>
      </c>
      <c r="C1628" s="762" t="s">
        <v>70</v>
      </c>
      <c r="D1628" s="763"/>
      <c r="E1628" s="759">
        <v>198914</v>
      </c>
      <c r="F1628" s="759">
        <v>10</v>
      </c>
      <c r="G1628" s="1152"/>
      <c r="H1628" s="1153"/>
      <c r="I1628" s="1152">
        <v>162660</v>
      </c>
      <c r="J1628" s="1153">
        <v>164690</v>
      </c>
      <c r="K1628" s="1152"/>
      <c r="L1628" s="1153"/>
      <c r="M1628" s="1152"/>
      <c r="N1628" s="1152"/>
      <c r="O1628" s="732">
        <f t="shared" si="205"/>
        <v>0</v>
      </c>
      <c r="P1628" s="1153"/>
      <c r="Q1628" s="1153"/>
      <c r="R1628" s="733">
        <f t="shared" si="208"/>
        <v>0</v>
      </c>
      <c r="S1628" s="732">
        <f t="shared" si="209"/>
        <v>162660</v>
      </c>
      <c r="T1628" s="733">
        <f t="shared" si="210"/>
        <v>164690</v>
      </c>
      <c r="U1628" s="1152"/>
      <c r="V1628" s="1153"/>
      <c r="W1628" s="1152"/>
      <c r="X1628" s="1152"/>
      <c r="Y1628" s="732">
        <f t="shared" si="206"/>
        <v>0</v>
      </c>
      <c r="Z1628" s="1153"/>
      <c r="AA1628" s="1153"/>
      <c r="AB1628" s="733">
        <f t="shared" si="207"/>
        <v>0</v>
      </c>
      <c r="AC1628" s="1152"/>
      <c r="AD1628" s="1153"/>
      <c r="AE1628" s="1152"/>
      <c r="AF1628" s="1152"/>
      <c r="AG1628" s="1153"/>
      <c r="AH1628" s="1153"/>
      <c r="AI1628" s="732">
        <f t="shared" si="211"/>
        <v>162660</v>
      </c>
      <c r="AJ1628" s="733">
        <f t="shared" si="212"/>
        <v>164690</v>
      </c>
    </row>
    <row r="1629" spans="1:36">
      <c r="A1629" s="759" t="s">
        <v>636</v>
      </c>
      <c r="B1629" s="729" t="s">
        <v>685</v>
      </c>
      <c r="C1629" s="762" t="s">
        <v>72</v>
      </c>
      <c r="D1629" s="763"/>
      <c r="E1629" s="759">
        <v>198914</v>
      </c>
      <c r="F1629" s="759">
        <v>10</v>
      </c>
      <c r="G1629" s="1152"/>
      <c r="H1629" s="1153"/>
      <c r="I1629" s="1152">
        <v>1914879</v>
      </c>
      <c r="J1629" s="1153">
        <v>1962689</v>
      </c>
      <c r="K1629" s="1152"/>
      <c r="L1629" s="1153"/>
      <c r="M1629" s="1152">
        <v>174173</v>
      </c>
      <c r="N1629" s="1152"/>
      <c r="O1629" s="732">
        <f t="shared" si="205"/>
        <v>174173</v>
      </c>
      <c r="P1629" s="1153">
        <v>182234</v>
      </c>
      <c r="Q1629" s="1153"/>
      <c r="R1629" s="733">
        <f t="shared" si="208"/>
        <v>182234</v>
      </c>
      <c r="S1629" s="732">
        <f t="shared" si="209"/>
        <v>2089052</v>
      </c>
      <c r="T1629" s="733">
        <f t="shared" si="210"/>
        <v>2144923</v>
      </c>
      <c r="U1629" s="1152"/>
      <c r="V1629" s="1153"/>
      <c r="W1629" s="1152"/>
      <c r="X1629" s="1152"/>
      <c r="Y1629" s="732">
        <f t="shared" si="206"/>
        <v>0</v>
      </c>
      <c r="Z1629" s="1153"/>
      <c r="AA1629" s="1153"/>
      <c r="AB1629" s="733">
        <f t="shared" si="207"/>
        <v>0</v>
      </c>
      <c r="AC1629" s="1152"/>
      <c r="AD1629" s="1153"/>
      <c r="AE1629" s="1152"/>
      <c r="AF1629" s="1152"/>
      <c r="AG1629" s="1153"/>
      <c r="AH1629" s="1153"/>
      <c r="AI1629" s="732">
        <f t="shared" si="211"/>
        <v>2089052</v>
      </c>
      <c r="AJ1629" s="733">
        <f t="shared" si="212"/>
        <v>2144923</v>
      </c>
    </row>
    <row r="1630" spans="1:36">
      <c r="A1630" s="759" t="s">
        <v>636</v>
      </c>
      <c r="B1630" s="729" t="s">
        <v>62</v>
      </c>
      <c r="C1630" s="729" t="s">
        <v>729</v>
      </c>
      <c r="D1630" s="722"/>
      <c r="E1630" s="759">
        <v>198923</v>
      </c>
      <c r="F1630" s="759">
        <v>10</v>
      </c>
      <c r="G1630" s="1152">
        <v>5934877</v>
      </c>
      <c r="H1630" s="1153">
        <v>6166918</v>
      </c>
      <c r="I1630" s="1152"/>
      <c r="J1630" s="1153"/>
      <c r="K1630" s="1152">
        <v>1096292</v>
      </c>
      <c r="L1630" s="1153">
        <v>1136292</v>
      </c>
      <c r="M1630" s="1152">
        <v>1508779</v>
      </c>
      <c r="N1630" s="1152"/>
      <c r="O1630" s="732">
        <f t="shared" si="205"/>
        <v>1508779</v>
      </c>
      <c r="P1630" s="1153">
        <v>1491765</v>
      </c>
      <c r="Q1630" s="1153"/>
      <c r="R1630" s="733">
        <f t="shared" si="208"/>
        <v>1491765</v>
      </c>
      <c r="S1630" s="732">
        <f t="shared" si="209"/>
        <v>8539948</v>
      </c>
      <c r="T1630" s="733">
        <f t="shared" si="210"/>
        <v>8794975</v>
      </c>
      <c r="U1630" s="1152"/>
      <c r="V1630" s="1153"/>
      <c r="W1630" s="1152"/>
      <c r="X1630" s="1152"/>
      <c r="Y1630" s="732">
        <f t="shared" si="206"/>
        <v>0</v>
      </c>
      <c r="Z1630" s="1153"/>
      <c r="AA1630" s="1153"/>
      <c r="AB1630" s="733">
        <f t="shared" si="207"/>
        <v>0</v>
      </c>
      <c r="AC1630" s="1152"/>
      <c r="AD1630" s="1153"/>
      <c r="AE1630" s="1152"/>
      <c r="AF1630" s="1152"/>
      <c r="AG1630" s="1153"/>
      <c r="AH1630" s="1153"/>
      <c r="AI1630" s="732">
        <f t="shared" si="211"/>
        <v>8539948</v>
      </c>
      <c r="AJ1630" s="733">
        <f t="shared" si="212"/>
        <v>8794975</v>
      </c>
    </row>
    <row r="1631" spans="1:36">
      <c r="A1631" s="759" t="s">
        <v>636</v>
      </c>
      <c r="B1631" s="729" t="s">
        <v>62</v>
      </c>
      <c r="C1631" s="762" t="s">
        <v>684</v>
      </c>
      <c r="D1631" s="763"/>
      <c r="E1631" s="759">
        <v>198923</v>
      </c>
      <c r="F1631" s="759">
        <v>10</v>
      </c>
      <c r="G1631" s="1152"/>
      <c r="H1631" s="1153"/>
      <c r="I1631" s="1152"/>
      <c r="J1631" s="1153"/>
      <c r="K1631" s="1152"/>
      <c r="L1631" s="1153"/>
      <c r="M1631" s="1152"/>
      <c r="N1631" s="1152"/>
      <c r="O1631" s="732">
        <f t="shared" si="205"/>
        <v>0</v>
      </c>
      <c r="P1631" s="1153"/>
      <c r="Q1631" s="1153"/>
      <c r="R1631" s="733">
        <f t="shared" si="208"/>
        <v>0</v>
      </c>
      <c r="S1631" s="732">
        <f t="shared" si="209"/>
        <v>0</v>
      </c>
      <c r="T1631" s="733">
        <f t="shared" si="210"/>
        <v>0</v>
      </c>
      <c r="U1631" s="1152"/>
      <c r="V1631" s="1153"/>
      <c r="W1631" s="1152"/>
      <c r="X1631" s="1152"/>
      <c r="Y1631" s="732">
        <f t="shared" si="206"/>
        <v>0</v>
      </c>
      <c r="Z1631" s="1153"/>
      <c r="AA1631" s="1153"/>
      <c r="AB1631" s="733">
        <f t="shared" si="207"/>
        <v>0</v>
      </c>
      <c r="AC1631" s="1152"/>
      <c r="AD1631" s="1153"/>
      <c r="AE1631" s="1152"/>
      <c r="AF1631" s="1152"/>
      <c r="AG1631" s="1153"/>
      <c r="AH1631" s="1153"/>
      <c r="AI1631" s="732">
        <f t="shared" si="211"/>
        <v>0</v>
      </c>
      <c r="AJ1631" s="733">
        <f t="shared" si="212"/>
        <v>0</v>
      </c>
    </row>
    <row r="1632" spans="1:36">
      <c r="A1632" s="759" t="s">
        <v>636</v>
      </c>
      <c r="B1632" s="729" t="s">
        <v>69</v>
      </c>
      <c r="C1632" s="762" t="s">
        <v>70</v>
      </c>
      <c r="D1632" s="763"/>
      <c r="E1632" s="759">
        <v>198923</v>
      </c>
      <c r="F1632" s="759">
        <v>10</v>
      </c>
      <c r="G1632" s="1152"/>
      <c r="H1632" s="1153"/>
      <c r="I1632" s="1152">
        <v>155464</v>
      </c>
      <c r="J1632" s="1153">
        <v>166910</v>
      </c>
      <c r="K1632" s="1152"/>
      <c r="L1632" s="1153"/>
      <c r="M1632" s="1152"/>
      <c r="N1632" s="1152"/>
      <c r="O1632" s="732">
        <f t="shared" si="205"/>
        <v>0</v>
      </c>
      <c r="P1632" s="1153"/>
      <c r="Q1632" s="1153"/>
      <c r="R1632" s="733">
        <f t="shared" si="208"/>
        <v>0</v>
      </c>
      <c r="S1632" s="732">
        <f t="shared" si="209"/>
        <v>155464</v>
      </c>
      <c r="T1632" s="733">
        <f t="shared" si="210"/>
        <v>166910</v>
      </c>
      <c r="U1632" s="1152"/>
      <c r="V1632" s="1153"/>
      <c r="W1632" s="1152"/>
      <c r="X1632" s="1152"/>
      <c r="Y1632" s="732">
        <f t="shared" si="206"/>
        <v>0</v>
      </c>
      <c r="Z1632" s="1153"/>
      <c r="AA1632" s="1153"/>
      <c r="AB1632" s="733">
        <f t="shared" si="207"/>
        <v>0</v>
      </c>
      <c r="AC1632" s="1152"/>
      <c r="AD1632" s="1153"/>
      <c r="AE1632" s="1152"/>
      <c r="AF1632" s="1152"/>
      <c r="AG1632" s="1153"/>
      <c r="AH1632" s="1153"/>
      <c r="AI1632" s="732">
        <f t="shared" si="211"/>
        <v>155464</v>
      </c>
      <c r="AJ1632" s="733">
        <f t="shared" si="212"/>
        <v>166910</v>
      </c>
    </row>
    <row r="1633" spans="1:36">
      <c r="A1633" s="759" t="s">
        <v>636</v>
      </c>
      <c r="B1633" s="729" t="s">
        <v>685</v>
      </c>
      <c r="C1633" s="762" t="s">
        <v>72</v>
      </c>
      <c r="D1633" s="763"/>
      <c r="E1633" s="759">
        <v>198923</v>
      </c>
      <c r="F1633" s="759">
        <v>10</v>
      </c>
      <c r="G1633" s="1152"/>
      <c r="H1633" s="1153"/>
      <c r="I1633" s="1152">
        <v>753068</v>
      </c>
      <c r="J1633" s="1153">
        <v>865239</v>
      </c>
      <c r="K1633" s="1152"/>
      <c r="L1633" s="1153"/>
      <c r="M1633" s="1152">
        <v>86489</v>
      </c>
      <c r="N1633" s="1152"/>
      <c r="O1633" s="732">
        <f t="shared" si="205"/>
        <v>86489</v>
      </c>
      <c r="P1633" s="1153">
        <v>98354</v>
      </c>
      <c r="Q1633" s="1153"/>
      <c r="R1633" s="733">
        <f t="shared" si="208"/>
        <v>98354</v>
      </c>
      <c r="S1633" s="732">
        <f t="shared" si="209"/>
        <v>839557</v>
      </c>
      <c r="T1633" s="733">
        <f t="shared" si="210"/>
        <v>963593</v>
      </c>
      <c r="U1633" s="1152"/>
      <c r="V1633" s="1153"/>
      <c r="W1633" s="1152"/>
      <c r="X1633" s="1152"/>
      <c r="Y1633" s="732">
        <f t="shared" si="206"/>
        <v>0</v>
      </c>
      <c r="Z1633" s="1153"/>
      <c r="AA1633" s="1153"/>
      <c r="AB1633" s="733">
        <f t="shared" si="207"/>
        <v>0</v>
      </c>
      <c r="AC1633" s="1152"/>
      <c r="AD1633" s="1153"/>
      <c r="AE1633" s="1152"/>
      <c r="AF1633" s="1152"/>
      <c r="AG1633" s="1153"/>
      <c r="AH1633" s="1153"/>
      <c r="AI1633" s="732">
        <f t="shared" si="211"/>
        <v>839557</v>
      </c>
      <c r="AJ1633" s="733">
        <f t="shared" si="212"/>
        <v>963593</v>
      </c>
    </row>
    <row r="1634" spans="1:36">
      <c r="A1634" s="759" t="s">
        <v>636</v>
      </c>
      <c r="B1634" s="729" t="s">
        <v>62</v>
      </c>
      <c r="C1634" s="729" t="s">
        <v>730</v>
      </c>
      <c r="D1634" s="722"/>
      <c r="E1634" s="759">
        <v>199023</v>
      </c>
      <c r="F1634" s="759">
        <v>10</v>
      </c>
      <c r="G1634" s="1152">
        <v>5165097</v>
      </c>
      <c r="H1634" s="1153">
        <v>5662878</v>
      </c>
      <c r="I1634" s="1152"/>
      <c r="J1634" s="1153"/>
      <c r="K1634" s="1152">
        <v>784000</v>
      </c>
      <c r="L1634" s="1153">
        <v>794400</v>
      </c>
      <c r="M1634" s="1152">
        <v>1267574</v>
      </c>
      <c r="N1634" s="1152"/>
      <c r="O1634" s="732">
        <f t="shared" si="205"/>
        <v>1267574</v>
      </c>
      <c r="P1634" s="1153">
        <v>1382455</v>
      </c>
      <c r="Q1634" s="1153"/>
      <c r="R1634" s="733">
        <f t="shared" si="208"/>
        <v>1382455</v>
      </c>
      <c r="S1634" s="732">
        <f t="shared" si="209"/>
        <v>7216671</v>
      </c>
      <c r="T1634" s="733">
        <f t="shared" si="210"/>
        <v>7839733</v>
      </c>
      <c r="U1634" s="1152"/>
      <c r="V1634" s="1153"/>
      <c r="W1634" s="1152"/>
      <c r="X1634" s="1152"/>
      <c r="Y1634" s="732">
        <f t="shared" si="206"/>
        <v>0</v>
      </c>
      <c r="Z1634" s="1153"/>
      <c r="AA1634" s="1153"/>
      <c r="AB1634" s="733">
        <f t="shared" si="207"/>
        <v>0</v>
      </c>
      <c r="AC1634" s="1152"/>
      <c r="AD1634" s="1153"/>
      <c r="AE1634" s="1152"/>
      <c r="AF1634" s="1152"/>
      <c r="AG1634" s="1153"/>
      <c r="AH1634" s="1153"/>
      <c r="AI1634" s="732">
        <f t="shared" si="211"/>
        <v>7216671</v>
      </c>
      <c r="AJ1634" s="733">
        <f t="shared" si="212"/>
        <v>7839733</v>
      </c>
    </row>
    <row r="1635" spans="1:36">
      <c r="A1635" s="759" t="s">
        <v>636</v>
      </c>
      <c r="B1635" s="729" t="s">
        <v>62</v>
      </c>
      <c r="C1635" s="762" t="s">
        <v>684</v>
      </c>
      <c r="D1635" s="763"/>
      <c r="E1635" s="759">
        <v>199023</v>
      </c>
      <c r="F1635" s="759">
        <v>10</v>
      </c>
      <c r="G1635" s="1152"/>
      <c r="H1635" s="1153"/>
      <c r="I1635" s="1152"/>
      <c r="J1635" s="1153"/>
      <c r="K1635" s="1152"/>
      <c r="L1635" s="1153"/>
      <c r="M1635" s="1152"/>
      <c r="N1635" s="1152"/>
      <c r="O1635" s="732">
        <f t="shared" si="205"/>
        <v>0</v>
      </c>
      <c r="P1635" s="1153"/>
      <c r="Q1635" s="1153"/>
      <c r="R1635" s="733">
        <f t="shared" si="208"/>
        <v>0</v>
      </c>
      <c r="S1635" s="732">
        <f t="shared" si="209"/>
        <v>0</v>
      </c>
      <c r="T1635" s="733">
        <f t="shared" si="210"/>
        <v>0</v>
      </c>
      <c r="U1635" s="1152"/>
      <c r="V1635" s="1153"/>
      <c r="W1635" s="1152"/>
      <c r="X1635" s="1152"/>
      <c r="Y1635" s="732">
        <f t="shared" si="206"/>
        <v>0</v>
      </c>
      <c r="Z1635" s="1153"/>
      <c r="AA1635" s="1153"/>
      <c r="AB1635" s="733">
        <f t="shared" si="207"/>
        <v>0</v>
      </c>
      <c r="AC1635" s="1152"/>
      <c r="AD1635" s="1153"/>
      <c r="AE1635" s="1152"/>
      <c r="AF1635" s="1152"/>
      <c r="AG1635" s="1153"/>
      <c r="AH1635" s="1153"/>
      <c r="AI1635" s="732">
        <f t="shared" si="211"/>
        <v>0</v>
      </c>
      <c r="AJ1635" s="733">
        <f t="shared" si="212"/>
        <v>0</v>
      </c>
    </row>
    <row r="1636" spans="1:36">
      <c r="A1636" s="759" t="s">
        <v>636</v>
      </c>
      <c r="B1636" s="729" t="s">
        <v>69</v>
      </c>
      <c r="C1636" s="762" t="s">
        <v>70</v>
      </c>
      <c r="D1636" s="763"/>
      <c r="E1636" s="759">
        <v>199023</v>
      </c>
      <c r="F1636" s="759">
        <v>10</v>
      </c>
      <c r="G1636" s="1152"/>
      <c r="H1636" s="1153"/>
      <c r="I1636" s="1152">
        <v>155669</v>
      </c>
      <c r="J1636" s="1153">
        <v>156968</v>
      </c>
      <c r="K1636" s="1152"/>
      <c r="L1636" s="1153"/>
      <c r="M1636" s="1152"/>
      <c r="N1636" s="1152"/>
      <c r="O1636" s="732">
        <f t="shared" si="205"/>
        <v>0</v>
      </c>
      <c r="P1636" s="1153"/>
      <c r="Q1636" s="1153"/>
      <c r="R1636" s="733">
        <f t="shared" si="208"/>
        <v>0</v>
      </c>
      <c r="S1636" s="732">
        <f t="shared" si="209"/>
        <v>155669</v>
      </c>
      <c r="T1636" s="733">
        <f t="shared" si="210"/>
        <v>156968</v>
      </c>
      <c r="U1636" s="1152"/>
      <c r="V1636" s="1153"/>
      <c r="W1636" s="1152"/>
      <c r="X1636" s="1152"/>
      <c r="Y1636" s="732">
        <f t="shared" si="206"/>
        <v>0</v>
      </c>
      <c r="Z1636" s="1153"/>
      <c r="AA1636" s="1153"/>
      <c r="AB1636" s="733">
        <f t="shared" si="207"/>
        <v>0</v>
      </c>
      <c r="AC1636" s="1152"/>
      <c r="AD1636" s="1153"/>
      <c r="AE1636" s="1152"/>
      <c r="AF1636" s="1152"/>
      <c r="AG1636" s="1153"/>
      <c r="AH1636" s="1153"/>
      <c r="AI1636" s="732">
        <f t="shared" si="211"/>
        <v>155669</v>
      </c>
      <c r="AJ1636" s="733">
        <f t="shared" si="212"/>
        <v>156968</v>
      </c>
    </row>
    <row r="1637" spans="1:36">
      <c r="A1637" s="759" t="s">
        <v>636</v>
      </c>
      <c r="B1637" s="729" t="s">
        <v>685</v>
      </c>
      <c r="C1637" s="762" t="s">
        <v>72</v>
      </c>
      <c r="D1637" s="763"/>
      <c r="E1637" s="759">
        <v>199023</v>
      </c>
      <c r="F1637" s="759">
        <v>10</v>
      </c>
      <c r="G1637" s="1152"/>
      <c r="H1637" s="1153"/>
      <c r="I1637" s="1152">
        <v>664697</v>
      </c>
      <c r="J1637" s="1153">
        <v>648394</v>
      </c>
      <c r="K1637" s="1152"/>
      <c r="L1637" s="1153"/>
      <c r="M1637" s="1152">
        <v>90076</v>
      </c>
      <c r="N1637" s="1152"/>
      <c r="O1637" s="732">
        <f t="shared" si="205"/>
        <v>90076</v>
      </c>
      <c r="P1637" s="1153">
        <v>79797</v>
      </c>
      <c r="Q1637" s="1153"/>
      <c r="R1637" s="733">
        <f t="shared" si="208"/>
        <v>79797</v>
      </c>
      <c r="S1637" s="732">
        <f t="shared" si="209"/>
        <v>754773</v>
      </c>
      <c r="T1637" s="733">
        <f t="shared" si="210"/>
        <v>728191</v>
      </c>
      <c r="U1637" s="1152"/>
      <c r="V1637" s="1153"/>
      <c r="W1637" s="1152"/>
      <c r="X1637" s="1152"/>
      <c r="Y1637" s="732">
        <f t="shared" si="206"/>
        <v>0</v>
      </c>
      <c r="Z1637" s="1153"/>
      <c r="AA1637" s="1153"/>
      <c r="AB1637" s="733">
        <f t="shared" si="207"/>
        <v>0</v>
      </c>
      <c r="AC1637" s="1152"/>
      <c r="AD1637" s="1153"/>
      <c r="AE1637" s="1152"/>
      <c r="AF1637" s="1152"/>
      <c r="AG1637" s="1153"/>
      <c r="AH1637" s="1153"/>
      <c r="AI1637" s="732">
        <f t="shared" si="211"/>
        <v>754773</v>
      </c>
      <c r="AJ1637" s="733">
        <f t="shared" si="212"/>
        <v>728191</v>
      </c>
    </row>
    <row r="1638" spans="1:36">
      <c r="A1638" s="759" t="s">
        <v>636</v>
      </c>
      <c r="B1638" s="729" t="s">
        <v>62</v>
      </c>
      <c r="C1638" s="729" t="s">
        <v>731</v>
      </c>
      <c r="D1638" s="722"/>
      <c r="E1638" s="759">
        <v>199263</v>
      </c>
      <c r="F1638" s="759">
        <v>10</v>
      </c>
      <c r="G1638" s="1152">
        <v>4365185</v>
      </c>
      <c r="H1638" s="1153">
        <v>4296736</v>
      </c>
      <c r="I1638" s="1152"/>
      <c r="J1638" s="1153"/>
      <c r="K1638" s="1152">
        <v>629448</v>
      </c>
      <c r="L1638" s="1153">
        <v>640594</v>
      </c>
      <c r="M1638" s="1152">
        <v>738586</v>
      </c>
      <c r="N1638" s="1152"/>
      <c r="O1638" s="732">
        <f t="shared" si="205"/>
        <v>738586</v>
      </c>
      <c r="P1638" s="1153">
        <v>855193</v>
      </c>
      <c r="Q1638" s="1153"/>
      <c r="R1638" s="733">
        <f t="shared" si="208"/>
        <v>855193</v>
      </c>
      <c r="S1638" s="732">
        <f t="shared" si="209"/>
        <v>5733219</v>
      </c>
      <c r="T1638" s="733">
        <f t="shared" si="210"/>
        <v>5792523</v>
      </c>
      <c r="U1638" s="1152"/>
      <c r="V1638" s="1153"/>
      <c r="W1638" s="1152"/>
      <c r="X1638" s="1152"/>
      <c r="Y1638" s="732">
        <f t="shared" si="206"/>
        <v>0</v>
      </c>
      <c r="Z1638" s="1153"/>
      <c r="AA1638" s="1153"/>
      <c r="AB1638" s="733">
        <f t="shared" si="207"/>
        <v>0</v>
      </c>
      <c r="AC1638" s="1152"/>
      <c r="AD1638" s="1153"/>
      <c r="AE1638" s="1152"/>
      <c r="AF1638" s="1152"/>
      <c r="AG1638" s="1153"/>
      <c r="AH1638" s="1153"/>
      <c r="AI1638" s="732">
        <f t="shared" si="211"/>
        <v>5733219</v>
      </c>
      <c r="AJ1638" s="733">
        <f t="shared" si="212"/>
        <v>5792523</v>
      </c>
    </row>
    <row r="1639" spans="1:36">
      <c r="A1639" s="759" t="s">
        <v>636</v>
      </c>
      <c r="B1639" s="729" t="s">
        <v>62</v>
      </c>
      <c r="C1639" s="762" t="s">
        <v>684</v>
      </c>
      <c r="D1639" s="763"/>
      <c r="E1639" s="759">
        <v>199263</v>
      </c>
      <c r="F1639" s="759">
        <v>10</v>
      </c>
      <c r="G1639" s="1152"/>
      <c r="H1639" s="1153"/>
      <c r="I1639" s="1152"/>
      <c r="J1639" s="1153"/>
      <c r="K1639" s="1152"/>
      <c r="L1639" s="1153"/>
      <c r="M1639" s="1152"/>
      <c r="N1639" s="1152"/>
      <c r="O1639" s="732">
        <f t="shared" si="205"/>
        <v>0</v>
      </c>
      <c r="P1639" s="1153"/>
      <c r="Q1639" s="1153"/>
      <c r="R1639" s="733">
        <f t="shared" si="208"/>
        <v>0</v>
      </c>
      <c r="S1639" s="732">
        <f t="shared" si="209"/>
        <v>0</v>
      </c>
      <c r="T1639" s="733">
        <f t="shared" si="210"/>
        <v>0</v>
      </c>
      <c r="U1639" s="1152"/>
      <c r="V1639" s="1153"/>
      <c r="W1639" s="1152"/>
      <c r="X1639" s="1152"/>
      <c r="Y1639" s="732">
        <f t="shared" si="206"/>
        <v>0</v>
      </c>
      <c r="Z1639" s="1153"/>
      <c r="AA1639" s="1153"/>
      <c r="AB1639" s="733">
        <f t="shared" si="207"/>
        <v>0</v>
      </c>
      <c r="AC1639" s="1152"/>
      <c r="AD1639" s="1153"/>
      <c r="AE1639" s="1152"/>
      <c r="AF1639" s="1152"/>
      <c r="AG1639" s="1153"/>
      <c r="AH1639" s="1153"/>
      <c r="AI1639" s="732">
        <f t="shared" si="211"/>
        <v>0</v>
      </c>
      <c r="AJ1639" s="733">
        <f t="shared" si="212"/>
        <v>0</v>
      </c>
    </row>
    <row r="1640" spans="1:36">
      <c r="A1640" s="759" t="s">
        <v>636</v>
      </c>
      <c r="B1640" s="729" t="s">
        <v>69</v>
      </c>
      <c r="C1640" s="762" t="s">
        <v>70</v>
      </c>
      <c r="D1640" s="763"/>
      <c r="E1640" s="759">
        <v>199263</v>
      </c>
      <c r="F1640" s="759">
        <v>10</v>
      </c>
      <c r="G1640" s="1152"/>
      <c r="H1640" s="1153"/>
      <c r="I1640" s="1152">
        <v>106383</v>
      </c>
      <c r="J1640" s="1153">
        <v>105581</v>
      </c>
      <c r="K1640" s="1152"/>
      <c r="L1640" s="1153"/>
      <c r="M1640" s="1152"/>
      <c r="N1640" s="1152"/>
      <c r="O1640" s="732">
        <f t="shared" si="205"/>
        <v>0</v>
      </c>
      <c r="P1640" s="1153"/>
      <c r="Q1640" s="1153"/>
      <c r="R1640" s="733">
        <f t="shared" si="208"/>
        <v>0</v>
      </c>
      <c r="S1640" s="732">
        <f t="shared" si="209"/>
        <v>106383</v>
      </c>
      <c r="T1640" s="733">
        <f t="shared" si="210"/>
        <v>105581</v>
      </c>
      <c r="U1640" s="1152"/>
      <c r="V1640" s="1153"/>
      <c r="W1640" s="1152"/>
      <c r="X1640" s="1152"/>
      <c r="Y1640" s="732">
        <f t="shared" si="206"/>
        <v>0</v>
      </c>
      <c r="Z1640" s="1153"/>
      <c r="AA1640" s="1153"/>
      <c r="AB1640" s="733">
        <f t="shared" si="207"/>
        <v>0</v>
      </c>
      <c r="AC1640" s="1152"/>
      <c r="AD1640" s="1153"/>
      <c r="AE1640" s="1152"/>
      <c r="AF1640" s="1152"/>
      <c r="AG1640" s="1153"/>
      <c r="AH1640" s="1153"/>
      <c r="AI1640" s="732">
        <f t="shared" si="211"/>
        <v>106383</v>
      </c>
      <c r="AJ1640" s="733">
        <f t="shared" si="212"/>
        <v>105581</v>
      </c>
    </row>
    <row r="1641" spans="1:36">
      <c r="A1641" s="759" t="s">
        <v>636</v>
      </c>
      <c r="B1641" s="729" t="s">
        <v>685</v>
      </c>
      <c r="C1641" s="762" t="s">
        <v>72</v>
      </c>
      <c r="D1641" s="763"/>
      <c r="E1641" s="759">
        <v>199263</v>
      </c>
      <c r="F1641" s="759">
        <v>10</v>
      </c>
      <c r="G1641" s="1152"/>
      <c r="H1641" s="1153"/>
      <c r="I1641" s="1152">
        <v>450301</v>
      </c>
      <c r="J1641" s="1153">
        <v>500681</v>
      </c>
      <c r="K1641" s="1152"/>
      <c r="L1641" s="1153"/>
      <c r="M1641" s="1152">
        <v>48625</v>
      </c>
      <c r="N1641" s="1152"/>
      <c r="O1641" s="732">
        <f t="shared" si="205"/>
        <v>48625</v>
      </c>
      <c r="P1641" s="1153">
        <v>41940</v>
      </c>
      <c r="Q1641" s="1153"/>
      <c r="R1641" s="733">
        <f t="shared" si="208"/>
        <v>41940</v>
      </c>
      <c r="S1641" s="732">
        <f t="shared" si="209"/>
        <v>498926</v>
      </c>
      <c r="T1641" s="733">
        <f t="shared" si="210"/>
        <v>542621</v>
      </c>
      <c r="U1641" s="1152"/>
      <c r="V1641" s="1153"/>
      <c r="W1641" s="1152"/>
      <c r="X1641" s="1152"/>
      <c r="Y1641" s="732">
        <f t="shared" si="206"/>
        <v>0</v>
      </c>
      <c r="Z1641" s="1153"/>
      <c r="AA1641" s="1153"/>
      <c r="AB1641" s="733">
        <f t="shared" si="207"/>
        <v>0</v>
      </c>
      <c r="AC1641" s="1152"/>
      <c r="AD1641" s="1153"/>
      <c r="AE1641" s="1152"/>
      <c r="AF1641" s="1152"/>
      <c r="AG1641" s="1153"/>
      <c r="AH1641" s="1153"/>
      <c r="AI1641" s="732">
        <f t="shared" si="211"/>
        <v>498926</v>
      </c>
      <c r="AJ1641" s="733">
        <f t="shared" si="212"/>
        <v>542621</v>
      </c>
    </row>
    <row r="1642" spans="1:36">
      <c r="A1642" s="759" t="s">
        <v>636</v>
      </c>
      <c r="B1642" s="729" t="s">
        <v>62</v>
      </c>
      <c r="C1642" s="729" t="s">
        <v>732</v>
      </c>
      <c r="D1642" s="722"/>
      <c r="E1642" s="759">
        <v>199324</v>
      </c>
      <c r="F1642" s="759">
        <v>10</v>
      </c>
      <c r="G1642" s="1152">
        <v>7264305</v>
      </c>
      <c r="H1642" s="1153">
        <v>7824574</v>
      </c>
      <c r="I1642" s="1152"/>
      <c r="J1642" s="1153"/>
      <c r="K1642" s="1152">
        <v>1623376</v>
      </c>
      <c r="L1642" s="1153">
        <v>1630195</v>
      </c>
      <c r="M1642" s="1152">
        <v>1600270</v>
      </c>
      <c r="N1642" s="1152"/>
      <c r="O1642" s="732">
        <f t="shared" si="205"/>
        <v>1600270</v>
      </c>
      <c r="P1642" s="1153">
        <v>1753788</v>
      </c>
      <c r="Q1642" s="1153"/>
      <c r="R1642" s="733">
        <f t="shared" si="208"/>
        <v>1753788</v>
      </c>
      <c r="S1642" s="732">
        <f t="shared" si="209"/>
        <v>10487951</v>
      </c>
      <c r="T1642" s="733">
        <f t="shared" si="210"/>
        <v>11208557</v>
      </c>
      <c r="U1642" s="1152"/>
      <c r="V1642" s="1153"/>
      <c r="W1642" s="1152"/>
      <c r="X1642" s="1152"/>
      <c r="Y1642" s="732">
        <f t="shared" si="206"/>
        <v>0</v>
      </c>
      <c r="Z1642" s="1153"/>
      <c r="AA1642" s="1153"/>
      <c r="AB1642" s="733">
        <f t="shared" si="207"/>
        <v>0</v>
      </c>
      <c r="AC1642" s="1152"/>
      <c r="AD1642" s="1153"/>
      <c r="AE1642" s="1152"/>
      <c r="AF1642" s="1152"/>
      <c r="AG1642" s="1153"/>
      <c r="AH1642" s="1153"/>
      <c r="AI1642" s="732">
        <f t="shared" si="211"/>
        <v>10487951</v>
      </c>
      <c r="AJ1642" s="733">
        <f t="shared" si="212"/>
        <v>11208557</v>
      </c>
    </row>
    <row r="1643" spans="1:36">
      <c r="A1643" s="759" t="s">
        <v>636</v>
      </c>
      <c r="B1643" s="729" t="s">
        <v>62</v>
      </c>
      <c r="C1643" s="762" t="s">
        <v>684</v>
      </c>
      <c r="D1643" s="763"/>
      <c r="E1643" s="759">
        <v>199324</v>
      </c>
      <c r="F1643" s="759">
        <v>10</v>
      </c>
      <c r="G1643" s="1152"/>
      <c r="H1643" s="1153"/>
      <c r="I1643" s="1152"/>
      <c r="J1643" s="1153"/>
      <c r="K1643" s="1152"/>
      <c r="L1643" s="1153"/>
      <c r="M1643" s="1152"/>
      <c r="N1643" s="1152"/>
      <c r="O1643" s="732">
        <f t="shared" si="205"/>
        <v>0</v>
      </c>
      <c r="P1643" s="1153"/>
      <c r="Q1643" s="1153"/>
      <c r="R1643" s="733">
        <f t="shared" si="208"/>
        <v>0</v>
      </c>
      <c r="S1643" s="732">
        <f t="shared" si="209"/>
        <v>0</v>
      </c>
      <c r="T1643" s="733">
        <f t="shared" si="210"/>
        <v>0</v>
      </c>
      <c r="U1643" s="1152"/>
      <c r="V1643" s="1153"/>
      <c r="W1643" s="1152"/>
      <c r="X1643" s="1152"/>
      <c r="Y1643" s="732">
        <f t="shared" si="206"/>
        <v>0</v>
      </c>
      <c r="Z1643" s="1153"/>
      <c r="AA1643" s="1153"/>
      <c r="AB1643" s="733">
        <f t="shared" si="207"/>
        <v>0</v>
      </c>
      <c r="AC1643" s="1152"/>
      <c r="AD1643" s="1153"/>
      <c r="AE1643" s="1152"/>
      <c r="AF1643" s="1152"/>
      <c r="AG1643" s="1153"/>
      <c r="AH1643" s="1153"/>
      <c r="AI1643" s="732">
        <f t="shared" si="211"/>
        <v>0</v>
      </c>
      <c r="AJ1643" s="733">
        <f t="shared" si="212"/>
        <v>0</v>
      </c>
    </row>
    <row r="1644" spans="1:36">
      <c r="A1644" s="759" t="s">
        <v>636</v>
      </c>
      <c r="B1644" s="729" t="s">
        <v>69</v>
      </c>
      <c r="C1644" s="762" t="s">
        <v>70</v>
      </c>
      <c r="D1644" s="763"/>
      <c r="E1644" s="759">
        <v>199324</v>
      </c>
      <c r="F1644" s="759">
        <v>10</v>
      </c>
      <c r="G1644" s="1152"/>
      <c r="H1644" s="1153"/>
      <c r="I1644" s="1152">
        <v>153679</v>
      </c>
      <c r="J1644" s="1153">
        <v>155638</v>
      </c>
      <c r="K1644" s="1152"/>
      <c r="L1644" s="1153"/>
      <c r="M1644" s="1152"/>
      <c r="N1644" s="1152"/>
      <c r="O1644" s="732">
        <f t="shared" si="205"/>
        <v>0</v>
      </c>
      <c r="P1644" s="1153"/>
      <c r="Q1644" s="1153"/>
      <c r="R1644" s="733">
        <f t="shared" si="208"/>
        <v>0</v>
      </c>
      <c r="S1644" s="732">
        <f t="shared" si="209"/>
        <v>153679</v>
      </c>
      <c r="T1644" s="733">
        <f t="shared" si="210"/>
        <v>155638</v>
      </c>
      <c r="U1644" s="1152"/>
      <c r="V1644" s="1153"/>
      <c r="W1644" s="1152"/>
      <c r="X1644" s="1152"/>
      <c r="Y1644" s="732">
        <f t="shared" si="206"/>
        <v>0</v>
      </c>
      <c r="Z1644" s="1153"/>
      <c r="AA1644" s="1153"/>
      <c r="AB1644" s="733">
        <f t="shared" si="207"/>
        <v>0</v>
      </c>
      <c r="AC1644" s="1152"/>
      <c r="AD1644" s="1153"/>
      <c r="AE1644" s="1152"/>
      <c r="AF1644" s="1152"/>
      <c r="AG1644" s="1153"/>
      <c r="AH1644" s="1153"/>
      <c r="AI1644" s="732">
        <f t="shared" si="211"/>
        <v>153679</v>
      </c>
      <c r="AJ1644" s="733">
        <f t="shared" si="212"/>
        <v>155638</v>
      </c>
    </row>
    <row r="1645" spans="1:36">
      <c r="A1645" s="759" t="s">
        <v>636</v>
      </c>
      <c r="B1645" s="729" t="s">
        <v>685</v>
      </c>
      <c r="C1645" s="762" t="s">
        <v>72</v>
      </c>
      <c r="D1645" s="763"/>
      <c r="E1645" s="759">
        <v>199324</v>
      </c>
      <c r="F1645" s="759">
        <v>10</v>
      </c>
      <c r="G1645" s="1152"/>
      <c r="H1645" s="1153"/>
      <c r="I1645" s="1152">
        <v>1831653</v>
      </c>
      <c r="J1645" s="1153">
        <v>1810201</v>
      </c>
      <c r="K1645" s="1152"/>
      <c r="L1645" s="1153"/>
      <c r="M1645" s="1152">
        <v>231168</v>
      </c>
      <c r="N1645" s="1152"/>
      <c r="O1645" s="732">
        <f t="shared" si="205"/>
        <v>231168</v>
      </c>
      <c r="P1645" s="1153">
        <v>210441</v>
      </c>
      <c r="Q1645" s="1153"/>
      <c r="R1645" s="733">
        <f t="shared" si="208"/>
        <v>210441</v>
      </c>
      <c r="S1645" s="732">
        <f t="shared" si="209"/>
        <v>2062821</v>
      </c>
      <c r="T1645" s="733">
        <f t="shared" si="210"/>
        <v>2020642</v>
      </c>
      <c r="U1645" s="1152"/>
      <c r="V1645" s="1153"/>
      <c r="W1645" s="1152"/>
      <c r="X1645" s="1152"/>
      <c r="Y1645" s="732">
        <f t="shared" si="206"/>
        <v>0</v>
      </c>
      <c r="Z1645" s="1153"/>
      <c r="AA1645" s="1153"/>
      <c r="AB1645" s="733">
        <f t="shared" si="207"/>
        <v>0</v>
      </c>
      <c r="AC1645" s="1152"/>
      <c r="AD1645" s="1153"/>
      <c r="AE1645" s="1152"/>
      <c r="AF1645" s="1152"/>
      <c r="AG1645" s="1153"/>
      <c r="AH1645" s="1153"/>
      <c r="AI1645" s="732">
        <f t="shared" si="211"/>
        <v>2062821</v>
      </c>
      <c r="AJ1645" s="733">
        <f t="shared" si="212"/>
        <v>2020642</v>
      </c>
    </row>
    <row r="1646" spans="1:36">
      <c r="A1646" s="759" t="s">
        <v>636</v>
      </c>
      <c r="B1646" s="729" t="s">
        <v>62</v>
      </c>
      <c r="C1646" s="729" t="s">
        <v>733</v>
      </c>
      <c r="D1646" s="722"/>
      <c r="E1646" s="759">
        <v>199467</v>
      </c>
      <c r="F1646" s="759">
        <v>10</v>
      </c>
      <c r="G1646" s="1152">
        <v>4451583</v>
      </c>
      <c r="H1646" s="1153">
        <v>4238098</v>
      </c>
      <c r="I1646" s="1152"/>
      <c r="J1646" s="1153"/>
      <c r="K1646" s="1152">
        <v>1034474</v>
      </c>
      <c r="L1646" s="1153">
        <v>1034747</v>
      </c>
      <c r="M1646" s="1152">
        <v>936541</v>
      </c>
      <c r="N1646" s="1152"/>
      <c r="O1646" s="732">
        <f t="shared" si="205"/>
        <v>936541</v>
      </c>
      <c r="P1646" s="1153">
        <v>805360</v>
      </c>
      <c r="Q1646" s="1153"/>
      <c r="R1646" s="733">
        <f t="shared" si="208"/>
        <v>805360</v>
      </c>
      <c r="S1646" s="732">
        <f t="shared" si="209"/>
        <v>6422598</v>
      </c>
      <c r="T1646" s="733">
        <f t="shared" si="210"/>
        <v>6078205</v>
      </c>
      <c r="U1646" s="1152"/>
      <c r="V1646" s="1153"/>
      <c r="W1646" s="1152"/>
      <c r="X1646" s="1152"/>
      <c r="Y1646" s="732">
        <f t="shared" si="206"/>
        <v>0</v>
      </c>
      <c r="Z1646" s="1153"/>
      <c r="AA1646" s="1153"/>
      <c r="AB1646" s="733">
        <f t="shared" si="207"/>
        <v>0</v>
      </c>
      <c r="AC1646" s="1152"/>
      <c r="AD1646" s="1153"/>
      <c r="AE1646" s="1152"/>
      <c r="AF1646" s="1152"/>
      <c r="AG1646" s="1153"/>
      <c r="AH1646" s="1153"/>
      <c r="AI1646" s="732">
        <f t="shared" si="211"/>
        <v>6422598</v>
      </c>
      <c r="AJ1646" s="733">
        <f t="shared" si="212"/>
        <v>6078205</v>
      </c>
    </row>
    <row r="1647" spans="1:36">
      <c r="A1647" s="759" t="s">
        <v>636</v>
      </c>
      <c r="B1647" s="729" t="s">
        <v>62</v>
      </c>
      <c r="C1647" s="762" t="s">
        <v>684</v>
      </c>
      <c r="D1647" s="763"/>
      <c r="E1647" s="759">
        <v>199467</v>
      </c>
      <c r="F1647" s="759">
        <v>10</v>
      </c>
      <c r="G1647" s="1152"/>
      <c r="H1647" s="1153"/>
      <c r="I1647" s="1152"/>
      <c r="J1647" s="1153"/>
      <c r="K1647" s="1152"/>
      <c r="L1647" s="1153"/>
      <c r="M1647" s="1152"/>
      <c r="N1647" s="1152"/>
      <c r="O1647" s="732">
        <f t="shared" si="205"/>
        <v>0</v>
      </c>
      <c r="P1647" s="1153"/>
      <c r="Q1647" s="1153"/>
      <c r="R1647" s="733">
        <f t="shared" si="208"/>
        <v>0</v>
      </c>
      <c r="S1647" s="732">
        <f t="shared" si="209"/>
        <v>0</v>
      </c>
      <c r="T1647" s="733">
        <f t="shared" si="210"/>
        <v>0</v>
      </c>
      <c r="U1647" s="1152"/>
      <c r="V1647" s="1153"/>
      <c r="W1647" s="1152"/>
      <c r="X1647" s="1152"/>
      <c r="Y1647" s="732">
        <f t="shared" si="206"/>
        <v>0</v>
      </c>
      <c r="Z1647" s="1153"/>
      <c r="AA1647" s="1153"/>
      <c r="AB1647" s="733">
        <f t="shared" si="207"/>
        <v>0</v>
      </c>
      <c r="AC1647" s="1152"/>
      <c r="AD1647" s="1153"/>
      <c r="AE1647" s="1152"/>
      <c r="AF1647" s="1152"/>
      <c r="AG1647" s="1153"/>
      <c r="AH1647" s="1153"/>
      <c r="AI1647" s="732">
        <f t="shared" si="211"/>
        <v>0</v>
      </c>
      <c r="AJ1647" s="733">
        <f t="shared" si="212"/>
        <v>0</v>
      </c>
    </row>
    <row r="1648" spans="1:36">
      <c r="A1648" s="759" t="s">
        <v>636</v>
      </c>
      <c r="B1648" s="729" t="s">
        <v>69</v>
      </c>
      <c r="C1648" s="762" t="s">
        <v>70</v>
      </c>
      <c r="D1648" s="763"/>
      <c r="E1648" s="759">
        <v>199467</v>
      </c>
      <c r="F1648" s="759">
        <v>10</v>
      </c>
      <c r="G1648" s="1152"/>
      <c r="H1648" s="1153"/>
      <c r="I1648" s="1152">
        <v>153219</v>
      </c>
      <c r="J1648" s="1153">
        <v>153183</v>
      </c>
      <c r="K1648" s="1152"/>
      <c r="L1648" s="1153"/>
      <c r="M1648" s="1152"/>
      <c r="N1648" s="1152"/>
      <c r="O1648" s="732">
        <f t="shared" si="205"/>
        <v>0</v>
      </c>
      <c r="P1648" s="1153"/>
      <c r="Q1648" s="1153"/>
      <c r="R1648" s="733">
        <f t="shared" si="208"/>
        <v>0</v>
      </c>
      <c r="S1648" s="732">
        <f t="shared" si="209"/>
        <v>153219</v>
      </c>
      <c r="T1648" s="733">
        <f t="shared" si="210"/>
        <v>153183</v>
      </c>
      <c r="U1648" s="1152"/>
      <c r="V1648" s="1153"/>
      <c r="W1648" s="1152"/>
      <c r="X1648" s="1152"/>
      <c r="Y1648" s="732">
        <f t="shared" si="206"/>
        <v>0</v>
      </c>
      <c r="Z1648" s="1153"/>
      <c r="AA1648" s="1153"/>
      <c r="AB1648" s="733">
        <f t="shared" si="207"/>
        <v>0</v>
      </c>
      <c r="AC1648" s="1152"/>
      <c r="AD1648" s="1153"/>
      <c r="AE1648" s="1152"/>
      <c r="AF1648" s="1152"/>
      <c r="AG1648" s="1153"/>
      <c r="AH1648" s="1153"/>
      <c r="AI1648" s="732">
        <f t="shared" si="211"/>
        <v>153219</v>
      </c>
      <c r="AJ1648" s="733">
        <f t="shared" si="212"/>
        <v>153183</v>
      </c>
    </row>
    <row r="1649" spans="1:36">
      <c r="A1649" s="759" t="s">
        <v>636</v>
      </c>
      <c r="B1649" s="729" t="s">
        <v>685</v>
      </c>
      <c r="C1649" s="762" t="s">
        <v>72</v>
      </c>
      <c r="D1649" s="763"/>
      <c r="E1649" s="759">
        <v>199467</v>
      </c>
      <c r="F1649" s="759">
        <v>10</v>
      </c>
      <c r="G1649" s="1152"/>
      <c r="H1649" s="1153"/>
      <c r="I1649" s="1152">
        <v>906002</v>
      </c>
      <c r="J1649" s="1153">
        <v>783145</v>
      </c>
      <c r="K1649" s="1152"/>
      <c r="L1649" s="1153"/>
      <c r="M1649" s="1152">
        <v>103627</v>
      </c>
      <c r="N1649" s="1152"/>
      <c r="O1649" s="732">
        <f t="shared" si="205"/>
        <v>103627</v>
      </c>
      <c r="P1649" s="1153">
        <v>78684</v>
      </c>
      <c r="Q1649" s="1153"/>
      <c r="R1649" s="733">
        <f t="shared" si="208"/>
        <v>78684</v>
      </c>
      <c r="S1649" s="732">
        <f t="shared" si="209"/>
        <v>1009629</v>
      </c>
      <c r="T1649" s="733">
        <f t="shared" si="210"/>
        <v>861829</v>
      </c>
      <c r="U1649" s="1152"/>
      <c r="V1649" s="1153"/>
      <c r="W1649" s="1152"/>
      <c r="X1649" s="1152"/>
      <c r="Y1649" s="732">
        <f t="shared" si="206"/>
        <v>0</v>
      </c>
      <c r="Z1649" s="1153"/>
      <c r="AA1649" s="1153"/>
      <c r="AB1649" s="733">
        <f t="shared" si="207"/>
        <v>0</v>
      </c>
      <c r="AC1649" s="1152"/>
      <c r="AD1649" s="1153"/>
      <c r="AE1649" s="1152"/>
      <c r="AF1649" s="1152"/>
      <c r="AG1649" s="1153"/>
      <c r="AH1649" s="1153"/>
      <c r="AI1649" s="732">
        <f t="shared" si="211"/>
        <v>1009629</v>
      </c>
      <c r="AJ1649" s="733">
        <f t="shared" si="212"/>
        <v>861829</v>
      </c>
    </row>
    <row r="1650" spans="1:36">
      <c r="A1650" s="759" t="s">
        <v>636</v>
      </c>
      <c r="B1650" s="729" t="s">
        <v>62</v>
      </c>
      <c r="C1650" s="729" t="s">
        <v>710</v>
      </c>
      <c r="D1650" s="1140" t="s">
        <v>1797</v>
      </c>
      <c r="E1650" s="759">
        <v>199476</v>
      </c>
      <c r="F1650" s="759">
        <v>10</v>
      </c>
      <c r="G1650" s="1152">
        <v>10119144</v>
      </c>
      <c r="H1650" s="1153">
        <v>11316700</v>
      </c>
      <c r="I1650" s="1152"/>
      <c r="J1650" s="1153"/>
      <c r="K1650" s="1152">
        <v>2852779</v>
      </c>
      <c r="L1650" s="1153">
        <v>3079733</v>
      </c>
      <c r="M1650" s="1152">
        <v>2686525</v>
      </c>
      <c r="N1650" s="1152"/>
      <c r="O1650" s="732">
        <f t="shared" si="205"/>
        <v>2686525</v>
      </c>
      <c r="P1650" s="1153">
        <v>2803490</v>
      </c>
      <c r="Q1650" s="1153"/>
      <c r="R1650" s="733">
        <f t="shared" si="208"/>
        <v>2803490</v>
      </c>
      <c r="S1650" s="732">
        <f t="shared" si="209"/>
        <v>15658448</v>
      </c>
      <c r="T1650" s="733">
        <f t="shared" si="210"/>
        <v>17199923</v>
      </c>
      <c r="U1650" s="1152"/>
      <c r="V1650" s="1153"/>
      <c r="W1650" s="1152"/>
      <c r="X1650" s="1152"/>
      <c r="Y1650" s="732">
        <f t="shared" si="206"/>
        <v>0</v>
      </c>
      <c r="Z1650" s="1153"/>
      <c r="AA1650" s="1153"/>
      <c r="AB1650" s="733">
        <f t="shared" si="207"/>
        <v>0</v>
      </c>
      <c r="AC1650" s="1152"/>
      <c r="AD1650" s="1153"/>
      <c r="AE1650" s="1152"/>
      <c r="AF1650" s="1152"/>
      <c r="AG1650" s="1153"/>
      <c r="AH1650" s="1153"/>
      <c r="AI1650" s="732">
        <f t="shared" si="211"/>
        <v>15658448</v>
      </c>
      <c r="AJ1650" s="733">
        <f t="shared" si="212"/>
        <v>17199923</v>
      </c>
    </row>
    <row r="1651" spans="1:36">
      <c r="A1651" s="759" t="s">
        <v>636</v>
      </c>
      <c r="B1651" s="729" t="s">
        <v>62</v>
      </c>
      <c r="C1651" s="762" t="s">
        <v>684</v>
      </c>
      <c r="D1651" s="763"/>
      <c r="E1651" s="759">
        <v>199476</v>
      </c>
      <c r="F1651" s="759">
        <v>10</v>
      </c>
      <c r="G1651" s="1152"/>
      <c r="H1651" s="1153"/>
      <c r="I1651" s="1152"/>
      <c r="J1651" s="1153"/>
      <c r="K1651" s="1152"/>
      <c r="L1651" s="1153"/>
      <c r="M1651" s="1152"/>
      <c r="N1651" s="1152"/>
      <c r="O1651" s="732">
        <f t="shared" si="205"/>
        <v>0</v>
      </c>
      <c r="P1651" s="1153"/>
      <c r="Q1651" s="1153"/>
      <c r="R1651" s="733">
        <f t="shared" si="208"/>
        <v>0</v>
      </c>
      <c r="S1651" s="732">
        <f t="shared" si="209"/>
        <v>0</v>
      </c>
      <c r="T1651" s="733">
        <f t="shared" si="210"/>
        <v>0</v>
      </c>
      <c r="U1651" s="1152"/>
      <c r="V1651" s="1153"/>
      <c r="W1651" s="1152"/>
      <c r="X1651" s="1152"/>
      <c r="Y1651" s="732">
        <f t="shared" si="206"/>
        <v>0</v>
      </c>
      <c r="Z1651" s="1153"/>
      <c r="AA1651" s="1153"/>
      <c r="AB1651" s="733">
        <f t="shared" si="207"/>
        <v>0</v>
      </c>
      <c r="AC1651" s="1152"/>
      <c r="AD1651" s="1153"/>
      <c r="AE1651" s="1152"/>
      <c r="AF1651" s="1152"/>
      <c r="AG1651" s="1153"/>
      <c r="AH1651" s="1153"/>
      <c r="AI1651" s="732">
        <f t="shared" si="211"/>
        <v>0</v>
      </c>
      <c r="AJ1651" s="733">
        <f t="shared" si="212"/>
        <v>0</v>
      </c>
    </row>
    <row r="1652" spans="1:36">
      <c r="A1652" s="759" t="s">
        <v>636</v>
      </c>
      <c r="B1652" s="729" t="s">
        <v>69</v>
      </c>
      <c r="C1652" s="762" t="s">
        <v>70</v>
      </c>
      <c r="D1652" s="763"/>
      <c r="E1652" s="759">
        <v>199476</v>
      </c>
      <c r="F1652" s="759">
        <v>10</v>
      </c>
      <c r="G1652" s="1152"/>
      <c r="H1652" s="1153"/>
      <c r="I1652" s="1152">
        <v>164037</v>
      </c>
      <c r="J1652" s="1153">
        <v>164275</v>
      </c>
      <c r="K1652" s="1152"/>
      <c r="L1652" s="1153"/>
      <c r="M1652" s="1152"/>
      <c r="N1652" s="1152"/>
      <c r="O1652" s="732">
        <f t="shared" si="205"/>
        <v>0</v>
      </c>
      <c r="P1652" s="1153"/>
      <c r="Q1652" s="1153"/>
      <c r="R1652" s="733">
        <f t="shared" si="208"/>
        <v>0</v>
      </c>
      <c r="S1652" s="732">
        <f t="shared" si="209"/>
        <v>164037</v>
      </c>
      <c r="T1652" s="733">
        <f t="shared" si="210"/>
        <v>164275</v>
      </c>
      <c r="U1652" s="1152"/>
      <c r="V1652" s="1153"/>
      <c r="W1652" s="1152"/>
      <c r="X1652" s="1152"/>
      <c r="Y1652" s="732">
        <f t="shared" si="206"/>
        <v>0</v>
      </c>
      <c r="Z1652" s="1153"/>
      <c r="AA1652" s="1153"/>
      <c r="AB1652" s="733">
        <f t="shared" si="207"/>
        <v>0</v>
      </c>
      <c r="AC1652" s="1152"/>
      <c r="AD1652" s="1153"/>
      <c r="AE1652" s="1152"/>
      <c r="AF1652" s="1152"/>
      <c r="AG1652" s="1153"/>
      <c r="AH1652" s="1153"/>
      <c r="AI1652" s="732">
        <f t="shared" si="211"/>
        <v>164037</v>
      </c>
      <c r="AJ1652" s="733">
        <f t="shared" si="212"/>
        <v>164275</v>
      </c>
    </row>
    <row r="1653" spans="1:36">
      <c r="A1653" s="759" t="s">
        <v>636</v>
      </c>
      <c r="B1653" s="729" t="s">
        <v>685</v>
      </c>
      <c r="C1653" s="762" t="s">
        <v>72</v>
      </c>
      <c r="D1653" s="763"/>
      <c r="E1653" s="759">
        <v>199476</v>
      </c>
      <c r="F1653" s="759">
        <v>10</v>
      </c>
      <c r="G1653" s="1152"/>
      <c r="H1653" s="1153"/>
      <c r="I1653" s="1152">
        <v>2658635</v>
      </c>
      <c r="J1653" s="1153">
        <v>3851228</v>
      </c>
      <c r="K1653" s="1152"/>
      <c r="L1653" s="1153"/>
      <c r="M1653" s="1152">
        <v>261857</v>
      </c>
      <c r="N1653" s="1152"/>
      <c r="O1653" s="732">
        <f t="shared" si="205"/>
        <v>261857</v>
      </c>
      <c r="P1653" s="1154">
        <v>416058</v>
      </c>
      <c r="Q1653" s="1153"/>
      <c r="R1653" s="733">
        <f t="shared" si="208"/>
        <v>416058</v>
      </c>
      <c r="S1653" s="732">
        <f t="shared" si="209"/>
        <v>2920492</v>
      </c>
      <c r="T1653" s="733">
        <f t="shared" si="210"/>
        <v>4267286</v>
      </c>
      <c r="U1653" s="1152"/>
      <c r="V1653" s="1153"/>
      <c r="W1653" s="1152"/>
      <c r="X1653" s="1152"/>
      <c r="Y1653" s="732">
        <f t="shared" si="206"/>
        <v>0</v>
      </c>
      <c r="Z1653" s="1153"/>
      <c r="AA1653" s="1153"/>
      <c r="AB1653" s="733">
        <f t="shared" si="207"/>
        <v>0</v>
      </c>
      <c r="AC1653" s="1152"/>
      <c r="AD1653" s="1153"/>
      <c r="AE1653" s="1152"/>
      <c r="AF1653" s="1152"/>
      <c r="AG1653" s="1153"/>
      <c r="AH1653" s="1153"/>
      <c r="AI1653" s="732">
        <f t="shared" si="211"/>
        <v>2920492</v>
      </c>
      <c r="AJ1653" s="733">
        <f t="shared" si="212"/>
        <v>4267286</v>
      </c>
    </row>
    <row r="1654" spans="1:36">
      <c r="A1654" s="759" t="s">
        <v>636</v>
      </c>
      <c r="B1654" s="729" t="s">
        <v>62</v>
      </c>
      <c r="C1654" s="729" t="s">
        <v>734</v>
      </c>
      <c r="D1654" s="722"/>
      <c r="E1654" s="759">
        <v>199485</v>
      </c>
      <c r="F1654" s="759">
        <v>10</v>
      </c>
      <c r="G1654" s="1152">
        <v>7898787</v>
      </c>
      <c r="H1654" s="1153">
        <v>8533184</v>
      </c>
      <c r="I1654" s="1152"/>
      <c r="J1654" s="1153"/>
      <c r="K1654" s="1152">
        <v>2353399</v>
      </c>
      <c r="L1654" s="1153">
        <v>2485410</v>
      </c>
      <c r="M1654" s="1152">
        <v>2360482</v>
      </c>
      <c r="N1654" s="1152"/>
      <c r="O1654" s="732">
        <f t="shared" si="205"/>
        <v>2360482</v>
      </c>
      <c r="P1654" s="1153">
        <v>2453053</v>
      </c>
      <c r="Q1654" s="1153"/>
      <c r="R1654" s="733">
        <f t="shared" si="208"/>
        <v>2453053</v>
      </c>
      <c r="S1654" s="732">
        <f t="shared" si="209"/>
        <v>12612668</v>
      </c>
      <c r="T1654" s="733">
        <f t="shared" si="210"/>
        <v>13471647</v>
      </c>
      <c r="U1654" s="1152"/>
      <c r="V1654" s="1153"/>
      <c r="W1654" s="1152"/>
      <c r="X1654" s="1152"/>
      <c r="Y1654" s="732">
        <f t="shared" si="206"/>
        <v>0</v>
      </c>
      <c r="Z1654" s="1153"/>
      <c r="AA1654" s="1153"/>
      <c r="AB1654" s="733">
        <f t="shared" si="207"/>
        <v>0</v>
      </c>
      <c r="AC1654" s="1152"/>
      <c r="AD1654" s="1153"/>
      <c r="AE1654" s="1152"/>
      <c r="AF1654" s="1152"/>
      <c r="AG1654" s="1153"/>
      <c r="AH1654" s="1153"/>
      <c r="AI1654" s="732">
        <f t="shared" si="211"/>
        <v>12612668</v>
      </c>
      <c r="AJ1654" s="733">
        <f t="shared" si="212"/>
        <v>13471647</v>
      </c>
    </row>
    <row r="1655" spans="1:36">
      <c r="A1655" s="759" t="s">
        <v>636</v>
      </c>
      <c r="B1655" s="729" t="s">
        <v>62</v>
      </c>
      <c r="C1655" s="762" t="s">
        <v>684</v>
      </c>
      <c r="D1655" s="763"/>
      <c r="E1655" s="759">
        <v>199485</v>
      </c>
      <c r="F1655" s="759">
        <v>10</v>
      </c>
      <c r="G1655" s="1152"/>
      <c r="H1655" s="1153"/>
      <c r="I1655" s="1152"/>
      <c r="J1655" s="1153"/>
      <c r="K1655" s="1152"/>
      <c r="L1655" s="1153"/>
      <c r="M1655" s="1152"/>
      <c r="N1655" s="1152"/>
      <c r="O1655" s="732">
        <f t="shared" si="205"/>
        <v>0</v>
      </c>
      <c r="P1655" s="1153"/>
      <c r="Q1655" s="1153"/>
      <c r="R1655" s="733">
        <f t="shared" si="208"/>
        <v>0</v>
      </c>
      <c r="S1655" s="732">
        <f t="shared" si="209"/>
        <v>0</v>
      </c>
      <c r="T1655" s="733">
        <f t="shared" si="210"/>
        <v>0</v>
      </c>
      <c r="U1655" s="1152"/>
      <c r="V1655" s="1153"/>
      <c r="W1655" s="1152"/>
      <c r="X1655" s="1152"/>
      <c r="Y1655" s="732">
        <f t="shared" si="206"/>
        <v>0</v>
      </c>
      <c r="Z1655" s="1153"/>
      <c r="AA1655" s="1153"/>
      <c r="AB1655" s="733">
        <f t="shared" si="207"/>
        <v>0</v>
      </c>
      <c r="AC1655" s="1152"/>
      <c r="AD1655" s="1153"/>
      <c r="AE1655" s="1152"/>
      <c r="AF1655" s="1152"/>
      <c r="AG1655" s="1153"/>
      <c r="AH1655" s="1153"/>
      <c r="AI1655" s="732">
        <f t="shared" si="211"/>
        <v>0</v>
      </c>
      <c r="AJ1655" s="733">
        <f t="shared" si="212"/>
        <v>0</v>
      </c>
    </row>
    <row r="1656" spans="1:36">
      <c r="A1656" s="759" t="s">
        <v>636</v>
      </c>
      <c r="B1656" s="729" t="s">
        <v>69</v>
      </c>
      <c r="C1656" s="762" t="s">
        <v>70</v>
      </c>
      <c r="D1656" s="763"/>
      <c r="E1656" s="759">
        <v>199485</v>
      </c>
      <c r="F1656" s="759">
        <v>10</v>
      </c>
      <c r="G1656" s="1152"/>
      <c r="H1656" s="1153"/>
      <c r="I1656" s="1152">
        <v>154750</v>
      </c>
      <c r="J1656" s="1153">
        <v>154353</v>
      </c>
      <c r="K1656" s="1152"/>
      <c r="L1656" s="1153"/>
      <c r="M1656" s="1152"/>
      <c r="N1656" s="1152"/>
      <c r="O1656" s="732">
        <f t="shared" si="205"/>
        <v>0</v>
      </c>
      <c r="P1656" s="1153"/>
      <c r="Q1656" s="1153"/>
      <c r="R1656" s="733">
        <f t="shared" si="208"/>
        <v>0</v>
      </c>
      <c r="S1656" s="732">
        <f t="shared" si="209"/>
        <v>154750</v>
      </c>
      <c r="T1656" s="733">
        <f t="shared" si="210"/>
        <v>154353</v>
      </c>
      <c r="U1656" s="1152"/>
      <c r="V1656" s="1153"/>
      <c r="W1656" s="1152"/>
      <c r="X1656" s="1152"/>
      <c r="Y1656" s="732">
        <f t="shared" si="206"/>
        <v>0</v>
      </c>
      <c r="Z1656" s="1153"/>
      <c r="AA1656" s="1153"/>
      <c r="AB1656" s="733">
        <f t="shared" si="207"/>
        <v>0</v>
      </c>
      <c r="AC1656" s="1152"/>
      <c r="AD1656" s="1153"/>
      <c r="AE1656" s="1152"/>
      <c r="AF1656" s="1152"/>
      <c r="AG1656" s="1153"/>
      <c r="AH1656" s="1153"/>
      <c r="AI1656" s="732">
        <f t="shared" si="211"/>
        <v>154750</v>
      </c>
      <c r="AJ1656" s="733">
        <f t="shared" si="212"/>
        <v>154353</v>
      </c>
    </row>
    <row r="1657" spans="1:36">
      <c r="A1657" s="759" t="s">
        <v>636</v>
      </c>
      <c r="B1657" s="729" t="s">
        <v>685</v>
      </c>
      <c r="C1657" s="762" t="s">
        <v>72</v>
      </c>
      <c r="D1657" s="763"/>
      <c r="E1657" s="759">
        <v>199485</v>
      </c>
      <c r="F1657" s="759">
        <v>10</v>
      </c>
      <c r="G1657" s="1152"/>
      <c r="H1657" s="1153"/>
      <c r="I1657" s="1152">
        <v>1029722</v>
      </c>
      <c r="J1657" s="1153">
        <v>1080339</v>
      </c>
      <c r="K1657" s="1152"/>
      <c r="L1657" s="1153"/>
      <c r="M1657" s="1152">
        <v>115982</v>
      </c>
      <c r="N1657" s="1152"/>
      <c r="O1657" s="732">
        <f t="shared" si="205"/>
        <v>115982</v>
      </c>
      <c r="P1657" s="1153">
        <v>113943</v>
      </c>
      <c r="Q1657" s="1153"/>
      <c r="R1657" s="733">
        <f t="shared" si="208"/>
        <v>113943</v>
      </c>
      <c r="S1657" s="732">
        <f t="shared" si="209"/>
        <v>1145704</v>
      </c>
      <c r="T1657" s="733">
        <f t="shared" si="210"/>
        <v>1194282</v>
      </c>
      <c r="U1657" s="1152"/>
      <c r="V1657" s="1153"/>
      <c r="W1657" s="1152"/>
      <c r="X1657" s="1152"/>
      <c r="Y1657" s="732">
        <f t="shared" si="206"/>
        <v>0</v>
      </c>
      <c r="Z1657" s="1153"/>
      <c r="AA1657" s="1153"/>
      <c r="AB1657" s="733">
        <f t="shared" si="207"/>
        <v>0</v>
      </c>
      <c r="AC1657" s="1152"/>
      <c r="AD1657" s="1153"/>
      <c r="AE1657" s="1152"/>
      <c r="AF1657" s="1152"/>
      <c r="AG1657" s="1153"/>
      <c r="AH1657" s="1153"/>
      <c r="AI1657" s="732">
        <f t="shared" si="211"/>
        <v>1145704</v>
      </c>
      <c r="AJ1657" s="733">
        <f t="shared" si="212"/>
        <v>1194282</v>
      </c>
    </row>
    <row r="1658" spans="1:36">
      <c r="A1658" s="759" t="s">
        <v>636</v>
      </c>
      <c r="B1658" s="729" t="s">
        <v>62</v>
      </c>
      <c r="C1658" s="729" t="s">
        <v>735</v>
      </c>
      <c r="D1658" s="722"/>
      <c r="E1658" s="759">
        <v>199625</v>
      </c>
      <c r="F1658" s="759">
        <v>10</v>
      </c>
      <c r="G1658" s="1152">
        <v>8452433</v>
      </c>
      <c r="H1658" s="1153">
        <v>8870254</v>
      </c>
      <c r="I1658" s="1152"/>
      <c r="J1658" s="1153"/>
      <c r="K1658" s="1152">
        <v>1529383</v>
      </c>
      <c r="L1658" s="1153">
        <v>1513261</v>
      </c>
      <c r="M1658" s="1152">
        <v>2353828</v>
      </c>
      <c r="N1658" s="1152"/>
      <c r="O1658" s="732">
        <f t="shared" si="205"/>
        <v>2353828</v>
      </c>
      <c r="P1658" s="1153">
        <v>2382323</v>
      </c>
      <c r="Q1658" s="1153"/>
      <c r="R1658" s="733">
        <f t="shared" si="208"/>
        <v>2382323</v>
      </c>
      <c r="S1658" s="732">
        <f t="shared" si="209"/>
        <v>12335644</v>
      </c>
      <c r="T1658" s="733">
        <f t="shared" si="210"/>
        <v>12765838</v>
      </c>
      <c r="U1658" s="1152"/>
      <c r="V1658" s="1153"/>
      <c r="W1658" s="1152"/>
      <c r="X1658" s="1152"/>
      <c r="Y1658" s="732">
        <f t="shared" si="206"/>
        <v>0</v>
      </c>
      <c r="Z1658" s="1153"/>
      <c r="AA1658" s="1153"/>
      <c r="AB1658" s="733">
        <f t="shared" si="207"/>
        <v>0</v>
      </c>
      <c r="AC1658" s="1152"/>
      <c r="AD1658" s="1153"/>
      <c r="AE1658" s="1152"/>
      <c r="AF1658" s="1152"/>
      <c r="AG1658" s="1153"/>
      <c r="AH1658" s="1153"/>
      <c r="AI1658" s="732">
        <f t="shared" si="211"/>
        <v>12335644</v>
      </c>
      <c r="AJ1658" s="733">
        <f t="shared" si="212"/>
        <v>12765838</v>
      </c>
    </row>
    <row r="1659" spans="1:36">
      <c r="A1659" s="759" t="s">
        <v>636</v>
      </c>
      <c r="B1659" s="729" t="s">
        <v>62</v>
      </c>
      <c r="C1659" s="762" t="s">
        <v>684</v>
      </c>
      <c r="D1659" s="763"/>
      <c r="E1659" s="759">
        <v>199625</v>
      </c>
      <c r="F1659" s="759">
        <v>10</v>
      </c>
      <c r="G1659" s="1152"/>
      <c r="H1659" s="1153"/>
      <c r="I1659" s="1152"/>
      <c r="J1659" s="1153"/>
      <c r="K1659" s="1152"/>
      <c r="L1659" s="1153"/>
      <c r="M1659" s="1152"/>
      <c r="N1659" s="1152"/>
      <c r="O1659" s="732">
        <f t="shared" si="205"/>
        <v>0</v>
      </c>
      <c r="P1659" s="1153"/>
      <c r="Q1659" s="1153"/>
      <c r="R1659" s="733">
        <f t="shared" si="208"/>
        <v>0</v>
      </c>
      <c r="S1659" s="732">
        <f t="shared" si="209"/>
        <v>0</v>
      </c>
      <c r="T1659" s="733">
        <f t="shared" si="210"/>
        <v>0</v>
      </c>
      <c r="U1659" s="1152"/>
      <c r="V1659" s="1153"/>
      <c r="W1659" s="1152"/>
      <c r="X1659" s="1152"/>
      <c r="Y1659" s="732">
        <f t="shared" si="206"/>
        <v>0</v>
      </c>
      <c r="Z1659" s="1153"/>
      <c r="AA1659" s="1153"/>
      <c r="AB1659" s="733">
        <f t="shared" si="207"/>
        <v>0</v>
      </c>
      <c r="AC1659" s="1152"/>
      <c r="AD1659" s="1153"/>
      <c r="AE1659" s="1152"/>
      <c r="AF1659" s="1152"/>
      <c r="AG1659" s="1153"/>
      <c r="AH1659" s="1153"/>
      <c r="AI1659" s="732">
        <f t="shared" si="211"/>
        <v>0</v>
      </c>
      <c r="AJ1659" s="733">
        <f t="shared" si="212"/>
        <v>0</v>
      </c>
    </row>
    <row r="1660" spans="1:36">
      <c r="A1660" s="759" t="s">
        <v>636</v>
      </c>
      <c r="B1660" s="729" t="s">
        <v>69</v>
      </c>
      <c r="C1660" s="762" t="s">
        <v>70</v>
      </c>
      <c r="D1660" s="763"/>
      <c r="E1660" s="759">
        <v>199625</v>
      </c>
      <c r="F1660" s="759">
        <v>10</v>
      </c>
      <c r="G1660" s="1152"/>
      <c r="H1660" s="1153"/>
      <c r="I1660" s="1152">
        <v>153577</v>
      </c>
      <c r="J1660" s="1153">
        <v>154870</v>
      </c>
      <c r="K1660" s="1152"/>
      <c r="L1660" s="1153"/>
      <c r="M1660" s="1152"/>
      <c r="N1660" s="1152"/>
      <c r="O1660" s="732">
        <f t="shared" si="205"/>
        <v>0</v>
      </c>
      <c r="P1660" s="1153"/>
      <c r="Q1660" s="1153"/>
      <c r="R1660" s="733">
        <f t="shared" si="208"/>
        <v>0</v>
      </c>
      <c r="S1660" s="732">
        <f t="shared" si="209"/>
        <v>153577</v>
      </c>
      <c r="T1660" s="733">
        <f t="shared" si="210"/>
        <v>154870</v>
      </c>
      <c r="U1660" s="1152"/>
      <c r="V1660" s="1153"/>
      <c r="W1660" s="1152"/>
      <c r="X1660" s="1152"/>
      <c r="Y1660" s="732">
        <f t="shared" si="206"/>
        <v>0</v>
      </c>
      <c r="Z1660" s="1153"/>
      <c r="AA1660" s="1153"/>
      <c r="AB1660" s="733">
        <f t="shared" si="207"/>
        <v>0</v>
      </c>
      <c r="AC1660" s="1152"/>
      <c r="AD1660" s="1153"/>
      <c r="AE1660" s="1152"/>
      <c r="AF1660" s="1152"/>
      <c r="AG1660" s="1153"/>
      <c r="AH1660" s="1153"/>
      <c r="AI1660" s="732">
        <f t="shared" si="211"/>
        <v>153577</v>
      </c>
      <c r="AJ1660" s="733">
        <f t="shared" si="212"/>
        <v>154870</v>
      </c>
    </row>
    <row r="1661" spans="1:36">
      <c r="A1661" s="759" t="s">
        <v>636</v>
      </c>
      <c r="B1661" s="729" t="s">
        <v>685</v>
      </c>
      <c r="C1661" s="762" t="s">
        <v>72</v>
      </c>
      <c r="D1661" s="763"/>
      <c r="E1661" s="759">
        <v>199625</v>
      </c>
      <c r="F1661" s="759">
        <v>10</v>
      </c>
      <c r="G1661" s="1152"/>
      <c r="H1661" s="1153"/>
      <c r="I1661" s="1152">
        <v>2092128</v>
      </c>
      <c r="J1661" s="1153">
        <v>2119458</v>
      </c>
      <c r="K1661" s="1152"/>
      <c r="L1661" s="1153"/>
      <c r="M1661" s="1152">
        <v>175767</v>
      </c>
      <c r="N1661" s="1152"/>
      <c r="O1661" s="732">
        <f t="shared" si="205"/>
        <v>175767</v>
      </c>
      <c r="P1661" s="1153">
        <v>167017</v>
      </c>
      <c r="Q1661" s="1153"/>
      <c r="R1661" s="733">
        <f t="shared" si="208"/>
        <v>167017</v>
      </c>
      <c r="S1661" s="732">
        <f t="shared" si="209"/>
        <v>2267895</v>
      </c>
      <c r="T1661" s="733">
        <f t="shared" si="210"/>
        <v>2286475</v>
      </c>
      <c r="U1661" s="1152"/>
      <c r="V1661" s="1153"/>
      <c r="W1661" s="1152"/>
      <c r="X1661" s="1152"/>
      <c r="Y1661" s="732">
        <f t="shared" si="206"/>
        <v>0</v>
      </c>
      <c r="Z1661" s="1153"/>
      <c r="AA1661" s="1153"/>
      <c r="AB1661" s="733">
        <f t="shared" si="207"/>
        <v>0</v>
      </c>
      <c r="AC1661" s="1152"/>
      <c r="AD1661" s="1153"/>
      <c r="AE1661" s="1152"/>
      <c r="AF1661" s="1152"/>
      <c r="AG1661" s="1153"/>
      <c r="AH1661" s="1153"/>
      <c r="AI1661" s="732">
        <f t="shared" si="211"/>
        <v>2267895</v>
      </c>
      <c r="AJ1661" s="733">
        <f t="shared" si="212"/>
        <v>2286475</v>
      </c>
    </row>
    <row r="1662" spans="1:36">
      <c r="A1662" s="759" t="s">
        <v>636</v>
      </c>
      <c r="B1662" s="729" t="s">
        <v>62</v>
      </c>
      <c r="C1662" s="729" t="s">
        <v>737</v>
      </c>
      <c r="D1662" s="722"/>
      <c r="E1662" s="759">
        <v>199722</v>
      </c>
      <c r="F1662" s="759">
        <v>10</v>
      </c>
      <c r="G1662" s="1152">
        <v>8822289</v>
      </c>
      <c r="H1662" s="1153">
        <v>8706825</v>
      </c>
      <c r="I1662" s="1152"/>
      <c r="J1662" s="1153"/>
      <c r="K1662" s="1152">
        <v>1426859</v>
      </c>
      <c r="L1662" s="1153">
        <v>1469665</v>
      </c>
      <c r="M1662" s="1152">
        <v>2179162</v>
      </c>
      <c r="N1662" s="1152"/>
      <c r="O1662" s="732">
        <f t="shared" si="205"/>
        <v>2179162</v>
      </c>
      <c r="P1662" s="1153">
        <v>2115477</v>
      </c>
      <c r="Q1662" s="1153"/>
      <c r="R1662" s="733">
        <f t="shared" si="208"/>
        <v>2115477</v>
      </c>
      <c r="S1662" s="732">
        <f t="shared" si="209"/>
        <v>12428310</v>
      </c>
      <c r="T1662" s="733">
        <f t="shared" si="210"/>
        <v>12291967</v>
      </c>
      <c r="U1662" s="1152"/>
      <c r="V1662" s="1153"/>
      <c r="W1662" s="1152"/>
      <c r="X1662" s="1152"/>
      <c r="Y1662" s="732">
        <f t="shared" si="206"/>
        <v>0</v>
      </c>
      <c r="Z1662" s="1153"/>
      <c r="AA1662" s="1153"/>
      <c r="AB1662" s="733">
        <f t="shared" si="207"/>
        <v>0</v>
      </c>
      <c r="AC1662" s="1152"/>
      <c r="AD1662" s="1153"/>
      <c r="AE1662" s="1152"/>
      <c r="AF1662" s="1152"/>
      <c r="AG1662" s="1153"/>
      <c r="AH1662" s="1153"/>
      <c r="AI1662" s="732">
        <f t="shared" si="211"/>
        <v>12428310</v>
      </c>
      <c r="AJ1662" s="733">
        <f t="shared" si="212"/>
        <v>12291967</v>
      </c>
    </row>
    <row r="1663" spans="1:36">
      <c r="A1663" s="759" t="s">
        <v>636</v>
      </c>
      <c r="B1663" s="729" t="s">
        <v>62</v>
      </c>
      <c r="C1663" s="762" t="s">
        <v>684</v>
      </c>
      <c r="D1663" s="763"/>
      <c r="E1663" s="759">
        <v>199722</v>
      </c>
      <c r="F1663" s="759">
        <v>10</v>
      </c>
      <c r="G1663" s="1152"/>
      <c r="H1663" s="1153"/>
      <c r="I1663" s="1152"/>
      <c r="J1663" s="1153"/>
      <c r="K1663" s="1152"/>
      <c r="L1663" s="1153"/>
      <c r="M1663" s="1152"/>
      <c r="N1663" s="1152"/>
      <c r="O1663" s="732">
        <f t="shared" si="205"/>
        <v>0</v>
      </c>
      <c r="P1663" s="1153"/>
      <c r="Q1663" s="1153"/>
      <c r="R1663" s="733">
        <f t="shared" si="208"/>
        <v>0</v>
      </c>
      <c r="S1663" s="732">
        <f t="shared" si="209"/>
        <v>0</v>
      </c>
      <c r="T1663" s="733">
        <f t="shared" si="210"/>
        <v>0</v>
      </c>
      <c r="U1663" s="1152"/>
      <c r="V1663" s="1153"/>
      <c r="W1663" s="1152"/>
      <c r="X1663" s="1152"/>
      <c r="Y1663" s="732">
        <f t="shared" si="206"/>
        <v>0</v>
      </c>
      <c r="Z1663" s="1153"/>
      <c r="AA1663" s="1153"/>
      <c r="AB1663" s="733">
        <f t="shared" si="207"/>
        <v>0</v>
      </c>
      <c r="AC1663" s="1152"/>
      <c r="AD1663" s="1153"/>
      <c r="AE1663" s="1152"/>
      <c r="AF1663" s="1152"/>
      <c r="AG1663" s="1153"/>
      <c r="AH1663" s="1153"/>
      <c r="AI1663" s="732">
        <f t="shared" si="211"/>
        <v>0</v>
      </c>
      <c r="AJ1663" s="733">
        <f t="shared" si="212"/>
        <v>0</v>
      </c>
    </row>
    <row r="1664" spans="1:36">
      <c r="A1664" s="759" t="s">
        <v>636</v>
      </c>
      <c r="B1664" s="729" t="s">
        <v>69</v>
      </c>
      <c r="C1664" s="762" t="s">
        <v>70</v>
      </c>
      <c r="D1664" s="763"/>
      <c r="E1664" s="759">
        <v>199722</v>
      </c>
      <c r="F1664" s="759">
        <v>10</v>
      </c>
      <c r="G1664" s="1152"/>
      <c r="H1664" s="1153"/>
      <c r="I1664" s="1152">
        <v>162609</v>
      </c>
      <c r="J1664" s="1153">
        <v>163207</v>
      </c>
      <c r="K1664" s="1152"/>
      <c r="L1664" s="1153"/>
      <c r="M1664" s="1152"/>
      <c r="N1664" s="1152"/>
      <c r="O1664" s="732">
        <f t="shared" si="205"/>
        <v>0</v>
      </c>
      <c r="P1664" s="1153"/>
      <c r="Q1664" s="1153"/>
      <c r="R1664" s="733">
        <f t="shared" si="208"/>
        <v>0</v>
      </c>
      <c r="S1664" s="732">
        <f t="shared" si="209"/>
        <v>162609</v>
      </c>
      <c r="T1664" s="733">
        <f t="shared" si="210"/>
        <v>163207</v>
      </c>
      <c r="U1664" s="1152"/>
      <c r="V1664" s="1153"/>
      <c r="W1664" s="1152"/>
      <c r="X1664" s="1152"/>
      <c r="Y1664" s="732">
        <f t="shared" si="206"/>
        <v>0</v>
      </c>
      <c r="Z1664" s="1153"/>
      <c r="AA1664" s="1153"/>
      <c r="AB1664" s="733">
        <f t="shared" si="207"/>
        <v>0</v>
      </c>
      <c r="AC1664" s="1152"/>
      <c r="AD1664" s="1153"/>
      <c r="AE1664" s="1152"/>
      <c r="AF1664" s="1152"/>
      <c r="AG1664" s="1153"/>
      <c r="AH1664" s="1153"/>
      <c r="AI1664" s="732">
        <f t="shared" si="211"/>
        <v>162609</v>
      </c>
      <c r="AJ1664" s="733">
        <f t="shared" si="212"/>
        <v>163207</v>
      </c>
    </row>
    <row r="1665" spans="1:36">
      <c r="A1665" s="759" t="s">
        <v>636</v>
      </c>
      <c r="B1665" s="729" t="s">
        <v>685</v>
      </c>
      <c r="C1665" s="762" t="s">
        <v>72</v>
      </c>
      <c r="D1665" s="763"/>
      <c r="E1665" s="759">
        <v>199722</v>
      </c>
      <c r="F1665" s="759">
        <v>10</v>
      </c>
      <c r="G1665" s="1152"/>
      <c r="H1665" s="1153"/>
      <c r="I1665" s="1152">
        <v>2213725</v>
      </c>
      <c r="J1665" s="1153">
        <v>2289385</v>
      </c>
      <c r="K1665" s="1152"/>
      <c r="L1665" s="1153"/>
      <c r="M1665" s="1152">
        <v>271423</v>
      </c>
      <c r="N1665" s="1152"/>
      <c r="O1665" s="732">
        <f t="shared" si="205"/>
        <v>271423</v>
      </c>
      <c r="P1665" s="1153">
        <v>249783</v>
      </c>
      <c r="Q1665" s="1153"/>
      <c r="R1665" s="733">
        <f t="shared" si="208"/>
        <v>249783</v>
      </c>
      <c r="S1665" s="732">
        <f t="shared" si="209"/>
        <v>2485148</v>
      </c>
      <c r="T1665" s="733">
        <f t="shared" si="210"/>
        <v>2539168</v>
      </c>
      <c r="U1665" s="1152"/>
      <c r="V1665" s="1153"/>
      <c r="W1665" s="1152"/>
      <c r="X1665" s="1152"/>
      <c r="Y1665" s="732">
        <f t="shared" si="206"/>
        <v>0</v>
      </c>
      <c r="Z1665" s="1153"/>
      <c r="AA1665" s="1153"/>
      <c r="AB1665" s="733">
        <f t="shared" si="207"/>
        <v>0</v>
      </c>
      <c r="AC1665" s="1152"/>
      <c r="AD1665" s="1153"/>
      <c r="AE1665" s="1152"/>
      <c r="AF1665" s="1152"/>
      <c r="AG1665" s="1153"/>
      <c r="AH1665" s="1153"/>
      <c r="AI1665" s="732">
        <f t="shared" si="211"/>
        <v>2485148</v>
      </c>
      <c r="AJ1665" s="733">
        <f t="shared" si="212"/>
        <v>2539168</v>
      </c>
    </row>
    <row r="1666" spans="1:36">
      <c r="A1666" s="759" t="s">
        <v>636</v>
      </c>
      <c r="B1666" s="729" t="s">
        <v>62</v>
      </c>
      <c r="C1666" s="729" t="s">
        <v>738</v>
      </c>
      <c r="D1666" s="722"/>
      <c r="E1666" s="759">
        <v>199731</v>
      </c>
      <c r="F1666" s="759">
        <v>10</v>
      </c>
      <c r="G1666" s="1152">
        <v>11394548</v>
      </c>
      <c r="H1666" s="1153">
        <v>11570172</v>
      </c>
      <c r="I1666" s="1152"/>
      <c r="J1666" s="1153"/>
      <c r="K1666" s="1152">
        <v>2473920</v>
      </c>
      <c r="L1666" s="1153">
        <v>2623730</v>
      </c>
      <c r="M1666" s="1152">
        <v>3365226</v>
      </c>
      <c r="N1666" s="1152"/>
      <c r="O1666" s="732">
        <f t="shared" si="205"/>
        <v>3365226</v>
      </c>
      <c r="P1666" s="1153">
        <v>3215011</v>
      </c>
      <c r="Q1666" s="1153"/>
      <c r="R1666" s="733">
        <f t="shared" si="208"/>
        <v>3215011</v>
      </c>
      <c r="S1666" s="732">
        <f t="shared" si="209"/>
        <v>17233694</v>
      </c>
      <c r="T1666" s="733">
        <f t="shared" si="210"/>
        <v>17408913</v>
      </c>
      <c r="U1666" s="1152"/>
      <c r="V1666" s="1153"/>
      <c r="W1666" s="1152"/>
      <c r="X1666" s="1152"/>
      <c r="Y1666" s="732">
        <f t="shared" si="206"/>
        <v>0</v>
      </c>
      <c r="Z1666" s="1153"/>
      <c r="AA1666" s="1153"/>
      <c r="AB1666" s="733">
        <f t="shared" si="207"/>
        <v>0</v>
      </c>
      <c r="AC1666" s="1152"/>
      <c r="AD1666" s="1153"/>
      <c r="AE1666" s="1152"/>
      <c r="AF1666" s="1152"/>
      <c r="AG1666" s="1153"/>
      <c r="AH1666" s="1153"/>
      <c r="AI1666" s="732">
        <f t="shared" si="211"/>
        <v>17233694</v>
      </c>
      <c r="AJ1666" s="733">
        <f t="shared" si="212"/>
        <v>17408913</v>
      </c>
    </row>
    <row r="1667" spans="1:36">
      <c r="A1667" s="759" t="s">
        <v>636</v>
      </c>
      <c r="B1667" s="729" t="s">
        <v>62</v>
      </c>
      <c r="C1667" s="762" t="s">
        <v>684</v>
      </c>
      <c r="D1667" s="763"/>
      <c r="E1667" s="759">
        <v>199731</v>
      </c>
      <c r="F1667" s="759">
        <v>10</v>
      </c>
      <c r="G1667" s="1152"/>
      <c r="H1667" s="1153"/>
      <c r="I1667" s="1152"/>
      <c r="J1667" s="1153"/>
      <c r="K1667" s="1152"/>
      <c r="L1667" s="1153"/>
      <c r="M1667" s="1152"/>
      <c r="N1667" s="1152"/>
      <c r="O1667" s="732">
        <f t="shared" si="205"/>
        <v>0</v>
      </c>
      <c r="P1667" s="1153"/>
      <c r="Q1667" s="1153"/>
      <c r="R1667" s="733">
        <f t="shared" si="208"/>
        <v>0</v>
      </c>
      <c r="S1667" s="732">
        <f t="shared" si="209"/>
        <v>0</v>
      </c>
      <c r="T1667" s="733">
        <f t="shared" si="210"/>
        <v>0</v>
      </c>
      <c r="U1667" s="1152"/>
      <c r="V1667" s="1153"/>
      <c r="W1667" s="1152"/>
      <c r="X1667" s="1152"/>
      <c r="Y1667" s="732">
        <f t="shared" si="206"/>
        <v>0</v>
      </c>
      <c r="Z1667" s="1153"/>
      <c r="AA1667" s="1153"/>
      <c r="AB1667" s="733">
        <f t="shared" si="207"/>
        <v>0</v>
      </c>
      <c r="AC1667" s="1152"/>
      <c r="AD1667" s="1153"/>
      <c r="AE1667" s="1152"/>
      <c r="AF1667" s="1152"/>
      <c r="AG1667" s="1153"/>
      <c r="AH1667" s="1153"/>
      <c r="AI1667" s="732">
        <f t="shared" si="211"/>
        <v>0</v>
      </c>
      <c r="AJ1667" s="733">
        <f t="shared" si="212"/>
        <v>0</v>
      </c>
    </row>
    <row r="1668" spans="1:36">
      <c r="A1668" s="759" t="s">
        <v>636</v>
      </c>
      <c r="B1668" s="729" t="s">
        <v>69</v>
      </c>
      <c r="C1668" s="762" t="s">
        <v>70</v>
      </c>
      <c r="D1668" s="763"/>
      <c r="E1668" s="759">
        <v>199731</v>
      </c>
      <c r="F1668" s="759">
        <v>10</v>
      </c>
      <c r="G1668" s="1152"/>
      <c r="H1668" s="1153"/>
      <c r="I1668" s="1152">
        <v>168324</v>
      </c>
      <c r="J1668" s="1153">
        <v>169242</v>
      </c>
      <c r="K1668" s="1152"/>
      <c r="L1668" s="1153"/>
      <c r="M1668" s="1152"/>
      <c r="N1668" s="1152"/>
      <c r="O1668" s="732">
        <f t="shared" si="205"/>
        <v>0</v>
      </c>
      <c r="P1668" s="1153"/>
      <c r="Q1668" s="1153"/>
      <c r="R1668" s="733">
        <f t="shared" si="208"/>
        <v>0</v>
      </c>
      <c r="S1668" s="732">
        <f t="shared" si="209"/>
        <v>168324</v>
      </c>
      <c r="T1668" s="733">
        <f t="shared" si="210"/>
        <v>169242</v>
      </c>
      <c r="U1668" s="1152"/>
      <c r="V1668" s="1153"/>
      <c r="W1668" s="1152"/>
      <c r="X1668" s="1152"/>
      <c r="Y1668" s="732">
        <f t="shared" si="206"/>
        <v>0</v>
      </c>
      <c r="Z1668" s="1153"/>
      <c r="AA1668" s="1153"/>
      <c r="AB1668" s="733">
        <f t="shared" si="207"/>
        <v>0</v>
      </c>
      <c r="AC1668" s="1152"/>
      <c r="AD1668" s="1153"/>
      <c r="AE1668" s="1152"/>
      <c r="AF1668" s="1152"/>
      <c r="AG1668" s="1153"/>
      <c r="AH1668" s="1153"/>
      <c r="AI1668" s="732">
        <f t="shared" si="211"/>
        <v>168324</v>
      </c>
      <c r="AJ1668" s="733">
        <f t="shared" si="212"/>
        <v>169242</v>
      </c>
    </row>
    <row r="1669" spans="1:36">
      <c r="A1669" s="759" t="s">
        <v>636</v>
      </c>
      <c r="B1669" s="729" t="s">
        <v>685</v>
      </c>
      <c r="C1669" s="762" t="s">
        <v>72</v>
      </c>
      <c r="D1669" s="763"/>
      <c r="E1669" s="759">
        <v>199731</v>
      </c>
      <c r="F1669" s="759">
        <v>10</v>
      </c>
      <c r="G1669" s="1152"/>
      <c r="H1669" s="1153"/>
      <c r="I1669" s="1152">
        <v>1690556</v>
      </c>
      <c r="J1669" s="1153">
        <v>1694670</v>
      </c>
      <c r="K1669" s="1152"/>
      <c r="L1669" s="1153"/>
      <c r="M1669" s="1152">
        <v>243125</v>
      </c>
      <c r="N1669" s="1152"/>
      <c r="O1669" s="732">
        <f t="shared" si="205"/>
        <v>243125</v>
      </c>
      <c r="P1669" s="1153">
        <v>224545</v>
      </c>
      <c r="Q1669" s="1153"/>
      <c r="R1669" s="733">
        <f t="shared" si="208"/>
        <v>224545</v>
      </c>
      <c r="S1669" s="732">
        <f t="shared" si="209"/>
        <v>1933681</v>
      </c>
      <c r="T1669" s="733">
        <f t="shared" si="210"/>
        <v>1919215</v>
      </c>
      <c r="U1669" s="1152"/>
      <c r="V1669" s="1153"/>
      <c r="W1669" s="1152"/>
      <c r="X1669" s="1152"/>
      <c r="Y1669" s="732">
        <f t="shared" si="206"/>
        <v>0</v>
      </c>
      <c r="Z1669" s="1153"/>
      <c r="AA1669" s="1153"/>
      <c r="AB1669" s="733">
        <f t="shared" si="207"/>
        <v>0</v>
      </c>
      <c r="AC1669" s="1152"/>
      <c r="AD1669" s="1153"/>
      <c r="AE1669" s="1152"/>
      <c r="AF1669" s="1152"/>
      <c r="AG1669" s="1153"/>
      <c r="AH1669" s="1153"/>
      <c r="AI1669" s="732">
        <f t="shared" si="211"/>
        <v>1933681</v>
      </c>
      <c r="AJ1669" s="733">
        <f t="shared" si="212"/>
        <v>1919215</v>
      </c>
    </row>
    <row r="1670" spans="1:36">
      <c r="A1670" s="759" t="s">
        <v>636</v>
      </c>
      <c r="B1670" s="729" t="s">
        <v>62</v>
      </c>
      <c r="C1670" s="729" t="s">
        <v>739</v>
      </c>
      <c r="D1670" s="722"/>
      <c r="E1670" s="759">
        <v>199795</v>
      </c>
      <c r="F1670" s="759">
        <v>10</v>
      </c>
      <c r="G1670" s="1152">
        <v>5586886</v>
      </c>
      <c r="H1670" s="1153">
        <v>6109007</v>
      </c>
      <c r="I1670" s="1152"/>
      <c r="J1670" s="1153"/>
      <c r="K1670" s="1152">
        <v>1180000</v>
      </c>
      <c r="L1670" s="1153">
        <v>1240524</v>
      </c>
      <c r="M1670" s="1152">
        <v>1440576</v>
      </c>
      <c r="N1670" s="1152"/>
      <c r="O1670" s="732">
        <f t="shared" si="205"/>
        <v>1440576</v>
      </c>
      <c r="P1670" s="1153">
        <v>1538383</v>
      </c>
      <c r="Q1670" s="1153"/>
      <c r="R1670" s="733">
        <f t="shared" si="208"/>
        <v>1538383</v>
      </c>
      <c r="S1670" s="732">
        <f t="shared" si="209"/>
        <v>8207462</v>
      </c>
      <c r="T1670" s="733">
        <f t="shared" si="210"/>
        <v>8887914</v>
      </c>
      <c r="U1670" s="1152"/>
      <c r="V1670" s="1153"/>
      <c r="W1670" s="1152"/>
      <c r="X1670" s="1152"/>
      <c r="Y1670" s="732">
        <f t="shared" si="206"/>
        <v>0</v>
      </c>
      <c r="Z1670" s="1153"/>
      <c r="AA1670" s="1153"/>
      <c r="AB1670" s="733">
        <f t="shared" si="207"/>
        <v>0</v>
      </c>
      <c r="AC1670" s="1152"/>
      <c r="AD1670" s="1153"/>
      <c r="AE1670" s="1152"/>
      <c r="AF1670" s="1152"/>
      <c r="AG1670" s="1153"/>
      <c r="AH1670" s="1153"/>
      <c r="AI1670" s="732">
        <f t="shared" si="211"/>
        <v>8207462</v>
      </c>
      <c r="AJ1670" s="733">
        <f t="shared" si="212"/>
        <v>8887914</v>
      </c>
    </row>
    <row r="1671" spans="1:36">
      <c r="A1671" s="759" t="s">
        <v>636</v>
      </c>
      <c r="B1671" s="729" t="s">
        <v>62</v>
      </c>
      <c r="C1671" s="762" t="s">
        <v>684</v>
      </c>
      <c r="D1671" s="763"/>
      <c r="E1671" s="759">
        <v>199795</v>
      </c>
      <c r="F1671" s="759">
        <v>10</v>
      </c>
      <c r="G1671" s="1152"/>
      <c r="H1671" s="1153"/>
      <c r="I1671" s="1152"/>
      <c r="J1671" s="1153"/>
      <c r="K1671" s="1152"/>
      <c r="L1671" s="1153"/>
      <c r="M1671" s="1152"/>
      <c r="N1671" s="1152"/>
      <c r="O1671" s="732">
        <f t="shared" si="205"/>
        <v>0</v>
      </c>
      <c r="P1671" s="1153"/>
      <c r="Q1671" s="1153"/>
      <c r="R1671" s="733">
        <f t="shared" si="208"/>
        <v>0</v>
      </c>
      <c r="S1671" s="732">
        <f t="shared" si="209"/>
        <v>0</v>
      </c>
      <c r="T1671" s="733">
        <f t="shared" si="210"/>
        <v>0</v>
      </c>
      <c r="U1671" s="1152"/>
      <c r="V1671" s="1153"/>
      <c r="W1671" s="1152"/>
      <c r="X1671" s="1152"/>
      <c r="Y1671" s="732">
        <f t="shared" si="206"/>
        <v>0</v>
      </c>
      <c r="Z1671" s="1153"/>
      <c r="AA1671" s="1153"/>
      <c r="AB1671" s="733">
        <f t="shared" si="207"/>
        <v>0</v>
      </c>
      <c r="AC1671" s="1152"/>
      <c r="AD1671" s="1153"/>
      <c r="AE1671" s="1152"/>
      <c r="AF1671" s="1152"/>
      <c r="AG1671" s="1153"/>
      <c r="AH1671" s="1153"/>
      <c r="AI1671" s="732">
        <f t="shared" si="211"/>
        <v>0</v>
      </c>
      <c r="AJ1671" s="733">
        <f t="shared" si="212"/>
        <v>0</v>
      </c>
    </row>
    <row r="1672" spans="1:36">
      <c r="A1672" s="759" t="s">
        <v>636</v>
      </c>
      <c r="B1672" s="729" t="s">
        <v>69</v>
      </c>
      <c r="C1672" s="762" t="s">
        <v>70</v>
      </c>
      <c r="D1672" s="763"/>
      <c r="E1672" s="759">
        <v>199795</v>
      </c>
      <c r="F1672" s="759">
        <v>10</v>
      </c>
      <c r="G1672" s="1152"/>
      <c r="H1672" s="1153"/>
      <c r="I1672" s="1152">
        <v>161078</v>
      </c>
      <c r="J1672" s="1153">
        <v>161979</v>
      </c>
      <c r="K1672" s="1152"/>
      <c r="L1672" s="1153"/>
      <c r="M1672" s="1152"/>
      <c r="N1672" s="1152"/>
      <c r="O1672" s="732">
        <f t="shared" si="205"/>
        <v>0</v>
      </c>
      <c r="P1672" s="1153"/>
      <c r="Q1672" s="1153"/>
      <c r="R1672" s="733">
        <f t="shared" si="208"/>
        <v>0</v>
      </c>
      <c r="S1672" s="732">
        <f t="shared" si="209"/>
        <v>161078</v>
      </c>
      <c r="T1672" s="733">
        <f t="shared" si="210"/>
        <v>161979</v>
      </c>
      <c r="U1672" s="1152"/>
      <c r="V1672" s="1153"/>
      <c r="W1672" s="1152"/>
      <c r="X1672" s="1152"/>
      <c r="Y1672" s="732">
        <f t="shared" si="206"/>
        <v>0</v>
      </c>
      <c r="Z1672" s="1153"/>
      <c r="AA1672" s="1153"/>
      <c r="AB1672" s="733">
        <f t="shared" si="207"/>
        <v>0</v>
      </c>
      <c r="AC1672" s="1152"/>
      <c r="AD1672" s="1153"/>
      <c r="AE1672" s="1152"/>
      <c r="AF1672" s="1152"/>
      <c r="AG1672" s="1153"/>
      <c r="AH1672" s="1153"/>
      <c r="AI1672" s="732">
        <f t="shared" si="211"/>
        <v>161078</v>
      </c>
      <c r="AJ1672" s="733">
        <f t="shared" si="212"/>
        <v>161979</v>
      </c>
    </row>
    <row r="1673" spans="1:36">
      <c r="A1673" s="759" t="s">
        <v>636</v>
      </c>
      <c r="B1673" s="729" t="s">
        <v>685</v>
      </c>
      <c r="C1673" s="762" t="s">
        <v>72</v>
      </c>
      <c r="D1673" s="763"/>
      <c r="E1673" s="759">
        <v>199795</v>
      </c>
      <c r="F1673" s="759">
        <v>10</v>
      </c>
      <c r="G1673" s="1152"/>
      <c r="H1673" s="1153"/>
      <c r="I1673" s="1152">
        <v>757007</v>
      </c>
      <c r="J1673" s="1153">
        <v>794305</v>
      </c>
      <c r="K1673" s="1152"/>
      <c r="L1673" s="1153"/>
      <c r="M1673" s="1152">
        <v>84894</v>
      </c>
      <c r="N1673" s="1152"/>
      <c r="O1673" s="732">
        <f t="shared" si="205"/>
        <v>84894</v>
      </c>
      <c r="P1673" s="1153">
        <v>81653</v>
      </c>
      <c r="Q1673" s="1153"/>
      <c r="R1673" s="733">
        <f t="shared" si="208"/>
        <v>81653</v>
      </c>
      <c r="S1673" s="732">
        <f t="shared" si="209"/>
        <v>841901</v>
      </c>
      <c r="T1673" s="733">
        <f t="shared" si="210"/>
        <v>875958</v>
      </c>
      <c r="U1673" s="1152"/>
      <c r="V1673" s="1153"/>
      <c r="W1673" s="1152"/>
      <c r="X1673" s="1152"/>
      <c r="Y1673" s="732">
        <f t="shared" si="206"/>
        <v>0</v>
      </c>
      <c r="Z1673" s="1153"/>
      <c r="AA1673" s="1153"/>
      <c r="AB1673" s="733">
        <f t="shared" si="207"/>
        <v>0</v>
      </c>
      <c r="AC1673" s="1152"/>
      <c r="AD1673" s="1153"/>
      <c r="AE1673" s="1152"/>
      <c r="AF1673" s="1152"/>
      <c r="AG1673" s="1153"/>
      <c r="AH1673" s="1153"/>
      <c r="AI1673" s="732">
        <f t="shared" si="211"/>
        <v>841901</v>
      </c>
      <c r="AJ1673" s="733">
        <f t="shared" si="212"/>
        <v>875958</v>
      </c>
    </row>
    <row r="1674" spans="1:36">
      <c r="A1674" s="759" t="s">
        <v>636</v>
      </c>
      <c r="B1674" s="729" t="s">
        <v>62</v>
      </c>
      <c r="C1674" s="729" t="s">
        <v>716</v>
      </c>
      <c r="D1674" s="723"/>
      <c r="E1674" s="759">
        <v>199908</v>
      </c>
      <c r="F1674" s="759">
        <v>10</v>
      </c>
      <c r="G1674" s="1152">
        <v>8946279</v>
      </c>
      <c r="H1674" s="1153">
        <v>9568082</v>
      </c>
      <c r="I1674" s="1152"/>
      <c r="J1674" s="1153"/>
      <c r="K1674" s="1152">
        <v>2613155</v>
      </c>
      <c r="L1674" s="1153">
        <v>2667110</v>
      </c>
      <c r="M1674" s="1152">
        <v>2744747</v>
      </c>
      <c r="N1674" s="1152"/>
      <c r="O1674" s="732">
        <f t="shared" ref="O1674:O1737" si="213">SUM(M1674:N1674)</f>
        <v>2744747</v>
      </c>
      <c r="P1674" s="1153">
        <v>2859752</v>
      </c>
      <c r="Q1674" s="1153"/>
      <c r="R1674" s="733">
        <f t="shared" si="208"/>
        <v>2859752</v>
      </c>
      <c r="S1674" s="732">
        <f t="shared" si="209"/>
        <v>14304181</v>
      </c>
      <c r="T1674" s="733">
        <f t="shared" si="210"/>
        <v>15094944</v>
      </c>
      <c r="U1674" s="1152"/>
      <c r="V1674" s="1153"/>
      <c r="W1674" s="1152"/>
      <c r="X1674" s="1152"/>
      <c r="Y1674" s="732">
        <f t="shared" ref="Y1674:Y1737" si="214">SUM(W1674:X1674)</f>
        <v>0</v>
      </c>
      <c r="Z1674" s="1153"/>
      <c r="AA1674" s="1153"/>
      <c r="AB1674" s="733">
        <f t="shared" ref="AB1674:AB1737" si="215">SUM(Z1674:AA1674)</f>
        <v>0</v>
      </c>
      <c r="AC1674" s="1152"/>
      <c r="AD1674" s="1153"/>
      <c r="AE1674" s="1152"/>
      <c r="AF1674" s="1152"/>
      <c r="AG1674" s="1153"/>
      <c r="AH1674" s="1153"/>
      <c r="AI1674" s="732">
        <f t="shared" si="211"/>
        <v>14304181</v>
      </c>
      <c r="AJ1674" s="733">
        <f t="shared" si="212"/>
        <v>15094944</v>
      </c>
    </row>
    <row r="1675" spans="1:36">
      <c r="A1675" s="759" t="s">
        <v>636</v>
      </c>
      <c r="B1675" s="729" t="s">
        <v>62</v>
      </c>
      <c r="C1675" s="762" t="s">
        <v>684</v>
      </c>
      <c r="D1675" s="763"/>
      <c r="E1675" s="759">
        <v>199908</v>
      </c>
      <c r="F1675" s="759">
        <v>10</v>
      </c>
      <c r="G1675" s="1152"/>
      <c r="H1675" s="1153"/>
      <c r="I1675" s="1152"/>
      <c r="J1675" s="1153"/>
      <c r="K1675" s="1152"/>
      <c r="L1675" s="1153"/>
      <c r="M1675" s="1152"/>
      <c r="N1675" s="1152"/>
      <c r="O1675" s="732">
        <f t="shared" si="213"/>
        <v>0</v>
      </c>
      <c r="P1675" s="1153"/>
      <c r="Q1675" s="1153"/>
      <c r="R1675" s="733">
        <f t="shared" ref="R1675:R1738" si="216">SUM(P1675:Q1675)</f>
        <v>0</v>
      </c>
      <c r="S1675" s="732">
        <f t="shared" ref="S1675:S1738" si="217">SUM(G1675,I1675,K1675,M1675)</f>
        <v>0</v>
      </c>
      <c r="T1675" s="733">
        <f t="shared" ref="T1675:T1738" si="218">SUM(H1675,J1675,L1675,P1675)</f>
        <v>0</v>
      </c>
      <c r="U1675" s="1152"/>
      <c r="V1675" s="1153"/>
      <c r="W1675" s="1152"/>
      <c r="X1675" s="1152"/>
      <c r="Y1675" s="732">
        <f t="shared" si="214"/>
        <v>0</v>
      </c>
      <c r="Z1675" s="1153"/>
      <c r="AA1675" s="1153"/>
      <c r="AB1675" s="733">
        <f t="shared" si="215"/>
        <v>0</v>
      </c>
      <c r="AC1675" s="1152"/>
      <c r="AD1675" s="1153"/>
      <c r="AE1675" s="1152"/>
      <c r="AF1675" s="1152"/>
      <c r="AG1675" s="1153"/>
      <c r="AH1675" s="1153"/>
      <c r="AI1675" s="732">
        <f t="shared" ref="AI1675:AI1738" si="219">SUM(S1675,U1675,W1675,AC1675,AE1675)</f>
        <v>0</v>
      </c>
      <c r="AJ1675" s="733">
        <f t="shared" ref="AJ1675:AJ1738" si="220">SUM(T1675,V1675,Z1675,AD1675,AG1675)</f>
        <v>0</v>
      </c>
    </row>
    <row r="1676" spans="1:36">
      <c r="A1676" s="759" t="s">
        <v>636</v>
      </c>
      <c r="B1676" s="729" t="s">
        <v>69</v>
      </c>
      <c r="C1676" s="762" t="s">
        <v>70</v>
      </c>
      <c r="D1676" s="763"/>
      <c r="E1676" s="759">
        <v>199908</v>
      </c>
      <c r="F1676" s="759">
        <v>10</v>
      </c>
      <c r="G1676" s="1152"/>
      <c r="H1676" s="1153"/>
      <c r="I1676" s="1152">
        <v>166640</v>
      </c>
      <c r="J1676" s="1153">
        <v>166065</v>
      </c>
      <c r="K1676" s="1152"/>
      <c r="L1676" s="1153"/>
      <c r="M1676" s="1152"/>
      <c r="N1676" s="1152"/>
      <c r="O1676" s="732">
        <f t="shared" si="213"/>
        <v>0</v>
      </c>
      <c r="P1676" s="1153"/>
      <c r="Q1676" s="1153"/>
      <c r="R1676" s="733">
        <f t="shared" si="216"/>
        <v>0</v>
      </c>
      <c r="S1676" s="732">
        <f t="shared" si="217"/>
        <v>166640</v>
      </c>
      <c r="T1676" s="733">
        <f t="shared" si="218"/>
        <v>166065</v>
      </c>
      <c r="U1676" s="1152"/>
      <c r="V1676" s="1153"/>
      <c r="W1676" s="1152"/>
      <c r="X1676" s="1152"/>
      <c r="Y1676" s="732">
        <f t="shared" si="214"/>
        <v>0</v>
      </c>
      <c r="Z1676" s="1153"/>
      <c r="AA1676" s="1153"/>
      <c r="AB1676" s="733">
        <f t="shared" si="215"/>
        <v>0</v>
      </c>
      <c r="AC1676" s="1152"/>
      <c r="AD1676" s="1153"/>
      <c r="AE1676" s="1152"/>
      <c r="AF1676" s="1152"/>
      <c r="AG1676" s="1153"/>
      <c r="AH1676" s="1153"/>
      <c r="AI1676" s="732">
        <f t="shared" si="219"/>
        <v>166640</v>
      </c>
      <c r="AJ1676" s="733">
        <f t="shared" si="220"/>
        <v>166065</v>
      </c>
    </row>
    <row r="1677" spans="1:36">
      <c r="A1677" s="759" t="s">
        <v>636</v>
      </c>
      <c r="B1677" s="729" t="s">
        <v>685</v>
      </c>
      <c r="C1677" s="762" t="s">
        <v>72</v>
      </c>
      <c r="D1677" s="763"/>
      <c r="E1677" s="759">
        <v>199908</v>
      </c>
      <c r="F1677" s="759">
        <v>10</v>
      </c>
      <c r="G1677" s="1152"/>
      <c r="H1677" s="1153"/>
      <c r="I1677" s="1152">
        <v>1242778</v>
      </c>
      <c r="J1677" s="1153">
        <v>1167660</v>
      </c>
      <c r="K1677" s="1152"/>
      <c r="L1677" s="1153"/>
      <c r="M1677" s="1152">
        <v>137505</v>
      </c>
      <c r="N1677" s="1152"/>
      <c r="O1677" s="732">
        <f t="shared" si="213"/>
        <v>137505</v>
      </c>
      <c r="P1677" s="1153">
        <v>126933</v>
      </c>
      <c r="Q1677" s="1153"/>
      <c r="R1677" s="733">
        <f t="shared" si="216"/>
        <v>126933</v>
      </c>
      <c r="S1677" s="732">
        <f t="shared" si="217"/>
        <v>1380283</v>
      </c>
      <c r="T1677" s="733">
        <f t="shared" si="218"/>
        <v>1294593</v>
      </c>
      <c r="U1677" s="1152"/>
      <c r="V1677" s="1153"/>
      <c r="W1677" s="1152"/>
      <c r="X1677" s="1152"/>
      <c r="Y1677" s="732">
        <f t="shared" si="214"/>
        <v>0</v>
      </c>
      <c r="Z1677" s="1153"/>
      <c r="AA1677" s="1153"/>
      <c r="AB1677" s="733">
        <f t="shared" si="215"/>
        <v>0</v>
      </c>
      <c r="AC1677" s="1152"/>
      <c r="AD1677" s="1153"/>
      <c r="AE1677" s="1152"/>
      <c r="AF1677" s="1152"/>
      <c r="AG1677" s="1153"/>
      <c r="AH1677" s="1153"/>
      <c r="AI1677" s="732">
        <f t="shared" si="219"/>
        <v>1380283</v>
      </c>
      <c r="AJ1677" s="733">
        <f t="shared" si="220"/>
        <v>1294593</v>
      </c>
    </row>
    <row r="1678" spans="1:36">
      <c r="A1678" s="759" t="s">
        <v>636</v>
      </c>
      <c r="B1678" s="729" t="s">
        <v>62</v>
      </c>
      <c r="C1678" s="729" t="s">
        <v>740</v>
      </c>
      <c r="D1678" s="722"/>
      <c r="E1678" s="759">
        <v>199953</v>
      </c>
      <c r="F1678" s="759">
        <v>10</v>
      </c>
      <c r="G1678" s="1152">
        <v>7630036</v>
      </c>
      <c r="H1678" s="1153">
        <v>8048567</v>
      </c>
      <c r="I1678" s="1152"/>
      <c r="J1678" s="1153"/>
      <c r="K1678" s="1152">
        <v>2725335</v>
      </c>
      <c r="L1678" s="1153">
        <v>2898225</v>
      </c>
      <c r="M1678" s="1152">
        <v>2230729</v>
      </c>
      <c r="N1678" s="1152"/>
      <c r="O1678" s="732">
        <f t="shared" si="213"/>
        <v>2230729</v>
      </c>
      <c r="P1678" s="1153">
        <v>2253722</v>
      </c>
      <c r="Q1678" s="1153"/>
      <c r="R1678" s="733">
        <f t="shared" si="216"/>
        <v>2253722</v>
      </c>
      <c r="S1678" s="732">
        <f t="shared" si="217"/>
        <v>12586100</v>
      </c>
      <c r="T1678" s="733">
        <f t="shared" si="218"/>
        <v>13200514</v>
      </c>
      <c r="U1678" s="1152"/>
      <c r="V1678" s="1153"/>
      <c r="W1678" s="1152"/>
      <c r="X1678" s="1152"/>
      <c r="Y1678" s="732">
        <f t="shared" si="214"/>
        <v>0</v>
      </c>
      <c r="Z1678" s="1153"/>
      <c r="AA1678" s="1153"/>
      <c r="AB1678" s="733">
        <f t="shared" si="215"/>
        <v>0</v>
      </c>
      <c r="AC1678" s="1152"/>
      <c r="AD1678" s="1153"/>
      <c r="AE1678" s="1152"/>
      <c r="AF1678" s="1152"/>
      <c r="AG1678" s="1153"/>
      <c r="AH1678" s="1153"/>
      <c r="AI1678" s="732">
        <f t="shared" si="219"/>
        <v>12586100</v>
      </c>
      <c r="AJ1678" s="733">
        <f t="shared" si="220"/>
        <v>13200514</v>
      </c>
    </row>
    <row r="1679" spans="1:36">
      <c r="A1679" s="759" t="s">
        <v>636</v>
      </c>
      <c r="B1679" s="729" t="s">
        <v>62</v>
      </c>
      <c r="C1679" s="762" t="s">
        <v>684</v>
      </c>
      <c r="D1679" s="763"/>
      <c r="E1679" s="759">
        <v>199953</v>
      </c>
      <c r="F1679" s="759">
        <v>10</v>
      </c>
      <c r="G1679" s="1152"/>
      <c r="H1679" s="1153"/>
      <c r="I1679" s="1152"/>
      <c r="J1679" s="1153"/>
      <c r="K1679" s="1152"/>
      <c r="L1679" s="1153"/>
      <c r="M1679" s="1152"/>
      <c r="N1679" s="1152"/>
      <c r="O1679" s="732">
        <f t="shared" si="213"/>
        <v>0</v>
      </c>
      <c r="P1679" s="1153"/>
      <c r="Q1679" s="1153"/>
      <c r="R1679" s="733">
        <f t="shared" si="216"/>
        <v>0</v>
      </c>
      <c r="S1679" s="732">
        <f t="shared" si="217"/>
        <v>0</v>
      </c>
      <c r="T1679" s="733">
        <f t="shared" si="218"/>
        <v>0</v>
      </c>
      <c r="U1679" s="1152"/>
      <c r="V1679" s="1153"/>
      <c r="W1679" s="1152"/>
      <c r="X1679" s="1152"/>
      <c r="Y1679" s="732">
        <f t="shared" si="214"/>
        <v>0</v>
      </c>
      <c r="Z1679" s="1153"/>
      <c r="AA1679" s="1153"/>
      <c r="AB1679" s="733">
        <f t="shared" si="215"/>
        <v>0</v>
      </c>
      <c r="AC1679" s="1152"/>
      <c r="AD1679" s="1153"/>
      <c r="AE1679" s="1152"/>
      <c r="AF1679" s="1152"/>
      <c r="AG1679" s="1153"/>
      <c r="AH1679" s="1153"/>
      <c r="AI1679" s="732">
        <f t="shared" si="219"/>
        <v>0</v>
      </c>
      <c r="AJ1679" s="733">
        <f t="shared" si="220"/>
        <v>0</v>
      </c>
    </row>
    <row r="1680" spans="1:36">
      <c r="A1680" s="759" t="s">
        <v>636</v>
      </c>
      <c r="B1680" s="729" t="s">
        <v>69</v>
      </c>
      <c r="C1680" s="762" t="s">
        <v>70</v>
      </c>
      <c r="D1680" s="763"/>
      <c r="E1680" s="759">
        <v>199953</v>
      </c>
      <c r="F1680" s="759">
        <v>10</v>
      </c>
      <c r="G1680" s="1152"/>
      <c r="H1680" s="1153"/>
      <c r="I1680" s="1152">
        <v>168070</v>
      </c>
      <c r="J1680" s="1153">
        <v>169193</v>
      </c>
      <c r="K1680" s="1152"/>
      <c r="L1680" s="1153"/>
      <c r="M1680" s="1152"/>
      <c r="N1680" s="1152"/>
      <c r="O1680" s="732">
        <f t="shared" si="213"/>
        <v>0</v>
      </c>
      <c r="P1680" s="1153"/>
      <c r="Q1680" s="1153"/>
      <c r="R1680" s="733">
        <f t="shared" si="216"/>
        <v>0</v>
      </c>
      <c r="S1680" s="732">
        <f t="shared" si="217"/>
        <v>168070</v>
      </c>
      <c r="T1680" s="733">
        <f t="shared" si="218"/>
        <v>169193</v>
      </c>
      <c r="U1680" s="1152"/>
      <c r="V1680" s="1153"/>
      <c r="W1680" s="1152"/>
      <c r="X1680" s="1152"/>
      <c r="Y1680" s="732">
        <f t="shared" si="214"/>
        <v>0</v>
      </c>
      <c r="Z1680" s="1153"/>
      <c r="AA1680" s="1153"/>
      <c r="AB1680" s="733">
        <f t="shared" si="215"/>
        <v>0</v>
      </c>
      <c r="AC1680" s="1152"/>
      <c r="AD1680" s="1153"/>
      <c r="AE1680" s="1152"/>
      <c r="AF1680" s="1152"/>
      <c r="AG1680" s="1153"/>
      <c r="AH1680" s="1153"/>
      <c r="AI1680" s="732">
        <f t="shared" si="219"/>
        <v>168070</v>
      </c>
      <c r="AJ1680" s="733">
        <f t="shared" si="220"/>
        <v>169193</v>
      </c>
    </row>
    <row r="1681" spans="1:36">
      <c r="A1681" s="759" t="s">
        <v>636</v>
      </c>
      <c r="B1681" s="729" t="s">
        <v>685</v>
      </c>
      <c r="C1681" s="762" t="s">
        <v>72</v>
      </c>
      <c r="D1681" s="763"/>
      <c r="E1681" s="759">
        <v>199953</v>
      </c>
      <c r="F1681" s="759">
        <v>10</v>
      </c>
      <c r="G1681" s="1152"/>
      <c r="H1681" s="1153"/>
      <c r="I1681" s="1152">
        <v>1153631</v>
      </c>
      <c r="J1681" s="1153">
        <v>1196287</v>
      </c>
      <c r="K1681" s="1152"/>
      <c r="L1681" s="1153"/>
      <c r="M1681" s="1152">
        <v>139896</v>
      </c>
      <c r="N1681" s="1152"/>
      <c r="O1681" s="732">
        <f t="shared" si="213"/>
        <v>139896</v>
      </c>
      <c r="P1681" s="1153">
        <v>130273</v>
      </c>
      <c r="Q1681" s="1153"/>
      <c r="R1681" s="733">
        <f t="shared" si="216"/>
        <v>130273</v>
      </c>
      <c r="S1681" s="732">
        <f t="shared" si="217"/>
        <v>1293527</v>
      </c>
      <c r="T1681" s="733">
        <f t="shared" si="218"/>
        <v>1326560</v>
      </c>
      <c r="U1681" s="1152"/>
      <c r="V1681" s="1153"/>
      <c r="W1681" s="1152"/>
      <c r="X1681" s="1152"/>
      <c r="Y1681" s="732">
        <f t="shared" si="214"/>
        <v>0</v>
      </c>
      <c r="Z1681" s="1153"/>
      <c r="AA1681" s="1153"/>
      <c r="AB1681" s="733">
        <f t="shared" si="215"/>
        <v>0</v>
      </c>
      <c r="AC1681" s="1152"/>
      <c r="AD1681" s="1153"/>
      <c r="AE1681" s="1152"/>
      <c r="AF1681" s="1152"/>
      <c r="AG1681" s="1153"/>
      <c r="AH1681" s="1153"/>
      <c r="AI1681" s="732">
        <f t="shared" si="219"/>
        <v>1293527</v>
      </c>
      <c r="AJ1681" s="733">
        <f t="shared" si="220"/>
        <v>1326560</v>
      </c>
    </row>
    <row r="1682" spans="1:36">
      <c r="A1682" s="759" t="s">
        <v>636</v>
      </c>
      <c r="B1682" s="729" t="s">
        <v>123</v>
      </c>
      <c r="C1682" s="722" t="s">
        <v>741</v>
      </c>
      <c r="D1682" s="722"/>
      <c r="E1682" s="767"/>
      <c r="F1682" s="766">
        <v>99</v>
      </c>
      <c r="G1682" s="1152"/>
      <c r="H1682" s="1153"/>
      <c r="I1682" s="1152"/>
      <c r="J1682" s="1153"/>
      <c r="K1682" s="1152"/>
      <c r="L1682" s="1153"/>
      <c r="M1682" s="1152"/>
      <c r="N1682" s="1152"/>
      <c r="O1682" s="732">
        <f t="shared" si="213"/>
        <v>0</v>
      </c>
      <c r="P1682" s="1153"/>
      <c r="Q1682" s="1153"/>
      <c r="R1682" s="733">
        <f t="shared" si="216"/>
        <v>0</v>
      </c>
      <c r="S1682" s="732">
        <f t="shared" si="217"/>
        <v>0</v>
      </c>
      <c r="T1682" s="733">
        <f t="shared" si="218"/>
        <v>0</v>
      </c>
      <c r="U1682" s="1152"/>
      <c r="V1682" s="1153"/>
      <c r="W1682" s="1152"/>
      <c r="X1682" s="1152"/>
      <c r="Y1682" s="732">
        <f t="shared" si="214"/>
        <v>0</v>
      </c>
      <c r="Z1682" s="1153"/>
      <c r="AA1682" s="1153"/>
      <c r="AB1682" s="733">
        <f t="shared" si="215"/>
        <v>0</v>
      </c>
      <c r="AC1682" s="1152"/>
      <c r="AD1682" s="1153"/>
      <c r="AE1682" s="1152"/>
      <c r="AF1682" s="1152"/>
      <c r="AG1682" s="1153"/>
      <c r="AH1682" s="1153"/>
      <c r="AI1682" s="732">
        <f t="shared" si="219"/>
        <v>0</v>
      </c>
      <c r="AJ1682" s="733">
        <f t="shared" si="220"/>
        <v>0</v>
      </c>
    </row>
    <row r="1683" spans="1:36">
      <c r="A1683" s="759" t="s">
        <v>636</v>
      </c>
      <c r="B1683" s="729" t="s">
        <v>123</v>
      </c>
      <c r="C1683" s="764" t="s">
        <v>742</v>
      </c>
      <c r="D1683" s="763"/>
      <c r="E1683" s="767"/>
      <c r="F1683" s="766">
        <v>99</v>
      </c>
      <c r="G1683" s="1152"/>
      <c r="H1683" s="1153"/>
      <c r="I1683" s="1152">
        <v>621883</v>
      </c>
      <c r="J1683" s="1154">
        <v>573211</v>
      </c>
      <c r="K1683" s="1152"/>
      <c r="L1683" s="1153"/>
      <c r="M1683" s="1152"/>
      <c r="N1683" s="1152"/>
      <c r="O1683" s="732">
        <f t="shared" si="213"/>
        <v>0</v>
      </c>
      <c r="P1683" s="1153"/>
      <c r="Q1683" s="1153"/>
      <c r="R1683" s="733">
        <f t="shared" si="216"/>
        <v>0</v>
      </c>
      <c r="S1683" s="732">
        <f t="shared" si="217"/>
        <v>621883</v>
      </c>
      <c r="T1683" s="733">
        <f t="shared" si="218"/>
        <v>573211</v>
      </c>
      <c r="U1683" s="1152"/>
      <c r="V1683" s="1153"/>
      <c r="W1683" s="1152"/>
      <c r="X1683" s="1152"/>
      <c r="Y1683" s="732">
        <f t="shared" si="214"/>
        <v>0</v>
      </c>
      <c r="Z1683" s="1153"/>
      <c r="AA1683" s="1153"/>
      <c r="AB1683" s="733">
        <f t="shared" si="215"/>
        <v>0</v>
      </c>
      <c r="AC1683" s="1152"/>
      <c r="AD1683" s="1153"/>
      <c r="AE1683" s="1152"/>
      <c r="AF1683" s="1152"/>
      <c r="AG1683" s="1153"/>
      <c r="AH1683" s="1153"/>
      <c r="AI1683" s="732">
        <f t="shared" si="219"/>
        <v>621883</v>
      </c>
      <c r="AJ1683" s="733">
        <f t="shared" si="220"/>
        <v>573211</v>
      </c>
    </row>
    <row r="1684" spans="1:36">
      <c r="A1684" s="759" t="s">
        <v>636</v>
      </c>
      <c r="B1684" s="729" t="s">
        <v>123</v>
      </c>
      <c r="C1684" s="764" t="s">
        <v>743</v>
      </c>
      <c r="D1684" s="763"/>
      <c r="E1684" s="767"/>
      <c r="F1684" s="766">
        <v>99</v>
      </c>
      <c r="G1684" s="1152"/>
      <c r="H1684" s="1153"/>
      <c r="I1684" s="1152">
        <v>20015743</v>
      </c>
      <c r="J1684" s="1154">
        <v>21174078</v>
      </c>
      <c r="K1684" s="1152"/>
      <c r="L1684" s="1153"/>
      <c r="M1684" s="1152"/>
      <c r="N1684" s="1152"/>
      <c r="O1684" s="732">
        <f t="shared" si="213"/>
        <v>0</v>
      </c>
      <c r="P1684" s="1153"/>
      <c r="Q1684" s="1153"/>
      <c r="R1684" s="733">
        <f t="shared" si="216"/>
        <v>0</v>
      </c>
      <c r="S1684" s="732">
        <f t="shared" si="217"/>
        <v>20015743</v>
      </c>
      <c r="T1684" s="733">
        <f t="shared" si="218"/>
        <v>21174078</v>
      </c>
      <c r="U1684" s="1152"/>
      <c r="V1684" s="1153"/>
      <c r="W1684" s="1152"/>
      <c r="X1684" s="1152"/>
      <c r="Y1684" s="732">
        <f t="shared" si="214"/>
        <v>0</v>
      </c>
      <c r="Z1684" s="1153"/>
      <c r="AA1684" s="1153"/>
      <c r="AB1684" s="733">
        <f t="shared" si="215"/>
        <v>0</v>
      </c>
      <c r="AC1684" s="1152"/>
      <c r="AD1684" s="1153"/>
      <c r="AE1684" s="1152"/>
      <c r="AF1684" s="1152"/>
      <c r="AG1684" s="1153"/>
      <c r="AH1684" s="1153"/>
      <c r="AI1684" s="732">
        <f t="shared" si="219"/>
        <v>20015743</v>
      </c>
      <c r="AJ1684" s="733">
        <f t="shared" si="220"/>
        <v>21174078</v>
      </c>
    </row>
    <row r="1685" spans="1:36">
      <c r="A1685" s="759" t="s">
        <v>636</v>
      </c>
      <c r="B1685" s="729" t="s">
        <v>138</v>
      </c>
      <c r="C1685" s="722" t="s">
        <v>139</v>
      </c>
      <c r="D1685" s="722"/>
      <c r="E1685" s="759"/>
      <c r="F1685" s="766">
        <v>99</v>
      </c>
      <c r="G1685" s="1152"/>
      <c r="H1685" s="1153"/>
      <c r="I1685" s="1152"/>
      <c r="J1685" s="1153"/>
      <c r="K1685" s="1152"/>
      <c r="L1685" s="1153"/>
      <c r="M1685" s="1152"/>
      <c r="N1685" s="1152"/>
      <c r="O1685" s="732">
        <f t="shared" si="213"/>
        <v>0</v>
      </c>
      <c r="P1685" s="1153"/>
      <c r="Q1685" s="1153"/>
      <c r="R1685" s="733">
        <f t="shared" si="216"/>
        <v>0</v>
      </c>
      <c r="S1685" s="732">
        <f t="shared" si="217"/>
        <v>0</v>
      </c>
      <c r="T1685" s="733">
        <f t="shared" si="218"/>
        <v>0</v>
      </c>
      <c r="U1685" s="1152"/>
      <c r="V1685" s="1153"/>
      <c r="W1685" s="1152"/>
      <c r="X1685" s="1152"/>
      <c r="Y1685" s="732">
        <f t="shared" si="214"/>
        <v>0</v>
      </c>
      <c r="Z1685" s="1153"/>
      <c r="AA1685" s="1153"/>
      <c r="AB1685" s="733">
        <f t="shared" si="215"/>
        <v>0</v>
      </c>
      <c r="AC1685" s="1152"/>
      <c r="AD1685" s="1153"/>
      <c r="AE1685" s="1152"/>
      <c r="AF1685" s="1152"/>
      <c r="AG1685" s="1153"/>
      <c r="AH1685" s="1153"/>
      <c r="AI1685" s="732">
        <f t="shared" si="219"/>
        <v>0</v>
      </c>
      <c r="AJ1685" s="733">
        <f t="shared" si="220"/>
        <v>0</v>
      </c>
    </row>
    <row r="1686" spans="1:36">
      <c r="A1686" s="759" t="s">
        <v>636</v>
      </c>
      <c r="B1686" s="729" t="s">
        <v>142</v>
      </c>
      <c r="C1686" s="762" t="s">
        <v>143</v>
      </c>
      <c r="D1686" s="763"/>
      <c r="E1686" s="759"/>
      <c r="F1686" s="766">
        <v>99</v>
      </c>
      <c r="G1686" s="1152"/>
      <c r="H1686" s="1153"/>
      <c r="I1686" s="1152"/>
      <c r="J1686" s="1153"/>
      <c r="K1686" s="1152"/>
      <c r="L1686" s="1153"/>
      <c r="M1686" s="1152"/>
      <c r="N1686" s="1152"/>
      <c r="O1686" s="732">
        <f t="shared" si="213"/>
        <v>0</v>
      </c>
      <c r="P1686" s="1153"/>
      <c r="Q1686" s="1153"/>
      <c r="R1686" s="733">
        <f t="shared" si="216"/>
        <v>0</v>
      </c>
      <c r="S1686" s="732">
        <f t="shared" si="217"/>
        <v>0</v>
      </c>
      <c r="T1686" s="733">
        <f t="shared" si="218"/>
        <v>0</v>
      </c>
      <c r="U1686" s="1152"/>
      <c r="V1686" s="1153"/>
      <c r="W1686" s="1152"/>
      <c r="X1686" s="1152"/>
      <c r="Y1686" s="732">
        <f t="shared" si="214"/>
        <v>0</v>
      </c>
      <c r="Z1686" s="1153"/>
      <c r="AA1686" s="1153"/>
      <c r="AB1686" s="733">
        <f t="shared" si="215"/>
        <v>0</v>
      </c>
      <c r="AC1686" s="1152"/>
      <c r="AD1686" s="1153"/>
      <c r="AE1686" s="1152"/>
      <c r="AF1686" s="1152"/>
      <c r="AG1686" s="1153"/>
      <c r="AH1686" s="1153"/>
      <c r="AI1686" s="732">
        <f t="shared" si="219"/>
        <v>0</v>
      </c>
      <c r="AJ1686" s="733">
        <f t="shared" si="220"/>
        <v>0</v>
      </c>
    </row>
    <row r="1687" spans="1:36">
      <c r="A1687" s="759" t="s">
        <v>636</v>
      </c>
      <c r="B1687" s="729" t="s">
        <v>142</v>
      </c>
      <c r="C1687" s="764" t="s">
        <v>744</v>
      </c>
      <c r="D1687" s="763"/>
      <c r="E1687" s="759"/>
      <c r="F1687" s="766">
        <v>99</v>
      </c>
      <c r="G1687" s="1152"/>
      <c r="H1687" s="1153"/>
      <c r="I1687" s="1152"/>
      <c r="J1687" s="1153"/>
      <c r="K1687" s="1152"/>
      <c r="L1687" s="1153"/>
      <c r="M1687" s="1152"/>
      <c r="N1687" s="1152"/>
      <c r="O1687" s="732">
        <f t="shared" si="213"/>
        <v>0</v>
      </c>
      <c r="P1687" s="1153"/>
      <c r="Q1687" s="1153"/>
      <c r="R1687" s="733">
        <f t="shared" si="216"/>
        <v>0</v>
      </c>
      <c r="S1687" s="732">
        <f t="shared" si="217"/>
        <v>0</v>
      </c>
      <c r="T1687" s="733">
        <f t="shared" si="218"/>
        <v>0</v>
      </c>
      <c r="U1687" s="1152"/>
      <c r="V1687" s="1153"/>
      <c r="W1687" s="1152"/>
      <c r="X1687" s="1152"/>
      <c r="Y1687" s="732">
        <f t="shared" si="214"/>
        <v>0</v>
      </c>
      <c r="Z1687" s="1153"/>
      <c r="AA1687" s="1153"/>
      <c r="AB1687" s="733">
        <f t="shared" si="215"/>
        <v>0</v>
      </c>
      <c r="AC1687" s="1152"/>
      <c r="AD1687" s="1153"/>
      <c r="AE1687" s="1152"/>
      <c r="AF1687" s="1152"/>
      <c r="AG1687" s="1153"/>
      <c r="AH1687" s="1153"/>
      <c r="AI1687" s="732">
        <f t="shared" si="219"/>
        <v>0</v>
      </c>
      <c r="AJ1687" s="733">
        <f t="shared" si="220"/>
        <v>0</v>
      </c>
    </row>
    <row r="1688" spans="1:36">
      <c r="A1688" s="868" t="s">
        <v>745</v>
      </c>
      <c r="B1688" s="857" t="s">
        <v>62</v>
      </c>
      <c r="C1688" s="864" t="s">
        <v>1675</v>
      </c>
      <c r="D1688" s="1049"/>
      <c r="E1688" s="850">
        <v>365374</v>
      </c>
      <c r="F1688" s="851">
        <v>12</v>
      </c>
      <c r="G1688" s="1152">
        <v>4037417</v>
      </c>
      <c r="H1688" s="1153">
        <v>3537389</v>
      </c>
      <c r="I1688" s="1152"/>
      <c r="J1688" s="1153"/>
      <c r="K1688" s="1152"/>
      <c r="L1688" s="1153"/>
      <c r="M1688" s="1152">
        <v>825577</v>
      </c>
      <c r="N1688" s="1152"/>
      <c r="O1688" s="732">
        <f t="shared" si="213"/>
        <v>825577</v>
      </c>
      <c r="P1688" s="1153">
        <v>836440</v>
      </c>
      <c r="Q1688" s="1153"/>
      <c r="R1688" s="733">
        <f t="shared" si="216"/>
        <v>836440</v>
      </c>
      <c r="S1688" s="732">
        <f t="shared" si="217"/>
        <v>4862994</v>
      </c>
      <c r="T1688" s="733">
        <f t="shared" si="218"/>
        <v>4373829</v>
      </c>
      <c r="U1688" s="1152"/>
      <c r="V1688" s="1153"/>
      <c r="W1688" s="1152"/>
      <c r="X1688" s="1152"/>
      <c r="Y1688" s="732">
        <f t="shared" si="214"/>
        <v>0</v>
      </c>
      <c r="Z1688" s="1153"/>
      <c r="AA1688" s="1153"/>
      <c r="AB1688" s="733">
        <f t="shared" si="215"/>
        <v>0</v>
      </c>
      <c r="AC1688" s="1152"/>
      <c r="AD1688" s="1153"/>
      <c r="AE1688" s="1152"/>
      <c r="AF1688" s="1152"/>
      <c r="AG1688" s="1153"/>
      <c r="AH1688" s="1153"/>
      <c r="AI1688" s="732">
        <f t="shared" si="219"/>
        <v>4862994</v>
      </c>
      <c r="AJ1688" s="733">
        <f t="shared" si="220"/>
        <v>4373829</v>
      </c>
    </row>
    <row r="1689" spans="1:36">
      <c r="A1689" s="868" t="s">
        <v>745</v>
      </c>
      <c r="B1689" s="857" t="s">
        <v>62</v>
      </c>
      <c r="C1689" s="857" t="s">
        <v>1676</v>
      </c>
      <c r="D1689" s="856"/>
      <c r="E1689" s="850">
        <v>245999</v>
      </c>
      <c r="F1689" s="851">
        <v>12</v>
      </c>
      <c r="G1689" s="1152">
        <v>4337140</v>
      </c>
      <c r="H1689" s="1153">
        <v>4347334</v>
      </c>
      <c r="I1689" s="1152"/>
      <c r="J1689" s="1153"/>
      <c r="K1689" s="1152"/>
      <c r="L1689" s="1153"/>
      <c r="M1689" s="1152">
        <v>1848776</v>
      </c>
      <c r="N1689" s="1152"/>
      <c r="O1689" s="732">
        <f t="shared" si="213"/>
        <v>1848776</v>
      </c>
      <c r="P1689" s="1153">
        <v>1272654</v>
      </c>
      <c r="Q1689" s="1153"/>
      <c r="R1689" s="733">
        <f t="shared" si="216"/>
        <v>1272654</v>
      </c>
      <c r="S1689" s="732">
        <f t="shared" si="217"/>
        <v>6185916</v>
      </c>
      <c r="T1689" s="733">
        <f t="shared" si="218"/>
        <v>5619988</v>
      </c>
      <c r="U1689" s="1152"/>
      <c r="V1689" s="1153"/>
      <c r="W1689" s="1152"/>
      <c r="X1689" s="1152"/>
      <c r="Y1689" s="732">
        <f t="shared" si="214"/>
        <v>0</v>
      </c>
      <c r="Z1689" s="1153"/>
      <c r="AA1689" s="1153"/>
      <c r="AB1689" s="733">
        <f t="shared" si="215"/>
        <v>0</v>
      </c>
      <c r="AC1689" s="1152"/>
      <c r="AD1689" s="1153"/>
      <c r="AE1689" s="1152"/>
      <c r="AF1689" s="1152"/>
      <c r="AG1689" s="1153"/>
      <c r="AH1689" s="1153"/>
      <c r="AI1689" s="732">
        <f t="shared" si="219"/>
        <v>6185916</v>
      </c>
      <c r="AJ1689" s="733">
        <f t="shared" si="220"/>
        <v>5619988</v>
      </c>
    </row>
    <row r="1690" spans="1:36">
      <c r="A1690" s="868" t="s">
        <v>745</v>
      </c>
      <c r="B1690" s="857" t="s">
        <v>62</v>
      </c>
      <c r="C1690" s="1050" t="s">
        <v>1677</v>
      </c>
      <c r="D1690" s="1051" t="s">
        <v>1678</v>
      </c>
      <c r="E1690" s="850">
        <v>261375</v>
      </c>
      <c r="F1690" s="851">
        <v>12</v>
      </c>
      <c r="G1690" s="1152"/>
      <c r="H1690" s="1153"/>
      <c r="I1690" s="1152"/>
      <c r="J1690" s="1153"/>
      <c r="K1690" s="1152"/>
      <c r="L1690" s="1153"/>
      <c r="M1690" s="1152"/>
      <c r="N1690" s="1152"/>
      <c r="O1690" s="732">
        <f t="shared" si="213"/>
        <v>0</v>
      </c>
      <c r="P1690" s="1153"/>
      <c r="Q1690" s="1153"/>
      <c r="R1690" s="733">
        <f t="shared" si="216"/>
        <v>0</v>
      </c>
      <c r="S1690" s="732">
        <f t="shared" si="217"/>
        <v>0</v>
      </c>
      <c r="T1690" s="733">
        <f t="shared" si="218"/>
        <v>0</v>
      </c>
      <c r="U1690" s="1152"/>
      <c r="V1690" s="1153"/>
      <c r="W1690" s="1152"/>
      <c r="X1690" s="1152"/>
      <c r="Y1690" s="732">
        <f t="shared" si="214"/>
        <v>0</v>
      </c>
      <c r="Z1690" s="1153"/>
      <c r="AA1690" s="1153"/>
      <c r="AB1690" s="733">
        <f t="shared" si="215"/>
        <v>0</v>
      </c>
      <c r="AC1690" s="1152"/>
      <c r="AD1690" s="1153"/>
      <c r="AE1690" s="1152"/>
      <c r="AF1690" s="1152"/>
      <c r="AG1690" s="1153"/>
      <c r="AH1690" s="1153"/>
      <c r="AI1690" s="732">
        <f t="shared" si="219"/>
        <v>0</v>
      </c>
      <c r="AJ1690" s="733">
        <f t="shared" si="220"/>
        <v>0</v>
      </c>
    </row>
    <row r="1691" spans="1:36">
      <c r="A1691" s="868" t="s">
        <v>745</v>
      </c>
      <c r="B1691" s="857" t="s">
        <v>62</v>
      </c>
      <c r="C1691" s="857" t="s">
        <v>1679</v>
      </c>
      <c r="D1691" s="856"/>
      <c r="E1691" s="850">
        <v>365213</v>
      </c>
      <c r="F1691" s="851">
        <v>13</v>
      </c>
      <c r="G1691" s="1152">
        <v>3776196</v>
      </c>
      <c r="H1691" s="1153">
        <v>3580092</v>
      </c>
      <c r="I1691" s="1152"/>
      <c r="J1691" s="1153"/>
      <c r="K1691" s="1152"/>
      <c r="L1691" s="1153"/>
      <c r="M1691" s="1152">
        <v>542433</v>
      </c>
      <c r="N1691" s="1152"/>
      <c r="O1691" s="732">
        <f t="shared" si="213"/>
        <v>542433</v>
      </c>
      <c r="P1691" s="1153">
        <v>600911</v>
      </c>
      <c r="Q1691" s="1153"/>
      <c r="R1691" s="733">
        <f t="shared" si="216"/>
        <v>600911</v>
      </c>
      <c r="S1691" s="732">
        <f t="shared" si="217"/>
        <v>4318629</v>
      </c>
      <c r="T1691" s="733">
        <f t="shared" si="218"/>
        <v>4181003</v>
      </c>
      <c r="U1691" s="1152"/>
      <c r="V1691" s="1153"/>
      <c r="W1691" s="1152"/>
      <c r="X1691" s="1152"/>
      <c r="Y1691" s="732">
        <f t="shared" si="214"/>
        <v>0</v>
      </c>
      <c r="Z1691" s="1153"/>
      <c r="AA1691" s="1153"/>
      <c r="AB1691" s="733">
        <f t="shared" si="215"/>
        <v>0</v>
      </c>
      <c r="AC1691" s="1152"/>
      <c r="AD1691" s="1153"/>
      <c r="AE1691" s="1152"/>
      <c r="AF1691" s="1152"/>
      <c r="AG1691" s="1153"/>
      <c r="AH1691" s="1153"/>
      <c r="AI1691" s="732">
        <f t="shared" si="219"/>
        <v>4318629</v>
      </c>
      <c r="AJ1691" s="733">
        <f t="shared" si="220"/>
        <v>4181003</v>
      </c>
    </row>
    <row r="1692" spans="1:36">
      <c r="A1692" s="868" t="s">
        <v>745</v>
      </c>
      <c r="B1692" s="857" t="s">
        <v>62</v>
      </c>
      <c r="C1692" s="857" t="s">
        <v>1680</v>
      </c>
      <c r="D1692" s="856"/>
      <c r="E1692" s="850">
        <v>364946</v>
      </c>
      <c r="F1692" s="851">
        <v>13</v>
      </c>
      <c r="G1692" s="1152">
        <v>5403512</v>
      </c>
      <c r="H1692" s="1153">
        <v>5201067</v>
      </c>
      <c r="I1692" s="1152"/>
      <c r="J1692" s="1153"/>
      <c r="K1692" s="1152"/>
      <c r="L1692" s="1153"/>
      <c r="M1692" s="1152">
        <v>766459</v>
      </c>
      <c r="N1692" s="1152"/>
      <c r="O1692" s="732">
        <f t="shared" si="213"/>
        <v>766459</v>
      </c>
      <c r="P1692" s="1153">
        <v>806687</v>
      </c>
      <c r="Q1692" s="1153"/>
      <c r="R1692" s="733">
        <f t="shared" si="216"/>
        <v>806687</v>
      </c>
      <c r="S1692" s="732">
        <f t="shared" si="217"/>
        <v>6169971</v>
      </c>
      <c r="T1692" s="733">
        <f t="shared" si="218"/>
        <v>6007754</v>
      </c>
      <c r="U1692" s="1152"/>
      <c r="V1692" s="1153"/>
      <c r="W1692" s="1152"/>
      <c r="X1692" s="1152"/>
      <c r="Y1692" s="732">
        <f t="shared" si="214"/>
        <v>0</v>
      </c>
      <c r="Z1692" s="1153"/>
      <c r="AA1692" s="1153"/>
      <c r="AB1692" s="733">
        <f t="shared" si="215"/>
        <v>0</v>
      </c>
      <c r="AC1692" s="1152"/>
      <c r="AD1692" s="1153"/>
      <c r="AE1692" s="1152"/>
      <c r="AF1692" s="1152"/>
      <c r="AG1692" s="1153"/>
      <c r="AH1692" s="1153"/>
      <c r="AI1692" s="732">
        <f t="shared" si="219"/>
        <v>6169971</v>
      </c>
      <c r="AJ1692" s="733">
        <f t="shared" si="220"/>
        <v>6007754</v>
      </c>
    </row>
    <row r="1693" spans="1:36">
      <c r="A1693" s="868" t="s">
        <v>745</v>
      </c>
      <c r="B1693" s="857" t="s">
        <v>62</v>
      </c>
      <c r="C1693" s="857" t="s">
        <v>1681</v>
      </c>
      <c r="D1693" s="856"/>
      <c r="E1693" s="850">
        <v>246017</v>
      </c>
      <c r="F1693" s="851">
        <v>13</v>
      </c>
      <c r="G1693" s="1152">
        <v>5765996</v>
      </c>
      <c r="H1693" s="1153">
        <v>5961854</v>
      </c>
      <c r="I1693" s="1152"/>
      <c r="J1693" s="1153"/>
      <c r="K1693" s="1152"/>
      <c r="L1693" s="1153"/>
      <c r="M1693" s="1152">
        <v>1986396</v>
      </c>
      <c r="N1693" s="1152"/>
      <c r="O1693" s="732">
        <f t="shared" si="213"/>
        <v>1986396</v>
      </c>
      <c r="P1693" s="1153">
        <v>1907044</v>
      </c>
      <c r="Q1693" s="1153"/>
      <c r="R1693" s="733">
        <f t="shared" si="216"/>
        <v>1907044</v>
      </c>
      <c r="S1693" s="732">
        <f t="shared" si="217"/>
        <v>7752392</v>
      </c>
      <c r="T1693" s="733">
        <f t="shared" si="218"/>
        <v>7868898</v>
      </c>
      <c r="U1693" s="1152"/>
      <c r="V1693" s="1153"/>
      <c r="W1693" s="1152"/>
      <c r="X1693" s="1152"/>
      <c r="Y1693" s="732">
        <f t="shared" si="214"/>
        <v>0</v>
      </c>
      <c r="Z1693" s="1153"/>
      <c r="AA1693" s="1153"/>
      <c r="AB1693" s="733">
        <f t="shared" si="215"/>
        <v>0</v>
      </c>
      <c r="AC1693" s="1152"/>
      <c r="AD1693" s="1153"/>
      <c r="AE1693" s="1152"/>
      <c r="AF1693" s="1152"/>
      <c r="AG1693" s="1153"/>
      <c r="AH1693" s="1153"/>
      <c r="AI1693" s="732">
        <f t="shared" si="219"/>
        <v>7752392</v>
      </c>
      <c r="AJ1693" s="733">
        <f t="shared" si="220"/>
        <v>7868898</v>
      </c>
    </row>
    <row r="1694" spans="1:36">
      <c r="A1694" s="868" t="s">
        <v>745</v>
      </c>
      <c r="B1694" s="857" t="s">
        <v>62</v>
      </c>
      <c r="C1694" s="857" t="s">
        <v>1682</v>
      </c>
      <c r="D1694" s="856"/>
      <c r="E1694" s="850">
        <v>375656</v>
      </c>
      <c r="F1694" s="851">
        <v>13</v>
      </c>
      <c r="G1694" s="1152">
        <v>1586350</v>
      </c>
      <c r="H1694" s="1153">
        <v>1421053</v>
      </c>
      <c r="I1694" s="1152"/>
      <c r="J1694" s="1153"/>
      <c r="K1694" s="1152"/>
      <c r="L1694" s="1153"/>
      <c r="M1694" s="1152">
        <v>164940</v>
      </c>
      <c r="N1694" s="1152"/>
      <c r="O1694" s="732">
        <f t="shared" si="213"/>
        <v>164940</v>
      </c>
      <c r="P1694" s="1153">
        <v>171560</v>
      </c>
      <c r="Q1694" s="1153"/>
      <c r="R1694" s="733">
        <f t="shared" si="216"/>
        <v>171560</v>
      </c>
      <c r="S1694" s="732">
        <f t="shared" si="217"/>
        <v>1751290</v>
      </c>
      <c r="T1694" s="733">
        <f t="shared" si="218"/>
        <v>1592613</v>
      </c>
      <c r="U1694" s="1152"/>
      <c r="V1694" s="1153"/>
      <c r="W1694" s="1152"/>
      <c r="X1694" s="1152"/>
      <c r="Y1694" s="732">
        <f t="shared" si="214"/>
        <v>0</v>
      </c>
      <c r="Z1694" s="1153"/>
      <c r="AA1694" s="1153"/>
      <c r="AB1694" s="733">
        <f t="shared" si="215"/>
        <v>0</v>
      </c>
      <c r="AC1694" s="1152"/>
      <c r="AD1694" s="1153"/>
      <c r="AE1694" s="1152"/>
      <c r="AF1694" s="1152"/>
      <c r="AG1694" s="1153"/>
      <c r="AH1694" s="1153"/>
      <c r="AI1694" s="732">
        <f t="shared" si="219"/>
        <v>1751290</v>
      </c>
      <c r="AJ1694" s="733">
        <f t="shared" si="220"/>
        <v>1592613</v>
      </c>
    </row>
    <row r="1695" spans="1:36">
      <c r="A1695" s="868" t="s">
        <v>745</v>
      </c>
      <c r="B1695" s="857" t="s">
        <v>62</v>
      </c>
      <c r="C1695" s="857" t="s">
        <v>1683</v>
      </c>
      <c r="D1695" s="856"/>
      <c r="E1695" s="850">
        <v>418348</v>
      </c>
      <c r="F1695" s="851">
        <v>13</v>
      </c>
      <c r="G1695" s="1152">
        <v>2222698</v>
      </c>
      <c r="H1695" s="1153">
        <v>2218550</v>
      </c>
      <c r="I1695" s="1152"/>
      <c r="J1695" s="1153"/>
      <c r="K1695" s="1152"/>
      <c r="L1695" s="1153"/>
      <c r="M1695" s="1152">
        <v>190379</v>
      </c>
      <c r="N1695" s="1152"/>
      <c r="O1695" s="732">
        <f t="shared" si="213"/>
        <v>190379</v>
      </c>
      <c r="P1695" s="1154">
        <v>308880</v>
      </c>
      <c r="Q1695" s="1153"/>
      <c r="R1695" s="733">
        <f t="shared" si="216"/>
        <v>308880</v>
      </c>
      <c r="S1695" s="732">
        <f t="shared" si="217"/>
        <v>2413077</v>
      </c>
      <c r="T1695" s="733">
        <f t="shared" si="218"/>
        <v>2527430</v>
      </c>
      <c r="U1695" s="1152"/>
      <c r="V1695" s="1153"/>
      <c r="W1695" s="1152"/>
      <c r="X1695" s="1152"/>
      <c r="Y1695" s="732">
        <f t="shared" si="214"/>
        <v>0</v>
      </c>
      <c r="Z1695" s="1153"/>
      <c r="AA1695" s="1153"/>
      <c r="AB1695" s="733">
        <f t="shared" si="215"/>
        <v>0</v>
      </c>
      <c r="AC1695" s="1152"/>
      <c r="AD1695" s="1153"/>
      <c r="AE1695" s="1152"/>
      <c r="AF1695" s="1152"/>
      <c r="AG1695" s="1153"/>
      <c r="AH1695" s="1153"/>
      <c r="AI1695" s="732">
        <f t="shared" si="219"/>
        <v>2413077</v>
      </c>
      <c r="AJ1695" s="733">
        <f t="shared" si="220"/>
        <v>2527430</v>
      </c>
    </row>
    <row r="1696" spans="1:36">
      <c r="A1696" s="868" t="s">
        <v>745</v>
      </c>
      <c r="B1696" s="857" t="s">
        <v>62</v>
      </c>
      <c r="C1696" s="857" t="s">
        <v>1684</v>
      </c>
      <c r="D1696" s="856" t="s">
        <v>1802</v>
      </c>
      <c r="E1696" s="850">
        <v>375683</v>
      </c>
      <c r="F1696" s="851">
        <v>13</v>
      </c>
      <c r="G1696" s="1152">
        <v>3759747</v>
      </c>
      <c r="H1696" s="1153">
        <v>3518929</v>
      </c>
      <c r="I1696" s="1152"/>
      <c r="J1696" s="1153"/>
      <c r="K1696" s="1152"/>
      <c r="L1696" s="1153"/>
      <c r="M1696" s="1152">
        <v>698710</v>
      </c>
      <c r="N1696" s="1152"/>
      <c r="O1696" s="732">
        <f t="shared" si="213"/>
        <v>698710</v>
      </c>
      <c r="P1696" s="1153">
        <v>828246</v>
      </c>
      <c r="Q1696" s="1153"/>
      <c r="R1696" s="733">
        <f t="shared" si="216"/>
        <v>828246</v>
      </c>
      <c r="S1696" s="732">
        <f t="shared" si="217"/>
        <v>4458457</v>
      </c>
      <c r="T1696" s="733">
        <f t="shared" si="218"/>
        <v>4347175</v>
      </c>
      <c r="U1696" s="1152"/>
      <c r="V1696" s="1153"/>
      <c r="W1696" s="1152"/>
      <c r="X1696" s="1152"/>
      <c r="Y1696" s="732">
        <f t="shared" si="214"/>
        <v>0</v>
      </c>
      <c r="Z1696" s="1153"/>
      <c r="AA1696" s="1153"/>
      <c r="AB1696" s="733">
        <f t="shared" si="215"/>
        <v>0</v>
      </c>
      <c r="AC1696" s="1152"/>
      <c r="AD1696" s="1153"/>
      <c r="AE1696" s="1152"/>
      <c r="AF1696" s="1152"/>
      <c r="AG1696" s="1153"/>
      <c r="AH1696" s="1153"/>
      <c r="AI1696" s="732">
        <f t="shared" si="219"/>
        <v>4458457</v>
      </c>
      <c r="AJ1696" s="733">
        <f t="shared" si="220"/>
        <v>4347175</v>
      </c>
    </row>
    <row r="1697" spans="1:36">
      <c r="A1697" s="868" t="s">
        <v>745</v>
      </c>
      <c r="B1697" s="857" t="s">
        <v>62</v>
      </c>
      <c r="C1697" s="857" t="s">
        <v>1685</v>
      </c>
      <c r="D1697" s="863"/>
      <c r="E1697" s="851">
        <v>364548</v>
      </c>
      <c r="F1697" s="851">
        <v>13</v>
      </c>
      <c r="G1697" s="1152">
        <v>6494190</v>
      </c>
      <c r="H1697" s="1153">
        <v>6428348</v>
      </c>
      <c r="I1697" s="1152"/>
      <c r="J1697" s="1153"/>
      <c r="K1697" s="1152"/>
      <c r="L1697" s="1153"/>
      <c r="M1697" s="1152">
        <v>2189626</v>
      </c>
      <c r="N1697" s="1152"/>
      <c r="O1697" s="732">
        <f t="shared" si="213"/>
        <v>2189626</v>
      </c>
      <c r="P1697" s="1153">
        <v>1818265</v>
      </c>
      <c r="Q1697" s="1153"/>
      <c r="R1697" s="733">
        <f t="shared" si="216"/>
        <v>1818265</v>
      </c>
      <c r="S1697" s="732">
        <f t="shared" si="217"/>
        <v>8683816</v>
      </c>
      <c r="T1697" s="733">
        <f t="shared" si="218"/>
        <v>8246613</v>
      </c>
      <c r="U1697" s="1152"/>
      <c r="V1697" s="1153"/>
      <c r="W1697" s="1152"/>
      <c r="X1697" s="1152"/>
      <c r="Y1697" s="732">
        <f t="shared" si="214"/>
        <v>0</v>
      </c>
      <c r="Z1697" s="1153"/>
      <c r="AA1697" s="1153"/>
      <c r="AB1697" s="733">
        <f t="shared" si="215"/>
        <v>0</v>
      </c>
      <c r="AC1697" s="1152"/>
      <c r="AD1697" s="1153"/>
      <c r="AE1697" s="1152"/>
      <c r="AF1697" s="1152"/>
      <c r="AG1697" s="1153"/>
      <c r="AH1697" s="1153"/>
      <c r="AI1697" s="732">
        <f t="shared" si="219"/>
        <v>8683816</v>
      </c>
      <c r="AJ1697" s="733">
        <f t="shared" si="220"/>
        <v>8246613</v>
      </c>
    </row>
    <row r="1698" spans="1:36">
      <c r="A1698" s="868" t="s">
        <v>745</v>
      </c>
      <c r="B1698" s="857" t="s">
        <v>62</v>
      </c>
      <c r="C1698" s="857" t="s">
        <v>1686</v>
      </c>
      <c r="D1698" s="856"/>
      <c r="E1698" s="850">
        <v>428019</v>
      </c>
      <c r="F1698" s="851">
        <v>13</v>
      </c>
      <c r="G1698" s="1152">
        <v>1653379</v>
      </c>
      <c r="H1698" s="1153">
        <v>1561157</v>
      </c>
      <c r="I1698" s="1152"/>
      <c r="J1698" s="1153"/>
      <c r="K1698" s="1152"/>
      <c r="L1698" s="1153"/>
      <c r="M1698" s="1152">
        <v>211407</v>
      </c>
      <c r="N1698" s="1152"/>
      <c r="O1698" s="732">
        <f t="shared" si="213"/>
        <v>211407</v>
      </c>
      <c r="P1698" s="1153">
        <v>277736</v>
      </c>
      <c r="Q1698" s="1153"/>
      <c r="R1698" s="733">
        <f t="shared" si="216"/>
        <v>277736</v>
      </c>
      <c r="S1698" s="732">
        <f t="shared" si="217"/>
        <v>1864786</v>
      </c>
      <c r="T1698" s="733">
        <f t="shared" si="218"/>
        <v>1838893</v>
      </c>
      <c r="U1698" s="1152"/>
      <c r="V1698" s="1153"/>
      <c r="W1698" s="1152"/>
      <c r="X1698" s="1152"/>
      <c r="Y1698" s="732">
        <f t="shared" si="214"/>
        <v>0</v>
      </c>
      <c r="Z1698" s="1153"/>
      <c r="AA1698" s="1153"/>
      <c r="AB1698" s="733">
        <f t="shared" si="215"/>
        <v>0</v>
      </c>
      <c r="AC1698" s="1152"/>
      <c r="AD1698" s="1153"/>
      <c r="AE1698" s="1152"/>
      <c r="AF1698" s="1152"/>
      <c r="AG1698" s="1153"/>
      <c r="AH1698" s="1153"/>
      <c r="AI1698" s="732">
        <f t="shared" si="219"/>
        <v>1864786</v>
      </c>
      <c r="AJ1698" s="733">
        <f t="shared" si="220"/>
        <v>1838893</v>
      </c>
    </row>
    <row r="1699" spans="1:36">
      <c r="A1699" s="868" t="s">
        <v>745</v>
      </c>
      <c r="B1699" s="857" t="s">
        <v>62</v>
      </c>
      <c r="C1699" s="857" t="s">
        <v>1687</v>
      </c>
      <c r="D1699" s="856"/>
      <c r="E1699" s="850">
        <v>208053</v>
      </c>
      <c r="F1699" s="851">
        <v>13</v>
      </c>
      <c r="G1699" s="1152">
        <v>1947793</v>
      </c>
      <c r="H1699" s="1153">
        <v>1732152</v>
      </c>
      <c r="I1699" s="1152"/>
      <c r="J1699" s="1153"/>
      <c r="K1699" s="1152"/>
      <c r="L1699" s="1153"/>
      <c r="M1699" s="1152">
        <v>1285922</v>
      </c>
      <c r="N1699" s="1152"/>
      <c r="O1699" s="732">
        <f t="shared" si="213"/>
        <v>1285922</v>
      </c>
      <c r="P1699" s="1153">
        <v>1321536</v>
      </c>
      <c r="Q1699" s="1153"/>
      <c r="R1699" s="733">
        <f t="shared" si="216"/>
        <v>1321536</v>
      </c>
      <c r="S1699" s="732">
        <f t="shared" si="217"/>
        <v>3233715</v>
      </c>
      <c r="T1699" s="733">
        <f t="shared" si="218"/>
        <v>3053688</v>
      </c>
      <c r="U1699" s="1152"/>
      <c r="V1699" s="1153"/>
      <c r="W1699" s="1152"/>
      <c r="X1699" s="1152"/>
      <c r="Y1699" s="732">
        <f t="shared" si="214"/>
        <v>0</v>
      </c>
      <c r="Z1699" s="1153"/>
      <c r="AA1699" s="1153"/>
      <c r="AB1699" s="733">
        <f t="shared" si="215"/>
        <v>0</v>
      </c>
      <c r="AC1699" s="1152"/>
      <c r="AD1699" s="1153"/>
      <c r="AE1699" s="1152"/>
      <c r="AF1699" s="1152"/>
      <c r="AG1699" s="1153"/>
      <c r="AH1699" s="1153"/>
      <c r="AI1699" s="732">
        <f t="shared" si="219"/>
        <v>3233715</v>
      </c>
      <c r="AJ1699" s="733">
        <f t="shared" si="220"/>
        <v>3053688</v>
      </c>
    </row>
    <row r="1700" spans="1:36">
      <c r="A1700" s="868" t="s">
        <v>745</v>
      </c>
      <c r="B1700" s="857" t="s">
        <v>62</v>
      </c>
      <c r="C1700" s="1052" t="s">
        <v>1688</v>
      </c>
      <c r="D1700" s="1053"/>
      <c r="E1700" s="850">
        <v>418296</v>
      </c>
      <c r="F1700" s="851">
        <v>13</v>
      </c>
      <c r="G1700" s="1152"/>
      <c r="H1700" s="1153"/>
      <c r="I1700" s="1152"/>
      <c r="J1700" s="1153"/>
      <c r="K1700" s="1152"/>
      <c r="L1700" s="1153"/>
      <c r="M1700" s="1152"/>
      <c r="N1700" s="1152"/>
      <c r="O1700" s="732">
        <f t="shared" si="213"/>
        <v>0</v>
      </c>
      <c r="P1700" s="1153"/>
      <c r="Q1700" s="1153"/>
      <c r="R1700" s="733">
        <f t="shared" si="216"/>
        <v>0</v>
      </c>
      <c r="S1700" s="732">
        <f t="shared" si="217"/>
        <v>0</v>
      </c>
      <c r="T1700" s="733">
        <f t="shared" si="218"/>
        <v>0</v>
      </c>
      <c r="U1700" s="1152"/>
      <c r="V1700" s="1153"/>
      <c r="W1700" s="1152"/>
      <c r="X1700" s="1152"/>
      <c r="Y1700" s="732">
        <f t="shared" si="214"/>
        <v>0</v>
      </c>
      <c r="Z1700" s="1153"/>
      <c r="AA1700" s="1153"/>
      <c r="AB1700" s="733">
        <f t="shared" si="215"/>
        <v>0</v>
      </c>
      <c r="AC1700" s="1152"/>
      <c r="AD1700" s="1153"/>
      <c r="AE1700" s="1152"/>
      <c r="AF1700" s="1152"/>
      <c r="AG1700" s="1153"/>
      <c r="AH1700" s="1153"/>
      <c r="AI1700" s="732">
        <f t="shared" si="219"/>
        <v>0</v>
      </c>
      <c r="AJ1700" s="733">
        <f t="shared" si="220"/>
        <v>0</v>
      </c>
    </row>
    <row r="1701" spans="1:36">
      <c r="A1701" s="868" t="s">
        <v>745</v>
      </c>
      <c r="B1701" s="857" t="s">
        <v>62</v>
      </c>
      <c r="C1701" s="1052" t="s">
        <v>1689</v>
      </c>
      <c r="D1701" s="1053"/>
      <c r="E1701" s="850">
        <v>421540</v>
      </c>
      <c r="F1701" s="851">
        <v>13</v>
      </c>
      <c r="G1701" s="1152"/>
      <c r="H1701" s="1153"/>
      <c r="I1701" s="1152"/>
      <c r="J1701" s="1153"/>
      <c r="K1701" s="1152"/>
      <c r="L1701" s="1153"/>
      <c r="M1701" s="1152"/>
      <c r="N1701" s="1152"/>
      <c r="O1701" s="732">
        <f t="shared" si="213"/>
        <v>0</v>
      </c>
      <c r="P1701" s="1153"/>
      <c r="Q1701" s="1153"/>
      <c r="R1701" s="733">
        <f t="shared" si="216"/>
        <v>0</v>
      </c>
      <c r="S1701" s="732">
        <f t="shared" si="217"/>
        <v>0</v>
      </c>
      <c r="T1701" s="733">
        <f t="shared" si="218"/>
        <v>0</v>
      </c>
      <c r="U1701" s="1152"/>
      <c r="V1701" s="1153"/>
      <c r="W1701" s="1152"/>
      <c r="X1701" s="1152"/>
      <c r="Y1701" s="732">
        <f t="shared" si="214"/>
        <v>0</v>
      </c>
      <c r="Z1701" s="1153"/>
      <c r="AA1701" s="1153"/>
      <c r="AB1701" s="733">
        <f t="shared" si="215"/>
        <v>0</v>
      </c>
      <c r="AC1701" s="1152"/>
      <c r="AD1701" s="1153"/>
      <c r="AE1701" s="1152"/>
      <c r="AF1701" s="1152"/>
      <c r="AG1701" s="1153"/>
      <c r="AH1701" s="1153"/>
      <c r="AI1701" s="732">
        <f t="shared" si="219"/>
        <v>0</v>
      </c>
      <c r="AJ1701" s="733">
        <f t="shared" si="220"/>
        <v>0</v>
      </c>
    </row>
    <row r="1702" spans="1:36">
      <c r="A1702" s="868" t="s">
        <v>745</v>
      </c>
      <c r="B1702" s="857" t="s">
        <v>62</v>
      </c>
      <c r="C1702" s="1052" t="s">
        <v>1690</v>
      </c>
      <c r="D1702" s="1053"/>
      <c r="E1702" s="850">
        <v>421559</v>
      </c>
      <c r="F1702" s="851">
        <v>13</v>
      </c>
      <c r="G1702" s="1152"/>
      <c r="H1702" s="1153"/>
      <c r="I1702" s="1152"/>
      <c r="J1702" s="1153"/>
      <c r="K1702" s="1152"/>
      <c r="L1702" s="1153"/>
      <c r="M1702" s="1152"/>
      <c r="N1702" s="1152"/>
      <c r="O1702" s="732">
        <f t="shared" si="213"/>
        <v>0</v>
      </c>
      <c r="P1702" s="1153"/>
      <c r="Q1702" s="1153"/>
      <c r="R1702" s="733">
        <f t="shared" si="216"/>
        <v>0</v>
      </c>
      <c r="S1702" s="732">
        <f t="shared" si="217"/>
        <v>0</v>
      </c>
      <c r="T1702" s="733">
        <f t="shared" si="218"/>
        <v>0</v>
      </c>
      <c r="U1702" s="1152"/>
      <c r="V1702" s="1153"/>
      <c r="W1702" s="1152"/>
      <c r="X1702" s="1152"/>
      <c r="Y1702" s="732">
        <f t="shared" si="214"/>
        <v>0</v>
      </c>
      <c r="Z1702" s="1153"/>
      <c r="AA1702" s="1153"/>
      <c r="AB1702" s="733">
        <f t="shared" si="215"/>
        <v>0</v>
      </c>
      <c r="AC1702" s="1152"/>
      <c r="AD1702" s="1153"/>
      <c r="AE1702" s="1152"/>
      <c r="AF1702" s="1152"/>
      <c r="AG1702" s="1153"/>
      <c r="AH1702" s="1153"/>
      <c r="AI1702" s="732">
        <f t="shared" si="219"/>
        <v>0</v>
      </c>
      <c r="AJ1702" s="733">
        <f t="shared" si="220"/>
        <v>0</v>
      </c>
    </row>
    <row r="1703" spans="1:36">
      <c r="A1703" s="868" t="s">
        <v>745</v>
      </c>
      <c r="B1703" s="857" t="s">
        <v>62</v>
      </c>
      <c r="C1703" s="1052" t="s">
        <v>1691</v>
      </c>
      <c r="D1703" s="1053"/>
      <c r="E1703" s="850">
        <v>208026</v>
      </c>
      <c r="F1703" s="851">
        <v>13</v>
      </c>
      <c r="G1703" s="1152"/>
      <c r="H1703" s="1153"/>
      <c r="I1703" s="1152"/>
      <c r="J1703" s="1153"/>
      <c r="K1703" s="1152"/>
      <c r="L1703" s="1153"/>
      <c r="M1703" s="1152"/>
      <c r="N1703" s="1152"/>
      <c r="O1703" s="732">
        <f t="shared" si="213"/>
        <v>0</v>
      </c>
      <c r="P1703" s="1153"/>
      <c r="Q1703" s="1153"/>
      <c r="R1703" s="733">
        <f t="shared" si="216"/>
        <v>0</v>
      </c>
      <c r="S1703" s="732">
        <f t="shared" si="217"/>
        <v>0</v>
      </c>
      <c r="T1703" s="733">
        <f t="shared" si="218"/>
        <v>0</v>
      </c>
      <c r="U1703" s="1152"/>
      <c r="V1703" s="1153"/>
      <c r="W1703" s="1152"/>
      <c r="X1703" s="1152"/>
      <c r="Y1703" s="732">
        <f t="shared" si="214"/>
        <v>0</v>
      </c>
      <c r="Z1703" s="1153"/>
      <c r="AA1703" s="1153"/>
      <c r="AB1703" s="733">
        <f t="shared" si="215"/>
        <v>0</v>
      </c>
      <c r="AC1703" s="1152"/>
      <c r="AD1703" s="1153"/>
      <c r="AE1703" s="1152"/>
      <c r="AF1703" s="1152"/>
      <c r="AG1703" s="1153"/>
      <c r="AH1703" s="1153"/>
      <c r="AI1703" s="732">
        <f t="shared" si="219"/>
        <v>0</v>
      </c>
      <c r="AJ1703" s="733">
        <f t="shared" si="220"/>
        <v>0</v>
      </c>
    </row>
    <row r="1704" spans="1:36">
      <c r="A1704" s="868" t="s">
        <v>745</v>
      </c>
      <c r="B1704" s="857" t="s">
        <v>62</v>
      </c>
      <c r="C1704" s="1054" t="s">
        <v>1692</v>
      </c>
      <c r="D1704" s="1055"/>
      <c r="E1704" s="850">
        <v>375692</v>
      </c>
      <c r="F1704" s="851">
        <v>13</v>
      </c>
      <c r="G1704" s="1152"/>
      <c r="H1704" s="1153"/>
      <c r="I1704" s="1152"/>
      <c r="J1704" s="1153"/>
      <c r="K1704" s="1152"/>
      <c r="L1704" s="1153"/>
      <c r="M1704" s="1152"/>
      <c r="N1704" s="1152"/>
      <c r="O1704" s="732">
        <f t="shared" si="213"/>
        <v>0</v>
      </c>
      <c r="P1704" s="1153"/>
      <c r="Q1704" s="1153"/>
      <c r="R1704" s="733">
        <f t="shared" si="216"/>
        <v>0</v>
      </c>
      <c r="S1704" s="732">
        <f t="shared" si="217"/>
        <v>0</v>
      </c>
      <c r="T1704" s="733">
        <f t="shared" si="218"/>
        <v>0</v>
      </c>
      <c r="U1704" s="1152"/>
      <c r="V1704" s="1153"/>
      <c r="W1704" s="1152"/>
      <c r="X1704" s="1152"/>
      <c r="Y1704" s="732">
        <f t="shared" si="214"/>
        <v>0</v>
      </c>
      <c r="Z1704" s="1153"/>
      <c r="AA1704" s="1153"/>
      <c r="AB1704" s="733">
        <f t="shared" si="215"/>
        <v>0</v>
      </c>
      <c r="AC1704" s="1152"/>
      <c r="AD1704" s="1153"/>
      <c r="AE1704" s="1152"/>
      <c r="AF1704" s="1152"/>
      <c r="AG1704" s="1153"/>
      <c r="AH1704" s="1153"/>
      <c r="AI1704" s="732">
        <f t="shared" si="219"/>
        <v>0</v>
      </c>
      <c r="AJ1704" s="733">
        <f t="shared" si="220"/>
        <v>0</v>
      </c>
    </row>
    <row r="1705" spans="1:36">
      <c r="A1705" s="868" t="s">
        <v>745</v>
      </c>
      <c r="B1705" s="857" t="s">
        <v>62</v>
      </c>
      <c r="C1705" s="1054" t="s">
        <v>1693</v>
      </c>
      <c r="D1705" s="1055"/>
      <c r="E1705" s="850">
        <v>375708</v>
      </c>
      <c r="F1705" s="851">
        <v>13</v>
      </c>
      <c r="G1705" s="1152"/>
      <c r="H1705" s="1153"/>
      <c r="I1705" s="1152"/>
      <c r="J1705" s="1153"/>
      <c r="K1705" s="1152"/>
      <c r="L1705" s="1153"/>
      <c r="M1705" s="1152"/>
      <c r="N1705" s="1152"/>
      <c r="O1705" s="732">
        <f t="shared" si="213"/>
        <v>0</v>
      </c>
      <c r="P1705" s="1153"/>
      <c r="Q1705" s="1153"/>
      <c r="R1705" s="733">
        <f t="shared" si="216"/>
        <v>0</v>
      </c>
      <c r="S1705" s="732">
        <f t="shared" si="217"/>
        <v>0</v>
      </c>
      <c r="T1705" s="733">
        <f t="shared" si="218"/>
        <v>0</v>
      </c>
      <c r="U1705" s="1152"/>
      <c r="V1705" s="1153"/>
      <c r="W1705" s="1152"/>
      <c r="X1705" s="1152"/>
      <c r="Y1705" s="732">
        <f t="shared" si="214"/>
        <v>0</v>
      </c>
      <c r="Z1705" s="1153"/>
      <c r="AA1705" s="1153"/>
      <c r="AB1705" s="733">
        <f t="shared" si="215"/>
        <v>0</v>
      </c>
      <c r="AC1705" s="1152"/>
      <c r="AD1705" s="1153"/>
      <c r="AE1705" s="1152"/>
      <c r="AF1705" s="1152"/>
      <c r="AG1705" s="1153"/>
      <c r="AH1705" s="1153"/>
      <c r="AI1705" s="732">
        <f t="shared" si="219"/>
        <v>0</v>
      </c>
      <c r="AJ1705" s="733">
        <f t="shared" si="220"/>
        <v>0</v>
      </c>
    </row>
    <row r="1706" spans="1:36">
      <c r="A1706" s="868" t="s">
        <v>745</v>
      </c>
      <c r="B1706" s="857" t="s">
        <v>62</v>
      </c>
      <c r="C1706" s="1054" t="s">
        <v>1694</v>
      </c>
      <c r="D1706" s="1055"/>
      <c r="E1706" s="850">
        <v>375717</v>
      </c>
      <c r="F1706" s="851">
        <v>13</v>
      </c>
      <c r="G1706" s="1152"/>
      <c r="H1706" s="1153"/>
      <c r="I1706" s="1152"/>
      <c r="J1706" s="1153"/>
      <c r="K1706" s="1152"/>
      <c r="L1706" s="1153"/>
      <c r="M1706" s="1152"/>
      <c r="N1706" s="1152"/>
      <c r="O1706" s="732">
        <f t="shared" si="213"/>
        <v>0</v>
      </c>
      <c r="P1706" s="1153"/>
      <c r="Q1706" s="1153"/>
      <c r="R1706" s="733">
        <f t="shared" si="216"/>
        <v>0</v>
      </c>
      <c r="S1706" s="732">
        <f t="shared" si="217"/>
        <v>0</v>
      </c>
      <c r="T1706" s="733">
        <f t="shared" si="218"/>
        <v>0</v>
      </c>
      <c r="U1706" s="1152"/>
      <c r="V1706" s="1153"/>
      <c r="W1706" s="1152"/>
      <c r="X1706" s="1152"/>
      <c r="Y1706" s="732">
        <f t="shared" si="214"/>
        <v>0</v>
      </c>
      <c r="Z1706" s="1153"/>
      <c r="AA1706" s="1153"/>
      <c r="AB1706" s="733">
        <f t="shared" si="215"/>
        <v>0</v>
      </c>
      <c r="AC1706" s="1152"/>
      <c r="AD1706" s="1153"/>
      <c r="AE1706" s="1152"/>
      <c r="AF1706" s="1152"/>
      <c r="AG1706" s="1153"/>
      <c r="AH1706" s="1153"/>
      <c r="AI1706" s="732">
        <f t="shared" si="219"/>
        <v>0</v>
      </c>
      <c r="AJ1706" s="733">
        <f t="shared" si="220"/>
        <v>0</v>
      </c>
    </row>
    <row r="1707" spans="1:36">
      <c r="A1707" s="868" t="s">
        <v>745</v>
      </c>
      <c r="B1707" s="857" t="s">
        <v>62</v>
      </c>
      <c r="C1707" s="1054" t="s">
        <v>1695</v>
      </c>
      <c r="D1707" s="1055"/>
      <c r="E1707" s="850">
        <v>375735</v>
      </c>
      <c r="F1707" s="851">
        <v>13</v>
      </c>
      <c r="G1707" s="1152"/>
      <c r="H1707" s="1153"/>
      <c r="I1707" s="1152"/>
      <c r="J1707" s="1153"/>
      <c r="K1707" s="1152"/>
      <c r="L1707" s="1153"/>
      <c r="M1707" s="1152"/>
      <c r="N1707" s="1152"/>
      <c r="O1707" s="732">
        <f t="shared" si="213"/>
        <v>0</v>
      </c>
      <c r="P1707" s="1153"/>
      <c r="Q1707" s="1153"/>
      <c r="R1707" s="733">
        <f t="shared" si="216"/>
        <v>0</v>
      </c>
      <c r="S1707" s="732">
        <f t="shared" si="217"/>
        <v>0</v>
      </c>
      <c r="T1707" s="733">
        <f t="shared" si="218"/>
        <v>0</v>
      </c>
      <c r="U1707" s="1152"/>
      <c r="V1707" s="1153"/>
      <c r="W1707" s="1152"/>
      <c r="X1707" s="1152"/>
      <c r="Y1707" s="732">
        <f t="shared" si="214"/>
        <v>0</v>
      </c>
      <c r="Z1707" s="1153"/>
      <c r="AA1707" s="1153"/>
      <c r="AB1707" s="733">
        <f t="shared" si="215"/>
        <v>0</v>
      </c>
      <c r="AC1707" s="1152"/>
      <c r="AD1707" s="1153"/>
      <c r="AE1707" s="1152"/>
      <c r="AF1707" s="1152"/>
      <c r="AG1707" s="1153"/>
      <c r="AH1707" s="1153"/>
      <c r="AI1707" s="732">
        <f t="shared" si="219"/>
        <v>0</v>
      </c>
      <c r="AJ1707" s="733">
        <f t="shared" si="220"/>
        <v>0</v>
      </c>
    </row>
    <row r="1708" spans="1:36">
      <c r="A1708" s="868" t="s">
        <v>745</v>
      </c>
      <c r="B1708" s="857" t="s">
        <v>62</v>
      </c>
      <c r="C1708" s="1054" t="s">
        <v>1696</v>
      </c>
      <c r="D1708" s="1055"/>
      <c r="E1708" s="850">
        <v>375726</v>
      </c>
      <c r="F1708" s="851">
        <v>13</v>
      </c>
      <c r="G1708" s="1152"/>
      <c r="H1708" s="1153"/>
      <c r="I1708" s="1152"/>
      <c r="J1708" s="1153"/>
      <c r="K1708" s="1152"/>
      <c r="L1708" s="1153"/>
      <c r="M1708" s="1152"/>
      <c r="N1708" s="1152"/>
      <c r="O1708" s="732">
        <f t="shared" si="213"/>
        <v>0</v>
      </c>
      <c r="P1708" s="1153"/>
      <c r="Q1708" s="1153"/>
      <c r="R1708" s="733">
        <f t="shared" si="216"/>
        <v>0</v>
      </c>
      <c r="S1708" s="732">
        <f t="shared" si="217"/>
        <v>0</v>
      </c>
      <c r="T1708" s="733">
        <f t="shared" si="218"/>
        <v>0</v>
      </c>
      <c r="U1708" s="1152"/>
      <c r="V1708" s="1153"/>
      <c r="W1708" s="1152"/>
      <c r="X1708" s="1152"/>
      <c r="Y1708" s="732">
        <f t="shared" si="214"/>
        <v>0</v>
      </c>
      <c r="Z1708" s="1153"/>
      <c r="AA1708" s="1153"/>
      <c r="AB1708" s="733">
        <f t="shared" si="215"/>
        <v>0</v>
      </c>
      <c r="AC1708" s="1152"/>
      <c r="AD1708" s="1153"/>
      <c r="AE1708" s="1152"/>
      <c r="AF1708" s="1152"/>
      <c r="AG1708" s="1153"/>
      <c r="AH1708" s="1153"/>
      <c r="AI1708" s="732">
        <f t="shared" si="219"/>
        <v>0</v>
      </c>
      <c r="AJ1708" s="733">
        <f t="shared" si="220"/>
        <v>0</v>
      </c>
    </row>
    <row r="1709" spans="1:36">
      <c r="A1709" s="868" t="s">
        <v>745</v>
      </c>
      <c r="B1709" s="857" t="s">
        <v>62</v>
      </c>
      <c r="C1709" s="1054" t="s">
        <v>1697</v>
      </c>
      <c r="D1709" s="1055"/>
      <c r="E1709" s="850">
        <v>375744</v>
      </c>
      <c r="F1709" s="851">
        <v>13</v>
      </c>
      <c r="G1709" s="1152"/>
      <c r="H1709" s="1153"/>
      <c r="I1709" s="1152"/>
      <c r="J1709" s="1153"/>
      <c r="K1709" s="1152"/>
      <c r="L1709" s="1153"/>
      <c r="M1709" s="1152"/>
      <c r="N1709" s="1152"/>
      <c r="O1709" s="732">
        <f t="shared" si="213"/>
        <v>0</v>
      </c>
      <c r="P1709" s="1153"/>
      <c r="Q1709" s="1153"/>
      <c r="R1709" s="733">
        <f t="shared" si="216"/>
        <v>0</v>
      </c>
      <c r="S1709" s="732">
        <f t="shared" si="217"/>
        <v>0</v>
      </c>
      <c r="T1709" s="733">
        <f t="shared" si="218"/>
        <v>0</v>
      </c>
      <c r="U1709" s="1152"/>
      <c r="V1709" s="1153"/>
      <c r="W1709" s="1152"/>
      <c r="X1709" s="1152"/>
      <c r="Y1709" s="732">
        <f t="shared" si="214"/>
        <v>0</v>
      </c>
      <c r="Z1709" s="1153"/>
      <c r="AA1709" s="1153"/>
      <c r="AB1709" s="733">
        <f t="shared" si="215"/>
        <v>0</v>
      </c>
      <c r="AC1709" s="1152"/>
      <c r="AD1709" s="1153"/>
      <c r="AE1709" s="1152"/>
      <c r="AF1709" s="1152"/>
      <c r="AG1709" s="1153"/>
      <c r="AH1709" s="1153"/>
      <c r="AI1709" s="732">
        <f t="shared" si="219"/>
        <v>0</v>
      </c>
      <c r="AJ1709" s="733">
        <f t="shared" si="220"/>
        <v>0</v>
      </c>
    </row>
    <row r="1710" spans="1:36">
      <c r="A1710" s="868" t="s">
        <v>745</v>
      </c>
      <c r="B1710" s="857" t="s">
        <v>62</v>
      </c>
      <c r="C1710" s="1054" t="s">
        <v>1698</v>
      </c>
      <c r="D1710" s="1055"/>
      <c r="E1710" s="850">
        <v>375753</v>
      </c>
      <c r="F1710" s="851">
        <v>13</v>
      </c>
      <c r="G1710" s="1152"/>
      <c r="H1710" s="1153"/>
      <c r="I1710" s="1152"/>
      <c r="J1710" s="1153"/>
      <c r="K1710" s="1152"/>
      <c r="L1710" s="1153"/>
      <c r="M1710" s="1152"/>
      <c r="N1710" s="1152"/>
      <c r="O1710" s="732">
        <f t="shared" si="213"/>
        <v>0</v>
      </c>
      <c r="P1710" s="1153"/>
      <c r="Q1710" s="1153"/>
      <c r="R1710" s="733">
        <f t="shared" si="216"/>
        <v>0</v>
      </c>
      <c r="S1710" s="732">
        <f t="shared" si="217"/>
        <v>0</v>
      </c>
      <c r="T1710" s="733">
        <f t="shared" si="218"/>
        <v>0</v>
      </c>
      <c r="U1710" s="1152"/>
      <c r="V1710" s="1153"/>
      <c r="W1710" s="1152"/>
      <c r="X1710" s="1152"/>
      <c r="Y1710" s="732">
        <f t="shared" si="214"/>
        <v>0</v>
      </c>
      <c r="Z1710" s="1153"/>
      <c r="AA1710" s="1153"/>
      <c r="AB1710" s="733">
        <f t="shared" si="215"/>
        <v>0</v>
      </c>
      <c r="AC1710" s="1152"/>
      <c r="AD1710" s="1153"/>
      <c r="AE1710" s="1152"/>
      <c r="AF1710" s="1152"/>
      <c r="AG1710" s="1153"/>
      <c r="AH1710" s="1153"/>
      <c r="AI1710" s="732">
        <f t="shared" si="219"/>
        <v>0</v>
      </c>
      <c r="AJ1710" s="733">
        <f t="shared" si="220"/>
        <v>0</v>
      </c>
    </row>
    <row r="1711" spans="1:36">
      <c r="A1711" s="868" t="s">
        <v>745</v>
      </c>
      <c r="B1711" s="857" t="s">
        <v>62</v>
      </c>
      <c r="C1711" s="1054" t="s">
        <v>1699</v>
      </c>
      <c r="D1711" s="1055"/>
      <c r="E1711" s="850">
        <v>405748</v>
      </c>
      <c r="F1711" s="851">
        <v>13</v>
      </c>
      <c r="G1711" s="1152"/>
      <c r="H1711" s="1153"/>
      <c r="I1711" s="1152"/>
      <c r="J1711" s="1153"/>
      <c r="K1711" s="1152"/>
      <c r="L1711" s="1153"/>
      <c r="M1711" s="1152"/>
      <c r="N1711" s="1152"/>
      <c r="O1711" s="732">
        <f t="shared" si="213"/>
        <v>0</v>
      </c>
      <c r="P1711" s="1153"/>
      <c r="Q1711" s="1153"/>
      <c r="R1711" s="733">
        <f t="shared" si="216"/>
        <v>0</v>
      </c>
      <c r="S1711" s="732">
        <f t="shared" si="217"/>
        <v>0</v>
      </c>
      <c r="T1711" s="733">
        <f t="shared" si="218"/>
        <v>0</v>
      </c>
      <c r="U1711" s="1152"/>
      <c r="V1711" s="1153"/>
      <c r="W1711" s="1152"/>
      <c r="X1711" s="1152"/>
      <c r="Y1711" s="732">
        <f t="shared" si="214"/>
        <v>0</v>
      </c>
      <c r="Z1711" s="1153"/>
      <c r="AA1711" s="1153"/>
      <c r="AB1711" s="733">
        <f t="shared" si="215"/>
        <v>0</v>
      </c>
      <c r="AC1711" s="1152"/>
      <c r="AD1711" s="1153"/>
      <c r="AE1711" s="1152"/>
      <c r="AF1711" s="1152"/>
      <c r="AG1711" s="1153"/>
      <c r="AH1711" s="1153"/>
      <c r="AI1711" s="732">
        <f t="shared" si="219"/>
        <v>0</v>
      </c>
      <c r="AJ1711" s="733">
        <f t="shared" si="220"/>
        <v>0</v>
      </c>
    </row>
    <row r="1712" spans="1:36">
      <c r="A1712" s="868" t="s">
        <v>745</v>
      </c>
      <c r="B1712" s="857" t="s">
        <v>62</v>
      </c>
      <c r="C1712" s="1054" t="s">
        <v>1700</v>
      </c>
      <c r="D1712" s="1055"/>
      <c r="E1712" s="850">
        <v>375762</v>
      </c>
      <c r="F1712" s="851">
        <v>13</v>
      </c>
      <c r="G1712" s="1152"/>
      <c r="H1712" s="1153"/>
      <c r="I1712" s="1152"/>
      <c r="J1712" s="1153"/>
      <c r="K1712" s="1152"/>
      <c r="L1712" s="1153"/>
      <c r="M1712" s="1152"/>
      <c r="N1712" s="1152"/>
      <c r="O1712" s="732">
        <f t="shared" si="213"/>
        <v>0</v>
      </c>
      <c r="P1712" s="1153"/>
      <c r="Q1712" s="1153"/>
      <c r="R1712" s="733">
        <f t="shared" si="216"/>
        <v>0</v>
      </c>
      <c r="S1712" s="732">
        <f t="shared" si="217"/>
        <v>0</v>
      </c>
      <c r="T1712" s="733">
        <f t="shared" si="218"/>
        <v>0</v>
      </c>
      <c r="U1712" s="1152"/>
      <c r="V1712" s="1153"/>
      <c r="W1712" s="1152"/>
      <c r="X1712" s="1152"/>
      <c r="Y1712" s="732">
        <f t="shared" si="214"/>
        <v>0</v>
      </c>
      <c r="Z1712" s="1153"/>
      <c r="AA1712" s="1153"/>
      <c r="AB1712" s="733">
        <f t="shared" si="215"/>
        <v>0</v>
      </c>
      <c r="AC1712" s="1152"/>
      <c r="AD1712" s="1153"/>
      <c r="AE1712" s="1152"/>
      <c r="AF1712" s="1152"/>
      <c r="AG1712" s="1153"/>
      <c r="AH1712" s="1153"/>
      <c r="AI1712" s="732">
        <f t="shared" si="219"/>
        <v>0</v>
      </c>
      <c r="AJ1712" s="733">
        <f t="shared" si="220"/>
        <v>0</v>
      </c>
    </row>
    <row r="1713" spans="1:36">
      <c r="A1713" s="868" t="s">
        <v>745</v>
      </c>
      <c r="B1713" s="857" t="s">
        <v>62</v>
      </c>
      <c r="C1713" s="857" t="s">
        <v>1701</v>
      </c>
      <c r="D1713" s="856"/>
      <c r="E1713" s="850">
        <v>365480</v>
      </c>
      <c r="F1713" s="851">
        <v>13</v>
      </c>
      <c r="G1713" s="1152">
        <v>3635604</v>
      </c>
      <c r="H1713" s="1153">
        <v>3449596</v>
      </c>
      <c r="I1713" s="1152"/>
      <c r="J1713" s="1153"/>
      <c r="K1713" s="1152"/>
      <c r="L1713" s="1153"/>
      <c r="M1713" s="1152">
        <v>849462</v>
      </c>
      <c r="N1713" s="1152"/>
      <c r="O1713" s="732">
        <f t="shared" si="213"/>
        <v>849462</v>
      </c>
      <c r="P1713" s="1153">
        <v>687837</v>
      </c>
      <c r="Q1713" s="1153"/>
      <c r="R1713" s="733">
        <f t="shared" si="216"/>
        <v>687837</v>
      </c>
      <c r="S1713" s="732">
        <f t="shared" si="217"/>
        <v>4485066</v>
      </c>
      <c r="T1713" s="733">
        <f t="shared" si="218"/>
        <v>4137433</v>
      </c>
      <c r="U1713" s="1152"/>
      <c r="V1713" s="1153"/>
      <c r="W1713" s="1152"/>
      <c r="X1713" s="1152"/>
      <c r="Y1713" s="732">
        <f t="shared" si="214"/>
        <v>0</v>
      </c>
      <c r="Z1713" s="1153"/>
      <c r="AA1713" s="1153"/>
      <c r="AB1713" s="733">
        <f t="shared" si="215"/>
        <v>0</v>
      </c>
      <c r="AC1713" s="1152"/>
      <c r="AD1713" s="1153"/>
      <c r="AE1713" s="1152"/>
      <c r="AF1713" s="1152"/>
      <c r="AG1713" s="1153"/>
      <c r="AH1713" s="1153"/>
      <c r="AI1713" s="732">
        <f t="shared" si="219"/>
        <v>4485066</v>
      </c>
      <c r="AJ1713" s="733">
        <f t="shared" si="220"/>
        <v>4137433</v>
      </c>
    </row>
    <row r="1714" spans="1:36">
      <c r="A1714" s="868" t="s">
        <v>745</v>
      </c>
      <c r="B1714" s="857" t="s">
        <v>62</v>
      </c>
      <c r="C1714" s="857" t="s">
        <v>1702</v>
      </c>
      <c r="D1714" s="863"/>
      <c r="E1714" s="850">
        <v>363165</v>
      </c>
      <c r="F1714" s="851">
        <v>13</v>
      </c>
      <c r="G1714" s="1152">
        <v>4202605</v>
      </c>
      <c r="H1714" s="1153">
        <v>3584901</v>
      </c>
      <c r="I1714" s="1152"/>
      <c r="J1714" s="1153"/>
      <c r="K1714" s="1152"/>
      <c r="L1714" s="1153"/>
      <c r="M1714" s="1152">
        <v>1803569</v>
      </c>
      <c r="N1714" s="1152"/>
      <c r="O1714" s="732">
        <f t="shared" si="213"/>
        <v>1803569</v>
      </c>
      <c r="P1714" s="1153">
        <v>1564837</v>
      </c>
      <c r="Q1714" s="1153"/>
      <c r="R1714" s="733">
        <f t="shared" si="216"/>
        <v>1564837</v>
      </c>
      <c r="S1714" s="732">
        <f t="shared" si="217"/>
        <v>6006174</v>
      </c>
      <c r="T1714" s="733">
        <f t="shared" si="218"/>
        <v>5149738</v>
      </c>
      <c r="U1714" s="1152"/>
      <c r="V1714" s="1153"/>
      <c r="W1714" s="1152"/>
      <c r="X1714" s="1152"/>
      <c r="Y1714" s="732">
        <f t="shared" si="214"/>
        <v>0</v>
      </c>
      <c r="Z1714" s="1153"/>
      <c r="AA1714" s="1153"/>
      <c r="AB1714" s="733">
        <f t="shared" si="215"/>
        <v>0</v>
      </c>
      <c r="AC1714" s="1152"/>
      <c r="AD1714" s="1153"/>
      <c r="AE1714" s="1152"/>
      <c r="AF1714" s="1152"/>
      <c r="AG1714" s="1153"/>
      <c r="AH1714" s="1153"/>
      <c r="AI1714" s="732">
        <f t="shared" si="219"/>
        <v>6006174</v>
      </c>
      <c r="AJ1714" s="733">
        <f t="shared" si="220"/>
        <v>5149738</v>
      </c>
    </row>
    <row r="1715" spans="1:36">
      <c r="A1715" s="868" t="s">
        <v>745</v>
      </c>
      <c r="B1715" s="857" t="s">
        <v>62</v>
      </c>
      <c r="C1715" s="857" t="s">
        <v>1703</v>
      </c>
      <c r="D1715" s="856" t="s">
        <v>1802</v>
      </c>
      <c r="E1715" s="850">
        <v>418320</v>
      </c>
      <c r="F1715" s="851">
        <v>13</v>
      </c>
      <c r="G1715" s="1152">
        <v>3004824</v>
      </c>
      <c r="H1715" s="1153">
        <v>3030239</v>
      </c>
      <c r="I1715" s="1152"/>
      <c r="J1715" s="1153"/>
      <c r="K1715" s="1152"/>
      <c r="L1715" s="1153"/>
      <c r="M1715" s="1152">
        <v>459305</v>
      </c>
      <c r="N1715" s="1152"/>
      <c r="O1715" s="732">
        <f t="shared" si="213"/>
        <v>459305</v>
      </c>
      <c r="P1715" s="1153">
        <v>314946</v>
      </c>
      <c r="Q1715" s="1153"/>
      <c r="R1715" s="733">
        <f t="shared" si="216"/>
        <v>314946</v>
      </c>
      <c r="S1715" s="732">
        <f t="shared" si="217"/>
        <v>3464129</v>
      </c>
      <c r="T1715" s="733">
        <f t="shared" si="218"/>
        <v>3345185</v>
      </c>
      <c r="U1715" s="1152"/>
      <c r="V1715" s="1153"/>
      <c r="W1715" s="1152"/>
      <c r="X1715" s="1152"/>
      <c r="Y1715" s="732">
        <f t="shared" si="214"/>
        <v>0</v>
      </c>
      <c r="Z1715" s="1153"/>
      <c r="AA1715" s="1153"/>
      <c r="AB1715" s="733">
        <f t="shared" si="215"/>
        <v>0</v>
      </c>
      <c r="AC1715" s="1152"/>
      <c r="AD1715" s="1153"/>
      <c r="AE1715" s="1152"/>
      <c r="AF1715" s="1152"/>
      <c r="AG1715" s="1153"/>
      <c r="AH1715" s="1153"/>
      <c r="AI1715" s="732">
        <f t="shared" si="219"/>
        <v>3464129</v>
      </c>
      <c r="AJ1715" s="733">
        <f t="shared" si="220"/>
        <v>3345185</v>
      </c>
    </row>
    <row r="1716" spans="1:36">
      <c r="A1716" s="868" t="s">
        <v>745</v>
      </c>
      <c r="B1716" s="857" t="s">
        <v>62</v>
      </c>
      <c r="C1716" s="857" t="s">
        <v>1704</v>
      </c>
      <c r="D1716" s="856"/>
      <c r="E1716" s="850">
        <v>431017</v>
      </c>
      <c r="F1716" s="851">
        <v>13</v>
      </c>
      <c r="G1716" s="1152">
        <v>1921789</v>
      </c>
      <c r="H1716" s="1153">
        <v>1734442</v>
      </c>
      <c r="I1716" s="1152"/>
      <c r="J1716" s="1153"/>
      <c r="K1716" s="1152"/>
      <c r="L1716" s="1153"/>
      <c r="M1716" s="1152">
        <v>198075</v>
      </c>
      <c r="N1716" s="1152"/>
      <c r="O1716" s="732">
        <f t="shared" si="213"/>
        <v>198075</v>
      </c>
      <c r="P1716" s="1153">
        <v>159194</v>
      </c>
      <c r="Q1716" s="1153"/>
      <c r="R1716" s="733">
        <f t="shared" si="216"/>
        <v>159194</v>
      </c>
      <c r="S1716" s="732">
        <f t="shared" si="217"/>
        <v>2119864</v>
      </c>
      <c r="T1716" s="733">
        <f t="shared" si="218"/>
        <v>1893636</v>
      </c>
      <c r="U1716" s="1152"/>
      <c r="V1716" s="1153"/>
      <c r="W1716" s="1152"/>
      <c r="X1716" s="1152"/>
      <c r="Y1716" s="732">
        <f t="shared" si="214"/>
        <v>0</v>
      </c>
      <c r="Z1716" s="1153"/>
      <c r="AA1716" s="1153"/>
      <c r="AB1716" s="733">
        <f t="shared" si="215"/>
        <v>0</v>
      </c>
      <c r="AC1716" s="1152"/>
      <c r="AD1716" s="1153"/>
      <c r="AE1716" s="1152"/>
      <c r="AF1716" s="1152"/>
      <c r="AG1716" s="1153"/>
      <c r="AH1716" s="1153"/>
      <c r="AI1716" s="732">
        <f t="shared" si="219"/>
        <v>2119864</v>
      </c>
      <c r="AJ1716" s="733">
        <f t="shared" si="220"/>
        <v>1893636</v>
      </c>
    </row>
    <row r="1717" spans="1:36">
      <c r="A1717" s="868" t="s">
        <v>745</v>
      </c>
      <c r="B1717" s="857" t="s">
        <v>62</v>
      </c>
      <c r="C1717" s="864" t="s">
        <v>1705</v>
      </c>
      <c r="D1717" s="856" t="s">
        <v>1803</v>
      </c>
      <c r="E1717" s="850">
        <v>248606</v>
      </c>
      <c r="F1717" s="851">
        <v>13</v>
      </c>
      <c r="G1717" s="1152">
        <v>2730704</v>
      </c>
      <c r="H1717" s="1153">
        <v>2646846</v>
      </c>
      <c r="I1717" s="1152"/>
      <c r="J1717" s="1153"/>
      <c r="K1717" s="1152"/>
      <c r="L1717" s="1153"/>
      <c r="M1717" s="1152">
        <v>1364732</v>
      </c>
      <c r="N1717" s="1152"/>
      <c r="O1717" s="732">
        <f t="shared" si="213"/>
        <v>1364732</v>
      </c>
      <c r="P1717" s="1153">
        <v>968282</v>
      </c>
      <c r="Q1717" s="1153"/>
      <c r="R1717" s="733">
        <f t="shared" si="216"/>
        <v>968282</v>
      </c>
      <c r="S1717" s="732">
        <f t="shared" si="217"/>
        <v>4095436</v>
      </c>
      <c r="T1717" s="733">
        <f t="shared" si="218"/>
        <v>3615128</v>
      </c>
      <c r="U1717" s="1152"/>
      <c r="V1717" s="1153"/>
      <c r="W1717" s="1152"/>
      <c r="X1717" s="1152"/>
      <c r="Y1717" s="732">
        <f t="shared" si="214"/>
        <v>0</v>
      </c>
      <c r="Z1717" s="1153"/>
      <c r="AA1717" s="1153"/>
      <c r="AB1717" s="733">
        <f t="shared" si="215"/>
        <v>0</v>
      </c>
      <c r="AC1717" s="1152"/>
      <c r="AD1717" s="1153"/>
      <c r="AE1717" s="1152"/>
      <c r="AF1717" s="1152"/>
      <c r="AG1717" s="1153"/>
      <c r="AH1717" s="1153"/>
      <c r="AI1717" s="732">
        <f t="shared" si="219"/>
        <v>4095436</v>
      </c>
      <c r="AJ1717" s="733">
        <f t="shared" si="220"/>
        <v>3615128</v>
      </c>
    </row>
    <row r="1718" spans="1:36">
      <c r="A1718" s="868" t="s">
        <v>745</v>
      </c>
      <c r="B1718" s="857" t="s">
        <v>62</v>
      </c>
      <c r="C1718" s="1056" t="s">
        <v>1706</v>
      </c>
      <c r="D1718" s="1057"/>
      <c r="E1718" s="850">
        <v>420459</v>
      </c>
      <c r="F1718" s="851">
        <v>13</v>
      </c>
      <c r="G1718" s="1152"/>
      <c r="H1718" s="1153"/>
      <c r="I1718" s="1152"/>
      <c r="J1718" s="1153"/>
      <c r="K1718" s="1152"/>
      <c r="L1718" s="1153"/>
      <c r="M1718" s="1152"/>
      <c r="N1718" s="1152"/>
      <c r="O1718" s="732">
        <f t="shared" si="213"/>
        <v>0</v>
      </c>
      <c r="P1718" s="1153"/>
      <c r="Q1718" s="1153"/>
      <c r="R1718" s="733">
        <f t="shared" si="216"/>
        <v>0</v>
      </c>
      <c r="S1718" s="732">
        <f t="shared" si="217"/>
        <v>0</v>
      </c>
      <c r="T1718" s="733">
        <f t="shared" si="218"/>
        <v>0</v>
      </c>
      <c r="U1718" s="1152"/>
      <c r="V1718" s="1153"/>
      <c r="W1718" s="1152"/>
      <c r="X1718" s="1152"/>
      <c r="Y1718" s="732">
        <f t="shared" si="214"/>
        <v>0</v>
      </c>
      <c r="Z1718" s="1153"/>
      <c r="AA1718" s="1153"/>
      <c r="AB1718" s="733">
        <f t="shared" si="215"/>
        <v>0</v>
      </c>
      <c r="AC1718" s="1152"/>
      <c r="AD1718" s="1153"/>
      <c r="AE1718" s="1152"/>
      <c r="AF1718" s="1152"/>
      <c r="AG1718" s="1153"/>
      <c r="AH1718" s="1153"/>
      <c r="AI1718" s="732">
        <f t="shared" si="219"/>
        <v>0</v>
      </c>
      <c r="AJ1718" s="733">
        <f t="shared" si="220"/>
        <v>0</v>
      </c>
    </row>
    <row r="1719" spans="1:36">
      <c r="A1719" s="868" t="s">
        <v>745</v>
      </c>
      <c r="B1719" s="857" t="s">
        <v>62</v>
      </c>
      <c r="C1719" s="1056" t="s">
        <v>1707</v>
      </c>
      <c r="D1719" s="1057"/>
      <c r="E1719" s="850">
        <v>456560</v>
      </c>
      <c r="F1719" s="851">
        <v>13</v>
      </c>
      <c r="G1719" s="1152"/>
      <c r="H1719" s="1153"/>
      <c r="I1719" s="1152"/>
      <c r="J1719" s="1153"/>
      <c r="K1719" s="1152"/>
      <c r="L1719" s="1153"/>
      <c r="M1719" s="1152"/>
      <c r="N1719" s="1152"/>
      <c r="O1719" s="732">
        <f t="shared" si="213"/>
        <v>0</v>
      </c>
      <c r="P1719" s="1153"/>
      <c r="Q1719" s="1153"/>
      <c r="R1719" s="733">
        <f t="shared" si="216"/>
        <v>0</v>
      </c>
      <c r="S1719" s="732">
        <f t="shared" si="217"/>
        <v>0</v>
      </c>
      <c r="T1719" s="733">
        <f t="shared" si="218"/>
        <v>0</v>
      </c>
      <c r="U1719" s="1152"/>
      <c r="V1719" s="1153"/>
      <c r="W1719" s="1152"/>
      <c r="X1719" s="1152"/>
      <c r="Y1719" s="732">
        <f t="shared" si="214"/>
        <v>0</v>
      </c>
      <c r="Z1719" s="1153"/>
      <c r="AA1719" s="1153"/>
      <c r="AB1719" s="733">
        <f t="shared" si="215"/>
        <v>0</v>
      </c>
      <c r="AC1719" s="1152"/>
      <c r="AD1719" s="1153"/>
      <c r="AE1719" s="1152"/>
      <c r="AF1719" s="1152"/>
      <c r="AG1719" s="1153"/>
      <c r="AH1719" s="1153"/>
      <c r="AI1719" s="732">
        <f t="shared" si="219"/>
        <v>0</v>
      </c>
      <c r="AJ1719" s="733">
        <f t="shared" si="220"/>
        <v>0</v>
      </c>
    </row>
    <row r="1720" spans="1:36">
      <c r="A1720" s="868" t="s">
        <v>745</v>
      </c>
      <c r="B1720" s="857" t="s">
        <v>62</v>
      </c>
      <c r="C1720" s="1056" t="s">
        <v>1708</v>
      </c>
      <c r="D1720" s="1057"/>
      <c r="E1720" s="850">
        <v>432074</v>
      </c>
      <c r="F1720" s="851">
        <v>13</v>
      </c>
      <c r="G1720" s="1152"/>
      <c r="H1720" s="1153"/>
      <c r="I1720" s="1152"/>
      <c r="J1720" s="1153"/>
      <c r="K1720" s="1152"/>
      <c r="L1720" s="1153"/>
      <c r="M1720" s="1152"/>
      <c r="N1720" s="1152"/>
      <c r="O1720" s="732">
        <f t="shared" si="213"/>
        <v>0</v>
      </c>
      <c r="P1720" s="1153"/>
      <c r="Q1720" s="1153"/>
      <c r="R1720" s="733">
        <f t="shared" si="216"/>
        <v>0</v>
      </c>
      <c r="S1720" s="732">
        <f t="shared" si="217"/>
        <v>0</v>
      </c>
      <c r="T1720" s="733">
        <f t="shared" si="218"/>
        <v>0</v>
      </c>
      <c r="U1720" s="1152"/>
      <c r="V1720" s="1153"/>
      <c r="W1720" s="1152"/>
      <c r="X1720" s="1152"/>
      <c r="Y1720" s="732">
        <f t="shared" si="214"/>
        <v>0</v>
      </c>
      <c r="Z1720" s="1153"/>
      <c r="AA1720" s="1153"/>
      <c r="AB1720" s="733">
        <f t="shared" si="215"/>
        <v>0</v>
      </c>
      <c r="AC1720" s="1152"/>
      <c r="AD1720" s="1153"/>
      <c r="AE1720" s="1152"/>
      <c r="AF1720" s="1152"/>
      <c r="AG1720" s="1153"/>
      <c r="AH1720" s="1153"/>
      <c r="AI1720" s="732">
        <f t="shared" si="219"/>
        <v>0</v>
      </c>
      <c r="AJ1720" s="733">
        <f t="shared" si="220"/>
        <v>0</v>
      </c>
    </row>
    <row r="1721" spans="1:36" customFormat="1" ht="15" customHeight="1">
      <c r="A1721" s="868" t="s">
        <v>745</v>
      </c>
      <c r="B1721" s="857" t="s">
        <v>62</v>
      </c>
      <c r="C1721" s="1056" t="s">
        <v>1709</v>
      </c>
      <c r="D1721" s="1057"/>
      <c r="E1721" s="850">
        <v>418339</v>
      </c>
      <c r="F1721" s="851">
        <v>13</v>
      </c>
      <c r="G1721" s="1152"/>
      <c r="H1721" s="1153"/>
      <c r="I1721" s="1152"/>
      <c r="J1721" s="1153"/>
      <c r="K1721" s="1152"/>
      <c r="L1721" s="1153"/>
      <c r="M1721" s="1152"/>
      <c r="N1721" s="1152"/>
      <c r="O1721" s="732">
        <f t="shared" si="213"/>
        <v>0</v>
      </c>
      <c r="P1721" s="1153"/>
      <c r="Q1721" s="1153"/>
      <c r="R1721" s="733">
        <f t="shared" si="216"/>
        <v>0</v>
      </c>
      <c r="S1721" s="732">
        <f t="shared" si="217"/>
        <v>0</v>
      </c>
      <c r="T1721" s="733">
        <f t="shared" si="218"/>
        <v>0</v>
      </c>
      <c r="U1721" s="1152"/>
      <c r="V1721" s="1153"/>
      <c r="W1721" s="1152"/>
      <c r="X1721" s="1152"/>
      <c r="Y1721" s="732">
        <f t="shared" si="214"/>
        <v>0</v>
      </c>
      <c r="Z1721" s="1153"/>
      <c r="AA1721" s="1153"/>
      <c r="AB1721" s="733">
        <f t="shared" si="215"/>
        <v>0</v>
      </c>
      <c r="AC1721" s="1152"/>
      <c r="AD1721" s="1153"/>
      <c r="AE1721" s="1152"/>
      <c r="AF1721" s="1152"/>
      <c r="AG1721" s="1153"/>
      <c r="AH1721" s="1153"/>
      <c r="AI1721" s="732">
        <f t="shared" si="219"/>
        <v>0</v>
      </c>
      <c r="AJ1721" s="733">
        <f t="shared" si="220"/>
        <v>0</v>
      </c>
    </row>
    <row r="1722" spans="1:36">
      <c r="A1722" s="868" t="s">
        <v>745</v>
      </c>
      <c r="B1722" s="857" t="s">
        <v>62</v>
      </c>
      <c r="C1722" s="1058" t="s">
        <v>1710</v>
      </c>
      <c r="D1722" s="1059"/>
      <c r="E1722" s="850">
        <v>366623</v>
      </c>
      <c r="F1722" s="851">
        <v>13</v>
      </c>
      <c r="G1722" s="1152"/>
      <c r="H1722" s="1153"/>
      <c r="I1722" s="1152"/>
      <c r="J1722" s="1153"/>
      <c r="K1722" s="1152"/>
      <c r="L1722" s="1153"/>
      <c r="M1722" s="1152"/>
      <c r="N1722" s="1152"/>
      <c r="O1722" s="732">
        <f t="shared" si="213"/>
        <v>0</v>
      </c>
      <c r="P1722" s="1153"/>
      <c r="Q1722" s="1153"/>
      <c r="R1722" s="733">
        <f t="shared" si="216"/>
        <v>0</v>
      </c>
      <c r="S1722" s="732">
        <f t="shared" si="217"/>
        <v>0</v>
      </c>
      <c r="T1722" s="733">
        <f t="shared" si="218"/>
        <v>0</v>
      </c>
      <c r="U1722" s="1152"/>
      <c r="V1722" s="1153"/>
      <c r="W1722" s="1152"/>
      <c r="X1722" s="1152"/>
      <c r="Y1722" s="732">
        <f t="shared" si="214"/>
        <v>0</v>
      </c>
      <c r="Z1722" s="1153"/>
      <c r="AA1722" s="1153"/>
      <c r="AB1722" s="733">
        <f t="shared" si="215"/>
        <v>0</v>
      </c>
      <c r="AC1722" s="1152"/>
      <c r="AD1722" s="1153"/>
      <c r="AE1722" s="1152"/>
      <c r="AF1722" s="1152"/>
      <c r="AG1722" s="1153"/>
      <c r="AH1722" s="1153"/>
      <c r="AI1722" s="732">
        <f t="shared" si="219"/>
        <v>0</v>
      </c>
      <c r="AJ1722" s="733">
        <f t="shared" si="220"/>
        <v>0</v>
      </c>
    </row>
    <row r="1723" spans="1:36">
      <c r="A1723" s="868" t="s">
        <v>745</v>
      </c>
      <c r="B1723" s="857" t="s">
        <v>62</v>
      </c>
      <c r="C1723" s="1058" t="s">
        <v>1711</v>
      </c>
      <c r="D1723" s="1059"/>
      <c r="E1723" s="850">
        <v>407601</v>
      </c>
      <c r="F1723" s="851">
        <v>13</v>
      </c>
      <c r="G1723" s="1152"/>
      <c r="H1723" s="1153"/>
      <c r="I1723" s="1152"/>
      <c r="J1723" s="1153"/>
      <c r="K1723" s="1152"/>
      <c r="L1723" s="1153"/>
      <c r="M1723" s="1152"/>
      <c r="N1723" s="1152"/>
      <c r="O1723" s="732">
        <f t="shared" si="213"/>
        <v>0</v>
      </c>
      <c r="P1723" s="1153"/>
      <c r="Q1723" s="1153"/>
      <c r="R1723" s="733">
        <f t="shared" si="216"/>
        <v>0</v>
      </c>
      <c r="S1723" s="732">
        <f t="shared" si="217"/>
        <v>0</v>
      </c>
      <c r="T1723" s="733">
        <f t="shared" si="218"/>
        <v>0</v>
      </c>
      <c r="U1723" s="1152"/>
      <c r="V1723" s="1153"/>
      <c r="W1723" s="1152"/>
      <c r="X1723" s="1152"/>
      <c r="Y1723" s="732">
        <f t="shared" si="214"/>
        <v>0</v>
      </c>
      <c r="Z1723" s="1153"/>
      <c r="AA1723" s="1153"/>
      <c r="AB1723" s="733">
        <f t="shared" si="215"/>
        <v>0</v>
      </c>
      <c r="AC1723" s="1152"/>
      <c r="AD1723" s="1153"/>
      <c r="AE1723" s="1152"/>
      <c r="AF1723" s="1152"/>
      <c r="AG1723" s="1153"/>
      <c r="AH1723" s="1153"/>
      <c r="AI1723" s="732">
        <f t="shared" si="219"/>
        <v>0</v>
      </c>
      <c r="AJ1723" s="733">
        <f t="shared" si="220"/>
        <v>0</v>
      </c>
    </row>
    <row r="1724" spans="1:36">
      <c r="A1724" s="868" t="s">
        <v>745</v>
      </c>
      <c r="B1724" s="857" t="s">
        <v>62</v>
      </c>
      <c r="C1724" s="857" t="s">
        <v>1712</v>
      </c>
      <c r="D1724" s="856"/>
      <c r="E1724" s="850">
        <v>364627</v>
      </c>
      <c r="F1724" s="851">
        <v>13</v>
      </c>
      <c r="G1724" s="1152">
        <v>2571972</v>
      </c>
      <c r="H1724" s="1153">
        <v>2372421</v>
      </c>
      <c r="I1724" s="1152"/>
      <c r="J1724" s="1153"/>
      <c r="K1724" s="1152"/>
      <c r="L1724" s="1153"/>
      <c r="M1724" s="1152">
        <v>567574</v>
      </c>
      <c r="N1724" s="1152"/>
      <c r="O1724" s="732">
        <f t="shared" si="213"/>
        <v>567574</v>
      </c>
      <c r="P1724" s="1153">
        <v>606861</v>
      </c>
      <c r="Q1724" s="1153"/>
      <c r="R1724" s="733">
        <f t="shared" si="216"/>
        <v>606861</v>
      </c>
      <c r="S1724" s="732">
        <f t="shared" si="217"/>
        <v>3139546</v>
      </c>
      <c r="T1724" s="733">
        <f t="shared" si="218"/>
        <v>2979282</v>
      </c>
      <c r="U1724" s="1152"/>
      <c r="V1724" s="1153"/>
      <c r="W1724" s="1152"/>
      <c r="X1724" s="1152"/>
      <c r="Y1724" s="732">
        <f t="shared" si="214"/>
        <v>0</v>
      </c>
      <c r="Z1724" s="1153"/>
      <c r="AA1724" s="1153"/>
      <c r="AB1724" s="733">
        <f t="shared" si="215"/>
        <v>0</v>
      </c>
      <c r="AC1724" s="1152"/>
      <c r="AD1724" s="1153"/>
      <c r="AE1724" s="1152"/>
      <c r="AF1724" s="1152"/>
      <c r="AG1724" s="1153"/>
      <c r="AH1724" s="1153"/>
      <c r="AI1724" s="732">
        <f t="shared" si="219"/>
        <v>3139546</v>
      </c>
      <c r="AJ1724" s="733">
        <f t="shared" si="220"/>
        <v>2979282</v>
      </c>
    </row>
    <row r="1725" spans="1:36">
      <c r="A1725" s="868" t="s">
        <v>745</v>
      </c>
      <c r="B1725" s="857" t="s">
        <v>62</v>
      </c>
      <c r="C1725" s="857" t="s">
        <v>1713</v>
      </c>
      <c r="D1725" s="856"/>
      <c r="E1725" s="850">
        <v>206905</v>
      </c>
      <c r="F1725" s="851">
        <v>13</v>
      </c>
      <c r="G1725" s="1152">
        <v>1564670</v>
      </c>
      <c r="H1725" s="1153">
        <v>1658968</v>
      </c>
      <c r="I1725" s="1152"/>
      <c r="J1725" s="1153"/>
      <c r="K1725" s="1152"/>
      <c r="L1725" s="1153"/>
      <c r="M1725" s="1152">
        <v>417577</v>
      </c>
      <c r="N1725" s="1152"/>
      <c r="O1725" s="732">
        <f t="shared" si="213"/>
        <v>417577</v>
      </c>
      <c r="P1725" s="1153">
        <v>345060</v>
      </c>
      <c r="Q1725" s="1153"/>
      <c r="R1725" s="733">
        <f t="shared" si="216"/>
        <v>345060</v>
      </c>
      <c r="S1725" s="732">
        <f t="shared" si="217"/>
        <v>1982247</v>
      </c>
      <c r="T1725" s="733">
        <f t="shared" si="218"/>
        <v>2004028</v>
      </c>
      <c r="U1725" s="1152"/>
      <c r="V1725" s="1153"/>
      <c r="W1725" s="1152"/>
      <c r="X1725" s="1152"/>
      <c r="Y1725" s="732">
        <f t="shared" si="214"/>
        <v>0</v>
      </c>
      <c r="Z1725" s="1153"/>
      <c r="AA1725" s="1153"/>
      <c r="AB1725" s="733">
        <f t="shared" si="215"/>
        <v>0</v>
      </c>
      <c r="AC1725" s="1152"/>
      <c r="AD1725" s="1153"/>
      <c r="AE1725" s="1152"/>
      <c r="AF1725" s="1152"/>
      <c r="AG1725" s="1153"/>
      <c r="AH1725" s="1153"/>
      <c r="AI1725" s="732">
        <f t="shared" si="219"/>
        <v>1982247</v>
      </c>
      <c r="AJ1725" s="733">
        <f t="shared" si="220"/>
        <v>2004028</v>
      </c>
    </row>
    <row r="1726" spans="1:36">
      <c r="A1726" s="868" t="s">
        <v>745</v>
      </c>
      <c r="B1726" s="857" t="s">
        <v>62</v>
      </c>
      <c r="C1726" s="857" t="s">
        <v>1714</v>
      </c>
      <c r="D1726" s="856"/>
      <c r="E1726" s="850">
        <v>250993</v>
      </c>
      <c r="F1726" s="851">
        <v>13</v>
      </c>
      <c r="G1726" s="1152">
        <v>2340127</v>
      </c>
      <c r="H1726" s="1153">
        <v>2241959</v>
      </c>
      <c r="I1726" s="1152"/>
      <c r="J1726" s="1153"/>
      <c r="K1726" s="1152"/>
      <c r="L1726" s="1153"/>
      <c r="M1726" s="1152">
        <v>339140</v>
      </c>
      <c r="N1726" s="1152"/>
      <c r="O1726" s="732">
        <f t="shared" si="213"/>
        <v>339140</v>
      </c>
      <c r="P1726" s="1153">
        <v>329962</v>
      </c>
      <c r="Q1726" s="1153"/>
      <c r="R1726" s="733">
        <f t="shared" si="216"/>
        <v>329962</v>
      </c>
      <c r="S1726" s="732">
        <f t="shared" si="217"/>
        <v>2679267</v>
      </c>
      <c r="T1726" s="733">
        <f t="shared" si="218"/>
        <v>2571921</v>
      </c>
      <c r="U1726" s="1152"/>
      <c r="V1726" s="1153"/>
      <c r="W1726" s="1152"/>
      <c r="X1726" s="1152"/>
      <c r="Y1726" s="732">
        <f t="shared" si="214"/>
        <v>0</v>
      </c>
      <c r="Z1726" s="1153"/>
      <c r="AA1726" s="1153"/>
      <c r="AB1726" s="733">
        <f t="shared" si="215"/>
        <v>0</v>
      </c>
      <c r="AC1726" s="1152"/>
      <c r="AD1726" s="1153"/>
      <c r="AE1726" s="1152"/>
      <c r="AF1726" s="1152"/>
      <c r="AG1726" s="1153"/>
      <c r="AH1726" s="1153"/>
      <c r="AI1726" s="732">
        <f t="shared" si="219"/>
        <v>2679267</v>
      </c>
      <c r="AJ1726" s="733">
        <f t="shared" si="220"/>
        <v>2571921</v>
      </c>
    </row>
    <row r="1727" spans="1:36">
      <c r="A1727" s="868" t="s">
        <v>745</v>
      </c>
      <c r="B1727" s="857" t="s">
        <v>62</v>
      </c>
      <c r="C1727" s="857" t="s">
        <v>1715</v>
      </c>
      <c r="D1727" s="856"/>
      <c r="E1727" s="850">
        <v>365198</v>
      </c>
      <c r="F1727" s="851">
        <v>13</v>
      </c>
      <c r="G1727" s="1152">
        <v>2417683</v>
      </c>
      <c r="H1727" s="1153">
        <v>2170209</v>
      </c>
      <c r="I1727" s="1152"/>
      <c r="J1727" s="1153"/>
      <c r="K1727" s="1152"/>
      <c r="L1727" s="1153"/>
      <c r="M1727" s="1152">
        <v>417631</v>
      </c>
      <c r="N1727" s="1152"/>
      <c r="O1727" s="732">
        <f t="shared" si="213"/>
        <v>417631</v>
      </c>
      <c r="P1727" s="1153">
        <v>410339</v>
      </c>
      <c r="Q1727" s="1153"/>
      <c r="R1727" s="733">
        <f t="shared" si="216"/>
        <v>410339</v>
      </c>
      <c r="S1727" s="732">
        <f t="shared" si="217"/>
        <v>2835314</v>
      </c>
      <c r="T1727" s="733">
        <f t="shared" si="218"/>
        <v>2580548</v>
      </c>
      <c r="U1727" s="1152"/>
      <c r="V1727" s="1153"/>
      <c r="W1727" s="1152"/>
      <c r="X1727" s="1152"/>
      <c r="Y1727" s="732">
        <f t="shared" si="214"/>
        <v>0</v>
      </c>
      <c r="Z1727" s="1153"/>
      <c r="AA1727" s="1153"/>
      <c r="AB1727" s="733">
        <f t="shared" si="215"/>
        <v>0</v>
      </c>
      <c r="AC1727" s="1152"/>
      <c r="AD1727" s="1153"/>
      <c r="AE1727" s="1152"/>
      <c r="AF1727" s="1152"/>
      <c r="AG1727" s="1153"/>
      <c r="AH1727" s="1153"/>
      <c r="AI1727" s="732">
        <f t="shared" si="219"/>
        <v>2835314</v>
      </c>
      <c r="AJ1727" s="733">
        <f t="shared" si="220"/>
        <v>2580548</v>
      </c>
    </row>
    <row r="1728" spans="1:36">
      <c r="A1728" s="868" t="s">
        <v>745</v>
      </c>
      <c r="B1728" s="857" t="s">
        <v>62</v>
      </c>
      <c r="C1728" s="857" t="s">
        <v>1716</v>
      </c>
      <c r="D1728" s="856"/>
      <c r="E1728" s="850">
        <v>368364</v>
      </c>
      <c r="F1728" s="851">
        <v>13</v>
      </c>
      <c r="G1728" s="1152">
        <v>2504602</v>
      </c>
      <c r="H1728" s="1153">
        <v>2436258</v>
      </c>
      <c r="I1728" s="1152"/>
      <c r="J1728" s="1153"/>
      <c r="K1728" s="1152"/>
      <c r="L1728" s="1153"/>
      <c r="M1728" s="1152">
        <v>300640</v>
      </c>
      <c r="N1728" s="1152"/>
      <c r="O1728" s="732">
        <f t="shared" si="213"/>
        <v>300640</v>
      </c>
      <c r="P1728" s="1153">
        <v>393607</v>
      </c>
      <c r="Q1728" s="1153"/>
      <c r="R1728" s="733">
        <f t="shared" si="216"/>
        <v>393607</v>
      </c>
      <c r="S1728" s="732">
        <f t="shared" si="217"/>
        <v>2805242</v>
      </c>
      <c r="T1728" s="733">
        <f t="shared" si="218"/>
        <v>2829865</v>
      </c>
      <c r="U1728" s="1152"/>
      <c r="V1728" s="1153"/>
      <c r="W1728" s="1152"/>
      <c r="X1728" s="1152"/>
      <c r="Y1728" s="732">
        <f t="shared" si="214"/>
        <v>0</v>
      </c>
      <c r="Z1728" s="1153"/>
      <c r="AA1728" s="1153"/>
      <c r="AB1728" s="733">
        <f t="shared" si="215"/>
        <v>0</v>
      </c>
      <c r="AC1728" s="1152"/>
      <c r="AD1728" s="1153"/>
      <c r="AE1728" s="1152"/>
      <c r="AF1728" s="1152"/>
      <c r="AG1728" s="1153"/>
      <c r="AH1728" s="1153"/>
      <c r="AI1728" s="732">
        <f t="shared" si="219"/>
        <v>2805242</v>
      </c>
      <c r="AJ1728" s="733">
        <f t="shared" si="220"/>
        <v>2829865</v>
      </c>
    </row>
    <row r="1729" spans="1:36">
      <c r="A1729" s="868" t="s">
        <v>745</v>
      </c>
      <c r="B1729" s="857" t="s">
        <v>62</v>
      </c>
      <c r="C1729" s="857" t="s">
        <v>1717</v>
      </c>
      <c r="D1729" s="856"/>
      <c r="E1729" s="850">
        <v>418287</v>
      </c>
      <c r="F1729" s="851">
        <v>13</v>
      </c>
      <c r="G1729" s="1152">
        <v>2898553</v>
      </c>
      <c r="H1729" s="1153">
        <v>2690725</v>
      </c>
      <c r="I1729" s="1152"/>
      <c r="J1729" s="1153"/>
      <c r="K1729" s="1152"/>
      <c r="L1729" s="1153"/>
      <c r="M1729" s="1152">
        <v>560976</v>
      </c>
      <c r="N1729" s="1152"/>
      <c r="O1729" s="732">
        <f t="shared" si="213"/>
        <v>560976</v>
      </c>
      <c r="P1729" s="1153">
        <v>388356</v>
      </c>
      <c r="Q1729" s="1153"/>
      <c r="R1729" s="733">
        <f t="shared" si="216"/>
        <v>388356</v>
      </c>
      <c r="S1729" s="732">
        <f t="shared" si="217"/>
        <v>3459529</v>
      </c>
      <c r="T1729" s="733">
        <f t="shared" si="218"/>
        <v>3079081</v>
      </c>
      <c r="U1729" s="1152"/>
      <c r="V1729" s="1153"/>
      <c r="W1729" s="1152"/>
      <c r="X1729" s="1152"/>
      <c r="Y1729" s="732">
        <f t="shared" si="214"/>
        <v>0</v>
      </c>
      <c r="Z1729" s="1153"/>
      <c r="AA1729" s="1153"/>
      <c r="AB1729" s="733">
        <f t="shared" si="215"/>
        <v>0</v>
      </c>
      <c r="AC1729" s="1152"/>
      <c r="AD1729" s="1153"/>
      <c r="AE1729" s="1152"/>
      <c r="AF1729" s="1152"/>
      <c r="AG1729" s="1153"/>
      <c r="AH1729" s="1153"/>
      <c r="AI1729" s="732">
        <f t="shared" si="219"/>
        <v>3459529</v>
      </c>
      <c r="AJ1729" s="733">
        <f t="shared" si="220"/>
        <v>3079081</v>
      </c>
    </row>
    <row r="1730" spans="1:36">
      <c r="A1730" s="868" t="s">
        <v>745</v>
      </c>
      <c r="B1730" s="857" t="s">
        <v>62</v>
      </c>
      <c r="C1730" s="1050" t="s">
        <v>1718</v>
      </c>
      <c r="D1730" s="1051"/>
      <c r="E1730" s="850">
        <v>207607</v>
      </c>
      <c r="F1730" s="851">
        <v>13</v>
      </c>
      <c r="G1730" s="1152"/>
      <c r="H1730" s="1153"/>
      <c r="I1730" s="1152"/>
      <c r="J1730" s="1153"/>
      <c r="K1730" s="1152"/>
      <c r="L1730" s="1153"/>
      <c r="M1730" s="1152"/>
      <c r="N1730" s="1152"/>
      <c r="O1730" s="732">
        <f t="shared" si="213"/>
        <v>0</v>
      </c>
      <c r="P1730" s="1153"/>
      <c r="Q1730" s="1153"/>
      <c r="R1730" s="733">
        <f t="shared" si="216"/>
        <v>0</v>
      </c>
      <c r="S1730" s="732">
        <f t="shared" si="217"/>
        <v>0</v>
      </c>
      <c r="T1730" s="733">
        <f t="shared" si="218"/>
        <v>0</v>
      </c>
      <c r="U1730" s="1152"/>
      <c r="V1730" s="1153"/>
      <c r="W1730" s="1152"/>
      <c r="X1730" s="1152"/>
      <c r="Y1730" s="732">
        <f t="shared" si="214"/>
        <v>0</v>
      </c>
      <c r="Z1730" s="1153"/>
      <c r="AA1730" s="1153"/>
      <c r="AB1730" s="733">
        <f t="shared" si="215"/>
        <v>0</v>
      </c>
      <c r="AC1730" s="1152"/>
      <c r="AD1730" s="1153"/>
      <c r="AE1730" s="1152"/>
      <c r="AF1730" s="1152"/>
      <c r="AG1730" s="1153"/>
      <c r="AH1730" s="1153"/>
      <c r="AI1730" s="732">
        <f t="shared" si="219"/>
        <v>0</v>
      </c>
      <c r="AJ1730" s="733">
        <f t="shared" si="220"/>
        <v>0</v>
      </c>
    </row>
    <row r="1731" spans="1:36">
      <c r="A1731" s="868" t="s">
        <v>745</v>
      </c>
      <c r="B1731" s="857" t="s">
        <v>62</v>
      </c>
      <c r="C1731" s="1050" t="s">
        <v>1719</v>
      </c>
      <c r="D1731" s="1051"/>
      <c r="E1731" s="851">
        <v>261393</v>
      </c>
      <c r="F1731" s="851">
        <v>13</v>
      </c>
      <c r="G1731" s="1152"/>
      <c r="H1731" s="1153"/>
      <c r="I1731" s="1152"/>
      <c r="J1731" s="1153"/>
      <c r="K1731" s="1152"/>
      <c r="L1731" s="1153"/>
      <c r="M1731" s="1152"/>
      <c r="N1731" s="1152"/>
      <c r="O1731" s="732">
        <f t="shared" si="213"/>
        <v>0</v>
      </c>
      <c r="P1731" s="1153"/>
      <c r="Q1731" s="1153"/>
      <c r="R1731" s="733">
        <f t="shared" si="216"/>
        <v>0</v>
      </c>
      <c r="S1731" s="732">
        <f t="shared" si="217"/>
        <v>0</v>
      </c>
      <c r="T1731" s="733">
        <f t="shared" si="218"/>
        <v>0</v>
      </c>
      <c r="U1731" s="1152"/>
      <c r="V1731" s="1153"/>
      <c r="W1731" s="1152"/>
      <c r="X1731" s="1152"/>
      <c r="Y1731" s="732">
        <f t="shared" si="214"/>
        <v>0</v>
      </c>
      <c r="Z1731" s="1153"/>
      <c r="AA1731" s="1153"/>
      <c r="AB1731" s="733">
        <f t="shared" si="215"/>
        <v>0</v>
      </c>
      <c r="AC1731" s="1152"/>
      <c r="AD1731" s="1153"/>
      <c r="AE1731" s="1152"/>
      <c r="AF1731" s="1152"/>
      <c r="AG1731" s="1153"/>
      <c r="AH1731" s="1153"/>
      <c r="AI1731" s="732">
        <f t="shared" si="219"/>
        <v>0</v>
      </c>
      <c r="AJ1731" s="733">
        <f t="shared" si="220"/>
        <v>0</v>
      </c>
    </row>
    <row r="1732" spans="1:36">
      <c r="A1732" s="868" t="s">
        <v>745</v>
      </c>
      <c r="B1732" s="857" t="s">
        <v>62</v>
      </c>
      <c r="C1732" s="1050" t="s">
        <v>1720</v>
      </c>
      <c r="D1732" s="1051"/>
      <c r="E1732" s="1060">
        <v>482264</v>
      </c>
      <c r="F1732" s="851">
        <v>13</v>
      </c>
      <c r="G1732" s="1152"/>
      <c r="H1732" s="1153"/>
      <c r="I1732" s="1152"/>
      <c r="J1732" s="1153"/>
      <c r="K1732" s="1152"/>
      <c r="L1732" s="1153"/>
      <c r="M1732" s="1152"/>
      <c r="N1732" s="1152"/>
      <c r="O1732" s="732">
        <f t="shared" si="213"/>
        <v>0</v>
      </c>
      <c r="P1732" s="1153"/>
      <c r="Q1732" s="1153"/>
      <c r="R1732" s="733">
        <f t="shared" si="216"/>
        <v>0</v>
      </c>
      <c r="S1732" s="732">
        <f t="shared" si="217"/>
        <v>0</v>
      </c>
      <c r="T1732" s="733">
        <f t="shared" si="218"/>
        <v>0</v>
      </c>
      <c r="U1732" s="1152"/>
      <c r="V1732" s="1153"/>
      <c r="W1732" s="1152"/>
      <c r="X1732" s="1152"/>
      <c r="Y1732" s="732">
        <f t="shared" si="214"/>
        <v>0</v>
      </c>
      <c r="Z1732" s="1153"/>
      <c r="AA1732" s="1153"/>
      <c r="AB1732" s="733">
        <f t="shared" si="215"/>
        <v>0</v>
      </c>
      <c r="AC1732" s="1152"/>
      <c r="AD1732" s="1153"/>
      <c r="AE1732" s="1152"/>
      <c r="AF1732" s="1152"/>
      <c r="AG1732" s="1153"/>
      <c r="AH1732" s="1153"/>
      <c r="AI1732" s="732">
        <f t="shared" si="219"/>
        <v>0</v>
      </c>
      <c r="AJ1732" s="733">
        <f t="shared" si="220"/>
        <v>0</v>
      </c>
    </row>
    <row r="1733" spans="1:36">
      <c r="A1733" s="868" t="s">
        <v>745</v>
      </c>
      <c r="B1733" s="857" t="s">
        <v>62</v>
      </c>
      <c r="C1733" s="1050" t="s">
        <v>1721</v>
      </c>
      <c r="D1733" s="1051"/>
      <c r="E1733" s="850">
        <v>261384</v>
      </c>
      <c r="F1733" s="851">
        <v>13</v>
      </c>
      <c r="G1733" s="1152"/>
      <c r="H1733" s="1153"/>
      <c r="I1733" s="1152"/>
      <c r="J1733" s="1153"/>
      <c r="K1733" s="1152"/>
      <c r="L1733" s="1153"/>
      <c r="M1733" s="1152"/>
      <c r="N1733" s="1152"/>
      <c r="O1733" s="732">
        <f t="shared" si="213"/>
        <v>0</v>
      </c>
      <c r="P1733" s="1153"/>
      <c r="Q1733" s="1153"/>
      <c r="R1733" s="733">
        <f t="shared" si="216"/>
        <v>0</v>
      </c>
      <c r="S1733" s="732">
        <f t="shared" si="217"/>
        <v>0</v>
      </c>
      <c r="T1733" s="733">
        <f t="shared" si="218"/>
        <v>0</v>
      </c>
      <c r="U1733" s="1152"/>
      <c r="V1733" s="1153"/>
      <c r="W1733" s="1152"/>
      <c r="X1733" s="1152"/>
      <c r="Y1733" s="732">
        <f t="shared" si="214"/>
        <v>0</v>
      </c>
      <c r="Z1733" s="1153"/>
      <c r="AA1733" s="1153"/>
      <c r="AB1733" s="733">
        <f t="shared" si="215"/>
        <v>0</v>
      </c>
      <c r="AC1733" s="1152"/>
      <c r="AD1733" s="1153"/>
      <c r="AE1733" s="1152"/>
      <c r="AF1733" s="1152"/>
      <c r="AG1733" s="1153"/>
      <c r="AH1733" s="1153"/>
      <c r="AI1733" s="732">
        <f t="shared" si="219"/>
        <v>0</v>
      </c>
      <c r="AJ1733" s="733">
        <f t="shared" si="220"/>
        <v>0</v>
      </c>
    </row>
    <row r="1734" spans="1:36">
      <c r="A1734" s="868" t="s">
        <v>745</v>
      </c>
      <c r="B1734" s="857" t="s">
        <v>62</v>
      </c>
      <c r="C1734" s="1050" t="s">
        <v>1722</v>
      </c>
      <c r="D1734" s="1051"/>
      <c r="E1734" s="1060">
        <v>482273</v>
      </c>
      <c r="F1734" s="851">
        <v>13</v>
      </c>
      <c r="G1734" s="1152"/>
      <c r="H1734" s="1153"/>
      <c r="I1734" s="1152"/>
      <c r="J1734" s="1153"/>
      <c r="K1734" s="1152"/>
      <c r="L1734" s="1153"/>
      <c r="M1734" s="1165"/>
      <c r="N1734" s="1152"/>
      <c r="O1734" s="732">
        <f t="shared" si="213"/>
        <v>0</v>
      </c>
      <c r="P1734" s="1153"/>
      <c r="Q1734" s="1153"/>
      <c r="R1734" s="733">
        <f t="shared" si="216"/>
        <v>0</v>
      </c>
      <c r="S1734" s="732">
        <f t="shared" si="217"/>
        <v>0</v>
      </c>
      <c r="T1734" s="733">
        <f t="shared" si="218"/>
        <v>0</v>
      </c>
      <c r="U1734" s="1152"/>
      <c r="V1734" s="1153"/>
      <c r="W1734" s="1152"/>
      <c r="X1734" s="1152"/>
      <c r="Y1734" s="732">
        <f t="shared" si="214"/>
        <v>0</v>
      </c>
      <c r="Z1734" s="1153"/>
      <c r="AA1734" s="1153"/>
      <c r="AB1734" s="733">
        <f t="shared" si="215"/>
        <v>0</v>
      </c>
      <c r="AC1734" s="1152"/>
      <c r="AD1734" s="1153"/>
      <c r="AE1734" s="1152"/>
      <c r="AF1734" s="1152"/>
      <c r="AG1734" s="1153"/>
      <c r="AH1734" s="1153"/>
      <c r="AI1734" s="732">
        <f t="shared" si="219"/>
        <v>0</v>
      </c>
      <c r="AJ1734" s="733">
        <f t="shared" si="220"/>
        <v>0</v>
      </c>
    </row>
    <row r="1735" spans="1:36">
      <c r="A1735" s="868" t="s">
        <v>745</v>
      </c>
      <c r="B1735" s="857" t="s">
        <v>62</v>
      </c>
      <c r="C1735" s="857" t="s">
        <v>1723</v>
      </c>
      <c r="D1735" s="856"/>
      <c r="E1735" s="850">
        <v>418357</v>
      </c>
      <c r="F1735" s="851">
        <v>13</v>
      </c>
      <c r="G1735" s="1152">
        <v>2872656</v>
      </c>
      <c r="H1735" s="1153">
        <v>2642153</v>
      </c>
      <c r="I1735" s="1152"/>
      <c r="J1735" s="1153"/>
      <c r="K1735" s="1152"/>
      <c r="L1735" s="1153"/>
      <c r="M1735" s="1152">
        <v>91144</v>
      </c>
      <c r="N1735" s="1152"/>
      <c r="O1735" s="732">
        <f t="shared" si="213"/>
        <v>91144</v>
      </c>
      <c r="P1735" s="1153">
        <v>87942</v>
      </c>
      <c r="Q1735" s="1153"/>
      <c r="R1735" s="733">
        <f t="shared" si="216"/>
        <v>87942</v>
      </c>
      <c r="S1735" s="732">
        <f t="shared" si="217"/>
        <v>2963800</v>
      </c>
      <c r="T1735" s="733">
        <f t="shared" si="218"/>
        <v>2730095</v>
      </c>
      <c r="U1735" s="1152"/>
      <c r="V1735" s="1153"/>
      <c r="W1735" s="1152"/>
      <c r="X1735" s="1152"/>
      <c r="Y1735" s="732">
        <f t="shared" si="214"/>
        <v>0</v>
      </c>
      <c r="Z1735" s="1153"/>
      <c r="AA1735" s="1153"/>
      <c r="AB1735" s="733">
        <f t="shared" si="215"/>
        <v>0</v>
      </c>
      <c r="AC1735" s="1152"/>
      <c r="AD1735" s="1153"/>
      <c r="AE1735" s="1152"/>
      <c r="AF1735" s="1152"/>
      <c r="AG1735" s="1153"/>
      <c r="AH1735" s="1153"/>
      <c r="AI1735" s="732">
        <f t="shared" si="219"/>
        <v>2963800</v>
      </c>
      <c r="AJ1735" s="733">
        <f t="shared" si="220"/>
        <v>2730095</v>
      </c>
    </row>
    <row r="1736" spans="1:36">
      <c r="A1736" s="868" t="s">
        <v>745</v>
      </c>
      <c r="B1736" s="857" t="s">
        <v>62</v>
      </c>
      <c r="C1736" s="857" t="s">
        <v>1724</v>
      </c>
      <c r="D1736" s="856"/>
      <c r="E1736" s="850">
        <v>418302</v>
      </c>
      <c r="F1736" s="851">
        <v>13</v>
      </c>
      <c r="G1736" s="1152">
        <v>1809470</v>
      </c>
      <c r="H1736" s="1153">
        <v>1747358</v>
      </c>
      <c r="I1736" s="1152"/>
      <c r="J1736" s="1153"/>
      <c r="K1736" s="1152"/>
      <c r="L1736" s="1153"/>
      <c r="M1736" s="1152">
        <v>385992</v>
      </c>
      <c r="N1736" s="1152"/>
      <c r="O1736" s="732">
        <f t="shared" si="213"/>
        <v>385992</v>
      </c>
      <c r="P1736" s="1153">
        <v>276512</v>
      </c>
      <c r="Q1736" s="1153"/>
      <c r="R1736" s="733">
        <f t="shared" si="216"/>
        <v>276512</v>
      </c>
      <c r="S1736" s="732">
        <f t="shared" si="217"/>
        <v>2195462</v>
      </c>
      <c r="T1736" s="733">
        <f t="shared" si="218"/>
        <v>2023870</v>
      </c>
      <c r="U1736" s="1152"/>
      <c r="V1736" s="1153"/>
      <c r="W1736" s="1152"/>
      <c r="X1736" s="1152"/>
      <c r="Y1736" s="732">
        <f t="shared" si="214"/>
        <v>0</v>
      </c>
      <c r="Z1736" s="1153"/>
      <c r="AA1736" s="1153"/>
      <c r="AB1736" s="733">
        <f t="shared" si="215"/>
        <v>0</v>
      </c>
      <c r="AC1736" s="1152"/>
      <c r="AD1736" s="1153"/>
      <c r="AE1736" s="1152"/>
      <c r="AF1736" s="1152"/>
      <c r="AG1736" s="1153"/>
      <c r="AH1736" s="1153"/>
      <c r="AI1736" s="732">
        <f t="shared" si="219"/>
        <v>2195462</v>
      </c>
      <c r="AJ1736" s="733">
        <f t="shared" si="220"/>
        <v>2023870</v>
      </c>
    </row>
    <row r="1737" spans="1:36">
      <c r="A1737" s="868" t="s">
        <v>745</v>
      </c>
      <c r="B1737" s="857" t="s">
        <v>62</v>
      </c>
      <c r="C1737" s="1061" t="s">
        <v>1725</v>
      </c>
      <c r="D1737" s="1061"/>
      <c r="E1737" s="868"/>
      <c r="F1737" s="851">
        <v>13</v>
      </c>
      <c r="G1737" s="1152">
        <v>5173332</v>
      </c>
      <c r="H1737" s="1153">
        <v>4951661</v>
      </c>
      <c r="I1737" s="1152"/>
      <c r="J1737" s="1153"/>
      <c r="K1737" s="1152"/>
      <c r="L1737" s="1153"/>
      <c r="M1737" s="1152">
        <v>1168203</v>
      </c>
      <c r="N1737" s="1152"/>
      <c r="O1737" s="732">
        <f t="shared" si="213"/>
        <v>1168203</v>
      </c>
      <c r="P1737" s="1153">
        <v>1322740</v>
      </c>
      <c r="Q1737" s="1153"/>
      <c r="R1737" s="733">
        <f t="shared" si="216"/>
        <v>1322740</v>
      </c>
      <c r="S1737" s="732">
        <f t="shared" si="217"/>
        <v>6341535</v>
      </c>
      <c r="T1737" s="733">
        <f t="shared" si="218"/>
        <v>6274401</v>
      </c>
      <c r="U1737" s="1152"/>
      <c r="V1737" s="1153"/>
      <c r="W1737" s="1152"/>
      <c r="X1737" s="1152"/>
      <c r="Y1737" s="732">
        <f t="shared" si="214"/>
        <v>0</v>
      </c>
      <c r="Z1737" s="1153"/>
      <c r="AA1737" s="1153"/>
      <c r="AB1737" s="733">
        <f t="shared" si="215"/>
        <v>0</v>
      </c>
      <c r="AC1737" s="1152"/>
      <c r="AD1737" s="1153"/>
      <c r="AE1737" s="1152"/>
      <c r="AF1737" s="1152"/>
      <c r="AG1737" s="1153"/>
      <c r="AH1737" s="1153"/>
      <c r="AI1737" s="732">
        <f t="shared" si="219"/>
        <v>6341535</v>
      </c>
      <c r="AJ1737" s="733">
        <f t="shared" si="220"/>
        <v>6274401</v>
      </c>
    </row>
    <row r="1738" spans="1:36">
      <c r="A1738" s="868" t="s">
        <v>745</v>
      </c>
      <c r="B1738" s="857" t="s">
        <v>62</v>
      </c>
      <c r="C1738" s="1062" t="s">
        <v>1726</v>
      </c>
      <c r="D1738" s="1062"/>
      <c r="E1738" s="868"/>
      <c r="F1738" s="851">
        <v>13</v>
      </c>
      <c r="G1738" s="1152">
        <v>8881122</v>
      </c>
      <c r="H1738" s="1154">
        <v>0</v>
      </c>
      <c r="I1738" s="1152"/>
      <c r="J1738" s="1153"/>
      <c r="K1738" s="1152"/>
      <c r="L1738" s="1153"/>
      <c r="M1738" s="1152">
        <v>1180497</v>
      </c>
      <c r="N1738" s="1152"/>
      <c r="O1738" s="732">
        <f t="shared" ref="O1738:O1801" si="221">SUM(M1738:N1738)</f>
        <v>1180497</v>
      </c>
      <c r="P1738" s="1153">
        <v>1631015</v>
      </c>
      <c r="Q1738" s="1153"/>
      <c r="R1738" s="733">
        <f t="shared" si="216"/>
        <v>1631015</v>
      </c>
      <c r="S1738" s="732">
        <f t="shared" si="217"/>
        <v>10061619</v>
      </c>
      <c r="T1738" s="733">
        <f t="shared" si="218"/>
        <v>1631015</v>
      </c>
      <c r="U1738" s="1152"/>
      <c r="V1738" s="1153"/>
      <c r="W1738" s="1152"/>
      <c r="X1738" s="1152"/>
      <c r="Y1738" s="732">
        <f t="shared" ref="Y1738:Y1801" si="222">SUM(W1738:X1738)</f>
        <v>0</v>
      </c>
      <c r="Z1738" s="1153"/>
      <c r="AA1738" s="1153"/>
      <c r="AB1738" s="733">
        <f t="shared" ref="AB1738:AB1801" si="223">SUM(Z1738:AA1738)</f>
        <v>0</v>
      </c>
      <c r="AC1738" s="1152"/>
      <c r="AD1738" s="1153"/>
      <c r="AE1738" s="1152"/>
      <c r="AF1738" s="1152"/>
      <c r="AG1738" s="1153"/>
      <c r="AH1738" s="1153"/>
      <c r="AI1738" s="732">
        <f t="shared" si="219"/>
        <v>10061619</v>
      </c>
      <c r="AJ1738" s="733">
        <f t="shared" si="220"/>
        <v>1631015</v>
      </c>
    </row>
    <row r="1739" spans="1:36">
      <c r="A1739" s="868" t="s">
        <v>745</v>
      </c>
      <c r="B1739" s="857" t="s">
        <v>62</v>
      </c>
      <c r="C1739" s="1063" t="s">
        <v>1727</v>
      </c>
      <c r="D1739" s="1063"/>
      <c r="E1739" s="868"/>
      <c r="F1739" s="851">
        <v>13</v>
      </c>
      <c r="G1739" s="1152">
        <v>2697267</v>
      </c>
      <c r="H1739" s="1153">
        <v>2466601</v>
      </c>
      <c r="I1739" s="1152"/>
      <c r="J1739" s="1153"/>
      <c r="K1739" s="1152"/>
      <c r="L1739" s="1153"/>
      <c r="M1739" s="1152">
        <v>857477</v>
      </c>
      <c r="N1739" s="1152"/>
      <c r="O1739" s="732">
        <f t="shared" si="221"/>
        <v>857477</v>
      </c>
      <c r="P1739" s="1153">
        <v>571278</v>
      </c>
      <c r="Q1739" s="1153"/>
      <c r="R1739" s="733">
        <f t="shared" ref="R1739:R1802" si="224">SUM(P1739:Q1739)</f>
        <v>571278</v>
      </c>
      <c r="S1739" s="732">
        <f t="shared" ref="S1739:S1802" si="225">SUM(G1739,I1739,K1739,M1739)</f>
        <v>3554744</v>
      </c>
      <c r="T1739" s="733">
        <f t="shared" ref="T1739:T1802" si="226">SUM(H1739,J1739,L1739,P1739)</f>
        <v>3037879</v>
      </c>
      <c r="U1739" s="1152"/>
      <c r="V1739" s="1153"/>
      <c r="W1739" s="1152"/>
      <c r="X1739" s="1152"/>
      <c r="Y1739" s="732">
        <f t="shared" si="222"/>
        <v>0</v>
      </c>
      <c r="Z1739" s="1153"/>
      <c r="AA1739" s="1153"/>
      <c r="AB1739" s="733">
        <f t="shared" si="223"/>
        <v>0</v>
      </c>
      <c r="AC1739" s="1152"/>
      <c r="AD1739" s="1153"/>
      <c r="AE1739" s="1152"/>
      <c r="AF1739" s="1152"/>
      <c r="AG1739" s="1153"/>
      <c r="AH1739" s="1153"/>
      <c r="AI1739" s="732">
        <f t="shared" ref="AI1739:AI1802" si="227">SUM(S1739,U1739,W1739,AC1739,AE1739)</f>
        <v>3554744</v>
      </c>
      <c r="AJ1739" s="733">
        <f t="shared" ref="AJ1739:AJ1802" si="228">SUM(T1739,V1739,Z1739,AD1739,AG1739)</f>
        <v>3037879</v>
      </c>
    </row>
    <row r="1740" spans="1:36">
      <c r="A1740" s="868" t="s">
        <v>745</v>
      </c>
      <c r="B1740" s="857" t="s">
        <v>62</v>
      </c>
      <c r="C1740" s="1064" t="s">
        <v>1728</v>
      </c>
      <c r="D1740" s="1064"/>
      <c r="E1740" s="868"/>
      <c r="F1740" s="851">
        <v>13</v>
      </c>
      <c r="G1740" s="1152">
        <v>1922306</v>
      </c>
      <c r="H1740" s="1153">
        <v>2003035</v>
      </c>
      <c r="I1740" s="1152"/>
      <c r="J1740" s="1153"/>
      <c r="K1740" s="1152"/>
      <c r="L1740" s="1153"/>
      <c r="M1740" s="1152">
        <v>204969</v>
      </c>
      <c r="N1740" s="1152"/>
      <c r="O1740" s="732">
        <f t="shared" si="221"/>
        <v>204969</v>
      </c>
      <c r="P1740" s="1153">
        <v>216049</v>
      </c>
      <c r="Q1740" s="1153"/>
      <c r="R1740" s="733">
        <f t="shared" si="224"/>
        <v>216049</v>
      </c>
      <c r="S1740" s="732">
        <f t="shared" si="225"/>
        <v>2127275</v>
      </c>
      <c r="T1740" s="733">
        <f t="shared" si="226"/>
        <v>2219084</v>
      </c>
      <c r="U1740" s="1152"/>
      <c r="V1740" s="1153"/>
      <c r="W1740" s="1152"/>
      <c r="X1740" s="1152"/>
      <c r="Y1740" s="732">
        <f t="shared" si="222"/>
        <v>0</v>
      </c>
      <c r="Z1740" s="1153"/>
      <c r="AA1740" s="1153"/>
      <c r="AB1740" s="733">
        <f t="shared" si="223"/>
        <v>0</v>
      </c>
      <c r="AC1740" s="1152"/>
      <c r="AD1740" s="1153"/>
      <c r="AE1740" s="1152"/>
      <c r="AF1740" s="1152"/>
      <c r="AG1740" s="1153"/>
      <c r="AH1740" s="1153"/>
      <c r="AI1740" s="732">
        <f t="shared" si="227"/>
        <v>2127275</v>
      </c>
      <c r="AJ1740" s="733">
        <f t="shared" si="228"/>
        <v>2219084</v>
      </c>
    </row>
    <row r="1741" spans="1:36">
      <c r="A1741" s="868" t="s">
        <v>745</v>
      </c>
      <c r="B1741" s="857" t="s">
        <v>62</v>
      </c>
      <c r="C1741" s="1065" t="s">
        <v>1729</v>
      </c>
      <c r="D1741" s="1065"/>
      <c r="E1741" s="868"/>
      <c r="F1741" s="851">
        <v>13</v>
      </c>
      <c r="G1741" s="1152">
        <v>7260604</v>
      </c>
      <c r="H1741" s="1153">
        <v>7108187</v>
      </c>
      <c r="I1741" s="1152"/>
      <c r="J1741" s="1153"/>
      <c r="K1741" s="1152"/>
      <c r="L1741" s="1153"/>
      <c r="M1741" s="1152">
        <v>3662270</v>
      </c>
      <c r="N1741" s="1152"/>
      <c r="O1741" s="732">
        <f t="shared" si="221"/>
        <v>3662270</v>
      </c>
      <c r="P1741" s="1153">
        <v>3004203</v>
      </c>
      <c r="Q1741" s="1153"/>
      <c r="R1741" s="733">
        <f t="shared" si="224"/>
        <v>3004203</v>
      </c>
      <c r="S1741" s="732">
        <f t="shared" si="225"/>
        <v>10922874</v>
      </c>
      <c r="T1741" s="733">
        <f t="shared" si="226"/>
        <v>10112390</v>
      </c>
      <c r="U1741" s="1152"/>
      <c r="V1741" s="1153"/>
      <c r="W1741" s="1152"/>
      <c r="X1741" s="1152"/>
      <c r="Y1741" s="732">
        <f t="shared" si="222"/>
        <v>0</v>
      </c>
      <c r="Z1741" s="1153"/>
      <c r="AA1741" s="1153"/>
      <c r="AB1741" s="733">
        <f t="shared" si="223"/>
        <v>0</v>
      </c>
      <c r="AC1741" s="1152"/>
      <c r="AD1741" s="1153"/>
      <c r="AE1741" s="1152"/>
      <c r="AF1741" s="1152"/>
      <c r="AG1741" s="1153"/>
      <c r="AH1741" s="1153"/>
      <c r="AI1741" s="732">
        <f t="shared" si="227"/>
        <v>10922874</v>
      </c>
      <c r="AJ1741" s="733">
        <f t="shared" si="228"/>
        <v>10112390</v>
      </c>
    </row>
    <row r="1742" spans="1:36">
      <c r="A1742" s="868" t="s">
        <v>745</v>
      </c>
      <c r="B1742" s="857" t="s">
        <v>138</v>
      </c>
      <c r="C1742" s="856" t="s">
        <v>139</v>
      </c>
      <c r="D1742" s="856"/>
      <c r="E1742" s="868"/>
      <c r="F1742" s="869">
        <v>99</v>
      </c>
      <c r="G1742" s="1152">
        <v>101394308</v>
      </c>
      <c r="H1742" s="1153">
        <v>88382665</v>
      </c>
      <c r="I1742" s="1152"/>
      <c r="J1742" s="1153"/>
      <c r="K1742" s="1152"/>
      <c r="L1742" s="1153"/>
      <c r="M1742" s="1152">
        <v>25539855</v>
      </c>
      <c r="N1742" s="1152"/>
      <c r="O1742" s="732">
        <f t="shared" si="221"/>
        <v>25539855</v>
      </c>
      <c r="P1742" s="1153">
        <v>23428978</v>
      </c>
      <c r="Q1742" s="1153"/>
      <c r="R1742" s="733">
        <f t="shared" si="224"/>
        <v>23428978</v>
      </c>
      <c r="S1742" s="732">
        <f t="shared" si="225"/>
        <v>126934163</v>
      </c>
      <c r="T1742" s="733">
        <f t="shared" si="226"/>
        <v>111811643</v>
      </c>
      <c r="U1742" s="1152"/>
      <c r="V1742" s="1153"/>
      <c r="W1742" s="1152"/>
      <c r="X1742" s="1152"/>
      <c r="Y1742" s="732">
        <f t="shared" si="222"/>
        <v>0</v>
      </c>
      <c r="Z1742" s="1153"/>
      <c r="AA1742" s="1153"/>
      <c r="AB1742" s="733">
        <f t="shared" si="223"/>
        <v>0</v>
      </c>
      <c r="AC1742" s="1152"/>
      <c r="AD1742" s="1153"/>
      <c r="AE1742" s="1152"/>
      <c r="AF1742" s="1152"/>
      <c r="AG1742" s="1153"/>
      <c r="AH1742" s="1153"/>
      <c r="AI1742" s="732">
        <f t="shared" si="227"/>
        <v>126934163</v>
      </c>
      <c r="AJ1742" s="733">
        <f t="shared" si="228"/>
        <v>111811643</v>
      </c>
    </row>
    <row r="1743" spans="1:36">
      <c r="A1743" s="868" t="s">
        <v>745</v>
      </c>
      <c r="B1743" s="857" t="s">
        <v>142</v>
      </c>
      <c r="C1743" s="1066" t="s">
        <v>143</v>
      </c>
      <c r="D1743" s="1067"/>
      <c r="E1743" s="868"/>
      <c r="F1743" s="869">
        <v>99</v>
      </c>
      <c r="G1743" s="1152"/>
      <c r="H1743" s="1153"/>
      <c r="I1743" s="1152"/>
      <c r="J1743" s="1153"/>
      <c r="K1743" s="1152"/>
      <c r="L1743" s="1153"/>
      <c r="M1743" s="1152"/>
      <c r="N1743" s="1152"/>
      <c r="O1743" s="732">
        <f t="shared" si="221"/>
        <v>0</v>
      </c>
      <c r="P1743" s="1153"/>
      <c r="Q1743" s="1153"/>
      <c r="R1743" s="733">
        <f t="shared" si="224"/>
        <v>0</v>
      </c>
      <c r="S1743" s="732">
        <f t="shared" si="225"/>
        <v>0</v>
      </c>
      <c r="T1743" s="733">
        <f t="shared" si="226"/>
        <v>0</v>
      </c>
      <c r="U1743" s="1152"/>
      <c r="V1743" s="1153"/>
      <c r="W1743" s="1152"/>
      <c r="X1743" s="1152"/>
      <c r="Y1743" s="732">
        <f t="shared" si="222"/>
        <v>0</v>
      </c>
      <c r="Z1743" s="1153"/>
      <c r="AA1743" s="1153"/>
      <c r="AB1743" s="733">
        <f t="shared" si="223"/>
        <v>0</v>
      </c>
      <c r="AC1743" s="1152"/>
      <c r="AD1743" s="1153"/>
      <c r="AE1743" s="1152"/>
      <c r="AF1743" s="1152"/>
      <c r="AG1743" s="1153"/>
      <c r="AH1743" s="1153"/>
      <c r="AI1743" s="732">
        <f t="shared" si="227"/>
        <v>0</v>
      </c>
      <c r="AJ1743" s="733">
        <f t="shared" si="228"/>
        <v>0</v>
      </c>
    </row>
    <row r="1744" spans="1:36">
      <c r="A1744" s="868" t="s">
        <v>745</v>
      </c>
      <c r="B1744" s="857" t="s">
        <v>142</v>
      </c>
      <c r="C1744" s="1068" t="s">
        <v>1730</v>
      </c>
      <c r="D1744" s="1067"/>
      <c r="E1744" s="868"/>
      <c r="F1744" s="869">
        <v>99</v>
      </c>
      <c r="G1744" s="1152"/>
      <c r="H1744" s="1153"/>
      <c r="I1744" s="1152"/>
      <c r="J1744" s="1153"/>
      <c r="K1744" s="1152"/>
      <c r="L1744" s="1153"/>
      <c r="M1744" s="1152"/>
      <c r="N1744" s="1152"/>
      <c r="O1744" s="732">
        <f t="shared" si="221"/>
        <v>0</v>
      </c>
      <c r="P1744" s="1153"/>
      <c r="Q1744" s="1153"/>
      <c r="R1744" s="733">
        <f t="shared" si="224"/>
        <v>0</v>
      </c>
      <c r="S1744" s="732">
        <f t="shared" si="225"/>
        <v>0</v>
      </c>
      <c r="T1744" s="733">
        <f t="shared" si="226"/>
        <v>0</v>
      </c>
      <c r="U1744" s="1152"/>
      <c r="V1744" s="1153"/>
      <c r="W1744" s="1152"/>
      <c r="X1744" s="1152"/>
      <c r="Y1744" s="732">
        <f t="shared" si="222"/>
        <v>0</v>
      </c>
      <c r="Z1744" s="1153"/>
      <c r="AA1744" s="1153"/>
      <c r="AB1744" s="733">
        <f t="shared" si="223"/>
        <v>0</v>
      </c>
      <c r="AC1744" s="1152"/>
      <c r="AD1744" s="1153"/>
      <c r="AE1744" s="1152"/>
      <c r="AF1744" s="1152"/>
      <c r="AG1744" s="1153"/>
      <c r="AH1744" s="1153"/>
      <c r="AI1744" s="732">
        <f t="shared" si="227"/>
        <v>0</v>
      </c>
      <c r="AJ1744" s="733">
        <f t="shared" si="228"/>
        <v>0</v>
      </c>
    </row>
    <row r="1745" spans="1:36" ht="13.5" thickBot="1">
      <c r="A1745" s="691" t="s">
        <v>745</v>
      </c>
      <c r="B1745" s="1173"/>
      <c r="C1745" s="968"/>
      <c r="D1745" s="967"/>
      <c r="E1745" s="841"/>
      <c r="F1745" s="869"/>
      <c r="G1745" s="1152"/>
      <c r="H1745" s="1153"/>
      <c r="I1745" s="1152"/>
      <c r="J1745" s="1153"/>
      <c r="K1745" s="1152"/>
      <c r="L1745" s="1153"/>
      <c r="M1745" s="1152"/>
      <c r="N1745" s="1152"/>
      <c r="O1745" s="732">
        <f t="shared" si="221"/>
        <v>0</v>
      </c>
      <c r="P1745" s="1153"/>
      <c r="Q1745" s="1153"/>
      <c r="R1745" s="733">
        <f t="shared" si="224"/>
        <v>0</v>
      </c>
      <c r="S1745" s="732">
        <f t="shared" si="225"/>
        <v>0</v>
      </c>
      <c r="T1745" s="733">
        <f t="shared" si="226"/>
        <v>0</v>
      </c>
      <c r="U1745" s="1152"/>
      <c r="V1745" s="1153"/>
      <c r="W1745" s="1152"/>
      <c r="X1745" s="1152"/>
      <c r="Y1745" s="732">
        <f t="shared" si="222"/>
        <v>0</v>
      </c>
      <c r="Z1745" s="1153"/>
      <c r="AA1745" s="1153"/>
      <c r="AB1745" s="733">
        <f t="shared" si="223"/>
        <v>0</v>
      </c>
      <c r="AC1745" s="1152"/>
      <c r="AD1745" s="1153"/>
      <c r="AE1745" s="1152"/>
      <c r="AF1745" s="1152"/>
      <c r="AG1745" s="1153"/>
      <c r="AH1745" s="1153"/>
      <c r="AI1745" s="732">
        <f t="shared" si="227"/>
        <v>0</v>
      </c>
      <c r="AJ1745" s="733">
        <f t="shared" si="228"/>
        <v>0</v>
      </c>
    </row>
    <row r="1746" spans="1:36">
      <c r="A1746" s="1069" t="s">
        <v>746</v>
      </c>
      <c r="B1746" s="1070" t="s">
        <v>62</v>
      </c>
      <c r="C1746" s="1071" t="s">
        <v>1517</v>
      </c>
      <c r="D1746" s="1072"/>
      <c r="E1746" s="1073">
        <v>217882</v>
      </c>
      <c r="F1746" s="1074">
        <v>1</v>
      </c>
      <c r="G1746" s="1152">
        <v>66021011</v>
      </c>
      <c r="H1746" s="1153">
        <v>66021011</v>
      </c>
      <c r="I1746" s="1152"/>
      <c r="J1746" s="1153"/>
      <c r="K1746" s="1152"/>
      <c r="L1746" s="1153"/>
      <c r="M1746" s="1152">
        <v>556429816</v>
      </c>
      <c r="N1746" s="1152">
        <v>16989733</v>
      </c>
      <c r="O1746" s="732">
        <f t="shared" si="221"/>
        <v>573419549</v>
      </c>
      <c r="P1746" s="1159">
        <f>600312361-18340159</f>
        <v>581972202</v>
      </c>
      <c r="Q1746" s="1153">
        <v>18340159</v>
      </c>
      <c r="R1746" s="733">
        <f t="shared" si="224"/>
        <v>600312361</v>
      </c>
      <c r="S1746" s="732">
        <f t="shared" si="225"/>
        <v>622450827</v>
      </c>
      <c r="T1746" s="733">
        <f t="shared" si="226"/>
        <v>647993213</v>
      </c>
      <c r="U1746" s="1152"/>
      <c r="V1746" s="1153"/>
      <c r="W1746" s="1152"/>
      <c r="X1746" s="1152"/>
      <c r="Y1746" s="732">
        <f t="shared" si="222"/>
        <v>0</v>
      </c>
      <c r="Z1746" s="1153"/>
      <c r="AA1746" s="1153"/>
      <c r="AB1746" s="733">
        <f t="shared" si="223"/>
        <v>0</v>
      </c>
      <c r="AC1746" s="1152"/>
      <c r="AD1746" s="1153"/>
      <c r="AE1746" s="1152"/>
      <c r="AF1746" s="1152"/>
      <c r="AG1746" s="1153"/>
      <c r="AH1746" s="1153"/>
      <c r="AI1746" s="732">
        <f t="shared" si="227"/>
        <v>622450827</v>
      </c>
      <c r="AJ1746" s="733">
        <f t="shared" si="228"/>
        <v>647993213</v>
      </c>
    </row>
    <row r="1747" spans="1:36">
      <c r="A1747" s="1075" t="s">
        <v>746</v>
      </c>
      <c r="B1747" s="1017" t="s">
        <v>62</v>
      </c>
      <c r="C1747" s="1011" t="s">
        <v>1518</v>
      </c>
      <c r="D1747" s="1010"/>
      <c r="E1747" s="987">
        <v>217882</v>
      </c>
      <c r="F1747" s="988">
        <v>1</v>
      </c>
      <c r="G1747" s="1152">
        <v>25030445</v>
      </c>
      <c r="H1747" s="1153">
        <v>24626818</v>
      </c>
      <c r="I1747" s="1152"/>
      <c r="J1747" s="1153"/>
      <c r="K1747" s="1152"/>
      <c r="L1747" s="1153"/>
      <c r="M1747" s="1152"/>
      <c r="N1747" s="1152"/>
      <c r="O1747" s="732">
        <f t="shared" si="221"/>
        <v>0</v>
      </c>
      <c r="P1747" s="1159"/>
      <c r="Q1747" s="1153"/>
      <c r="R1747" s="733">
        <f t="shared" si="224"/>
        <v>0</v>
      </c>
      <c r="S1747" s="732">
        <f t="shared" si="225"/>
        <v>25030445</v>
      </c>
      <c r="T1747" s="733">
        <f t="shared" si="226"/>
        <v>24626818</v>
      </c>
      <c r="U1747" s="1152"/>
      <c r="V1747" s="1153"/>
      <c r="W1747" s="1152"/>
      <c r="X1747" s="1152"/>
      <c r="Y1747" s="732">
        <f t="shared" si="222"/>
        <v>0</v>
      </c>
      <c r="Z1747" s="1153"/>
      <c r="AA1747" s="1153"/>
      <c r="AB1747" s="733">
        <f t="shared" si="223"/>
        <v>0</v>
      </c>
      <c r="AC1747" s="1152"/>
      <c r="AD1747" s="1153"/>
      <c r="AE1747" s="1152"/>
      <c r="AF1747" s="1152"/>
      <c r="AG1747" s="1153"/>
      <c r="AH1747" s="1153"/>
      <c r="AI1747" s="732">
        <f t="shared" si="227"/>
        <v>25030445</v>
      </c>
      <c r="AJ1747" s="733">
        <f t="shared" si="228"/>
        <v>24626818</v>
      </c>
    </row>
    <row r="1748" spans="1:36">
      <c r="A1748" s="1075" t="s">
        <v>746</v>
      </c>
      <c r="B1748" s="1017" t="s">
        <v>62</v>
      </c>
      <c r="C1748" s="1076" t="s">
        <v>1538</v>
      </c>
      <c r="D1748" s="1010"/>
      <c r="E1748" s="987">
        <v>217882</v>
      </c>
      <c r="F1748" s="988">
        <v>1</v>
      </c>
      <c r="G1748" s="1152">
        <v>4634343</v>
      </c>
      <c r="H1748" s="1153">
        <v>4634343</v>
      </c>
      <c r="I1748" s="1152"/>
      <c r="J1748" s="1153"/>
      <c r="K1748" s="1152"/>
      <c r="L1748" s="1153"/>
      <c r="M1748" s="1152"/>
      <c r="N1748" s="1152"/>
      <c r="O1748" s="732">
        <f t="shared" si="221"/>
        <v>0</v>
      </c>
      <c r="P1748" s="1159"/>
      <c r="Q1748" s="1153"/>
      <c r="R1748" s="733">
        <f t="shared" si="224"/>
        <v>0</v>
      </c>
      <c r="S1748" s="732">
        <f t="shared" si="225"/>
        <v>4634343</v>
      </c>
      <c r="T1748" s="733">
        <f t="shared" si="226"/>
        <v>4634343</v>
      </c>
      <c r="U1748" s="1152"/>
      <c r="V1748" s="1153"/>
      <c r="W1748" s="1152"/>
      <c r="X1748" s="1152"/>
      <c r="Y1748" s="732">
        <f t="shared" si="222"/>
        <v>0</v>
      </c>
      <c r="Z1748" s="1153"/>
      <c r="AA1748" s="1153"/>
      <c r="AB1748" s="733">
        <f t="shared" si="223"/>
        <v>0</v>
      </c>
      <c r="AC1748" s="1152"/>
      <c r="AD1748" s="1153"/>
      <c r="AE1748" s="1152"/>
      <c r="AF1748" s="1152"/>
      <c r="AG1748" s="1153"/>
      <c r="AH1748" s="1153"/>
      <c r="AI1748" s="732">
        <f t="shared" si="227"/>
        <v>4634343</v>
      </c>
      <c r="AJ1748" s="733">
        <f t="shared" si="228"/>
        <v>4634343</v>
      </c>
    </row>
    <row r="1749" spans="1:36">
      <c r="A1749" s="1075" t="s">
        <v>746</v>
      </c>
      <c r="B1749" s="1017" t="s">
        <v>69</v>
      </c>
      <c r="C1749" s="1077" t="s">
        <v>70</v>
      </c>
      <c r="D1749" s="1010"/>
      <c r="E1749" s="987">
        <v>217882</v>
      </c>
      <c r="F1749" s="988">
        <v>1</v>
      </c>
      <c r="G1749" s="1152"/>
      <c r="H1749" s="1153"/>
      <c r="I1749" s="1152"/>
      <c r="J1749" s="1153"/>
      <c r="K1749" s="1152"/>
      <c r="L1749" s="1153"/>
      <c r="M1749" s="1152"/>
      <c r="N1749" s="1152"/>
      <c r="O1749" s="732">
        <f t="shared" si="221"/>
        <v>0</v>
      </c>
      <c r="P1749" s="1159"/>
      <c r="Q1749" s="1153"/>
      <c r="R1749" s="733">
        <f t="shared" si="224"/>
        <v>0</v>
      </c>
      <c r="S1749" s="732">
        <f t="shared" si="225"/>
        <v>0</v>
      </c>
      <c r="T1749" s="733">
        <f t="shared" si="226"/>
        <v>0</v>
      </c>
      <c r="U1749" s="1152"/>
      <c r="V1749" s="1153"/>
      <c r="W1749" s="1152"/>
      <c r="X1749" s="1152"/>
      <c r="Y1749" s="732">
        <f t="shared" si="222"/>
        <v>0</v>
      </c>
      <c r="Z1749" s="1153"/>
      <c r="AA1749" s="1153"/>
      <c r="AB1749" s="733">
        <f t="shared" si="223"/>
        <v>0</v>
      </c>
      <c r="AC1749" s="1152"/>
      <c r="AD1749" s="1153"/>
      <c r="AE1749" s="1152"/>
      <c r="AF1749" s="1152"/>
      <c r="AG1749" s="1153"/>
      <c r="AH1749" s="1153"/>
      <c r="AI1749" s="732">
        <f t="shared" si="227"/>
        <v>0</v>
      </c>
      <c r="AJ1749" s="733">
        <f t="shared" si="228"/>
        <v>0</v>
      </c>
    </row>
    <row r="1750" spans="1:36">
      <c r="A1750" s="1075" t="s">
        <v>746</v>
      </c>
      <c r="B1750" s="1017" t="s">
        <v>74</v>
      </c>
      <c r="C1750" s="1078" t="s">
        <v>372</v>
      </c>
      <c r="D1750" s="1079"/>
      <c r="E1750" s="987">
        <v>217882</v>
      </c>
      <c r="F1750" s="988">
        <v>1</v>
      </c>
      <c r="G1750" s="1152"/>
      <c r="H1750" s="1153"/>
      <c r="I1750" s="1152"/>
      <c r="J1750" s="1153"/>
      <c r="K1750" s="1152"/>
      <c r="L1750" s="1153"/>
      <c r="M1750" s="1152"/>
      <c r="N1750" s="1152"/>
      <c r="O1750" s="732">
        <f t="shared" si="221"/>
        <v>0</v>
      </c>
      <c r="P1750" s="1159"/>
      <c r="Q1750" s="1153"/>
      <c r="R1750" s="733">
        <f t="shared" si="224"/>
        <v>0</v>
      </c>
      <c r="S1750" s="732">
        <f t="shared" si="225"/>
        <v>0</v>
      </c>
      <c r="T1750" s="733">
        <f t="shared" si="226"/>
        <v>0</v>
      </c>
      <c r="U1750" s="1152"/>
      <c r="V1750" s="1153"/>
      <c r="W1750" s="1152"/>
      <c r="X1750" s="1152"/>
      <c r="Y1750" s="732">
        <f t="shared" si="222"/>
        <v>0</v>
      </c>
      <c r="Z1750" s="1153"/>
      <c r="AA1750" s="1153"/>
      <c r="AB1750" s="733">
        <f t="shared" si="223"/>
        <v>0</v>
      </c>
      <c r="AC1750" s="1152"/>
      <c r="AD1750" s="1153"/>
      <c r="AE1750" s="1152"/>
      <c r="AF1750" s="1152"/>
      <c r="AG1750" s="1153"/>
      <c r="AH1750" s="1153"/>
      <c r="AI1750" s="732">
        <f t="shared" si="227"/>
        <v>0</v>
      </c>
      <c r="AJ1750" s="733">
        <f t="shared" si="228"/>
        <v>0</v>
      </c>
    </row>
    <row r="1751" spans="1:36">
      <c r="A1751" s="1075" t="s">
        <v>746</v>
      </c>
      <c r="B1751" s="1017" t="s">
        <v>74</v>
      </c>
      <c r="C1751" s="1076" t="s">
        <v>1520</v>
      </c>
      <c r="D1751" s="1010"/>
      <c r="E1751" s="987">
        <v>217882</v>
      </c>
      <c r="F1751" s="988">
        <v>1</v>
      </c>
      <c r="G1751" s="1152"/>
      <c r="H1751" s="1153"/>
      <c r="I1751" s="1152">
        <v>46887095</v>
      </c>
      <c r="J1751" s="1153">
        <v>46722293</v>
      </c>
      <c r="K1751" s="1152"/>
      <c r="L1751" s="1153"/>
      <c r="M1751" s="1152"/>
      <c r="N1751" s="1152"/>
      <c r="O1751" s="732">
        <f t="shared" si="221"/>
        <v>0</v>
      </c>
      <c r="P1751" s="1159"/>
      <c r="Q1751" s="1153"/>
      <c r="R1751" s="733">
        <f t="shared" si="224"/>
        <v>0</v>
      </c>
      <c r="S1751" s="732">
        <f t="shared" si="225"/>
        <v>46887095</v>
      </c>
      <c r="T1751" s="733">
        <f t="shared" si="226"/>
        <v>46722293</v>
      </c>
      <c r="U1751" s="1152"/>
      <c r="V1751" s="1153"/>
      <c r="W1751" s="1152"/>
      <c r="X1751" s="1152"/>
      <c r="Y1751" s="732">
        <f t="shared" si="222"/>
        <v>0</v>
      </c>
      <c r="Z1751" s="1153"/>
      <c r="AA1751" s="1153"/>
      <c r="AB1751" s="733">
        <f t="shared" si="223"/>
        <v>0</v>
      </c>
      <c r="AC1751" s="1152"/>
      <c r="AD1751" s="1153"/>
      <c r="AE1751" s="1152"/>
      <c r="AF1751" s="1152"/>
      <c r="AG1751" s="1153"/>
      <c r="AH1751" s="1153"/>
      <c r="AI1751" s="732">
        <f t="shared" si="227"/>
        <v>46887095</v>
      </c>
      <c r="AJ1751" s="733">
        <f t="shared" si="228"/>
        <v>46722293</v>
      </c>
    </row>
    <row r="1752" spans="1:36">
      <c r="A1752" s="1075" t="s">
        <v>746</v>
      </c>
      <c r="B1752" s="1017" t="s">
        <v>78</v>
      </c>
      <c r="C1752" s="1078" t="s">
        <v>1521</v>
      </c>
      <c r="D1752" s="1079"/>
      <c r="E1752" s="987">
        <v>217882</v>
      </c>
      <c r="F1752" s="988">
        <v>1</v>
      </c>
      <c r="G1752" s="1152"/>
      <c r="H1752" s="1153"/>
      <c r="I1752" s="1152"/>
      <c r="J1752" s="1153"/>
      <c r="K1752" s="1152"/>
      <c r="L1752" s="1153"/>
      <c r="M1752" s="1152"/>
      <c r="N1752" s="1152"/>
      <c r="O1752" s="732">
        <f t="shared" si="221"/>
        <v>0</v>
      </c>
      <c r="P1752" s="1159"/>
      <c r="Q1752" s="1153"/>
      <c r="R1752" s="733">
        <f t="shared" si="224"/>
        <v>0</v>
      </c>
      <c r="S1752" s="732">
        <f t="shared" si="225"/>
        <v>0</v>
      </c>
      <c r="T1752" s="733">
        <f t="shared" si="226"/>
        <v>0</v>
      </c>
      <c r="U1752" s="1152"/>
      <c r="V1752" s="1153"/>
      <c r="W1752" s="1152"/>
      <c r="X1752" s="1152"/>
      <c r="Y1752" s="732">
        <f t="shared" si="222"/>
        <v>0</v>
      </c>
      <c r="Z1752" s="1153"/>
      <c r="AA1752" s="1153"/>
      <c r="AB1752" s="733">
        <f t="shared" si="223"/>
        <v>0</v>
      </c>
      <c r="AC1752" s="1152"/>
      <c r="AD1752" s="1153"/>
      <c r="AE1752" s="1152"/>
      <c r="AF1752" s="1152"/>
      <c r="AG1752" s="1153"/>
      <c r="AH1752" s="1153"/>
      <c r="AI1752" s="732">
        <f t="shared" si="227"/>
        <v>0</v>
      </c>
      <c r="AJ1752" s="733">
        <f t="shared" si="228"/>
        <v>0</v>
      </c>
    </row>
    <row r="1753" spans="1:36">
      <c r="A1753" s="1075" t="s">
        <v>746</v>
      </c>
      <c r="B1753" s="1017" t="s">
        <v>78</v>
      </c>
      <c r="C1753" s="1076" t="s">
        <v>1522</v>
      </c>
      <c r="D1753" s="1010"/>
      <c r="E1753" s="987">
        <v>217882</v>
      </c>
      <c r="F1753" s="988">
        <v>1</v>
      </c>
      <c r="G1753" s="1152"/>
      <c r="H1753" s="1153"/>
      <c r="I1753" s="1152">
        <v>1750000</v>
      </c>
      <c r="J1753" s="1153">
        <v>1750000</v>
      </c>
      <c r="K1753" s="1152"/>
      <c r="L1753" s="1153"/>
      <c r="M1753" s="1152"/>
      <c r="N1753" s="1152"/>
      <c r="O1753" s="732">
        <f t="shared" si="221"/>
        <v>0</v>
      </c>
      <c r="P1753" s="1159"/>
      <c r="Q1753" s="1153"/>
      <c r="R1753" s="733">
        <f t="shared" si="224"/>
        <v>0</v>
      </c>
      <c r="S1753" s="732">
        <f t="shared" si="225"/>
        <v>1750000</v>
      </c>
      <c r="T1753" s="733">
        <f t="shared" si="226"/>
        <v>1750000</v>
      </c>
      <c r="U1753" s="1152"/>
      <c r="V1753" s="1153"/>
      <c r="W1753" s="1152"/>
      <c r="X1753" s="1152"/>
      <c r="Y1753" s="732">
        <f t="shared" si="222"/>
        <v>0</v>
      </c>
      <c r="Z1753" s="1153"/>
      <c r="AA1753" s="1153"/>
      <c r="AB1753" s="733">
        <f t="shared" si="223"/>
        <v>0</v>
      </c>
      <c r="AC1753" s="1152"/>
      <c r="AD1753" s="1153"/>
      <c r="AE1753" s="1152"/>
      <c r="AF1753" s="1152"/>
      <c r="AG1753" s="1153"/>
      <c r="AH1753" s="1153"/>
      <c r="AI1753" s="732">
        <f t="shared" si="227"/>
        <v>1750000</v>
      </c>
      <c r="AJ1753" s="733">
        <f t="shared" si="228"/>
        <v>1750000</v>
      </c>
    </row>
    <row r="1754" spans="1:36">
      <c r="A1754" s="1075" t="s">
        <v>746</v>
      </c>
      <c r="B1754" s="1017" t="s">
        <v>99</v>
      </c>
      <c r="C1754" s="1077" t="s">
        <v>1070</v>
      </c>
      <c r="D1754" s="1010"/>
      <c r="E1754" s="987">
        <v>217882</v>
      </c>
      <c r="F1754" s="988">
        <v>1</v>
      </c>
      <c r="G1754" s="1152"/>
      <c r="H1754" s="1153"/>
      <c r="I1754" s="1152"/>
      <c r="J1754" s="1153"/>
      <c r="K1754" s="1152"/>
      <c r="L1754" s="1153"/>
      <c r="M1754" s="1152"/>
      <c r="N1754" s="1152"/>
      <c r="O1754" s="732">
        <f t="shared" si="221"/>
        <v>0</v>
      </c>
      <c r="P1754" s="1159"/>
      <c r="Q1754" s="1153"/>
      <c r="R1754" s="733">
        <f t="shared" si="224"/>
        <v>0</v>
      </c>
      <c r="S1754" s="732">
        <f t="shared" si="225"/>
        <v>0</v>
      </c>
      <c r="T1754" s="733">
        <f t="shared" si="226"/>
        <v>0</v>
      </c>
      <c r="U1754" s="1152"/>
      <c r="V1754" s="1153"/>
      <c r="W1754" s="1152"/>
      <c r="X1754" s="1152"/>
      <c r="Y1754" s="732">
        <f t="shared" si="222"/>
        <v>0</v>
      </c>
      <c r="Z1754" s="1153"/>
      <c r="AA1754" s="1153"/>
      <c r="AB1754" s="733">
        <f t="shared" si="223"/>
        <v>0</v>
      </c>
      <c r="AC1754" s="1152"/>
      <c r="AD1754" s="1153"/>
      <c r="AE1754" s="1152"/>
      <c r="AF1754" s="1152"/>
      <c r="AG1754" s="1153"/>
      <c r="AH1754" s="1153"/>
      <c r="AI1754" s="732">
        <f t="shared" si="227"/>
        <v>0</v>
      </c>
      <c r="AJ1754" s="733">
        <f t="shared" si="228"/>
        <v>0</v>
      </c>
    </row>
    <row r="1755" spans="1:36">
      <c r="A1755" s="1075" t="s">
        <v>746</v>
      </c>
      <c r="B1755" s="1017" t="s">
        <v>99</v>
      </c>
      <c r="C1755" s="1076" t="s">
        <v>1523</v>
      </c>
      <c r="D1755" s="1010"/>
      <c r="E1755" s="987">
        <v>217882</v>
      </c>
      <c r="F1755" s="988">
        <v>1</v>
      </c>
      <c r="G1755" s="1152"/>
      <c r="H1755" s="1153"/>
      <c r="I1755" s="1152">
        <v>31372</v>
      </c>
      <c r="J1755" s="1153">
        <v>31372</v>
      </c>
      <c r="K1755" s="1152"/>
      <c r="L1755" s="1153"/>
      <c r="M1755" s="1152"/>
      <c r="N1755" s="1152"/>
      <c r="O1755" s="732">
        <f t="shared" si="221"/>
        <v>0</v>
      </c>
      <c r="P1755" s="1159"/>
      <c r="Q1755" s="1153"/>
      <c r="R1755" s="733">
        <f t="shared" si="224"/>
        <v>0</v>
      </c>
      <c r="S1755" s="732">
        <f t="shared" si="225"/>
        <v>31372</v>
      </c>
      <c r="T1755" s="733">
        <f t="shared" si="226"/>
        <v>31372</v>
      </c>
      <c r="U1755" s="1152"/>
      <c r="V1755" s="1153"/>
      <c r="W1755" s="1152"/>
      <c r="X1755" s="1152"/>
      <c r="Y1755" s="732">
        <f t="shared" si="222"/>
        <v>0</v>
      </c>
      <c r="Z1755" s="1153"/>
      <c r="AA1755" s="1153"/>
      <c r="AB1755" s="733">
        <f t="shared" si="223"/>
        <v>0</v>
      </c>
      <c r="AC1755" s="1152"/>
      <c r="AD1755" s="1153"/>
      <c r="AE1755" s="1152"/>
      <c r="AF1755" s="1152"/>
      <c r="AG1755" s="1153"/>
      <c r="AH1755" s="1153"/>
      <c r="AI1755" s="732">
        <f t="shared" si="227"/>
        <v>31372</v>
      </c>
      <c r="AJ1755" s="733">
        <f t="shared" si="228"/>
        <v>31372</v>
      </c>
    </row>
    <row r="1756" spans="1:36">
      <c r="A1756" s="1075" t="s">
        <v>746</v>
      </c>
      <c r="B1756" s="1017" t="s">
        <v>99</v>
      </c>
      <c r="C1756" s="1076" t="s">
        <v>1524</v>
      </c>
      <c r="D1756" s="1010"/>
      <c r="E1756" s="987">
        <v>217882</v>
      </c>
      <c r="F1756" s="988">
        <v>1</v>
      </c>
      <c r="G1756" s="1152"/>
      <c r="H1756" s="1153"/>
      <c r="I1756" s="1152">
        <v>500000</v>
      </c>
      <c r="J1756" s="1153">
        <v>500000</v>
      </c>
      <c r="K1756" s="1152"/>
      <c r="L1756" s="1153"/>
      <c r="M1756" s="1152"/>
      <c r="N1756" s="1152"/>
      <c r="O1756" s="732">
        <f t="shared" si="221"/>
        <v>0</v>
      </c>
      <c r="P1756" s="1159"/>
      <c r="Q1756" s="1153"/>
      <c r="R1756" s="733">
        <f t="shared" si="224"/>
        <v>0</v>
      </c>
      <c r="S1756" s="732">
        <f t="shared" si="225"/>
        <v>500000</v>
      </c>
      <c r="T1756" s="733">
        <f t="shared" si="226"/>
        <v>500000</v>
      </c>
      <c r="U1756" s="1152"/>
      <c r="V1756" s="1153"/>
      <c r="W1756" s="1152"/>
      <c r="X1756" s="1152"/>
      <c r="Y1756" s="732">
        <f t="shared" si="222"/>
        <v>0</v>
      </c>
      <c r="Z1756" s="1153"/>
      <c r="AA1756" s="1153"/>
      <c r="AB1756" s="733">
        <f t="shared" si="223"/>
        <v>0</v>
      </c>
      <c r="AC1756" s="1152"/>
      <c r="AD1756" s="1153"/>
      <c r="AE1756" s="1152"/>
      <c r="AF1756" s="1152"/>
      <c r="AG1756" s="1153"/>
      <c r="AH1756" s="1153"/>
      <c r="AI1756" s="732">
        <f t="shared" si="227"/>
        <v>500000</v>
      </c>
      <c r="AJ1756" s="733">
        <f t="shared" si="228"/>
        <v>500000</v>
      </c>
    </row>
    <row r="1757" spans="1:36">
      <c r="A1757" s="1075" t="s">
        <v>746</v>
      </c>
      <c r="B1757" s="1017" t="s">
        <v>62</v>
      </c>
      <c r="C1757" s="1080" t="s">
        <v>1525</v>
      </c>
      <c r="D1757" s="1016"/>
      <c r="E1757" s="987">
        <v>218663</v>
      </c>
      <c r="F1757" s="988">
        <v>1</v>
      </c>
      <c r="G1757" s="1152">
        <v>100498361</v>
      </c>
      <c r="H1757" s="1153">
        <v>100498361</v>
      </c>
      <c r="I1757" s="1152"/>
      <c r="J1757" s="1153"/>
      <c r="K1757" s="1152"/>
      <c r="L1757" s="1153"/>
      <c r="M1757" s="1152">
        <v>701029855</v>
      </c>
      <c r="N1757" s="1152">
        <v>32437626</v>
      </c>
      <c r="O1757" s="732">
        <f t="shared" si="221"/>
        <v>733467481</v>
      </c>
      <c r="P1757" s="1159">
        <f>723069722-32382810</f>
        <v>690686912</v>
      </c>
      <c r="Q1757" s="1153">
        <v>32382810</v>
      </c>
      <c r="R1757" s="733">
        <f t="shared" si="224"/>
        <v>723069722</v>
      </c>
      <c r="S1757" s="732">
        <f t="shared" si="225"/>
        <v>801528216</v>
      </c>
      <c r="T1757" s="733">
        <f t="shared" si="226"/>
        <v>791185273</v>
      </c>
      <c r="U1757" s="1152"/>
      <c r="V1757" s="1153"/>
      <c r="W1757" s="1152"/>
      <c r="X1757" s="1152"/>
      <c r="Y1757" s="732">
        <f t="shared" si="222"/>
        <v>0</v>
      </c>
      <c r="Z1757" s="1153"/>
      <c r="AA1757" s="1153"/>
      <c r="AB1757" s="733">
        <f t="shared" si="223"/>
        <v>0</v>
      </c>
      <c r="AC1757" s="1152"/>
      <c r="AD1757" s="1153"/>
      <c r="AE1757" s="1152">
        <v>43184645</v>
      </c>
      <c r="AF1757" s="1152">
        <v>44261680</v>
      </c>
      <c r="AG1757" s="1153"/>
      <c r="AH1757" s="1153"/>
      <c r="AI1757" s="732">
        <f t="shared" si="227"/>
        <v>844712861</v>
      </c>
      <c r="AJ1757" s="733">
        <f t="shared" si="228"/>
        <v>791185273</v>
      </c>
    </row>
    <row r="1758" spans="1:36">
      <c r="A1758" s="1075" t="s">
        <v>746</v>
      </c>
      <c r="B1758" s="1017" t="s">
        <v>62</v>
      </c>
      <c r="C1758" s="1076" t="s">
        <v>1518</v>
      </c>
      <c r="D1758" s="1010"/>
      <c r="E1758" s="987">
        <v>218663</v>
      </c>
      <c r="F1758" s="988">
        <v>1</v>
      </c>
      <c r="G1758" s="1152">
        <v>35523684</v>
      </c>
      <c r="H1758" s="1153">
        <v>34792021</v>
      </c>
      <c r="I1758" s="1152"/>
      <c r="J1758" s="1153"/>
      <c r="K1758" s="1152"/>
      <c r="L1758" s="1153"/>
      <c r="M1758" s="1152"/>
      <c r="N1758" s="1152"/>
      <c r="O1758" s="732">
        <f t="shared" si="221"/>
        <v>0</v>
      </c>
      <c r="P1758" s="1159"/>
      <c r="Q1758" s="1153"/>
      <c r="R1758" s="733">
        <f t="shared" si="224"/>
        <v>0</v>
      </c>
      <c r="S1758" s="732">
        <f t="shared" si="225"/>
        <v>35523684</v>
      </c>
      <c r="T1758" s="733">
        <f t="shared" si="226"/>
        <v>34792021</v>
      </c>
      <c r="U1758" s="1152"/>
      <c r="V1758" s="1153"/>
      <c r="W1758" s="1152"/>
      <c r="X1758" s="1152"/>
      <c r="Y1758" s="732">
        <f t="shared" si="222"/>
        <v>0</v>
      </c>
      <c r="Z1758" s="1153"/>
      <c r="AA1758" s="1153"/>
      <c r="AB1758" s="733">
        <f t="shared" si="223"/>
        <v>0</v>
      </c>
      <c r="AC1758" s="1152"/>
      <c r="AD1758" s="1153"/>
      <c r="AE1758" s="1152"/>
      <c r="AF1758" s="1152"/>
      <c r="AG1758" s="1153"/>
      <c r="AH1758" s="1153"/>
      <c r="AI1758" s="732">
        <f t="shared" si="227"/>
        <v>35523684</v>
      </c>
      <c r="AJ1758" s="733">
        <f t="shared" si="228"/>
        <v>34792021</v>
      </c>
    </row>
    <row r="1759" spans="1:36">
      <c r="A1759" s="1075" t="s">
        <v>746</v>
      </c>
      <c r="B1759" s="1017" t="s">
        <v>62</v>
      </c>
      <c r="C1759" s="1076" t="s">
        <v>1519</v>
      </c>
      <c r="D1759" s="1010"/>
      <c r="E1759" s="987">
        <v>218663</v>
      </c>
      <c r="F1759" s="988">
        <v>1</v>
      </c>
      <c r="G1759" s="1152"/>
      <c r="H1759" s="1153"/>
      <c r="I1759" s="1152"/>
      <c r="J1759" s="1153"/>
      <c r="K1759" s="1152"/>
      <c r="L1759" s="1153"/>
      <c r="M1759" s="1152"/>
      <c r="N1759" s="1152"/>
      <c r="O1759" s="732">
        <f t="shared" si="221"/>
        <v>0</v>
      </c>
      <c r="P1759" s="1159"/>
      <c r="Q1759" s="1153"/>
      <c r="R1759" s="733">
        <f t="shared" si="224"/>
        <v>0</v>
      </c>
      <c r="S1759" s="732">
        <f t="shared" si="225"/>
        <v>0</v>
      </c>
      <c r="T1759" s="733">
        <f t="shared" si="226"/>
        <v>0</v>
      </c>
      <c r="U1759" s="1152"/>
      <c r="V1759" s="1153"/>
      <c r="W1759" s="1152"/>
      <c r="X1759" s="1152"/>
      <c r="Y1759" s="732">
        <f t="shared" si="222"/>
        <v>0</v>
      </c>
      <c r="Z1759" s="1153"/>
      <c r="AA1759" s="1153"/>
      <c r="AB1759" s="733">
        <f t="shared" si="223"/>
        <v>0</v>
      </c>
      <c r="AC1759" s="1152"/>
      <c r="AD1759" s="1153"/>
      <c r="AE1759" s="1152"/>
      <c r="AF1759" s="1152"/>
      <c r="AG1759" s="1153"/>
      <c r="AH1759" s="1153"/>
      <c r="AI1759" s="732">
        <f t="shared" si="227"/>
        <v>0</v>
      </c>
      <c r="AJ1759" s="733">
        <f t="shared" si="228"/>
        <v>0</v>
      </c>
    </row>
    <row r="1760" spans="1:36">
      <c r="A1760" s="1075" t="s">
        <v>746</v>
      </c>
      <c r="B1760" s="1017" t="s">
        <v>69</v>
      </c>
      <c r="C1760" s="1078" t="s">
        <v>70</v>
      </c>
      <c r="D1760" s="1079"/>
      <c r="E1760" s="987">
        <v>218663</v>
      </c>
      <c r="F1760" s="988">
        <v>1</v>
      </c>
      <c r="G1760" s="1152"/>
      <c r="H1760" s="1153"/>
      <c r="I1760" s="1152"/>
      <c r="J1760" s="1153"/>
      <c r="K1760" s="1152"/>
      <c r="L1760" s="1153"/>
      <c r="M1760" s="1152"/>
      <c r="N1760" s="1152"/>
      <c r="O1760" s="732">
        <f t="shared" si="221"/>
        <v>0</v>
      </c>
      <c r="P1760" s="1159"/>
      <c r="Q1760" s="1153"/>
      <c r="R1760" s="733">
        <f t="shared" si="224"/>
        <v>0</v>
      </c>
      <c r="S1760" s="732">
        <f t="shared" si="225"/>
        <v>0</v>
      </c>
      <c r="T1760" s="733">
        <f t="shared" si="226"/>
        <v>0</v>
      </c>
      <c r="U1760" s="1152"/>
      <c r="V1760" s="1153"/>
      <c r="W1760" s="1152"/>
      <c r="X1760" s="1152"/>
      <c r="Y1760" s="732">
        <f t="shared" si="222"/>
        <v>0</v>
      </c>
      <c r="Z1760" s="1153"/>
      <c r="AA1760" s="1153"/>
      <c r="AB1760" s="733">
        <f t="shared" si="223"/>
        <v>0</v>
      </c>
      <c r="AC1760" s="1152"/>
      <c r="AD1760" s="1153"/>
      <c r="AE1760" s="1152"/>
      <c r="AF1760" s="1152"/>
      <c r="AG1760" s="1153"/>
      <c r="AH1760" s="1153"/>
      <c r="AI1760" s="732">
        <f t="shared" si="227"/>
        <v>0</v>
      </c>
      <c r="AJ1760" s="733">
        <f t="shared" si="228"/>
        <v>0</v>
      </c>
    </row>
    <row r="1761" spans="1:36">
      <c r="A1761" s="1075" t="s">
        <v>746</v>
      </c>
      <c r="B1761" s="1017" t="s">
        <v>69</v>
      </c>
      <c r="C1761" s="1076" t="s">
        <v>1526</v>
      </c>
      <c r="D1761" s="1010"/>
      <c r="E1761" s="987">
        <v>218663</v>
      </c>
      <c r="F1761" s="988">
        <v>1</v>
      </c>
      <c r="G1761" s="1152"/>
      <c r="H1761" s="1153"/>
      <c r="I1761" s="1152">
        <v>351763</v>
      </c>
      <c r="J1761" s="1153">
        <v>351763</v>
      </c>
      <c r="K1761" s="1152"/>
      <c r="L1761" s="1153"/>
      <c r="M1761" s="1152"/>
      <c r="N1761" s="1152"/>
      <c r="O1761" s="732">
        <f t="shared" si="221"/>
        <v>0</v>
      </c>
      <c r="P1761" s="1159"/>
      <c r="Q1761" s="1153"/>
      <c r="R1761" s="733">
        <f t="shared" si="224"/>
        <v>0</v>
      </c>
      <c r="S1761" s="732">
        <f t="shared" si="225"/>
        <v>351763</v>
      </c>
      <c r="T1761" s="733">
        <f t="shared" si="226"/>
        <v>351763</v>
      </c>
      <c r="U1761" s="1152"/>
      <c r="V1761" s="1153"/>
      <c r="W1761" s="1152"/>
      <c r="X1761" s="1152"/>
      <c r="Y1761" s="732">
        <f t="shared" si="222"/>
        <v>0</v>
      </c>
      <c r="Z1761" s="1153"/>
      <c r="AA1761" s="1153"/>
      <c r="AB1761" s="733">
        <f t="shared" si="223"/>
        <v>0</v>
      </c>
      <c r="AC1761" s="1152"/>
      <c r="AD1761" s="1153"/>
      <c r="AE1761" s="1152"/>
      <c r="AF1761" s="1152"/>
      <c r="AG1761" s="1153"/>
      <c r="AH1761" s="1153"/>
      <c r="AI1761" s="732">
        <f t="shared" si="227"/>
        <v>351763</v>
      </c>
      <c r="AJ1761" s="733">
        <f t="shared" si="228"/>
        <v>351763</v>
      </c>
    </row>
    <row r="1762" spans="1:36">
      <c r="A1762" s="1075" t="s">
        <v>746</v>
      </c>
      <c r="B1762" s="1017" t="s">
        <v>69</v>
      </c>
      <c r="C1762" s="1076" t="s">
        <v>1527</v>
      </c>
      <c r="D1762" s="1010"/>
      <c r="E1762" s="987">
        <v>218663</v>
      </c>
      <c r="F1762" s="988">
        <v>1</v>
      </c>
      <c r="G1762" s="1152"/>
      <c r="H1762" s="1153"/>
      <c r="I1762" s="1152">
        <v>100000</v>
      </c>
      <c r="J1762" s="1153">
        <v>100000</v>
      </c>
      <c r="K1762" s="1152"/>
      <c r="L1762" s="1153"/>
      <c r="M1762" s="1152"/>
      <c r="N1762" s="1152"/>
      <c r="O1762" s="732">
        <f t="shared" si="221"/>
        <v>0</v>
      </c>
      <c r="P1762" s="1159"/>
      <c r="Q1762" s="1153"/>
      <c r="R1762" s="733">
        <f t="shared" si="224"/>
        <v>0</v>
      </c>
      <c r="S1762" s="732">
        <f t="shared" si="225"/>
        <v>100000</v>
      </c>
      <c r="T1762" s="733">
        <f t="shared" si="226"/>
        <v>100000</v>
      </c>
      <c r="U1762" s="1152"/>
      <c r="V1762" s="1153"/>
      <c r="W1762" s="1152"/>
      <c r="X1762" s="1152"/>
      <c r="Y1762" s="732">
        <f t="shared" si="222"/>
        <v>0</v>
      </c>
      <c r="Z1762" s="1153"/>
      <c r="AA1762" s="1153"/>
      <c r="AB1762" s="733">
        <f t="shared" si="223"/>
        <v>0</v>
      </c>
      <c r="AC1762" s="1152"/>
      <c r="AD1762" s="1153"/>
      <c r="AE1762" s="1152"/>
      <c r="AF1762" s="1152"/>
      <c r="AG1762" s="1153"/>
      <c r="AH1762" s="1153"/>
      <c r="AI1762" s="732">
        <f t="shared" si="227"/>
        <v>100000</v>
      </c>
      <c r="AJ1762" s="733">
        <f t="shared" si="228"/>
        <v>100000</v>
      </c>
    </row>
    <row r="1763" spans="1:36">
      <c r="A1763" s="1075" t="s">
        <v>746</v>
      </c>
      <c r="B1763" s="1017" t="s">
        <v>69</v>
      </c>
      <c r="C1763" s="1076" t="s">
        <v>1528</v>
      </c>
      <c r="D1763" s="1010"/>
      <c r="E1763" s="987">
        <v>218663</v>
      </c>
      <c r="F1763" s="988">
        <v>1</v>
      </c>
      <c r="G1763" s="1152"/>
      <c r="H1763" s="1153"/>
      <c r="I1763" s="1152">
        <v>791734</v>
      </c>
      <c r="J1763" s="1153">
        <v>791734</v>
      </c>
      <c r="K1763" s="1152"/>
      <c r="L1763" s="1153"/>
      <c r="M1763" s="1152"/>
      <c r="N1763" s="1152"/>
      <c r="O1763" s="732">
        <f t="shared" si="221"/>
        <v>0</v>
      </c>
      <c r="P1763" s="1159"/>
      <c r="Q1763" s="1153"/>
      <c r="R1763" s="733">
        <f t="shared" si="224"/>
        <v>0</v>
      </c>
      <c r="S1763" s="732">
        <f t="shared" si="225"/>
        <v>791734</v>
      </c>
      <c r="T1763" s="733">
        <f t="shared" si="226"/>
        <v>791734</v>
      </c>
      <c r="U1763" s="1152"/>
      <c r="V1763" s="1153"/>
      <c r="W1763" s="1152"/>
      <c r="X1763" s="1152"/>
      <c r="Y1763" s="732">
        <f t="shared" si="222"/>
        <v>0</v>
      </c>
      <c r="Z1763" s="1153"/>
      <c r="AA1763" s="1153"/>
      <c r="AB1763" s="733">
        <f t="shared" si="223"/>
        <v>0</v>
      </c>
      <c r="AC1763" s="1152"/>
      <c r="AD1763" s="1153"/>
      <c r="AE1763" s="1152"/>
      <c r="AF1763" s="1152"/>
      <c r="AG1763" s="1153"/>
      <c r="AH1763" s="1153"/>
      <c r="AI1763" s="732">
        <f t="shared" si="227"/>
        <v>791734</v>
      </c>
      <c r="AJ1763" s="733">
        <f t="shared" si="228"/>
        <v>791734</v>
      </c>
    </row>
    <row r="1764" spans="1:36">
      <c r="A1764" s="1075" t="s">
        <v>746</v>
      </c>
      <c r="B1764" s="1017" t="s">
        <v>78</v>
      </c>
      <c r="C1764" s="1078" t="s">
        <v>79</v>
      </c>
      <c r="D1764" s="1010"/>
      <c r="E1764" s="987">
        <v>218663</v>
      </c>
      <c r="F1764" s="988">
        <v>1</v>
      </c>
      <c r="G1764" s="1152"/>
      <c r="H1764" s="1153"/>
      <c r="I1764" s="1152"/>
      <c r="J1764" s="1153"/>
      <c r="K1764" s="1152"/>
      <c r="L1764" s="1153"/>
      <c r="M1764" s="1152"/>
      <c r="N1764" s="1152"/>
      <c r="O1764" s="732">
        <f t="shared" si="221"/>
        <v>0</v>
      </c>
      <c r="P1764" s="1159"/>
      <c r="Q1764" s="1153"/>
      <c r="R1764" s="733">
        <f t="shared" si="224"/>
        <v>0</v>
      </c>
      <c r="S1764" s="732">
        <f t="shared" si="225"/>
        <v>0</v>
      </c>
      <c r="T1764" s="733">
        <f t="shared" si="226"/>
        <v>0</v>
      </c>
      <c r="U1764" s="1152"/>
      <c r="V1764" s="1153"/>
      <c r="W1764" s="1152"/>
      <c r="X1764" s="1152"/>
      <c r="Y1764" s="732">
        <f t="shared" si="222"/>
        <v>0</v>
      </c>
      <c r="Z1764" s="1153"/>
      <c r="AA1764" s="1153"/>
      <c r="AB1764" s="733">
        <f t="shared" si="223"/>
        <v>0</v>
      </c>
      <c r="AC1764" s="1152"/>
      <c r="AD1764" s="1153"/>
      <c r="AE1764" s="1152"/>
      <c r="AF1764" s="1152"/>
      <c r="AG1764" s="1153"/>
      <c r="AH1764" s="1153"/>
      <c r="AI1764" s="732">
        <f t="shared" si="227"/>
        <v>0</v>
      </c>
      <c r="AJ1764" s="733">
        <f t="shared" si="228"/>
        <v>0</v>
      </c>
    </row>
    <row r="1765" spans="1:36">
      <c r="A1765" s="1075" t="s">
        <v>746</v>
      </c>
      <c r="B1765" s="1017" t="s">
        <v>78</v>
      </c>
      <c r="C1765" s="1076" t="s">
        <v>1529</v>
      </c>
      <c r="D1765" s="1010"/>
      <c r="E1765" s="987">
        <v>218663</v>
      </c>
      <c r="F1765" s="988">
        <v>1</v>
      </c>
      <c r="G1765" s="1152"/>
      <c r="H1765" s="1153"/>
      <c r="I1765" s="1152">
        <v>715933</v>
      </c>
      <c r="J1765" s="1153">
        <v>715933</v>
      </c>
      <c r="K1765" s="1152"/>
      <c r="L1765" s="1153"/>
      <c r="M1765" s="1152"/>
      <c r="N1765" s="1152"/>
      <c r="O1765" s="732">
        <f t="shared" si="221"/>
        <v>0</v>
      </c>
      <c r="P1765" s="1159"/>
      <c r="Q1765" s="1153"/>
      <c r="R1765" s="733">
        <f t="shared" si="224"/>
        <v>0</v>
      </c>
      <c r="S1765" s="732">
        <f t="shared" si="225"/>
        <v>715933</v>
      </c>
      <c r="T1765" s="733">
        <f t="shared" si="226"/>
        <v>715933</v>
      </c>
      <c r="U1765" s="1152"/>
      <c r="V1765" s="1153"/>
      <c r="W1765" s="1152"/>
      <c r="X1765" s="1152"/>
      <c r="Y1765" s="732">
        <f t="shared" si="222"/>
        <v>0</v>
      </c>
      <c r="Z1765" s="1153"/>
      <c r="AA1765" s="1153"/>
      <c r="AB1765" s="733">
        <f t="shared" si="223"/>
        <v>0</v>
      </c>
      <c r="AC1765" s="1152"/>
      <c r="AD1765" s="1153"/>
      <c r="AE1765" s="1152"/>
      <c r="AF1765" s="1152"/>
      <c r="AG1765" s="1153"/>
      <c r="AH1765" s="1153"/>
      <c r="AI1765" s="732">
        <f t="shared" si="227"/>
        <v>715933</v>
      </c>
      <c r="AJ1765" s="733">
        <f t="shared" si="228"/>
        <v>715933</v>
      </c>
    </row>
    <row r="1766" spans="1:36">
      <c r="A1766" s="1075" t="s">
        <v>746</v>
      </c>
      <c r="B1766" s="1017" t="s">
        <v>99</v>
      </c>
      <c r="C1766" s="1077" t="s">
        <v>1070</v>
      </c>
      <c r="D1766" s="1010"/>
      <c r="E1766" s="987">
        <v>218663</v>
      </c>
      <c r="F1766" s="988">
        <v>1</v>
      </c>
      <c r="G1766" s="1152"/>
      <c r="H1766" s="1153"/>
      <c r="I1766" s="1152"/>
      <c r="J1766" s="1153"/>
      <c r="K1766" s="1152"/>
      <c r="L1766" s="1153"/>
      <c r="M1766" s="1152"/>
      <c r="N1766" s="1152"/>
      <c r="O1766" s="732">
        <f t="shared" si="221"/>
        <v>0</v>
      </c>
      <c r="P1766" s="1159"/>
      <c r="Q1766" s="1153"/>
      <c r="R1766" s="733">
        <f t="shared" si="224"/>
        <v>0</v>
      </c>
      <c r="S1766" s="732">
        <f t="shared" si="225"/>
        <v>0</v>
      </c>
      <c r="T1766" s="733">
        <f t="shared" si="226"/>
        <v>0</v>
      </c>
      <c r="U1766" s="1152"/>
      <c r="V1766" s="1153"/>
      <c r="W1766" s="1152"/>
      <c r="X1766" s="1152"/>
      <c r="Y1766" s="732">
        <f t="shared" si="222"/>
        <v>0</v>
      </c>
      <c r="Z1766" s="1153"/>
      <c r="AA1766" s="1153"/>
      <c r="AB1766" s="733">
        <f t="shared" si="223"/>
        <v>0</v>
      </c>
      <c r="AC1766" s="1152"/>
      <c r="AD1766" s="1153"/>
      <c r="AE1766" s="1152"/>
      <c r="AF1766" s="1152"/>
      <c r="AG1766" s="1153"/>
      <c r="AH1766" s="1153"/>
      <c r="AI1766" s="732">
        <f t="shared" si="227"/>
        <v>0</v>
      </c>
      <c r="AJ1766" s="733">
        <f t="shared" si="228"/>
        <v>0</v>
      </c>
    </row>
    <row r="1767" spans="1:36" s="13" customFormat="1" ht="15" customHeight="1">
      <c r="A1767" s="1075" t="s">
        <v>746</v>
      </c>
      <c r="B1767" s="1017" t="s">
        <v>99</v>
      </c>
      <c r="C1767" s="1076" t="s">
        <v>1523</v>
      </c>
      <c r="D1767" s="1010"/>
      <c r="E1767" s="987">
        <v>218663</v>
      </c>
      <c r="F1767" s="988">
        <v>1</v>
      </c>
      <c r="G1767" s="1152"/>
      <c r="H1767" s="1153"/>
      <c r="I1767" s="1152">
        <v>27589</v>
      </c>
      <c r="J1767" s="1153">
        <v>27589</v>
      </c>
      <c r="K1767" s="1152"/>
      <c r="L1767" s="1153"/>
      <c r="M1767" s="1152"/>
      <c r="N1767" s="1152"/>
      <c r="O1767" s="732">
        <f t="shared" si="221"/>
        <v>0</v>
      </c>
      <c r="P1767" s="1159"/>
      <c r="Q1767" s="1153"/>
      <c r="R1767" s="733">
        <f t="shared" si="224"/>
        <v>0</v>
      </c>
      <c r="S1767" s="732">
        <f t="shared" si="225"/>
        <v>27589</v>
      </c>
      <c r="T1767" s="733">
        <f t="shared" si="226"/>
        <v>27589</v>
      </c>
      <c r="U1767" s="1152"/>
      <c r="V1767" s="1153"/>
      <c r="W1767" s="1152"/>
      <c r="X1767" s="1152"/>
      <c r="Y1767" s="732">
        <f t="shared" si="222"/>
        <v>0</v>
      </c>
      <c r="Z1767" s="1153"/>
      <c r="AA1767" s="1153"/>
      <c r="AB1767" s="733">
        <f t="shared" si="223"/>
        <v>0</v>
      </c>
      <c r="AC1767" s="1152"/>
      <c r="AD1767" s="1153"/>
      <c r="AE1767" s="1152"/>
      <c r="AF1767" s="1152"/>
      <c r="AG1767" s="1153"/>
      <c r="AH1767" s="1153"/>
      <c r="AI1767" s="732">
        <f t="shared" si="227"/>
        <v>27589</v>
      </c>
      <c r="AJ1767" s="733">
        <f t="shared" si="228"/>
        <v>27589</v>
      </c>
    </row>
    <row r="1768" spans="1:36">
      <c r="A1768" s="1075" t="s">
        <v>746</v>
      </c>
      <c r="B1768" s="1017" t="s">
        <v>99</v>
      </c>
      <c r="C1768" s="1081" t="s">
        <v>1530</v>
      </c>
      <c r="D1768" s="1010"/>
      <c r="E1768" s="987">
        <v>218663</v>
      </c>
      <c r="F1768" s="988">
        <v>1</v>
      </c>
      <c r="G1768" s="1152"/>
      <c r="H1768" s="1153"/>
      <c r="I1768" s="1152">
        <v>344076</v>
      </c>
      <c r="J1768" s="1153">
        <v>344076</v>
      </c>
      <c r="K1768" s="1152"/>
      <c r="L1768" s="1153"/>
      <c r="M1768" s="1152"/>
      <c r="N1768" s="1152"/>
      <c r="O1768" s="732">
        <f t="shared" si="221"/>
        <v>0</v>
      </c>
      <c r="P1768" s="1159"/>
      <c r="Q1768" s="1153"/>
      <c r="R1768" s="733">
        <f t="shared" si="224"/>
        <v>0</v>
      </c>
      <c r="S1768" s="732">
        <f t="shared" si="225"/>
        <v>344076</v>
      </c>
      <c r="T1768" s="733">
        <f t="shared" si="226"/>
        <v>344076</v>
      </c>
      <c r="U1768" s="1152"/>
      <c r="V1768" s="1153"/>
      <c r="W1768" s="1152"/>
      <c r="X1768" s="1152"/>
      <c r="Y1768" s="732">
        <f t="shared" si="222"/>
        <v>0</v>
      </c>
      <c r="Z1768" s="1153"/>
      <c r="AA1768" s="1153"/>
      <c r="AB1768" s="733">
        <f t="shared" si="223"/>
        <v>0</v>
      </c>
      <c r="AC1768" s="1152"/>
      <c r="AD1768" s="1153"/>
      <c r="AE1768" s="1152"/>
      <c r="AF1768" s="1152"/>
      <c r="AG1768" s="1153"/>
      <c r="AH1768" s="1153"/>
      <c r="AI1768" s="732">
        <f t="shared" si="227"/>
        <v>344076</v>
      </c>
      <c r="AJ1768" s="733">
        <f t="shared" si="228"/>
        <v>344076</v>
      </c>
    </row>
    <row r="1769" spans="1:36">
      <c r="A1769" s="1075" t="s">
        <v>746</v>
      </c>
      <c r="B1769" s="1017" t="s">
        <v>99</v>
      </c>
      <c r="C1769" s="1076" t="s">
        <v>1531</v>
      </c>
      <c r="D1769" s="1010"/>
      <c r="E1769" s="987">
        <v>218663</v>
      </c>
      <c r="F1769" s="988">
        <v>1</v>
      </c>
      <c r="G1769" s="1152"/>
      <c r="H1769" s="1153"/>
      <c r="I1769" s="1152">
        <v>300000</v>
      </c>
      <c r="J1769" s="1153">
        <v>300000</v>
      </c>
      <c r="K1769" s="1152"/>
      <c r="L1769" s="1153"/>
      <c r="M1769" s="1152"/>
      <c r="N1769" s="1152"/>
      <c r="O1769" s="732">
        <f t="shared" si="221"/>
        <v>0</v>
      </c>
      <c r="P1769" s="1159"/>
      <c r="Q1769" s="1153"/>
      <c r="R1769" s="733">
        <f t="shared" si="224"/>
        <v>0</v>
      </c>
      <c r="S1769" s="732">
        <f t="shared" si="225"/>
        <v>300000</v>
      </c>
      <c r="T1769" s="733">
        <f t="shared" si="226"/>
        <v>300000</v>
      </c>
      <c r="U1769" s="1152"/>
      <c r="V1769" s="1153"/>
      <c r="W1769" s="1152"/>
      <c r="X1769" s="1152"/>
      <c r="Y1769" s="732">
        <f t="shared" si="222"/>
        <v>0</v>
      </c>
      <c r="Z1769" s="1153"/>
      <c r="AA1769" s="1153"/>
      <c r="AB1769" s="733">
        <f t="shared" si="223"/>
        <v>0</v>
      </c>
      <c r="AC1769" s="1152"/>
      <c r="AD1769" s="1153"/>
      <c r="AE1769" s="1152"/>
      <c r="AF1769" s="1152"/>
      <c r="AG1769" s="1153"/>
      <c r="AH1769" s="1153"/>
      <c r="AI1769" s="732">
        <f t="shared" si="227"/>
        <v>300000</v>
      </c>
      <c r="AJ1769" s="733">
        <f t="shared" si="228"/>
        <v>300000</v>
      </c>
    </row>
    <row r="1770" spans="1:36">
      <c r="A1770" s="1075" t="s">
        <v>746</v>
      </c>
      <c r="B1770" s="1017" t="s">
        <v>99</v>
      </c>
      <c r="C1770" s="1081" t="s">
        <v>1532</v>
      </c>
      <c r="D1770" s="1010"/>
      <c r="E1770" s="987">
        <v>218663</v>
      </c>
      <c r="F1770" s="988">
        <v>1</v>
      </c>
      <c r="G1770" s="1152"/>
      <c r="H1770" s="1153"/>
      <c r="I1770" s="1152">
        <v>750000</v>
      </c>
      <c r="J1770" s="1153">
        <v>750000</v>
      </c>
      <c r="K1770" s="1152"/>
      <c r="L1770" s="1153"/>
      <c r="M1770" s="1152"/>
      <c r="N1770" s="1152"/>
      <c r="O1770" s="732">
        <f t="shared" si="221"/>
        <v>0</v>
      </c>
      <c r="P1770" s="1159"/>
      <c r="Q1770" s="1153"/>
      <c r="R1770" s="733">
        <f t="shared" si="224"/>
        <v>0</v>
      </c>
      <c r="S1770" s="732">
        <f t="shared" si="225"/>
        <v>750000</v>
      </c>
      <c r="T1770" s="733">
        <f t="shared" si="226"/>
        <v>750000</v>
      </c>
      <c r="U1770" s="1152"/>
      <c r="V1770" s="1153"/>
      <c r="W1770" s="1152"/>
      <c r="X1770" s="1152"/>
      <c r="Y1770" s="732">
        <f t="shared" si="222"/>
        <v>0</v>
      </c>
      <c r="Z1770" s="1153"/>
      <c r="AA1770" s="1153"/>
      <c r="AB1770" s="733">
        <f t="shared" si="223"/>
        <v>0</v>
      </c>
      <c r="AC1770" s="1152"/>
      <c r="AD1770" s="1153"/>
      <c r="AE1770" s="1152"/>
      <c r="AF1770" s="1152"/>
      <c r="AG1770" s="1153"/>
      <c r="AH1770" s="1153"/>
      <c r="AI1770" s="732">
        <f t="shared" si="227"/>
        <v>750000</v>
      </c>
      <c r="AJ1770" s="733">
        <f t="shared" si="228"/>
        <v>750000</v>
      </c>
    </row>
    <row r="1771" spans="1:36">
      <c r="A1771" s="1075" t="s">
        <v>746</v>
      </c>
      <c r="B1771" s="1017" t="s">
        <v>64</v>
      </c>
      <c r="C1771" s="1077" t="s">
        <v>495</v>
      </c>
      <c r="D1771" s="1010"/>
      <c r="E1771" s="987">
        <v>218663</v>
      </c>
      <c r="F1771" s="988">
        <v>1</v>
      </c>
      <c r="G1771" s="1152"/>
      <c r="H1771" s="1153"/>
      <c r="I1771" s="1152"/>
      <c r="J1771" s="1153"/>
      <c r="K1771" s="1152"/>
      <c r="L1771" s="1153"/>
      <c r="M1771" s="1152"/>
      <c r="N1771" s="1152"/>
      <c r="O1771" s="732">
        <f t="shared" si="221"/>
        <v>0</v>
      </c>
      <c r="P1771" s="1159"/>
      <c r="Q1771" s="1153"/>
      <c r="R1771" s="733">
        <f t="shared" si="224"/>
        <v>0</v>
      </c>
      <c r="S1771" s="732">
        <f t="shared" si="225"/>
        <v>0</v>
      </c>
      <c r="T1771" s="733">
        <f t="shared" si="226"/>
        <v>0</v>
      </c>
      <c r="U1771" s="1152"/>
      <c r="V1771" s="1153"/>
      <c r="W1771" s="1152"/>
      <c r="X1771" s="1152"/>
      <c r="Y1771" s="732">
        <f t="shared" si="222"/>
        <v>0</v>
      </c>
      <c r="Z1771" s="1153"/>
      <c r="AA1771" s="1153"/>
      <c r="AB1771" s="733">
        <f t="shared" si="223"/>
        <v>0</v>
      </c>
      <c r="AC1771" s="1152"/>
      <c r="AD1771" s="1153"/>
      <c r="AE1771" s="1152"/>
      <c r="AF1771" s="1152"/>
      <c r="AG1771" s="1153"/>
      <c r="AH1771" s="1153"/>
      <c r="AI1771" s="732">
        <f t="shared" si="227"/>
        <v>0</v>
      </c>
      <c r="AJ1771" s="733">
        <f t="shared" si="228"/>
        <v>0</v>
      </c>
    </row>
    <row r="1772" spans="1:36">
      <c r="A1772" s="1075" t="s">
        <v>746</v>
      </c>
      <c r="B1772" s="1017" t="s">
        <v>64</v>
      </c>
      <c r="C1772" s="1076" t="s">
        <v>1533</v>
      </c>
      <c r="D1772" s="1010"/>
      <c r="E1772" s="987">
        <v>218663</v>
      </c>
      <c r="F1772" s="988">
        <v>1</v>
      </c>
      <c r="G1772" s="1152"/>
      <c r="H1772" s="1153"/>
      <c r="I1772" s="1152"/>
      <c r="J1772" s="1153"/>
      <c r="K1772" s="1152"/>
      <c r="L1772" s="1153"/>
      <c r="M1772" s="1152"/>
      <c r="N1772" s="1152"/>
      <c r="O1772" s="732">
        <f t="shared" si="221"/>
        <v>0</v>
      </c>
      <c r="P1772" s="1159"/>
      <c r="Q1772" s="1153"/>
      <c r="R1772" s="733">
        <f t="shared" si="224"/>
        <v>0</v>
      </c>
      <c r="S1772" s="732">
        <f t="shared" si="225"/>
        <v>0</v>
      </c>
      <c r="T1772" s="733">
        <f t="shared" si="226"/>
        <v>0</v>
      </c>
      <c r="U1772" s="1152"/>
      <c r="V1772" s="1153"/>
      <c r="W1772" s="1152"/>
      <c r="X1772" s="1152"/>
      <c r="Y1772" s="732">
        <f t="shared" si="222"/>
        <v>0</v>
      </c>
      <c r="Z1772" s="1153"/>
      <c r="AA1772" s="1153"/>
      <c r="AB1772" s="733">
        <f t="shared" si="223"/>
        <v>0</v>
      </c>
      <c r="AC1772" s="1152">
        <v>10789674</v>
      </c>
      <c r="AD1772" s="1153">
        <v>10789674</v>
      </c>
      <c r="AE1772" s="1152"/>
      <c r="AF1772" s="1152"/>
      <c r="AG1772" s="1153"/>
      <c r="AH1772" s="1153"/>
      <c r="AI1772" s="732">
        <f t="shared" si="227"/>
        <v>10789674</v>
      </c>
      <c r="AJ1772" s="733">
        <f t="shared" si="228"/>
        <v>10789674</v>
      </c>
    </row>
    <row r="1773" spans="1:36">
      <c r="A1773" s="1075" t="s">
        <v>746</v>
      </c>
      <c r="B1773" s="1017" t="s">
        <v>64</v>
      </c>
      <c r="C1773" s="1076" t="s">
        <v>1534</v>
      </c>
      <c r="D1773" s="1010"/>
      <c r="E1773" s="987">
        <v>218663</v>
      </c>
      <c r="F1773" s="988">
        <v>1</v>
      </c>
      <c r="G1773" s="1152"/>
      <c r="H1773" s="1153"/>
      <c r="I1773" s="1152"/>
      <c r="J1773" s="1153"/>
      <c r="K1773" s="1152"/>
      <c r="L1773" s="1153"/>
      <c r="M1773" s="1152"/>
      <c r="N1773" s="1152"/>
      <c r="O1773" s="732">
        <f t="shared" si="221"/>
        <v>0</v>
      </c>
      <c r="P1773" s="1159"/>
      <c r="Q1773" s="1153"/>
      <c r="R1773" s="733">
        <f t="shared" si="224"/>
        <v>0</v>
      </c>
      <c r="S1773" s="732">
        <f t="shared" si="225"/>
        <v>0</v>
      </c>
      <c r="T1773" s="733">
        <f t="shared" si="226"/>
        <v>0</v>
      </c>
      <c r="U1773" s="1152"/>
      <c r="V1773" s="1153"/>
      <c r="W1773" s="1152"/>
      <c r="X1773" s="1152"/>
      <c r="Y1773" s="732">
        <f t="shared" si="222"/>
        <v>0</v>
      </c>
      <c r="Z1773" s="1153"/>
      <c r="AA1773" s="1153"/>
      <c r="AB1773" s="733">
        <f t="shared" si="223"/>
        <v>0</v>
      </c>
      <c r="AC1773" s="1152">
        <v>3102159</v>
      </c>
      <c r="AD1773" s="1153">
        <v>3102159</v>
      </c>
      <c r="AE1773" s="1152"/>
      <c r="AF1773" s="1152"/>
      <c r="AG1773" s="1153"/>
      <c r="AH1773" s="1153"/>
      <c r="AI1773" s="732">
        <f t="shared" si="227"/>
        <v>3102159</v>
      </c>
      <c r="AJ1773" s="733">
        <f t="shared" si="228"/>
        <v>3102159</v>
      </c>
    </row>
    <row r="1774" spans="1:36">
      <c r="A1774" s="1075" t="s">
        <v>746</v>
      </c>
      <c r="B1774" s="1017" t="s">
        <v>64</v>
      </c>
      <c r="C1774" s="1076" t="s">
        <v>1535</v>
      </c>
      <c r="D1774" s="1010"/>
      <c r="E1774" s="987">
        <v>218663</v>
      </c>
      <c r="F1774" s="988">
        <v>1</v>
      </c>
      <c r="G1774" s="1152"/>
      <c r="H1774" s="1153"/>
      <c r="I1774" s="1152"/>
      <c r="J1774" s="1153"/>
      <c r="K1774" s="1152"/>
      <c r="L1774" s="1153"/>
      <c r="M1774" s="1152"/>
      <c r="N1774" s="1152"/>
      <c r="O1774" s="732">
        <f t="shared" si="221"/>
        <v>0</v>
      </c>
      <c r="P1774" s="1159"/>
      <c r="Q1774" s="1153"/>
      <c r="R1774" s="733">
        <f t="shared" si="224"/>
        <v>0</v>
      </c>
      <c r="S1774" s="732">
        <f t="shared" si="225"/>
        <v>0</v>
      </c>
      <c r="T1774" s="733">
        <f t="shared" si="226"/>
        <v>0</v>
      </c>
      <c r="U1774" s="1152"/>
      <c r="V1774" s="1153"/>
      <c r="W1774" s="1152"/>
      <c r="X1774" s="1152"/>
      <c r="Y1774" s="732">
        <f t="shared" si="222"/>
        <v>0</v>
      </c>
      <c r="Z1774" s="1153"/>
      <c r="AA1774" s="1153"/>
      <c r="AB1774" s="733">
        <f t="shared" si="223"/>
        <v>0</v>
      </c>
      <c r="AC1774" s="1152">
        <v>2000000</v>
      </c>
      <c r="AD1774" s="1153">
        <v>2000000</v>
      </c>
      <c r="AE1774" s="1152"/>
      <c r="AF1774" s="1152"/>
      <c r="AG1774" s="1153"/>
      <c r="AH1774" s="1153"/>
      <c r="AI1774" s="732">
        <f t="shared" si="227"/>
        <v>2000000</v>
      </c>
      <c r="AJ1774" s="733">
        <f t="shared" si="228"/>
        <v>2000000</v>
      </c>
    </row>
    <row r="1775" spans="1:36">
      <c r="A1775" s="1075" t="s">
        <v>746</v>
      </c>
      <c r="B1775" s="1017" t="s">
        <v>64</v>
      </c>
      <c r="C1775" s="1076" t="s">
        <v>1536</v>
      </c>
      <c r="D1775" s="1010"/>
      <c r="E1775" s="987">
        <v>218663</v>
      </c>
      <c r="F1775" s="988">
        <v>1</v>
      </c>
      <c r="G1775" s="1152"/>
      <c r="H1775" s="1153"/>
      <c r="I1775" s="1152"/>
      <c r="J1775" s="1153"/>
      <c r="K1775" s="1152"/>
      <c r="L1775" s="1153"/>
      <c r="M1775" s="1152"/>
      <c r="N1775" s="1152"/>
      <c r="O1775" s="732">
        <f t="shared" si="221"/>
        <v>0</v>
      </c>
      <c r="P1775" s="1159"/>
      <c r="Q1775" s="1153"/>
      <c r="R1775" s="733">
        <f t="shared" si="224"/>
        <v>0</v>
      </c>
      <c r="S1775" s="732">
        <f t="shared" si="225"/>
        <v>0</v>
      </c>
      <c r="T1775" s="733">
        <f t="shared" si="226"/>
        <v>0</v>
      </c>
      <c r="U1775" s="1152"/>
      <c r="V1775" s="1153"/>
      <c r="W1775" s="1152"/>
      <c r="X1775" s="1152"/>
      <c r="Y1775" s="732">
        <f t="shared" si="222"/>
        <v>0</v>
      </c>
      <c r="Z1775" s="1153"/>
      <c r="AA1775" s="1153"/>
      <c r="AB1775" s="733">
        <f t="shared" si="223"/>
        <v>0</v>
      </c>
      <c r="AC1775" s="1152">
        <v>3200000</v>
      </c>
      <c r="AD1775" s="1153">
        <v>3200000</v>
      </c>
      <c r="AE1775" s="1152"/>
      <c r="AF1775" s="1152"/>
      <c r="AG1775" s="1153"/>
      <c r="AH1775" s="1153"/>
      <c r="AI1775" s="732">
        <f t="shared" si="227"/>
        <v>3200000</v>
      </c>
      <c r="AJ1775" s="733">
        <f t="shared" si="228"/>
        <v>3200000</v>
      </c>
    </row>
    <row r="1776" spans="1:36">
      <c r="A1776" s="1075" t="s">
        <v>746</v>
      </c>
      <c r="B1776" s="1017" t="s">
        <v>62</v>
      </c>
      <c r="C1776" s="1082" t="s">
        <v>1537</v>
      </c>
      <c r="D1776" s="1010"/>
      <c r="E1776" s="987">
        <v>217819</v>
      </c>
      <c r="F1776" s="988">
        <v>3</v>
      </c>
      <c r="G1776" s="1152">
        <v>22062025</v>
      </c>
      <c r="H1776" s="1153">
        <v>22062025</v>
      </c>
      <c r="I1776" s="1152"/>
      <c r="J1776" s="1153"/>
      <c r="K1776" s="1152"/>
      <c r="L1776" s="1153"/>
      <c r="M1776" s="1152">
        <v>180011335</v>
      </c>
      <c r="N1776" s="1152">
        <v>9370544</v>
      </c>
      <c r="O1776" s="732">
        <f t="shared" si="221"/>
        <v>189381879</v>
      </c>
      <c r="P1776" s="1159">
        <f>185214151-17214707</f>
        <v>167999444</v>
      </c>
      <c r="Q1776" s="1153">
        <v>17214707</v>
      </c>
      <c r="R1776" s="733">
        <f t="shared" si="224"/>
        <v>185214151</v>
      </c>
      <c r="S1776" s="732">
        <f t="shared" si="225"/>
        <v>202073360</v>
      </c>
      <c r="T1776" s="733">
        <f t="shared" si="226"/>
        <v>190061469</v>
      </c>
      <c r="U1776" s="1152"/>
      <c r="V1776" s="1153"/>
      <c r="W1776" s="1152"/>
      <c r="X1776" s="1152"/>
      <c r="Y1776" s="732">
        <f t="shared" si="222"/>
        <v>0</v>
      </c>
      <c r="Z1776" s="1153"/>
      <c r="AA1776" s="1153"/>
      <c r="AB1776" s="733">
        <f t="shared" si="223"/>
        <v>0</v>
      </c>
      <c r="AC1776" s="1152"/>
      <c r="AD1776" s="1153"/>
      <c r="AE1776" s="1152"/>
      <c r="AF1776" s="1152"/>
      <c r="AG1776" s="1153"/>
      <c r="AH1776" s="1153"/>
      <c r="AI1776" s="732">
        <f t="shared" si="227"/>
        <v>202073360</v>
      </c>
      <c r="AJ1776" s="733">
        <f t="shared" si="228"/>
        <v>190061469</v>
      </c>
    </row>
    <row r="1777" spans="1:36">
      <c r="A1777" s="1075" t="s">
        <v>746</v>
      </c>
      <c r="B1777" s="1017" t="s">
        <v>62</v>
      </c>
      <c r="C1777" s="1076" t="s">
        <v>1518</v>
      </c>
      <c r="D1777" s="1010"/>
      <c r="E1777" s="987">
        <v>217819</v>
      </c>
      <c r="F1777" s="988">
        <v>3</v>
      </c>
      <c r="G1777" s="1152">
        <v>7132001</v>
      </c>
      <c r="H1777" s="1153">
        <v>6988208</v>
      </c>
      <c r="I1777" s="1152"/>
      <c r="J1777" s="1153"/>
      <c r="K1777" s="1152"/>
      <c r="L1777" s="1153"/>
      <c r="M1777" s="1152"/>
      <c r="N1777" s="1152"/>
      <c r="O1777" s="732">
        <f t="shared" si="221"/>
        <v>0</v>
      </c>
      <c r="P1777" s="1159"/>
      <c r="Q1777" s="1153"/>
      <c r="R1777" s="733">
        <f t="shared" si="224"/>
        <v>0</v>
      </c>
      <c r="S1777" s="732">
        <f t="shared" si="225"/>
        <v>7132001</v>
      </c>
      <c r="T1777" s="733">
        <f t="shared" si="226"/>
        <v>6988208</v>
      </c>
      <c r="U1777" s="1152"/>
      <c r="V1777" s="1153"/>
      <c r="W1777" s="1152"/>
      <c r="X1777" s="1152"/>
      <c r="Y1777" s="732">
        <f t="shared" si="222"/>
        <v>0</v>
      </c>
      <c r="Z1777" s="1153"/>
      <c r="AA1777" s="1153"/>
      <c r="AB1777" s="733">
        <f t="shared" si="223"/>
        <v>0</v>
      </c>
      <c r="AC1777" s="1152"/>
      <c r="AD1777" s="1153"/>
      <c r="AE1777" s="1152"/>
      <c r="AF1777" s="1152"/>
      <c r="AG1777" s="1153"/>
      <c r="AH1777" s="1153"/>
      <c r="AI1777" s="732">
        <f t="shared" si="227"/>
        <v>7132001</v>
      </c>
      <c r="AJ1777" s="733">
        <f t="shared" si="228"/>
        <v>6988208</v>
      </c>
    </row>
    <row r="1778" spans="1:36">
      <c r="A1778" s="1075" t="s">
        <v>746</v>
      </c>
      <c r="B1778" s="1017" t="s">
        <v>62</v>
      </c>
      <c r="C1778" s="1076" t="s">
        <v>1538</v>
      </c>
      <c r="D1778" s="1010"/>
      <c r="E1778" s="987">
        <v>217819</v>
      </c>
      <c r="F1778" s="988">
        <v>3</v>
      </c>
      <c r="G1778" s="1152">
        <v>979175</v>
      </c>
      <c r="H1778" s="1153">
        <v>979175</v>
      </c>
      <c r="I1778" s="1152"/>
      <c r="J1778" s="1153"/>
      <c r="K1778" s="1152"/>
      <c r="L1778" s="1153"/>
      <c r="M1778" s="1152"/>
      <c r="N1778" s="1152"/>
      <c r="O1778" s="732">
        <f t="shared" si="221"/>
        <v>0</v>
      </c>
      <c r="P1778" s="1159"/>
      <c r="Q1778" s="1153"/>
      <c r="R1778" s="733">
        <f t="shared" si="224"/>
        <v>0</v>
      </c>
      <c r="S1778" s="732">
        <f t="shared" si="225"/>
        <v>979175</v>
      </c>
      <c r="T1778" s="733">
        <f t="shared" si="226"/>
        <v>979175</v>
      </c>
      <c r="U1778" s="1152"/>
      <c r="V1778" s="1153"/>
      <c r="W1778" s="1152"/>
      <c r="X1778" s="1152"/>
      <c r="Y1778" s="732">
        <f t="shared" si="222"/>
        <v>0</v>
      </c>
      <c r="Z1778" s="1153"/>
      <c r="AA1778" s="1153"/>
      <c r="AB1778" s="733">
        <f t="shared" si="223"/>
        <v>0</v>
      </c>
      <c r="AC1778" s="1152"/>
      <c r="AD1778" s="1153"/>
      <c r="AE1778" s="1152"/>
      <c r="AF1778" s="1152"/>
      <c r="AG1778" s="1153"/>
      <c r="AH1778" s="1153"/>
      <c r="AI1778" s="732">
        <f t="shared" si="227"/>
        <v>979175</v>
      </c>
      <c r="AJ1778" s="733">
        <f t="shared" si="228"/>
        <v>979175</v>
      </c>
    </row>
    <row r="1779" spans="1:36">
      <c r="A1779" s="1075" t="s">
        <v>746</v>
      </c>
      <c r="B1779" s="1017" t="s">
        <v>69</v>
      </c>
      <c r="C1779" s="1078" t="s">
        <v>70</v>
      </c>
      <c r="D1779" s="1010"/>
      <c r="E1779" s="987">
        <v>217819</v>
      </c>
      <c r="F1779" s="988">
        <v>3</v>
      </c>
      <c r="G1779" s="1152"/>
      <c r="H1779" s="1153"/>
      <c r="I1779" s="1152"/>
      <c r="J1779" s="1153"/>
      <c r="K1779" s="1152"/>
      <c r="L1779" s="1153"/>
      <c r="M1779" s="1152"/>
      <c r="N1779" s="1152"/>
      <c r="O1779" s="732">
        <f t="shared" si="221"/>
        <v>0</v>
      </c>
      <c r="P1779" s="1159"/>
      <c r="Q1779" s="1153"/>
      <c r="R1779" s="733">
        <f t="shared" si="224"/>
        <v>0</v>
      </c>
      <c r="S1779" s="732">
        <f t="shared" si="225"/>
        <v>0</v>
      </c>
      <c r="T1779" s="733">
        <f t="shared" si="226"/>
        <v>0</v>
      </c>
      <c r="U1779" s="1152"/>
      <c r="V1779" s="1153"/>
      <c r="W1779" s="1152"/>
      <c r="X1779" s="1152"/>
      <c r="Y1779" s="732">
        <f t="shared" si="222"/>
        <v>0</v>
      </c>
      <c r="Z1779" s="1153"/>
      <c r="AA1779" s="1153"/>
      <c r="AB1779" s="733">
        <f t="shared" si="223"/>
        <v>0</v>
      </c>
      <c r="AC1779" s="1152"/>
      <c r="AD1779" s="1153"/>
      <c r="AE1779" s="1152"/>
      <c r="AF1779" s="1152"/>
      <c r="AG1779" s="1153"/>
      <c r="AH1779" s="1153"/>
      <c r="AI1779" s="732">
        <f t="shared" si="227"/>
        <v>0</v>
      </c>
      <c r="AJ1779" s="733">
        <f t="shared" si="228"/>
        <v>0</v>
      </c>
    </row>
    <row r="1780" spans="1:36">
      <c r="A1780" s="1075" t="s">
        <v>746</v>
      </c>
      <c r="B1780" s="1017" t="s">
        <v>78</v>
      </c>
      <c r="C1780" s="1078" t="s">
        <v>79</v>
      </c>
      <c r="D1780" s="1079"/>
      <c r="E1780" s="987">
        <v>217819</v>
      </c>
      <c r="F1780" s="988">
        <v>3</v>
      </c>
      <c r="G1780" s="1152"/>
      <c r="H1780" s="1153"/>
      <c r="I1780" s="1152"/>
      <c r="J1780" s="1153"/>
      <c r="K1780" s="1152"/>
      <c r="L1780" s="1153"/>
      <c r="M1780" s="1152"/>
      <c r="N1780" s="1152"/>
      <c r="O1780" s="732">
        <f t="shared" si="221"/>
        <v>0</v>
      </c>
      <c r="P1780" s="1159"/>
      <c r="Q1780" s="1153"/>
      <c r="R1780" s="733">
        <f t="shared" si="224"/>
        <v>0</v>
      </c>
      <c r="S1780" s="732">
        <f t="shared" si="225"/>
        <v>0</v>
      </c>
      <c r="T1780" s="733">
        <f t="shared" si="226"/>
        <v>0</v>
      </c>
      <c r="U1780" s="1152"/>
      <c r="V1780" s="1153"/>
      <c r="W1780" s="1152"/>
      <c r="X1780" s="1152"/>
      <c r="Y1780" s="732">
        <f t="shared" si="222"/>
        <v>0</v>
      </c>
      <c r="Z1780" s="1153"/>
      <c r="AA1780" s="1153"/>
      <c r="AB1780" s="733">
        <f t="shared" si="223"/>
        <v>0</v>
      </c>
      <c r="AC1780" s="1152"/>
      <c r="AD1780" s="1153"/>
      <c r="AE1780" s="1152"/>
      <c r="AF1780" s="1152"/>
      <c r="AG1780" s="1153"/>
      <c r="AH1780" s="1153"/>
      <c r="AI1780" s="732">
        <f t="shared" si="227"/>
        <v>0</v>
      </c>
      <c r="AJ1780" s="733">
        <f t="shared" si="228"/>
        <v>0</v>
      </c>
    </row>
    <row r="1781" spans="1:36">
      <c r="A1781" s="1075" t="s">
        <v>746</v>
      </c>
      <c r="B1781" s="1017" t="s">
        <v>99</v>
      </c>
      <c r="C1781" s="1077" t="s">
        <v>1070</v>
      </c>
      <c r="D1781" s="1010"/>
      <c r="E1781" s="987">
        <v>217819</v>
      </c>
      <c r="F1781" s="988">
        <v>3</v>
      </c>
      <c r="G1781" s="1152"/>
      <c r="H1781" s="1153"/>
      <c r="I1781" s="1152"/>
      <c r="J1781" s="1153"/>
      <c r="K1781" s="1152"/>
      <c r="L1781" s="1153"/>
      <c r="M1781" s="1152"/>
      <c r="N1781" s="1152"/>
      <c r="O1781" s="732">
        <f t="shared" si="221"/>
        <v>0</v>
      </c>
      <c r="P1781" s="1159"/>
      <c r="Q1781" s="1153"/>
      <c r="R1781" s="733">
        <f t="shared" si="224"/>
        <v>0</v>
      </c>
      <c r="S1781" s="732">
        <f t="shared" si="225"/>
        <v>0</v>
      </c>
      <c r="T1781" s="733">
        <f t="shared" si="226"/>
        <v>0</v>
      </c>
      <c r="U1781" s="1152"/>
      <c r="V1781" s="1153"/>
      <c r="W1781" s="1152"/>
      <c r="X1781" s="1152"/>
      <c r="Y1781" s="732">
        <f t="shared" si="222"/>
        <v>0</v>
      </c>
      <c r="Z1781" s="1153"/>
      <c r="AA1781" s="1153"/>
      <c r="AB1781" s="733">
        <f t="shared" si="223"/>
        <v>0</v>
      </c>
      <c r="AC1781" s="1152"/>
      <c r="AD1781" s="1153"/>
      <c r="AE1781" s="1152"/>
      <c r="AF1781" s="1152"/>
      <c r="AG1781" s="1153"/>
      <c r="AH1781" s="1153"/>
      <c r="AI1781" s="732">
        <f t="shared" si="227"/>
        <v>0</v>
      </c>
      <c r="AJ1781" s="733">
        <f t="shared" si="228"/>
        <v>0</v>
      </c>
    </row>
    <row r="1782" spans="1:36">
      <c r="A1782" s="1075" t="s">
        <v>746</v>
      </c>
      <c r="B1782" s="1017" t="s">
        <v>99</v>
      </c>
      <c r="C1782" s="1076" t="s">
        <v>1523</v>
      </c>
      <c r="D1782" s="1010"/>
      <c r="E1782" s="987">
        <v>217819</v>
      </c>
      <c r="F1782" s="988">
        <v>3</v>
      </c>
      <c r="G1782" s="1152"/>
      <c r="H1782" s="1153"/>
      <c r="I1782" s="1152">
        <v>7396</v>
      </c>
      <c r="J1782" s="1153">
        <v>7396</v>
      </c>
      <c r="K1782" s="1152"/>
      <c r="L1782" s="1153"/>
      <c r="M1782" s="1152"/>
      <c r="N1782" s="1152"/>
      <c r="O1782" s="732">
        <f t="shared" si="221"/>
        <v>0</v>
      </c>
      <c r="P1782" s="1159"/>
      <c r="Q1782" s="1153"/>
      <c r="R1782" s="733">
        <f t="shared" si="224"/>
        <v>0</v>
      </c>
      <c r="S1782" s="732">
        <f t="shared" si="225"/>
        <v>7396</v>
      </c>
      <c r="T1782" s="733">
        <f t="shared" si="226"/>
        <v>7396</v>
      </c>
      <c r="U1782" s="1152"/>
      <c r="V1782" s="1153"/>
      <c r="W1782" s="1152"/>
      <c r="X1782" s="1152"/>
      <c r="Y1782" s="732">
        <f t="shared" si="222"/>
        <v>0</v>
      </c>
      <c r="Z1782" s="1153"/>
      <c r="AA1782" s="1153"/>
      <c r="AB1782" s="733">
        <f t="shared" si="223"/>
        <v>0</v>
      </c>
      <c r="AC1782" s="1152"/>
      <c r="AD1782" s="1153"/>
      <c r="AE1782" s="1152"/>
      <c r="AF1782" s="1152"/>
      <c r="AG1782" s="1153"/>
      <c r="AH1782" s="1153"/>
      <c r="AI1782" s="732">
        <f t="shared" si="227"/>
        <v>7396</v>
      </c>
      <c r="AJ1782" s="733">
        <f t="shared" si="228"/>
        <v>7396</v>
      </c>
    </row>
    <row r="1783" spans="1:36">
      <c r="A1783" s="1075" t="s">
        <v>746</v>
      </c>
      <c r="B1783" s="1017" t="s">
        <v>99</v>
      </c>
      <c r="C1783" s="1076" t="s">
        <v>1539</v>
      </c>
      <c r="D1783" s="1010"/>
      <c r="E1783" s="987">
        <v>217819</v>
      </c>
      <c r="F1783" s="988">
        <v>3</v>
      </c>
      <c r="G1783" s="1152"/>
      <c r="H1783" s="1153"/>
      <c r="I1783" s="1152">
        <v>607631</v>
      </c>
      <c r="J1783" s="1153">
        <v>607631</v>
      </c>
      <c r="K1783" s="1152"/>
      <c r="L1783" s="1153"/>
      <c r="M1783" s="1152"/>
      <c r="N1783" s="1152"/>
      <c r="O1783" s="732">
        <f t="shared" si="221"/>
        <v>0</v>
      </c>
      <c r="P1783" s="1159"/>
      <c r="Q1783" s="1153"/>
      <c r="R1783" s="733">
        <f t="shared" si="224"/>
        <v>0</v>
      </c>
      <c r="S1783" s="732">
        <f t="shared" si="225"/>
        <v>607631</v>
      </c>
      <c r="T1783" s="733">
        <f t="shared" si="226"/>
        <v>607631</v>
      </c>
      <c r="U1783" s="1152"/>
      <c r="V1783" s="1153"/>
      <c r="W1783" s="1152"/>
      <c r="X1783" s="1152"/>
      <c r="Y1783" s="732">
        <f t="shared" si="222"/>
        <v>0</v>
      </c>
      <c r="Z1783" s="1153"/>
      <c r="AA1783" s="1153"/>
      <c r="AB1783" s="733">
        <f t="shared" si="223"/>
        <v>0</v>
      </c>
      <c r="AC1783" s="1152"/>
      <c r="AD1783" s="1153"/>
      <c r="AE1783" s="1152"/>
      <c r="AF1783" s="1152"/>
      <c r="AG1783" s="1153"/>
      <c r="AH1783" s="1153"/>
      <c r="AI1783" s="732">
        <f t="shared" si="227"/>
        <v>607631</v>
      </c>
      <c r="AJ1783" s="733">
        <f t="shared" si="228"/>
        <v>607631</v>
      </c>
    </row>
    <row r="1784" spans="1:36">
      <c r="A1784" s="1075" t="s">
        <v>746</v>
      </c>
      <c r="B1784" s="1017" t="s">
        <v>99</v>
      </c>
      <c r="C1784" s="1076" t="s">
        <v>1540</v>
      </c>
      <c r="D1784" s="1010"/>
      <c r="E1784" s="987">
        <v>217819</v>
      </c>
      <c r="F1784" s="988">
        <v>3</v>
      </c>
      <c r="G1784" s="1152"/>
      <c r="H1784" s="1153"/>
      <c r="I1784" s="1152">
        <v>785099</v>
      </c>
      <c r="J1784" s="1153">
        <v>785099</v>
      </c>
      <c r="K1784" s="1152"/>
      <c r="L1784" s="1153"/>
      <c r="M1784" s="1152"/>
      <c r="N1784" s="1152"/>
      <c r="O1784" s="732">
        <f t="shared" si="221"/>
        <v>0</v>
      </c>
      <c r="P1784" s="1159"/>
      <c r="Q1784" s="1153"/>
      <c r="R1784" s="733">
        <f t="shared" si="224"/>
        <v>0</v>
      </c>
      <c r="S1784" s="732">
        <f t="shared" si="225"/>
        <v>785099</v>
      </c>
      <c r="T1784" s="733">
        <f t="shared" si="226"/>
        <v>785099</v>
      </c>
      <c r="U1784" s="1152"/>
      <c r="V1784" s="1153"/>
      <c r="W1784" s="1152"/>
      <c r="X1784" s="1152"/>
      <c r="Y1784" s="732">
        <f t="shared" si="222"/>
        <v>0</v>
      </c>
      <c r="Z1784" s="1153"/>
      <c r="AA1784" s="1153"/>
      <c r="AB1784" s="733">
        <f t="shared" si="223"/>
        <v>0</v>
      </c>
      <c r="AC1784" s="1152"/>
      <c r="AD1784" s="1153"/>
      <c r="AE1784" s="1152"/>
      <c r="AF1784" s="1152"/>
      <c r="AG1784" s="1153"/>
      <c r="AH1784" s="1153"/>
      <c r="AI1784" s="732">
        <f t="shared" si="227"/>
        <v>785099</v>
      </c>
      <c r="AJ1784" s="733">
        <f t="shared" si="228"/>
        <v>785099</v>
      </c>
    </row>
    <row r="1785" spans="1:36">
      <c r="A1785" s="1075" t="s">
        <v>746</v>
      </c>
      <c r="B1785" s="1017" t="s">
        <v>62</v>
      </c>
      <c r="C1785" s="1082" t="s">
        <v>1541</v>
      </c>
      <c r="D1785" s="994"/>
      <c r="E1785" s="987">
        <v>217864</v>
      </c>
      <c r="F1785" s="988">
        <v>3</v>
      </c>
      <c r="G1785" s="1152">
        <v>8490713</v>
      </c>
      <c r="H1785" s="1153">
        <v>8490713</v>
      </c>
      <c r="I1785" s="1152"/>
      <c r="J1785" s="1153"/>
      <c r="K1785" s="1152"/>
      <c r="L1785" s="1153"/>
      <c r="M1785" s="1152">
        <v>60699031</v>
      </c>
      <c r="N1785" s="1152">
        <v>3415321</v>
      </c>
      <c r="O1785" s="732">
        <f t="shared" si="221"/>
        <v>64114352</v>
      </c>
      <c r="P1785" s="1159">
        <f>63287415-Q1785</f>
        <v>60053073</v>
      </c>
      <c r="Q1785" s="1153">
        <v>3234342</v>
      </c>
      <c r="R1785" s="733">
        <f t="shared" si="224"/>
        <v>63287415</v>
      </c>
      <c r="S1785" s="732">
        <f t="shared" si="225"/>
        <v>69189744</v>
      </c>
      <c r="T1785" s="733">
        <f t="shared" si="226"/>
        <v>68543786</v>
      </c>
      <c r="U1785" s="1152"/>
      <c r="V1785" s="1153"/>
      <c r="W1785" s="1152"/>
      <c r="X1785" s="1152"/>
      <c r="Y1785" s="732">
        <f t="shared" si="222"/>
        <v>0</v>
      </c>
      <c r="Z1785" s="1153"/>
      <c r="AA1785" s="1153"/>
      <c r="AB1785" s="733">
        <f t="shared" si="223"/>
        <v>0</v>
      </c>
      <c r="AC1785" s="1152"/>
      <c r="AD1785" s="1153"/>
      <c r="AE1785" s="1152"/>
      <c r="AF1785" s="1152"/>
      <c r="AG1785" s="1153"/>
      <c r="AH1785" s="1153"/>
      <c r="AI1785" s="732">
        <f t="shared" si="227"/>
        <v>69189744</v>
      </c>
      <c r="AJ1785" s="733">
        <f t="shared" si="228"/>
        <v>68543786</v>
      </c>
    </row>
    <row r="1786" spans="1:36">
      <c r="A1786" s="1075" t="s">
        <v>746</v>
      </c>
      <c r="B1786" s="1017" t="s">
        <v>62</v>
      </c>
      <c r="C1786" s="1076" t="s">
        <v>1518</v>
      </c>
      <c r="D1786" s="1010"/>
      <c r="E1786" s="987">
        <v>217864</v>
      </c>
      <c r="F1786" s="988">
        <v>3</v>
      </c>
      <c r="G1786" s="1152">
        <v>3061110</v>
      </c>
      <c r="H1786" s="1153">
        <v>2992374</v>
      </c>
      <c r="I1786" s="1152"/>
      <c r="J1786" s="1153"/>
      <c r="K1786" s="1152"/>
      <c r="L1786" s="1153"/>
      <c r="M1786" s="1152"/>
      <c r="N1786" s="1152"/>
      <c r="O1786" s="732">
        <f t="shared" si="221"/>
        <v>0</v>
      </c>
      <c r="P1786" s="1159"/>
      <c r="Q1786" s="1153"/>
      <c r="R1786" s="733">
        <f t="shared" si="224"/>
        <v>0</v>
      </c>
      <c r="S1786" s="732">
        <f t="shared" si="225"/>
        <v>3061110</v>
      </c>
      <c r="T1786" s="733">
        <f t="shared" si="226"/>
        <v>2992374</v>
      </c>
      <c r="U1786" s="1152"/>
      <c r="V1786" s="1153"/>
      <c r="W1786" s="1152"/>
      <c r="X1786" s="1152"/>
      <c r="Y1786" s="732">
        <f t="shared" si="222"/>
        <v>0</v>
      </c>
      <c r="Z1786" s="1153"/>
      <c r="AA1786" s="1153"/>
      <c r="AB1786" s="733">
        <f t="shared" si="223"/>
        <v>0</v>
      </c>
      <c r="AC1786" s="1152"/>
      <c r="AD1786" s="1153"/>
      <c r="AE1786" s="1152"/>
      <c r="AF1786" s="1152"/>
      <c r="AG1786" s="1153"/>
      <c r="AH1786" s="1153"/>
      <c r="AI1786" s="732">
        <f t="shared" si="227"/>
        <v>3061110</v>
      </c>
      <c r="AJ1786" s="733">
        <f t="shared" si="228"/>
        <v>2992374</v>
      </c>
    </row>
    <row r="1787" spans="1:36">
      <c r="A1787" s="1075" t="s">
        <v>746</v>
      </c>
      <c r="B1787" s="1017" t="s">
        <v>62</v>
      </c>
      <c r="C1787" s="1076" t="s">
        <v>1538</v>
      </c>
      <c r="D1787" s="1010"/>
      <c r="E1787" s="987">
        <v>217864</v>
      </c>
      <c r="F1787" s="988">
        <v>3</v>
      </c>
      <c r="G1787" s="1152">
        <v>1017599</v>
      </c>
      <c r="H1787" s="1153">
        <v>1017599</v>
      </c>
      <c r="I1787" s="1152"/>
      <c r="J1787" s="1153"/>
      <c r="K1787" s="1152"/>
      <c r="L1787" s="1153"/>
      <c r="M1787" s="1152"/>
      <c r="N1787" s="1152"/>
      <c r="O1787" s="732">
        <f t="shared" si="221"/>
        <v>0</v>
      </c>
      <c r="P1787" s="1159"/>
      <c r="Q1787" s="1153"/>
      <c r="R1787" s="733">
        <f t="shared" si="224"/>
        <v>0</v>
      </c>
      <c r="S1787" s="732">
        <f t="shared" si="225"/>
        <v>1017599</v>
      </c>
      <c r="T1787" s="733">
        <f t="shared" si="226"/>
        <v>1017599</v>
      </c>
      <c r="U1787" s="1152"/>
      <c r="V1787" s="1153"/>
      <c r="W1787" s="1152"/>
      <c r="X1787" s="1152"/>
      <c r="Y1787" s="732">
        <f t="shared" si="222"/>
        <v>0</v>
      </c>
      <c r="Z1787" s="1153"/>
      <c r="AA1787" s="1153"/>
      <c r="AB1787" s="733">
        <f t="shared" si="223"/>
        <v>0</v>
      </c>
      <c r="AC1787" s="1152"/>
      <c r="AD1787" s="1153"/>
      <c r="AE1787" s="1152"/>
      <c r="AF1787" s="1152"/>
      <c r="AG1787" s="1153"/>
      <c r="AH1787" s="1153"/>
      <c r="AI1787" s="732">
        <f t="shared" si="227"/>
        <v>1017599</v>
      </c>
      <c r="AJ1787" s="733">
        <f t="shared" si="228"/>
        <v>1017599</v>
      </c>
    </row>
    <row r="1788" spans="1:36">
      <c r="A1788" s="1075" t="s">
        <v>746</v>
      </c>
      <c r="B1788" s="1017" t="s">
        <v>99</v>
      </c>
      <c r="C1788" s="1077" t="s">
        <v>1070</v>
      </c>
      <c r="D1788" s="1010"/>
      <c r="E1788" s="987">
        <v>217864</v>
      </c>
      <c r="F1788" s="988">
        <v>3</v>
      </c>
      <c r="G1788" s="1152"/>
      <c r="H1788" s="1153"/>
      <c r="I1788" s="1152"/>
      <c r="J1788" s="1153"/>
      <c r="K1788" s="1152"/>
      <c r="L1788" s="1153"/>
      <c r="M1788" s="1152"/>
      <c r="N1788" s="1152"/>
      <c r="O1788" s="732">
        <f t="shared" si="221"/>
        <v>0</v>
      </c>
      <c r="P1788" s="1159"/>
      <c r="Q1788" s="1153"/>
      <c r="R1788" s="733">
        <f t="shared" si="224"/>
        <v>0</v>
      </c>
      <c r="S1788" s="732">
        <f t="shared" si="225"/>
        <v>0</v>
      </c>
      <c r="T1788" s="733">
        <f t="shared" si="226"/>
        <v>0</v>
      </c>
      <c r="U1788" s="1152"/>
      <c r="V1788" s="1153"/>
      <c r="W1788" s="1152"/>
      <c r="X1788" s="1152"/>
      <c r="Y1788" s="732">
        <f t="shared" si="222"/>
        <v>0</v>
      </c>
      <c r="Z1788" s="1153"/>
      <c r="AA1788" s="1153"/>
      <c r="AB1788" s="733">
        <f t="shared" si="223"/>
        <v>0</v>
      </c>
      <c r="AC1788" s="1152"/>
      <c r="AD1788" s="1153"/>
      <c r="AE1788" s="1152"/>
      <c r="AF1788" s="1152"/>
      <c r="AG1788" s="1153"/>
      <c r="AH1788" s="1153"/>
      <c r="AI1788" s="732">
        <f t="shared" si="227"/>
        <v>0</v>
      </c>
      <c r="AJ1788" s="733">
        <f t="shared" si="228"/>
        <v>0</v>
      </c>
    </row>
    <row r="1789" spans="1:36">
      <c r="A1789" s="1075" t="s">
        <v>746</v>
      </c>
      <c r="B1789" s="1017" t="s">
        <v>99</v>
      </c>
      <c r="C1789" s="1076" t="s">
        <v>1523</v>
      </c>
      <c r="D1789" s="1010"/>
      <c r="E1789" s="987">
        <v>217864</v>
      </c>
      <c r="F1789" s="988">
        <v>3</v>
      </c>
      <c r="G1789" s="1152"/>
      <c r="H1789" s="1153"/>
      <c r="I1789" s="1152">
        <v>12543</v>
      </c>
      <c r="J1789" s="1153">
        <v>12543</v>
      </c>
      <c r="K1789" s="1152"/>
      <c r="L1789" s="1153"/>
      <c r="M1789" s="1152"/>
      <c r="N1789" s="1152"/>
      <c r="O1789" s="732">
        <f t="shared" si="221"/>
        <v>0</v>
      </c>
      <c r="P1789" s="1159"/>
      <c r="Q1789" s="1153"/>
      <c r="R1789" s="733">
        <f t="shared" si="224"/>
        <v>0</v>
      </c>
      <c r="S1789" s="732">
        <f t="shared" si="225"/>
        <v>12543</v>
      </c>
      <c r="T1789" s="733">
        <f t="shared" si="226"/>
        <v>12543</v>
      </c>
      <c r="U1789" s="1152"/>
      <c r="V1789" s="1153"/>
      <c r="W1789" s="1152"/>
      <c r="X1789" s="1152"/>
      <c r="Y1789" s="732">
        <f t="shared" si="222"/>
        <v>0</v>
      </c>
      <c r="Z1789" s="1153"/>
      <c r="AA1789" s="1153"/>
      <c r="AB1789" s="733">
        <f t="shared" si="223"/>
        <v>0</v>
      </c>
      <c r="AC1789" s="1152"/>
      <c r="AD1789" s="1153"/>
      <c r="AE1789" s="1152"/>
      <c r="AF1789" s="1152"/>
      <c r="AG1789" s="1153"/>
      <c r="AH1789" s="1153"/>
      <c r="AI1789" s="732">
        <f t="shared" si="227"/>
        <v>12543</v>
      </c>
      <c r="AJ1789" s="733">
        <f t="shared" si="228"/>
        <v>12543</v>
      </c>
    </row>
    <row r="1790" spans="1:36">
      <c r="A1790" s="1075" t="s">
        <v>746</v>
      </c>
      <c r="B1790" s="1017" t="s">
        <v>99</v>
      </c>
      <c r="C1790" s="1076" t="s">
        <v>1539</v>
      </c>
      <c r="D1790" s="1010"/>
      <c r="E1790" s="987">
        <v>217864</v>
      </c>
      <c r="F1790" s="988">
        <v>3</v>
      </c>
      <c r="G1790" s="1152"/>
      <c r="H1790" s="1153"/>
      <c r="I1790" s="1152">
        <v>267228</v>
      </c>
      <c r="J1790" s="1153">
        <v>267228</v>
      </c>
      <c r="K1790" s="1152"/>
      <c r="L1790" s="1153"/>
      <c r="M1790" s="1152"/>
      <c r="N1790" s="1152"/>
      <c r="O1790" s="732">
        <f t="shared" si="221"/>
        <v>0</v>
      </c>
      <c r="P1790" s="1159"/>
      <c r="Q1790" s="1153"/>
      <c r="R1790" s="733">
        <f t="shared" si="224"/>
        <v>0</v>
      </c>
      <c r="S1790" s="732">
        <f t="shared" si="225"/>
        <v>267228</v>
      </c>
      <c r="T1790" s="733">
        <f t="shared" si="226"/>
        <v>267228</v>
      </c>
      <c r="U1790" s="1152"/>
      <c r="V1790" s="1153"/>
      <c r="W1790" s="1152"/>
      <c r="X1790" s="1152"/>
      <c r="Y1790" s="732">
        <f t="shared" si="222"/>
        <v>0</v>
      </c>
      <c r="Z1790" s="1153"/>
      <c r="AA1790" s="1153"/>
      <c r="AB1790" s="733">
        <f t="shared" si="223"/>
        <v>0</v>
      </c>
      <c r="AC1790" s="1152"/>
      <c r="AD1790" s="1153"/>
      <c r="AE1790" s="1152"/>
      <c r="AF1790" s="1152"/>
      <c r="AG1790" s="1153"/>
      <c r="AH1790" s="1153"/>
      <c r="AI1790" s="732">
        <f t="shared" si="227"/>
        <v>267228</v>
      </c>
      <c r="AJ1790" s="733">
        <f t="shared" si="228"/>
        <v>267228</v>
      </c>
    </row>
    <row r="1791" spans="1:36">
      <c r="A1791" s="1075" t="s">
        <v>746</v>
      </c>
      <c r="B1791" s="1017" t="s">
        <v>62</v>
      </c>
      <c r="C1791" s="1082" t="s">
        <v>1542</v>
      </c>
      <c r="D1791" s="1010"/>
      <c r="E1791" s="987">
        <v>218964</v>
      </c>
      <c r="F1791" s="988">
        <v>3</v>
      </c>
      <c r="G1791" s="1152">
        <v>14282615</v>
      </c>
      <c r="H1791" s="1153">
        <v>14282615</v>
      </c>
      <c r="I1791" s="1152"/>
      <c r="J1791" s="1153"/>
      <c r="K1791" s="1152"/>
      <c r="L1791" s="1153"/>
      <c r="M1791" s="1152">
        <v>79419531</v>
      </c>
      <c r="N1791" s="1152">
        <v>5892780</v>
      </c>
      <c r="O1791" s="732">
        <f t="shared" si="221"/>
        <v>85312311</v>
      </c>
      <c r="P1791" s="1159">
        <f>83472721-Q1791</f>
        <v>78201468</v>
      </c>
      <c r="Q1791" s="1153">
        <v>5271253</v>
      </c>
      <c r="R1791" s="733">
        <f t="shared" si="224"/>
        <v>83472721</v>
      </c>
      <c r="S1791" s="732">
        <f t="shared" si="225"/>
        <v>93702146</v>
      </c>
      <c r="T1791" s="733">
        <f t="shared" si="226"/>
        <v>92484083</v>
      </c>
      <c r="U1791" s="1152"/>
      <c r="V1791" s="1153"/>
      <c r="W1791" s="1152"/>
      <c r="X1791" s="1152"/>
      <c r="Y1791" s="732">
        <f t="shared" si="222"/>
        <v>0</v>
      </c>
      <c r="Z1791" s="1153"/>
      <c r="AA1791" s="1153"/>
      <c r="AB1791" s="733">
        <f t="shared" si="223"/>
        <v>0</v>
      </c>
      <c r="AC1791" s="1152"/>
      <c r="AD1791" s="1153"/>
      <c r="AE1791" s="1152"/>
      <c r="AF1791" s="1152"/>
      <c r="AG1791" s="1153"/>
      <c r="AH1791" s="1153"/>
      <c r="AI1791" s="732">
        <f t="shared" si="227"/>
        <v>93702146</v>
      </c>
      <c r="AJ1791" s="733">
        <f t="shared" si="228"/>
        <v>92484083</v>
      </c>
    </row>
    <row r="1792" spans="1:36">
      <c r="A1792" s="1075" t="s">
        <v>746</v>
      </c>
      <c r="B1792" s="1017" t="s">
        <v>62</v>
      </c>
      <c r="C1792" s="1076" t="s">
        <v>1518</v>
      </c>
      <c r="D1792" s="1010"/>
      <c r="E1792" s="987">
        <v>218964</v>
      </c>
      <c r="F1792" s="988">
        <v>3</v>
      </c>
      <c r="G1792" s="1152">
        <v>4835924</v>
      </c>
      <c r="H1792" s="1153">
        <v>4672385</v>
      </c>
      <c r="I1792" s="1152"/>
      <c r="J1792" s="1153"/>
      <c r="K1792" s="1152"/>
      <c r="L1792" s="1153"/>
      <c r="M1792" s="1152"/>
      <c r="N1792" s="1152"/>
      <c r="O1792" s="732">
        <f t="shared" si="221"/>
        <v>0</v>
      </c>
      <c r="P1792" s="1159"/>
      <c r="Q1792" s="1153"/>
      <c r="R1792" s="733">
        <f t="shared" si="224"/>
        <v>0</v>
      </c>
      <c r="S1792" s="732">
        <f t="shared" si="225"/>
        <v>4835924</v>
      </c>
      <c r="T1792" s="733">
        <f t="shared" si="226"/>
        <v>4672385</v>
      </c>
      <c r="U1792" s="1152"/>
      <c r="V1792" s="1153"/>
      <c r="W1792" s="1152"/>
      <c r="X1792" s="1152"/>
      <c r="Y1792" s="732">
        <f t="shared" si="222"/>
        <v>0</v>
      </c>
      <c r="Z1792" s="1153"/>
      <c r="AA1792" s="1153"/>
      <c r="AB1792" s="733">
        <f t="shared" si="223"/>
        <v>0</v>
      </c>
      <c r="AC1792" s="1152"/>
      <c r="AD1792" s="1153"/>
      <c r="AE1792" s="1152"/>
      <c r="AF1792" s="1152"/>
      <c r="AG1792" s="1153"/>
      <c r="AH1792" s="1153"/>
      <c r="AI1792" s="732">
        <f t="shared" si="227"/>
        <v>4835924</v>
      </c>
      <c r="AJ1792" s="733">
        <f t="shared" si="228"/>
        <v>4672385</v>
      </c>
    </row>
    <row r="1793" spans="1:36">
      <c r="A1793" s="1075" t="s">
        <v>746</v>
      </c>
      <c r="B1793" s="1017" t="s">
        <v>62</v>
      </c>
      <c r="C1793" s="1076" t="s">
        <v>1538</v>
      </c>
      <c r="D1793" s="1010"/>
      <c r="E1793" s="987">
        <v>218964</v>
      </c>
      <c r="F1793" s="988">
        <v>3</v>
      </c>
      <c r="G1793" s="1152">
        <v>1238076</v>
      </c>
      <c r="H1793" s="1153">
        <v>1238076</v>
      </c>
      <c r="I1793" s="1152"/>
      <c r="J1793" s="1153"/>
      <c r="K1793" s="1152"/>
      <c r="L1793" s="1153"/>
      <c r="M1793" s="1152"/>
      <c r="N1793" s="1152"/>
      <c r="O1793" s="732">
        <f t="shared" si="221"/>
        <v>0</v>
      </c>
      <c r="P1793" s="1159"/>
      <c r="Q1793" s="1153"/>
      <c r="R1793" s="733">
        <f t="shared" si="224"/>
        <v>0</v>
      </c>
      <c r="S1793" s="732">
        <f t="shared" si="225"/>
        <v>1238076</v>
      </c>
      <c r="T1793" s="733">
        <f t="shared" si="226"/>
        <v>1238076</v>
      </c>
      <c r="U1793" s="1152"/>
      <c r="V1793" s="1153"/>
      <c r="W1793" s="1152"/>
      <c r="X1793" s="1152"/>
      <c r="Y1793" s="732">
        <f t="shared" si="222"/>
        <v>0</v>
      </c>
      <c r="Z1793" s="1153"/>
      <c r="AA1793" s="1153"/>
      <c r="AB1793" s="733">
        <f t="shared" si="223"/>
        <v>0</v>
      </c>
      <c r="AC1793" s="1152"/>
      <c r="AD1793" s="1153"/>
      <c r="AE1793" s="1152"/>
      <c r="AF1793" s="1152"/>
      <c r="AG1793" s="1153"/>
      <c r="AH1793" s="1153"/>
      <c r="AI1793" s="732">
        <f t="shared" si="227"/>
        <v>1238076</v>
      </c>
      <c r="AJ1793" s="733">
        <f t="shared" si="228"/>
        <v>1238076</v>
      </c>
    </row>
    <row r="1794" spans="1:36">
      <c r="A1794" s="1075" t="s">
        <v>746</v>
      </c>
      <c r="B1794" s="1017" t="s">
        <v>78</v>
      </c>
      <c r="C1794" s="1077" t="s">
        <v>79</v>
      </c>
      <c r="D1794" s="1010"/>
      <c r="E1794" s="987">
        <v>218964</v>
      </c>
      <c r="F1794" s="988">
        <v>3</v>
      </c>
      <c r="G1794" s="1152"/>
      <c r="H1794" s="1153"/>
      <c r="I1794" s="1152"/>
      <c r="J1794" s="1153"/>
      <c r="K1794" s="1152"/>
      <c r="L1794" s="1153"/>
      <c r="M1794" s="1152"/>
      <c r="N1794" s="1152"/>
      <c r="O1794" s="732">
        <f t="shared" si="221"/>
        <v>0</v>
      </c>
      <c r="P1794" s="1159"/>
      <c r="Q1794" s="1153"/>
      <c r="R1794" s="733">
        <f t="shared" si="224"/>
        <v>0</v>
      </c>
      <c r="S1794" s="732">
        <f t="shared" si="225"/>
        <v>0</v>
      </c>
      <c r="T1794" s="733">
        <f t="shared" si="226"/>
        <v>0</v>
      </c>
      <c r="U1794" s="1152"/>
      <c r="V1794" s="1153"/>
      <c r="W1794" s="1152"/>
      <c r="X1794" s="1152"/>
      <c r="Y1794" s="732">
        <f t="shared" si="222"/>
        <v>0</v>
      </c>
      <c r="Z1794" s="1153"/>
      <c r="AA1794" s="1153"/>
      <c r="AB1794" s="733">
        <f t="shared" si="223"/>
        <v>0</v>
      </c>
      <c r="AC1794" s="1152"/>
      <c r="AD1794" s="1153"/>
      <c r="AE1794" s="1152"/>
      <c r="AF1794" s="1152"/>
      <c r="AG1794" s="1153"/>
      <c r="AH1794" s="1153"/>
      <c r="AI1794" s="732">
        <f t="shared" si="227"/>
        <v>0</v>
      </c>
      <c r="AJ1794" s="733">
        <f t="shared" si="228"/>
        <v>0</v>
      </c>
    </row>
    <row r="1795" spans="1:36">
      <c r="A1795" s="1075" t="s">
        <v>746</v>
      </c>
      <c r="B1795" s="1017" t="s">
        <v>78</v>
      </c>
      <c r="C1795" s="1076" t="s">
        <v>1543</v>
      </c>
      <c r="D1795" s="1010"/>
      <c r="E1795" s="987">
        <v>218964</v>
      </c>
      <c r="F1795" s="988">
        <v>3</v>
      </c>
      <c r="G1795" s="1152"/>
      <c r="H1795" s="1153"/>
      <c r="I1795" s="1152">
        <v>531680</v>
      </c>
      <c r="J1795" s="1153">
        <v>531680</v>
      </c>
      <c r="K1795" s="1152"/>
      <c r="L1795" s="1153"/>
      <c r="M1795" s="1152"/>
      <c r="N1795" s="1152"/>
      <c r="O1795" s="732">
        <f t="shared" si="221"/>
        <v>0</v>
      </c>
      <c r="P1795" s="1159"/>
      <c r="Q1795" s="1153"/>
      <c r="R1795" s="733">
        <f t="shared" si="224"/>
        <v>0</v>
      </c>
      <c r="S1795" s="732">
        <f t="shared" si="225"/>
        <v>531680</v>
      </c>
      <c r="T1795" s="733">
        <f t="shared" si="226"/>
        <v>531680</v>
      </c>
      <c r="U1795" s="1152"/>
      <c r="V1795" s="1153"/>
      <c r="W1795" s="1152"/>
      <c r="X1795" s="1152"/>
      <c r="Y1795" s="732">
        <f t="shared" si="222"/>
        <v>0</v>
      </c>
      <c r="Z1795" s="1153"/>
      <c r="AA1795" s="1153"/>
      <c r="AB1795" s="733">
        <f t="shared" si="223"/>
        <v>0</v>
      </c>
      <c r="AC1795" s="1152"/>
      <c r="AD1795" s="1153"/>
      <c r="AE1795" s="1152"/>
      <c r="AF1795" s="1152"/>
      <c r="AG1795" s="1153"/>
      <c r="AH1795" s="1153"/>
      <c r="AI1795" s="732">
        <f t="shared" si="227"/>
        <v>531680</v>
      </c>
      <c r="AJ1795" s="733">
        <f t="shared" si="228"/>
        <v>531680</v>
      </c>
    </row>
    <row r="1796" spans="1:36">
      <c r="A1796" s="1075" t="s">
        <v>746</v>
      </c>
      <c r="B1796" s="1017" t="s">
        <v>99</v>
      </c>
      <c r="C1796" s="1077" t="s">
        <v>1070</v>
      </c>
      <c r="D1796" s="1010"/>
      <c r="E1796" s="987">
        <v>218964</v>
      </c>
      <c r="F1796" s="988">
        <v>3</v>
      </c>
      <c r="G1796" s="1152"/>
      <c r="H1796" s="1153"/>
      <c r="I1796" s="1152"/>
      <c r="J1796" s="1153"/>
      <c r="K1796" s="1152"/>
      <c r="L1796" s="1153"/>
      <c r="M1796" s="1152"/>
      <c r="N1796" s="1152"/>
      <c r="O1796" s="732">
        <f t="shared" si="221"/>
        <v>0</v>
      </c>
      <c r="P1796" s="1159"/>
      <c r="Q1796" s="1153"/>
      <c r="R1796" s="733">
        <f t="shared" si="224"/>
        <v>0</v>
      </c>
      <c r="S1796" s="732">
        <f t="shared" si="225"/>
        <v>0</v>
      </c>
      <c r="T1796" s="733">
        <f t="shared" si="226"/>
        <v>0</v>
      </c>
      <c r="U1796" s="1152"/>
      <c r="V1796" s="1153"/>
      <c r="W1796" s="1152"/>
      <c r="X1796" s="1152"/>
      <c r="Y1796" s="732">
        <f t="shared" si="222"/>
        <v>0</v>
      </c>
      <c r="Z1796" s="1153"/>
      <c r="AA1796" s="1153"/>
      <c r="AB1796" s="733">
        <f t="shared" si="223"/>
        <v>0</v>
      </c>
      <c r="AC1796" s="1152"/>
      <c r="AD1796" s="1153"/>
      <c r="AE1796" s="1152"/>
      <c r="AF1796" s="1152"/>
      <c r="AG1796" s="1153"/>
      <c r="AH1796" s="1153"/>
      <c r="AI1796" s="732">
        <f t="shared" si="227"/>
        <v>0</v>
      </c>
      <c r="AJ1796" s="733">
        <f t="shared" si="228"/>
        <v>0</v>
      </c>
    </row>
    <row r="1797" spans="1:36">
      <c r="A1797" s="1075" t="s">
        <v>746</v>
      </c>
      <c r="B1797" s="1017" t="s">
        <v>99</v>
      </c>
      <c r="C1797" s="1076" t="s">
        <v>1523</v>
      </c>
      <c r="D1797" s="1010"/>
      <c r="E1797" s="987">
        <v>218964</v>
      </c>
      <c r="F1797" s="988">
        <v>3</v>
      </c>
      <c r="G1797" s="1152"/>
      <c r="H1797" s="1153"/>
      <c r="I1797" s="1152">
        <v>9010</v>
      </c>
      <c r="J1797" s="1153">
        <v>9010</v>
      </c>
      <c r="K1797" s="1152"/>
      <c r="L1797" s="1153"/>
      <c r="M1797" s="1152"/>
      <c r="N1797" s="1152"/>
      <c r="O1797" s="732">
        <f t="shared" si="221"/>
        <v>0</v>
      </c>
      <c r="P1797" s="1159"/>
      <c r="Q1797" s="1153"/>
      <c r="R1797" s="733">
        <f t="shared" si="224"/>
        <v>0</v>
      </c>
      <c r="S1797" s="732">
        <f t="shared" si="225"/>
        <v>9010</v>
      </c>
      <c r="T1797" s="733">
        <f t="shared" si="226"/>
        <v>9010</v>
      </c>
      <c r="U1797" s="1152"/>
      <c r="V1797" s="1153"/>
      <c r="W1797" s="1152"/>
      <c r="X1797" s="1152"/>
      <c r="Y1797" s="732">
        <f t="shared" si="222"/>
        <v>0</v>
      </c>
      <c r="Z1797" s="1153"/>
      <c r="AA1797" s="1153"/>
      <c r="AB1797" s="733">
        <f t="shared" si="223"/>
        <v>0</v>
      </c>
      <c r="AC1797" s="1152"/>
      <c r="AD1797" s="1153"/>
      <c r="AE1797" s="1152"/>
      <c r="AF1797" s="1152"/>
      <c r="AG1797" s="1153"/>
      <c r="AH1797" s="1153"/>
      <c r="AI1797" s="732">
        <f t="shared" si="227"/>
        <v>9010</v>
      </c>
      <c r="AJ1797" s="733">
        <f t="shared" si="228"/>
        <v>9010</v>
      </c>
    </row>
    <row r="1798" spans="1:36">
      <c r="A1798" s="1075" t="s">
        <v>746</v>
      </c>
      <c r="B1798" s="1017" t="s">
        <v>99</v>
      </c>
      <c r="C1798" s="1076" t="s">
        <v>1539</v>
      </c>
      <c r="D1798" s="1010"/>
      <c r="E1798" s="987">
        <v>218964</v>
      </c>
      <c r="F1798" s="988">
        <v>3</v>
      </c>
      <c r="G1798" s="1152"/>
      <c r="H1798" s="1153"/>
      <c r="I1798" s="1152">
        <v>362400</v>
      </c>
      <c r="J1798" s="1153">
        <v>362400</v>
      </c>
      <c r="K1798" s="1152"/>
      <c r="L1798" s="1153"/>
      <c r="M1798" s="1152"/>
      <c r="N1798" s="1152"/>
      <c r="O1798" s="732">
        <f t="shared" si="221"/>
        <v>0</v>
      </c>
      <c r="P1798" s="1159"/>
      <c r="Q1798" s="1153"/>
      <c r="R1798" s="733">
        <f t="shared" si="224"/>
        <v>0</v>
      </c>
      <c r="S1798" s="732">
        <f t="shared" si="225"/>
        <v>362400</v>
      </c>
      <c r="T1798" s="733">
        <f t="shared" si="226"/>
        <v>362400</v>
      </c>
      <c r="U1798" s="1152"/>
      <c r="V1798" s="1153"/>
      <c r="W1798" s="1152"/>
      <c r="X1798" s="1152"/>
      <c r="Y1798" s="732">
        <f t="shared" si="222"/>
        <v>0</v>
      </c>
      <c r="Z1798" s="1153"/>
      <c r="AA1798" s="1153"/>
      <c r="AB1798" s="733">
        <f t="shared" si="223"/>
        <v>0</v>
      </c>
      <c r="AC1798" s="1152"/>
      <c r="AD1798" s="1153"/>
      <c r="AE1798" s="1152"/>
      <c r="AF1798" s="1152"/>
      <c r="AG1798" s="1153"/>
      <c r="AH1798" s="1153"/>
      <c r="AI1798" s="732">
        <f t="shared" si="227"/>
        <v>362400</v>
      </c>
      <c r="AJ1798" s="733">
        <f t="shared" si="228"/>
        <v>362400</v>
      </c>
    </row>
    <row r="1799" spans="1:36" s="13" customFormat="1" ht="15" customHeight="1">
      <c r="A1799" s="1075" t="s">
        <v>746</v>
      </c>
      <c r="B1799" s="1017" t="s">
        <v>62</v>
      </c>
      <c r="C1799" s="1082" t="s">
        <v>1544</v>
      </c>
      <c r="D1799" s="1083"/>
      <c r="E1799" s="987">
        <v>218724</v>
      </c>
      <c r="F1799" s="988">
        <v>4</v>
      </c>
      <c r="G1799" s="1152">
        <v>12956336</v>
      </c>
      <c r="H1799" s="1153">
        <v>12956336</v>
      </c>
      <c r="I1799" s="1152"/>
      <c r="J1799" s="1153"/>
      <c r="K1799" s="1152">
        <v>371557</v>
      </c>
      <c r="L1799" s="1153">
        <v>1516280</v>
      </c>
      <c r="M1799" s="1152">
        <v>179890202</v>
      </c>
      <c r="N1799" s="1152">
        <v>6020076</v>
      </c>
      <c r="O1799" s="732">
        <f t="shared" si="221"/>
        <v>185910278</v>
      </c>
      <c r="P1799" s="1159">
        <f>175730163-Q1799</f>
        <v>169906244</v>
      </c>
      <c r="Q1799" s="1153">
        <v>5823919</v>
      </c>
      <c r="R1799" s="733">
        <f t="shared" si="224"/>
        <v>175730163</v>
      </c>
      <c r="S1799" s="732">
        <f t="shared" si="225"/>
        <v>193218095</v>
      </c>
      <c r="T1799" s="733">
        <f t="shared" si="226"/>
        <v>184378860</v>
      </c>
      <c r="U1799" s="1152"/>
      <c r="V1799" s="1153"/>
      <c r="W1799" s="1152"/>
      <c r="X1799" s="1152"/>
      <c r="Y1799" s="732">
        <f t="shared" si="222"/>
        <v>0</v>
      </c>
      <c r="Z1799" s="1153"/>
      <c r="AA1799" s="1153"/>
      <c r="AB1799" s="733">
        <f t="shared" si="223"/>
        <v>0</v>
      </c>
      <c r="AC1799" s="1152"/>
      <c r="AD1799" s="1153"/>
      <c r="AE1799" s="1152"/>
      <c r="AF1799" s="1152"/>
      <c r="AG1799" s="1153"/>
      <c r="AH1799" s="1153"/>
      <c r="AI1799" s="732">
        <f t="shared" si="227"/>
        <v>193218095</v>
      </c>
      <c r="AJ1799" s="733">
        <f t="shared" si="228"/>
        <v>184378860</v>
      </c>
    </row>
    <row r="1800" spans="1:36">
      <c r="A1800" s="1075" t="s">
        <v>746</v>
      </c>
      <c r="B1800" s="1017" t="s">
        <v>62</v>
      </c>
      <c r="C1800" s="1076" t="s">
        <v>1518</v>
      </c>
      <c r="D1800" s="1010"/>
      <c r="E1800" s="987">
        <v>218724</v>
      </c>
      <c r="F1800" s="988">
        <v>4</v>
      </c>
      <c r="G1800" s="1152">
        <v>3569235</v>
      </c>
      <c r="H1800" s="1153">
        <v>3526561</v>
      </c>
      <c r="I1800" s="1152"/>
      <c r="J1800" s="1153"/>
      <c r="K1800" s="1152"/>
      <c r="L1800" s="1153"/>
      <c r="M1800" s="1152"/>
      <c r="N1800" s="1152"/>
      <c r="O1800" s="732">
        <f t="shared" si="221"/>
        <v>0</v>
      </c>
      <c r="P1800" s="1159"/>
      <c r="Q1800" s="1153"/>
      <c r="R1800" s="733">
        <f t="shared" si="224"/>
        <v>0</v>
      </c>
      <c r="S1800" s="732">
        <f t="shared" si="225"/>
        <v>3569235</v>
      </c>
      <c r="T1800" s="733">
        <f t="shared" si="226"/>
        <v>3526561</v>
      </c>
      <c r="U1800" s="1152"/>
      <c r="V1800" s="1153"/>
      <c r="W1800" s="1152"/>
      <c r="X1800" s="1152"/>
      <c r="Y1800" s="732">
        <f t="shared" si="222"/>
        <v>0</v>
      </c>
      <c r="Z1800" s="1153"/>
      <c r="AA1800" s="1153"/>
      <c r="AB1800" s="733">
        <f t="shared" si="223"/>
        <v>0</v>
      </c>
      <c r="AC1800" s="1152"/>
      <c r="AD1800" s="1153"/>
      <c r="AE1800" s="1152"/>
      <c r="AF1800" s="1152"/>
      <c r="AG1800" s="1153"/>
      <c r="AH1800" s="1153"/>
      <c r="AI1800" s="732">
        <f t="shared" si="227"/>
        <v>3569235</v>
      </c>
      <c r="AJ1800" s="733">
        <f t="shared" si="228"/>
        <v>3526561</v>
      </c>
    </row>
    <row r="1801" spans="1:36">
      <c r="A1801" s="1075" t="s">
        <v>746</v>
      </c>
      <c r="B1801" s="1017" t="s">
        <v>62</v>
      </c>
      <c r="C1801" s="1076" t="s">
        <v>1538</v>
      </c>
      <c r="D1801" s="1010"/>
      <c r="E1801" s="987">
        <v>218724</v>
      </c>
      <c r="F1801" s="988">
        <v>4</v>
      </c>
      <c r="G1801" s="1152">
        <v>0</v>
      </c>
      <c r="H1801" s="1153">
        <v>0</v>
      </c>
      <c r="I1801" s="1152"/>
      <c r="J1801" s="1153"/>
      <c r="K1801" s="1152"/>
      <c r="L1801" s="1153"/>
      <c r="M1801" s="1152"/>
      <c r="N1801" s="1152"/>
      <c r="O1801" s="732">
        <f t="shared" si="221"/>
        <v>0</v>
      </c>
      <c r="P1801" s="1159"/>
      <c r="Q1801" s="1153"/>
      <c r="R1801" s="733">
        <f t="shared" si="224"/>
        <v>0</v>
      </c>
      <c r="S1801" s="732">
        <f t="shared" si="225"/>
        <v>0</v>
      </c>
      <c r="T1801" s="733">
        <f t="shared" si="226"/>
        <v>0</v>
      </c>
      <c r="U1801" s="1152"/>
      <c r="V1801" s="1153"/>
      <c r="W1801" s="1152"/>
      <c r="X1801" s="1152"/>
      <c r="Y1801" s="732">
        <f t="shared" si="222"/>
        <v>0</v>
      </c>
      <c r="Z1801" s="1153"/>
      <c r="AA1801" s="1153"/>
      <c r="AB1801" s="733">
        <f t="shared" si="223"/>
        <v>0</v>
      </c>
      <c r="AC1801" s="1152"/>
      <c r="AD1801" s="1153"/>
      <c r="AE1801" s="1152"/>
      <c r="AF1801" s="1152"/>
      <c r="AG1801" s="1153"/>
      <c r="AH1801" s="1153"/>
      <c r="AI1801" s="732">
        <f t="shared" si="227"/>
        <v>0</v>
      </c>
      <c r="AJ1801" s="733">
        <f t="shared" si="228"/>
        <v>0</v>
      </c>
    </row>
    <row r="1802" spans="1:36">
      <c r="A1802" s="1075" t="s">
        <v>746</v>
      </c>
      <c r="B1802" s="1017" t="s">
        <v>99</v>
      </c>
      <c r="C1802" s="1077" t="s">
        <v>1070</v>
      </c>
      <c r="D1802" s="1010"/>
      <c r="E1802" s="987">
        <v>218724</v>
      </c>
      <c r="F1802" s="988">
        <v>4</v>
      </c>
      <c r="G1802" s="1152"/>
      <c r="H1802" s="1153"/>
      <c r="I1802" s="1152"/>
      <c r="J1802" s="1153"/>
      <c r="K1802" s="1152"/>
      <c r="L1802" s="1153"/>
      <c r="M1802" s="1152"/>
      <c r="N1802" s="1152"/>
      <c r="O1802" s="732">
        <f t="shared" ref="O1802:O1865" si="229">SUM(M1802:N1802)</f>
        <v>0</v>
      </c>
      <c r="P1802" s="1159"/>
      <c r="Q1802" s="1153"/>
      <c r="R1802" s="733">
        <f t="shared" si="224"/>
        <v>0</v>
      </c>
      <c r="S1802" s="732">
        <f t="shared" si="225"/>
        <v>0</v>
      </c>
      <c r="T1802" s="733">
        <f t="shared" si="226"/>
        <v>0</v>
      </c>
      <c r="U1802" s="1152"/>
      <c r="V1802" s="1153"/>
      <c r="W1802" s="1152"/>
      <c r="X1802" s="1152"/>
      <c r="Y1802" s="732">
        <f t="shared" ref="Y1802:Y1865" si="230">SUM(W1802:X1802)</f>
        <v>0</v>
      </c>
      <c r="Z1802" s="1153"/>
      <c r="AA1802" s="1153"/>
      <c r="AB1802" s="733">
        <f t="shared" ref="AB1802:AB1865" si="231">SUM(Z1802:AA1802)</f>
        <v>0</v>
      </c>
      <c r="AC1802" s="1152"/>
      <c r="AD1802" s="1153"/>
      <c r="AE1802" s="1152"/>
      <c r="AF1802" s="1152"/>
      <c r="AG1802" s="1153"/>
      <c r="AH1802" s="1153"/>
      <c r="AI1802" s="732">
        <f t="shared" si="227"/>
        <v>0</v>
      </c>
      <c r="AJ1802" s="733">
        <f t="shared" si="228"/>
        <v>0</v>
      </c>
    </row>
    <row r="1803" spans="1:36">
      <c r="A1803" s="1075" t="s">
        <v>746</v>
      </c>
      <c r="B1803" s="1017" t="s">
        <v>99</v>
      </c>
      <c r="C1803" s="1076" t="s">
        <v>1523</v>
      </c>
      <c r="D1803" s="1010"/>
      <c r="E1803" s="987">
        <v>218724</v>
      </c>
      <c r="F1803" s="988">
        <v>4</v>
      </c>
      <c r="G1803" s="1152"/>
      <c r="H1803" s="1153"/>
      <c r="I1803" s="1152">
        <v>6072</v>
      </c>
      <c r="J1803" s="1153">
        <v>6072</v>
      </c>
      <c r="K1803" s="1152"/>
      <c r="L1803" s="1153"/>
      <c r="M1803" s="1152"/>
      <c r="N1803" s="1152"/>
      <c r="O1803" s="732">
        <f t="shared" si="229"/>
        <v>0</v>
      </c>
      <c r="P1803" s="1159"/>
      <c r="Q1803" s="1153"/>
      <c r="R1803" s="733">
        <f t="shared" ref="R1803:R1866" si="232">SUM(P1803:Q1803)</f>
        <v>0</v>
      </c>
      <c r="S1803" s="732">
        <f t="shared" ref="S1803:S1866" si="233">SUM(G1803,I1803,K1803,M1803)</f>
        <v>6072</v>
      </c>
      <c r="T1803" s="733">
        <f t="shared" ref="T1803:T1866" si="234">SUM(H1803,J1803,L1803,P1803)</f>
        <v>6072</v>
      </c>
      <c r="U1803" s="1152"/>
      <c r="V1803" s="1153"/>
      <c r="W1803" s="1152"/>
      <c r="X1803" s="1152"/>
      <c r="Y1803" s="732">
        <f t="shared" si="230"/>
        <v>0</v>
      </c>
      <c r="Z1803" s="1153"/>
      <c r="AA1803" s="1153"/>
      <c r="AB1803" s="733">
        <f t="shared" si="231"/>
        <v>0</v>
      </c>
      <c r="AC1803" s="1152"/>
      <c r="AD1803" s="1153"/>
      <c r="AE1803" s="1152"/>
      <c r="AF1803" s="1152"/>
      <c r="AG1803" s="1153"/>
      <c r="AH1803" s="1153"/>
      <c r="AI1803" s="732">
        <f t="shared" ref="AI1803:AI1866" si="235">SUM(S1803,U1803,W1803,AC1803,AE1803)</f>
        <v>6072</v>
      </c>
      <c r="AJ1803" s="733">
        <f t="shared" ref="AJ1803:AJ1866" si="236">SUM(T1803,V1803,Z1803,AD1803,AG1803)</f>
        <v>6072</v>
      </c>
    </row>
    <row r="1804" spans="1:36">
      <c r="A1804" s="1075" t="s">
        <v>746</v>
      </c>
      <c r="B1804" s="1017" t="s">
        <v>99</v>
      </c>
      <c r="C1804" s="1076" t="s">
        <v>1539</v>
      </c>
      <c r="D1804" s="1010"/>
      <c r="E1804" s="987">
        <v>218724</v>
      </c>
      <c r="F1804" s="988">
        <v>4</v>
      </c>
      <c r="G1804" s="1152"/>
      <c r="H1804" s="1153"/>
      <c r="I1804" s="1152">
        <v>591366</v>
      </c>
      <c r="J1804" s="1153">
        <v>591366</v>
      </c>
      <c r="K1804" s="1152"/>
      <c r="L1804" s="1153"/>
      <c r="M1804" s="1152"/>
      <c r="N1804" s="1152"/>
      <c r="O1804" s="732">
        <f t="shared" si="229"/>
        <v>0</v>
      </c>
      <c r="P1804" s="1159"/>
      <c r="Q1804" s="1153"/>
      <c r="R1804" s="733">
        <f t="shared" si="232"/>
        <v>0</v>
      </c>
      <c r="S1804" s="732">
        <f t="shared" si="233"/>
        <v>591366</v>
      </c>
      <c r="T1804" s="733">
        <f t="shared" si="234"/>
        <v>591366</v>
      </c>
      <c r="U1804" s="1152"/>
      <c r="V1804" s="1153"/>
      <c r="W1804" s="1152"/>
      <c r="X1804" s="1152"/>
      <c r="Y1804" s="732">
        <f t="shared" si="230"/>
        <v>0</v>
      </c>
      <c r="Z1804" s="1153"/>
      <c r="AA1804" s="1153"/>
      <c r="AB1804" s="733">
        <f t="shared" si="231"/>
        <v>0</v>
      </c>
      <c r="AC1804" s="1152"/>
      <c r="AD1804" s="1153"/>
      <c r="AE1804" s="1152"/>
      <c r="AF1804" s="1152"/>
      <c r="AG1804" s="1153"/>
      <c r="AH1804" s="1153"/>
      <c r="AI1804" s="732">
        <f t="shared" si="235"/>
        <v>591366</v>
      </c>
      <c r="AJ1804" s="733">
        <f t="shared" si="236"/>
        <v>591366</v>
      </c>
    </row>
    <row r="1805" spans="1:36">
      <c r="A1805" s="1075" t="s">
        <v>746</v>
      </c>
      <c r="B1805" s="1017" t="s">
        <v>62</v>
      </c>
      <c r="C1805" s="1082" t="s">
        <v>1545</v>
      </c>
      <c r="D1805" s="1010"/>
      <c r="E1805" s="987">
        <v>218061</v>
      </c>
      <c r="F1805" s="988">
        <v>5</v>
      </c>
      <c r="G1805" s="1152">
        <v>12313351</v>
      </c>
      <c r="H1805" s="1153">
        <v>12313351</v>
      </c>
      <c r="I1805" s="1152"/>
      <c r="J1805" s="1153"/>
      <c r="K1805" s="1152"/>
      <c r="L1805" s="1153"/>
      <c r="M1805" s="1152">
        <v>42146145</v>
      </c>
      <c r="N1805" s="1152">
        <v>673153</v>
      </c>
      <c r="O1805" s="732">
        <f t="shared" si="229"/>
        <v>42819298</v>
      </c>
      <c r="P1805" s="1159">
        <f>40404911-Q1805</f>
        <v>39731758</v>
      </c>
      <c r="Q1805" s="1153">
        <v>673153</v>
      </c>
      <c r="R1805" s="733">
        <f t="shared" si="232"/>
        <v>40404911</v>
      </c>
      <c r="S1805" s="732">
        <f t="shared" si="233"/>
        <v>54459496</v>
      </c>
      <c r="T1805" s="733">
        <f t="shared" si="234"/>
        <v>52045109</v>
      </c>
      <c r="U1805" s="1152"/>
      <c r="V1805" s="1153"/>
      <c r="W1805" s="1152"/>
      <c r="X1805" s="1152"/>
      <c r="Y1805" s="732">
        <f t="shared" si="230"/>
        <v>0</v>
      </c>
      <c r="Z1805" s="1153"/>
      <c r="AA1805" s="1153"/>
      <c r="AB1805" s="733">
        <f t="shared" si="231"/>
        <v>0</v>
      </c>
      <c r="AC1805" s="1152"/>
      <c r="AD1805" s="1153"/>
      <c r="AE1805" s="1152"/>
      <c r="AF1805" s="1152"/>
      <c r="AG1805" s="1153"/>
      <c r="AH1805" s="1153"/>
      <c r="AI1805" s="732">
        <f t="shared" si="235"/>
        <v>54459496</v>
      </c>
      <c r="AJ1805" s="733">
        <f t="shared" si="236"/>
        <v>52045109</v>
      </c>
    </row>
    <row r="1806" spans="1:36">
      <c r="A1806" s="1075" t="s">
        <v>746</v>
      </c>
      <c r="B1806" s="1017" t="s">
        <v>62</v>
      </c>
      <c r="C1806" s="1076" t="s">
        <v>1518</v>
      </c>
      <c r="D1806" s="1010"/>
      <c r="E1806" s="987">
        <v>218061</v>
      </c>
      <c r="F1806" s="988">
        <v>5</v>
      </c>
      <c r="G1806" s="1152">
        <v>4214049</v>
      </c>
      <c r="H1806" s="1153">
        <v>4091863</v>
      </c>
      <c r="I1806" s="1152"/>
      <c r="J1806" s="1153"/>
      <c r="K1806" s="1152"/>
      <c r="L1806" s="1153"/>
      <c r="M1806" s="1152"/>
      <c r="N1806" s="1152"/>
      <c r="O1806" s="732">
        <f t="shared" si="229"/>
        <v>0</v>
      </c>
      <c r="P1806" s="1159"/>
      <c r="Q1806" s="1153"/>
      <c r="R1806" s="733">
        <f t="shared" si="232"/>
        <v>0</v>
      </c>
      <c r="S1806" s="732">
        <f t="shared" si="233"/>
        <v>4214049</v>
      </c>
      <c r="T1806" s="733">
        <f t="shared" si="234"/>
        <v>4091863</v>
      </c>
      <c r="U1806" s="1152"/>
      <c r="V1806" s="1153"/>
      <c r="W1806" s="1152"/>
      <c r="X1806" s="1152"/>
      <c r="Y1806" s="732">
        <f t="shared" si="230"/>
        <v>0</v>
      </c>
      <c r="Z1806" s="1153"/>
      <c r="AA1806" s="1153"/>
      <c r="AB1806" s="733">
        <f t="shared" si="231"/>
        <v>0</v>
      </c>
      <c r="AC1806" s="1152"/>
      <c r="AD1806" s="1153"/>
      <c r="AE1806" s="1152"/>
      <c r="AF1806" s="1152"/>
      <c r="AG1806" s="1153"/>
      <c r="AH1806" s="1153"/>
      <c r="AI1806" s="732">
        <f t="shared" si="235"/>
        <v>4214049</v>
      </c>
      <c r="AJ1806" s="733">
        <f t="shared" si="236"/>
        <v>4091863</v>
      </c>
    </row>
    <row r="1807" spans="1:36">
      <c r="A1807" s="1075" t="s">
        <v>746</v>
      </c>
      <c r="B1807" s="1017" t="s">
        <v>62</v>
      </c>
      <c r="C1807" s="1076" t="s">
        <v>1538</v>
      </c>
      <c r="D1807" s="1010"/>
      <c r="E1807" s="987">
        <v>218061</v>
      </c>
      <c r="F1807" s="988">
        <v>5</v>
      </c>
      <c r="G1807" s="1152">
        <v>2116448</v>
      </c>
      <c r="H1807" s="1153">
        <v>2116448</v>
      </c>
      <c r="I1807" s="1152"/>
      <c r="J1807" s="1153"/>
      <c r="K1807" s="1152"/>
      <c r="L1807" s="1153"/>
      <c r="M1807" s="1152"/>
      <c r="N1807" s="1152"/>
      <c r="O1807" s="732">
        <f t="shared" si="229"/>
        <v>0</v>
      </c>
      <c r="P1807" s="1159"/>
      <c r="Q1807" s="1153"/>
      <c r="R1807" s="733">
        <f t="shared" si="232"/>
        <v>0</v>
      </c>
      <c r="S1807" s="732">
        <f t="shared" si="233"/>
        <v>2116448</v>
      </c>
      <c r="T1807" s="733">
        <f t="shared" si="234"/>
        <v>2116448</v>
      </c>
      <c r="U1807" s="1152"/>
      <c r="V1807" s="1153"/>
      <c r="W1807" s="1152"/>
      <c r="X1807" s="1152"/>
      <c r="Y1807" s="732">
        <f t="shared" si="230"/>
        <v>0</v>
      </c>
      <c r="Z1807" s="1153"/>
      <c r="AA1807" s="1153"/>
      <c r="AB1807" s="733">
        <f t="shared" si="231"/>
        <v>0</v>
      </c>
      <c r="AC1807" s="1152"/>
      <c r="AD1807" s="1153"/>
      <c r="AE1807" s="1152"/>
      <c r="AF1807" s="1152"/>
      <c r="AG1807" s="1153"/>
      <c r="AH1807" s="1153"/>
      <c r="AI1807" s="732">
        <f t="shared" si="235"/>
        <v>2116448</v>
      </c>
      <c r="AJ1807" s="733">
        <f t="shared" si="236"/>
        <v>2116448</v>
      </c>
    </row>
    <row r="1808" spans="1:36">
      <c r="A1808" s="1075" t="s">
        <v>746</v>
      </c>
      <c r="B1808" s="1017" t="s">
        <v>69</v>
      </c>
      <c r="C1808" s="1078" t="s">
        <v>70</v>
      </c>
      <c r="D1808" s="1010"/>
      <c r="E1808" s="987">
        <v>218061</v>
      </c>
      <c r="F1808" s="988">
        <v>5</v>
      </c>
      <c r="G1808" s="1152"/>
      <c r="H1808" s="1153"/>
      <c r="I1808" s="1152"/>
      <c r="J1808" s="1153"/>
      <c r="K1808" s="1152"/>
      <c r="L1808" s="1153"/>
      <c r="M1808" s="1152"/>
      <c r="N1808" s="1152"/>
      <c r="O1808" s="732">
        <f t="shared" si="229"/>
        <v>0</v>
      </c>
      <c r="P1808" s="1159"/>
      <c r="Q1808" s="1153"/>
      <c r="R1808" s="733">
        <f t="shared" si="232"/>
        <v>0</v>
      </c>
      <c r="S1808" s="732">
        <f t="shared" si="233"/>
        <v>0</v>
      </c>
      <c r="T1808" s="733">
        <f t="shared" si="234"/>
        <v>0</v>
      </c>
      <c r="U1808" s="1152"/>
      <c r="V1808" s="1153"/>
      <c r="W1808" s="1152"/>
      <c r="X1808" s="1152"/>
      <c r="Y1808" s="732">
        <f t="shared" si="230"/>
        <v>0</v>
      </c>
      <c r="Z1808" s="1153"/>
      <c r="AA1808" s="1153"/>
      <c r="AB1808" s="733">
        <f t="shared" si="231"/>
        <v>0</v>
      </c>
      <c r="AC1808" s="1152"/>
      <c r="AD1808" s="1153"/>
      <c r="AE1808" s="1152"/>
      <c r="AF1808" s="1152"/>
      <c r="AG1808" s="1153"/>
      <c r="AH1808" s="1153"/>
      <c r="AI1808" s="732">
        <f t="shared" si="235"/>
        <v>0</v>
      </c>
      <c r="AJ1808" s="733">
        <f t="shared" si="236"/>
        <v>0</v>
      </c>
    </row>
    <row r="1809" spans="1:36">
      <c r="A1809" s="1075" t="s">
        <v>746</v>
      </c>
      <c r="B1809" s="1017" t="s">
        <v>78</v>
      </c>
      <c r="C1809" s="1078" t="s">
        <v>79</v>
      </c>
      <c r="D1809" s="1010"/>
      <c r="E1809" s="987">
        <v>218061</v>
      </c>
      <c r="F1809" s="988">
        <v>5</v>
      </c>
      <c r="G1809" s="1152"/>
      <c r="H1809" s="1153"/>
      <c r="I1809" s="1152"/>
      <c r="J1809" s="1153"/>
      <c r="K1809" s="1152"/>
      <c r="L1809" s="1153"/>
      <c r="M1809" s="1152"/>
      <c r="N1809" s="1152"/>
      <c r="O1809" s="732">
        <f t="shared" si="229"/>
        <v>0</v>
      </c>
      <c r="P1809" s="1159"/>
      <c r="Q1809" s="1153"/>
      <c r="R1809" s="733">
        <f t="shared" si="232"/>
        <v>0</v>
      </c>
      <c r="S1809" s="732">
        <f t="shared" si="233"/>
        <v>0</v>
      </c>
      <c r="T1809" s="733">
        <f t="shared" si="234"/>
        <v>0</v>
      </c>
      <c r="U1809" s="1152"/>
      <c r="V1809" s="1153"/>
      <c r="W1809" s="1152"/>
      <c r="X1809" s="1152"/>
      <c r="Y1809" s="732">
        <f t="shared" si="230"/>
        <v>0</v>
      </c>
      <c r="Z1809" s="1153"/>
      <c r="AA1809" s="1153"/>
      <c r="AB1809" s="733">
        <f t="shared" si="231"/>
        <v>0</v>
      </c>
      <c r="AC1809" s="1152"/>
      <c r="AD1809" s="1153"/>
      <c r="AE1809" s="1152"/>
      <c r="AF1809" s="1152"/>
      <c r="AG1809" s="1153"/>
      <c r="AH1809" s="1153"/>
      <c r="AI1809" s="732">
        <f t="shared" si="235"/>
        <v>0</v>
      </c>
      <c r="AJ1809" s="733">
        <f t="shared" si="236"/>
        <v>0</v>
      </c>
    </row>
    <row r="1810" spans="1:36">
      <c r="A1810" s="1075" t="s">
        <v>746</v>
      </c>
      <c r="B1810" s="1017" t="s">
        <v>78</v>
      </c>
      <c r="C1810" s="1076" t="s">
        <v>1546</v>
      </c>
      <c r="D1810" s="1010"/>
      <c r="E1810" s="987">
        <v>218061</v>
      </c>
      <c r="F1810" s="988">
        <v>5</v>
      </c>
      <c r="G1810" s="1152"/>
      <c r="H1810" s="1153"/>
      <c r="I1810" s="1152">
        <v>350000</v>
      </c>
      <c r="J1810" s="1153">
        <v>350000</v>
      </c>
      <c r="K1810" s="1152"/>
      <c r="L1810" s="1153"/>
      <c r="M1810" s="1152"/>
      <c r="N1810" s="1152"/>
      <c r="O1810" s="732">
        <f t="shared" si="229"/>
        <v>0</v>
      </c>
      <c r="P1810" s="1159"/>
      <c r="Q1810" s="1153"/>
      <c r="R1810" s="733">
        <f t="shared" si="232"/>
        <v>0</v>
      </c>
      <c r="S1810" s="732">
        <f t="shared" si="233"/>
        <v>350000</v>
      </c>
      <c r="T1810" s="733">
        <f t="shared" si="234"/>
        <v>350000</v>
      </c>
      <c r="U1810" s="1152"/>
      <c r="V1810" s="1153"/>
      <c r="W1810" s="1152"/>
      <c r="X1810" s="1152"/>
      <c r="Y1810" s="732">
        <f t="shared" si="230"/>
        <v>0</v>
      </c>
      <c r="Z1810" s="1153"/>
      <c r="AA1810" s="1153"/>
      <c r="AB1810" s="733">
        <f t="shared" si="231"/>
        <v>0</v>
      </c>
      <c r="AC1810" s="1152"/>
      <c r="AD1810" s="1153"/>
      <c r="AE1810" s="1152"/>
      <c r="AF1810" s="1152"/>
      <c r="AG1810" s="1153"/>
      <c r="AH1810" s="1153"/>
      <c r="AI1810" s="732">
        <f t="shared" si="235"/>
        <v>350000</v>
      </c>
      <c r="AJ1810" s="733">
        <f t="shared" si="236"/>
        <v>350000</v>
      </c>
    </row>
    <row r="1811" spans="1:36">
      <c r="A1811" s="1075" t="s">
        <v>746</v>
      </c>
      <c r="B1811" s="1017" t="s">
        <v>99</v>
      </c>
      <c r="C1811" s="1077" t="s">
        <v>1070</v>
      </c>
      <c r="D1811" s="1010"/>
      <c r="E1811" s="987">
        <v>218061</v>
      </c>
      <c r="F1811" s="988">
        <v>5</v>
      </c>
      <c r="G1811" s="1152"/>
      <c r="H1811" s="1153"/>
      <c r="I1811" s="1152"/>
      <c r="J1811" s="1153"/>
      <c r="K1811" s="1152"/>
      <c r="L1811" s="1153"/>
      <c r="M1811" s="1152"/>
      <c r="N1811" s="1152"/>
      <c r="O1811" s="732">
        <f t="shared" si="229"/>
        <v>0</v>
      </c>
      <c r="P1811" s="1159"/>
      <c r="Q1811" s="1153"/>
      <c r="R1811" s="733">
        <f t="shared" si="232"/>
        <v>0</v>
      </c>
      <c r="S1811" s="732">
        <f t="shared" si="233"/>
        <v>0</v>
      </c>
      <c r="T1811" s="733">
        <f t="shared" si="234"/>
        <v>0</v>
      </c>
      <c r="U1811" s="1152"/>
      <c r="V1811" s="1153"/>
      <c r="W1811" s="1152"/>
      <c r="X1811" s="1152"/>
      <c r="Y1811" s="732">
        <f t="shared" si="230"/>
        <v>0</v>
      </c>
      <c r="Z1811" s="1153"/>
      <c r="AA1811" s="1153"/>
      <c r="AB1811" s="733">
        <f t="shared" si="231"/>
        <v>0</v>
      </c>
      <c r="AC1811" s="1152"/>
      <c r="AD1811" s="1153"/>
      <c r="AE1811" s="1152"/>
      <c r="AF1811" s="1152"/>
      <c r="AG1811" s="1153"/>
      <c r="AH1811" s="1153"/>
      <c r="AI1811" s="732">
        <f t="shared" si="235"/>
        <v>0</v>
      </c>
      <c r="AJ1811" s="733">
        <f t="shared" si="236"/>
        <v>0</v>
      </c>
    </row>
    <row r="1812" spans="1:36">
      <c r="A1812" s="1075" t="s">
        <v>746</v>
      </c>
      <c r="B1812" s="1017" t="s">
        <v>99</v>
      </c>
      <c r="C1812" s="1076" t="s">
        <v>1523</v>
      </c>
      <c r="D1812" s="1010"/>
      <c r="E1812" s="987">
        <v>218061</v>
      </c>
      <c r="F1812" s="988">
        <v>5</v>
      </c>
      <c r="G1812" s="1152"/>
      <c r="H1812" s="1153"/>
      <c r="I1812" s="1152">
        <v>4556</v>
      </c>
      <c r="J1812" s="1153">
        <v>4556</v>
      </c>
      <c r="K1812" s="1152"/>
      <c r="L1812" s="1153"/>
      <c r="M1812" s="1152"/>
      <c r="N1812" s="1152"/>
      <c r="O1812" s="732">
        <f t="shared" si="229"/>
        <v>0</v>
      </c>
      <c r="P1812" s="1159"/>
      <c r="Q1812" s="1153"/>
      <c r="R1812" s="733">
        <f t="shared" si="232"/>
        <v>0</v>
      </c>
      <c r="S1812" s="732">
        <f t="shared" si="233"/>
        <v>4556</v>
      </c>
      <c r="T1812" s="733">
        <f t="shared" si="234"/>
        <v>4556</v>
      </c>
      <c r="U1812" s="1152"/>
      <c r="V1812" s="1153"/>
      <c r="W1812" s="1152"/>
      <c r="X1812" s="1152"/>
      <c r="Y1812" s="732">
        <f t="shared" si="230"/>
        <v>0</v>
      </c>
      <c r="Z1812" s="1153"/>
      <c r="AA1812" s="1153"/>
      <c r="AB1812" s="733">
        <f t="shared" si="231"/>
        <v>0</v>
      </c>
      <c r="AC1812" s="1152"/>
      <c r="AD1812" s="1153"/>
      <c r="AE1812" s="1152"/>
      <c r="AF1812" s="1152"/>
      <c r="AG1812" s="1153"/>
      <c r="AH1812" s="1153"/>
      <c r="AI1812" s="732">
        <f t="shared" si="235"/>
        <v>4556</v>
      </c>
      <c r="AJ1812" s="733">
        <f t="shared" si="236"/>
        <v>4556</v>
      </c>
    </row>
    <row r="1813" spans="1:36">
      <c r="A1813" s="1075" t="s">
        <v>746</v>
      </c>
      <c r="B1813" s="1017" t="s">
        <v>99</v>
      </c>
      <c r="C1813" s="1076" t="s">
        <v>1539</v>
      </c>
      <c r="D1813" s="1010"/>
      <c r="E1813" s="987">
        <v>218061</v>
      </c>
      <c r="F1813" s="988">
        <v>5</v>
      </c>
      <c r="G1813" s="1152"/>
      <c r="H1813" s="1153"/>
      <c r="I1813" s="1152">
        <v>260984</v>
      </c>
      <c r="J1813" s="1153">
        <v>260984</v>
      </c>
      <c r="K1813" s="1152"/>
      <c r="L1813" s="1153"/>
      <c r="M1813" s="1152"/>
      <c r="N1813" s="1152"/>
      <c r="O1813" s="732">
        <f t="shared" si="229"/>
        <v>0</v>
      </c>
      <c r="P1813" s="1159"/>
      <c r="Q1813" s="1153"/>
      <c r="R1813" s="733">
        <f t="shared" si="232"/>
        <v>0</v>
      </c>
      <c r="S1813" s="732">
        <f t="shared" si="233"/>
        <v>260984</v>
      </c>
      <c r="T1813" s="733">
        <f t="shared" si="234"/>
        <v>260984</v>
      </c>
      <c r="U1813" s="1152"/>
      <c r="V1813" s="1153"/>
      <c r="W1813" s="1152"/>
      <c r="X1813" s="1152"/>
      <c r="Y1813" s="732">
        <f t="shared" si="230"/>
        <v>0</v>
      </c>
      <c r="Z1813" s="1153"/>
      <c r="AA1813" s="1153"/>
      <c r="AB1813" s="733">
        <f t="shared" si="231"/>
        <v>0</v>
      </c>
      <c r="AC1813" s="1152"/>
      <c r="AD1813" s="1153"/>
      <c r="AE1813" s="1152"/>
      <c r="AF1813" s="1152"/>
      <c r="AG1813" s="1153"/>
      <c r="AH1813" s="1153"/>
      <c r="AI1813" s="732">
        <f t="shared" si="235"/>
        <v>260984</v>
      </c>
      <c r="AJ1813" s="733">
        <f t="shared" si="236"/>
        <v>260984</v>
      </c>
    </row>
    <row r="1814" spans="1:36">
      <c r="A1814" s="1075" t="s">
        <v>746</v>
      </c>
      <c r="B1814" s="1017" t="s">
        <v>62</v>
      </c>
      <c r="C1814" s="1082" t="s">
        <v>1547</v>
      </c>
      <c r="D1814" s="1010"/>
      <c r="E1814" s="987">
        <v>218733</v>
      </c>
      <c r="F1814" s="988">
        <v>5</v>
      </c>
      <c r="G1814" s="1152">
        <v>11135633</v>
      </c>
      <c r="H1814" s="1153">
        <v>11135633</v>
      </c>
      <c r="I1814" s="1152"/>
      <c r="J1814" s="1153"/>
      <c r="K1814" s="1152"/>
      <c r="L1814" s="1153"/>
      <c r="M1814" s="1152">
        <v>26934657</v>
      </c>
      <c r="N1814" s="1152">
        <v>2426000</v>
      </c>
      <c r="O1814" s="732">
        <f t="shared" si="229"/>
        <v>29360657</v>
      </c>
      <c r="P1814" s="1159">
        <v>23741511</v>
      </c>
      <c r="Q1814" s="1153">
        <v>2427333</v>
      </c>
      <c r="R1814" s="733">
        <f t="shared" si="232"/>
        <v>26168844</v>
      </c>
      <c r="S1814" s="732">
        <f t="shared" si="233"/>
        <v>38070290</v>
      </c>
      <c r="T1814" s="733">
        <f t="shared" si="234"/>
        <v>34877144</v>
      </c>
      <c r="U1814" s="1152"/>
      <c r="V1814" s="1153"/>
      <c r="W1814" s="1152"/>
      <c r="X1814" s="1152"/>
      <c r="Y1814" s="732">
        <f t="shared" si="230"/>
        <v>0</v>
      </c>
      <c r="Z1814" s="1153"/>
      <c r="AA1814" s="1153"/>
      <c r="AB1814" s="733">
        <f t="shared" si="231"/>
        <v>0</v>
      </c>
      <c r="AC1814" s="1152"/>
      <c r="AD1814" s="1153"/>
      <c r="AE1814" s="1152"/>
      <c r="AF1814" s="1152"/>
      <c r="AG1814" s="1153"/>
      <c r="AH1814" s="1153"/>
      <c r="AI1814" s="732">
        <f t="shared" si="235"/>
        <v>38070290</v>
      </c>
      <c r="AJ1814" s="733">
        <f t="shared" si="236"/>
        <v>34877144</v>
      </c>
    </row>
    <row r="1815" spans="1:36">
      <c r="A1815" s="1075" t="s">
        <v>746</v>
      </c>
      <c r="B1815" s="1017" t="s">
        <v>62</v>
      </c>
      <c r="C1815" s="1076" t="s">
        <v>1518</v>
      </c>
      <c r="D1815" s="1010"/>
      <c r="E1815" s="987">
        <v>218733</v>
      </c>
      <c r="F1815" s="988">
        <v>5</v>
      </c>
      <c r="G1815" s="1152">
        <v>4663723</v>
      </c>
      <c r="H1815" s="1153">
        <v>4587006</v>
      </c>
      <c r="I1815" s="1152"/>
      <c r="J1815" s="1153"/>
      <c r="K1815" s="1152"/>
      <c r="L1815" s="1153"/>
      <c r="M1815" s="1152"/>
      <c r="N1815" s="1152"/>
      <c r="O1815" s="732">
        <f t="shared" si="229"/>
        <v>0</v>
      </c>
      <c r="P1815" s="1159"/>
      <c r="Q1815" s="1153"/>
      <c r="R1815" s="733">
        <f t="shared" si="232"/>
        <v>0</v>
      </c>
      <c r="S1815" s="732">
        <f t="shared" si="233"/>
        <v>4663723</v>
      </c>
      <c r="T1815" s="733">
        <f t="shared" si="234"/>
        <v>4587006</v>
      </c>
      <c r="U1815" s="1152"/>
      <c r="V1815" s="1153"/>
      <c r="W1815" s="1152"/>
      <c r="X1815" s="1152"/>
      <c r="Y1815" s="732">
        <f t="shared" si="230"/>
        <v>0</v>
      </c>
      <c r="Z1815" s="1153"/>
      <c r="AA1815" s="1153"/>
      <c r="AB1815" s="733">
        <f t="shared" si="231"/>
        <v>0</v>
      </c>
      <c r="AC1815" s="1152"/>
      <c r="AD1815" s="1153"/>
      <c r="AE1815" s="1152"/>
      <c r="AF1815" s="1152"/>
      <c r="AG1815" s="1153"/>
      <c r="AH1815" s="1153"/>
      <c r="AI1815" s="732">
        <f t="shared" si="235"/>
        <v>4663723</v>
      </c>
      <c r="AJ1815" s="733">
        <f t="shared" si="236"/>
        <v>4587006</v>
      </c>
    </row>
    <row r="1816" spans="1:36">
      <c r="A1816" s="1075" t="s">
        <v>746</v>
      </c>
      <c r="B1816" s="1017" t="s">
        <v>62</v>
      </c>
      <c r="C1816" s="1076" t="s">
        <v>1538</v>
      </c>
      <c r="D1816" s="1010"/>
      <c r="E1816" s="987">
        <v>218733</v>
      </c>
      <c r="F1816" s="988">
        <v>5</v>
      </c>
      <c r="G1816" s="1152">
        <v>387493</v>
      </c>
      <c r="H1816" s="1153">
        <v>387493</v>
      </c>
      <c r="I1816" s="1152"/>
      <c r="J1816" s="1153"/>
      <c r="K1816" s="1152"/>
      <c r="L1816" s="1153"/>
      <c r="M1816" s="1152"/>
      <c r="N1816" s="1152"/>
      <c r="O1816" s="732">
        <f t="shared" si="229"/>
        <v>0</v>
      </c>
      <c r="P1816" s="1159"/>
      <c r="Q1816" s="1153"/>
      <c r="R1816" s="733">
        <f t="shared" si="232"/>
        <v>0</v>
      </c>
      <c r="S1816" s="732">
        <f t="shared" si="233"/>
        <v>387493</v>
      </c>
      <c r="T1816" s="733">
        <f t="shared" si="234"/>
        <v>387493</v>
      </c>
      <c r="U1816" s="1152"/>
      <c r="V1816" s="1153"/>
      <c r="W1816" s="1152"/>
      <c r="X1816" s="1152"/>
      <c r="Y1816" s="732">
        <f t="shared" si="230"/>
        <v>0</v>
      </c>
      <c r="Z1816" s="1153"/>
      <c r="AA1816" s="1153"/>
      <c r="AB1816" s="733">
        <f t="shared" si="231"/>
        <v>0</v>
      </c>
      <c r="AC1816" s="1152"/>
      <c r="AD1816" s="1153"/>
      <c r="AE1816" s="1152"/>
      <c r="AF1816" s="1152"/>
      <c r="AG1816" s="1153"/>
      <c r="AH1816" s="1153"/>
      <c r="AI1816" s="732">
        <f t="shared" si="235"/>
        <v>387493</v>
      </c>
      <c r="AJ1816" s="733">
        <f t="shared" si="236"/>
        <v>387493</v>
      </c>
    </row>
    <row r="1817" spans="1:36">
      <c r="A1817" s="1075" t="s">
        <v>746</v>
      </c>
      <c r="B1817" s="1017" t="s">
        <v>69</v>
      </c>
      <c r="C1817" s="1078" t="s">
        <v>70</v>
      </c>
      <c r="D1817" s="1010"/>
      <c r="E1817" s="987">
        <v>218733</v>
      </c>
      <c r="F1817" s="988">
        <v>5</v>
      </c>
      <c r="G1817" s="1152"/>
      <c r="H1817" s="1153"/>
      <c r="I1817" s="1152"/>
      <c r="J1817" s="1153"/>
      <c r="K1817" s="1152"/>
      <c r="L1817" s="1153"/>
      <c r="M1817" s="1152"/>
      <c r="N1817" s="1152"/>
      <c r="O1817" s="732">
        <f t="shared" si="229"/>
        <v>0</v>
      </c>
      <c r="P1817" s="1159"/>
      <c r="Q1817" s="1153"/>
      <c r="R1817" s="733">
        <f t="shared" si="232"/>
        <v>0</v>
      </c>
      <c r="S1817" s="732">
        <f t="shared" si="233"/>
        <v>0</v>
      </c>
      <c r="T1817" s="733">
        <f t="shared" si="234"/>
        <v>0</v>
      </c>
      <c r="U1817" s="1152"/>
      <c r="V1817" s="1153"/>
      <c r="W1817" s="1152"/>
      <c r="X1817" s="1152"/>
      <c r="Y1817" s="732">
        <f t="shared" si="230"/>
        <v>0</v>
      </c>
      <c r="Z1817" s="1153"/>
      <c r="AA1817" s="1153"/>
      <c r="AB1817" s="733">
        <f t="shared" si="231"/>
        <v>0</v>
      </c>
      <c r="AC1817" s="1152"/>
      <c r="AD1817" s="1153"/>
      <c r="AE1817" s="1152"/>
      <c r="AF1817" s="1152"/>
      <c r="AG1817" s="1153"/>
      <c r="AH1817" s="1153"/>
      <c r="AI1817" s="732">
        <f t="shared" si="235"/>
        <v>0</v>
      </c>
      <c r="AJ1817" s="733">
        <f t="shared" si="236"/>
        <v>0</v>
      </c>
    </row>
    <row r="1818" spans="1:36">
      <c r="A1818" s="1075" t="s">
        <v>746</v>
      </c>
      <c r="B1818" s="1017" t="s">
        <v>74</v>
      </c>
      <c r="C1818" s="1076" t="s">
        <v>1548</v>
      </c>
      <c r="D1818" s="1010"/>
      <c r="E1818" s="987">
        <v>218733</v>
      </c>
      <c r="F1818" s="988">
        <v>5</v>
      </c>
      <c r="G1818" s="1152"/>
      <c r="H1818" s="1153"/>
      <c r="I1818" s="1152">
        <v>4315320</v>
      </c>
      <c r="J1818" s="1153">
        <v>4312098</v>
      </c>
      <c r="K1818" s="1152"/>
      <c r="L1818" s="1153"/>
      <c r="M1818" s="1152"/>
      <c r="N1818" s="1152"/>
      <c r="O1818" s="732">
        <f t="shared" si="229"/>
        <v>0</v>
      </c>
      <c r="P1818" s="1159"/>
      <c r="Q1818" s="1153"/>
      <c r="R1818" s="733">
        <f t="shared" si="232"/>
        <v>0</v>
      </c>
      <c r="S1818" s="732">
        <f t="shared" si="233"/>
        <v>4315320</v>
      </c>
      <c r="T1818" s="733">
        <f t="shared" si="234"/>
        <v>4312098</v>
      </c>
      <c r="U1818" s="1152"/>
      <c r="V1818" s="1153"/>
      <c r="W1818" s="1152"/>
      <c r="X1818" s="1152"/>
      <c r="Y1818" s="732">
        <f t="shared" si="230"/>
        <v>0</v>
      </c>
      <c r="Z1818" s="1153"/>
      <c r="AA1818" s="1153"/>
      <c r="AB1818" s="733">
        <f t="shared" si="231"/>
        <v>0</v>
      </c>
      <c r="AC1818" s="1152"/>
      <c r="AD1818" s="1153"/>
      <c r="AE1818" s="1152"/>
      <c r="AF1818" s="1152"/>
      <c r="AG1818" s="1153"/>
      <c r="AH1818" s="1153"/>
      <c r="AI1818" s="732">
        <f t="shared" si="235"/>
        <v>4315320</v>
      </c>
      <c r="AJ1818" s="733">
        <f t="shared" si="236"/>
        <v>4312098</v>
      </c>
    </row>
    <row r="1819" spans="1:36">
      <c r="A1819" s="1075" t="s">
        <v>746</v>
      </c>
      <c r="B1819" s="1017" t="s">
        <v>78</v>
      </c>
      <c r="C1819" s="1078" t="s">
        <v>79</v>
      </c>
      <c r="D1819" s="1010"/>
      <c r="E1819" s="987">
        <v>218733</v>
      </c>
      <c r="F1819" s="988">
        <v>5</v>
      </c>
      <c r="G1819" s="1152"/>
      <c r="H1819" s="1153"/>
      <c r="I1819" s="1152"/>
      <c r="J1819" s="1153"/>
      <c r="K1819" s="1152"/>
      <c r="L1819" s="1153"/>
      <c r="M1819" s="1152"/>
      <c r="N1819" s="1152"/>
      <c r="O1819" s="732">
        <f t="shared" si="229"/>
        <v>0</v>
      </c>
      <c r="P1819" s="1159"/>
      <c r="Q1819" s="1153"/>
      <c r="R1819" s="733">
        <f t="shared" si="232"/>
        <v>0</v>
      </c>
      <c r="S1819" s="732">
        <f t="shared" si="233"/>
        <v>0</v>
      </c>
      <c r="T1819" s="733">
        <f t="shared" si="234"/>
        <v>0</v>
      </c>
      <c r="U1819" s="1152"/>
      <c r="V1819" s="1153"/>
      <c r="W1819" s="1152"/>
      <c r="X1819" s="1152"/>
      <c r="Y1819" s="732">
        <f t="shared" si="230"/>
        <v>0</v>
      </c>
      <c r="Z1819" s="1153"/>
      <c r="AA1819" s="1153"/>
      <c r="AB1819" s="733">
        <f t="shared" si="231"/>
        <v>0</v>
      </c>
      <c r="AC1819" s="1152"/>
      <c r="AD1819" s="1153"/>
      <c r="AE1819" s="1152"/>
      <c r="AF1819" s="1152"/>
      <c r="AG1819" s="1153"/>
      <c r="AH1819" s="1153"/>
      <c r="AI1819" s="732">
        <f t="shared" si="235"/>
        <v>0</v>
      </c>
      <c r="AJ1819" s="733">
        <f t="shared" si="236"/>
        <v>0</v>
      </c>
    </row>
    <row r="1820" spans="1:36">
      <c r="A1820" s="1075" t="s">
        <v>746</v>
      </c>
      <c r="B1820" s="1017" t="s">
        <v>99</v>
      </c>
      <c r="C1820" s="1077" t="s">
        <v>1070</v>
      </c>
      <c r="D1820" s="1010"/>
      <c r="E1820" s="987">
        <v>218733</v>
      </c>
      <c r="F1820" s="988">
        <v>5</v>
      </c>
      <c r="G1820" s="1152"/>
      <c r="H1820" s="1153"/>
      <c r="I1820" s="1152"/>
      <c r="J1820" s="1153"/>
      <c r="K1820" s="1152"/>
      <c r="L1820" s="1153"/>
      <c r="M1820" s="1152"/>
      <c r="N1820" s="1152"/>
      <c r="O1820" s="732">
        <f t="shared" si="229"/>
        <v>0</v>
      </c>
      <c r="P1820" s="1159"/>
      <c r="Q1820" s="1153"/>
      <c r="R1820" s="733">
        <f t="shared" si="232"/>
        <v>0</v>
      </c>
      <c r="S1820" s="732">
        <f t="shared" si="233"/>
        <v>0</v>
      </c>
      <c r="T1820" s="733">
        <f t="shared" si="234"/>
        <v>0</v>
      </c>
      <c r="U1820" s="1152"/>
      <c r="V1820" s="1153"/>
      <c r="W1820" s="1152"/>
      <c r="X1820" s="1152"/>
      <c r="Y1820" s="732">
        <f t="shared" si="230"/>
        <v>0</v>
      </c>
      <c r="Z1820" s="1153"/>
      <c r="AA1820" s="1153"/>
      <c r="AB1820" s="733">
        <f t="shared" si="231"/>
        <v>0</v>
      </c>
      <c r="AC1820" s="1152"/>
      <c r="AD1820" s="1153"/>
      <c r="AE1820" s="1152"/>
      <c r="AF1820" s="1152"/>
      <c r="AG1820" s="1153"/>
      <c r="AH1820" s="1153"/>
      <c r="AI1820" s="732">
        <f t="shared" si="235"/>
        <v>0</v>
      </c>
      <c r="AJ1820" s="733">
        <f t="shared" si="236"/>
        <v>0</v>
      </c>
    </row>
    <row r="1821" spans="1:36">
      <c r="A1821" s="1075" t="s">
        <v>746</v>
      </c>
      <c r="B1821" s="1017" t="s">
        <v>99</v>
      </c>
      <c r="C1821" s="1076" t="s">
        <v>1523</v>
      </c>
      <c r="D1821" s="1010"/>
      <c r="E1821" s="987">
        <v>218733</v>
      </c>
      <c r="F1821" s="988">
        <v>5</v>
      </c>
      <c r="G1821" s="1152"/>
      <c r="H1821" s="1153"/>
      <c r="I1821" s="1152">
        <v>1386</v>
      </c>
      <c r="J1821" s="1153">
        <v>1386</v>
      </c>
      <c r="K1821" s="1152"/>
      <c r="L1821" s="1153"/>
      <c r="M1821" s="1152"/>
      <c r="N1821" s="1152"/>
      <c r="O1821" s="732">
        <f t="shared" si="229"/>
        <v>0</v>
      </c>
      <c r="P1821" s="1159"/>
      <c r="Q1821" s="1153"/>
      <c r="R1821" s="733">
        <f t="shared" si="232"/>
        <v>0</v>
      </c>
      <c r="S1821" s="732">
        <f t="shared" si="233"/>
        <v>1386</v>
      </c>
      <c r="T1821" s="733">
        <f t="shared" si="234"/>
        <v>1386</v>
      </c>
      <c r="U1821" s="1152"/>
      <c r="V1821" s="1153"/>
      <c r="W1821" s="1152"/>
      <c r="X1821" s="1152"/>
      <c r="Y1821" s="732">
        <f t="shared" si="230"/>
        <v>0</v>
      </c>
      <c r="Z1821" s="1153"/>
      <c r="AA1821" s="1153"/>
      <c r="AB1821" s="733">
        <f t="shared" si="231"/>
        <v>0</v>
      </c>
      <c r="AC1821" s="1152"/>
      <c r="AD1821" s="1153"/>
      <c r="AE1821" s="1152"/>
      <c r="AF1821" s="1152"/>
      <c r="AG1821" s="1153"/>
      <c r="AH1821" s="1153"/>
      <c r="AI1821" s="732">
        <f t="shared" si="235"/>
        <v>1386</v>
      </c>
      <c r="AJ1821" s="733">
        <f t="shared" si="236"/>
        <v>1386</v>
      </c>
    </row>
    <row r="1822" spans="1:36">
      <c r="A1822" s="1075" t="s">
        <v>746</v>
      </c>
      <c r="B1822" s="1017" t="s">
        <v>99</v>
      </c>
      <c r="C1822" s="1076" t="s">
        <v>1549</v>
      </c>
      <c r="D1822" s="1010"/>
      <c r="E1822" s="987">
        <v>218733</v>
      </c>
      <c r="F1822" s="988">
        <v>5</v>
      </c>
      <c r="G1822" s="1152"/>
      <c r="H1822" s="1153"/>
      <c r="I1822" s="1152">
        <v>479504</v>
      </c>
      <c r="J1822" s="1153">
        <v>479504</v>
      </c>
      <c r="K1822" s="1152"/>
      <c r="L1822" s="1153"/>
      <c r="M1822" s="1152"/>
      <c r="N1822" s="1152"/>
      <c r="O1822" s="732">
        <f t="shared" si="229"/>
        <v>0</v>
      </c>
      <c r="P1822" s="1159"/>
      <c r="Q1822" s="1153"/>
      <c r="R1822" s="733">
        <f t="shared" si="232"/>
        <v>0</v>
      </c>
      <c r="S1822" s="732">
        <f t="shared" si="233"/>
        <v>479504</v>
      </c>
      <c r="T1822" s="733">
        <f t="shared" si="234"/>
        <v>479504</v>
      </c>
      <c r="U1822" s="1152"/>
      <c r="V1822" s="1153"/>
      <c r="W1822" s="1152"/>
      <c r="X1822" s="1152"/>
      <c r="Y1822" s="732">
        <f t="shared" si="230"/>
        <v>0</v>
      </c>
      <c r="Z1822" s="1153"/>
      <c r="AA1822" s="1153"/>
      <c r="AB1822" s="733">
        <f t="shared" si="231"/>
        <v>0</v>
      </c>
      <c r="AC1822" s="1152"/>
      <c r="AD1822" s="1153"/>
      <c r="AE1822" s="1152"/>
      <c r="AF1822" s="1152"/>
      <c r="AG1822" s="1153"/>
      <c r="AH1822" s="1153"/>
      <c r="AI1822" s="732">
        <f t="shared" si="235"/>
        <v>479504</v>
      </c>
      <c r="AJ1822" s="733">
        <f t="shared" si="236"/>
        <v>479504</v>
      </c>
    </row>
    <row r="1823" spans="1:36">
      <c r="A1823" s="1075" t="s">
        <v>746</v>
      </c>
      <c r="B1823" s="1017" t="s">
        <v>99</v>
      </c>
      <c r="C1823" s="1084" t="s">
        <v>1550</v>
      </c>
      <c r="D1823" s="1010"/>
      <c r="E1823" s="987">
        <v>218733</v>
      </c>
      <c r="F1823" s="988">
        <v>5</v>
      </c>
      <c r="G1823" s="1152"/>
      <c r="H1823" s="1153"/>
      <c r="I1823" s="1152">
        <v>310000</v>
      </c>
      <c r="J1823" s="1153"/>
      <c r="K1823" s="1152"/>
      <c r="L1823" s="1153"/>
      <c r="M1823" s="1152"/>
      <c r="N1823" s="1152"/>
      <c r="O1823" s="732">
        <f t="shared" si="229"/>
        <v>0</v>
      </c>
      <c r="P1823" s="1159"/>
      <c r="Q1823" s="1153"/>
      <c r="R1823" s="733">
        <f t="shared" si="232"/>
        <v>0</v>
      </c>
      <c r="S1823" s="732">
        <f t="shared" si="233"/>
        <v>310000</v>
      </c>
      <c r="T1823" s="733">
        <f t="shared" si="234"/>
        <v>0</v>
      </c>
      <c r="U1823" s="1152"/>
      <c r="V1823" s="1153"/>
      <c r="W1823" s="1152"/>
      <c r="X1823" s="1152"/>
      <c r="Y1823" s="732">
        <f t="shared" si="230"/>
        <v>0</v>
      </c>
      <c r="Z1823" s="1153"/>
      <c r="AA1823" s="1153"/>
      <c r="AB1823" s="733">
        <f t="shared" si="231"/>
        <v>0</v>
      </c>
      <c r="AC1823" s="1152"/>
      <c r="AD1823" s="1153"/>
      <c r="AE1823" s="1152"/>
      <c r="AF1823" s="1152"/>
      <c r="AG1823" s="1153"/>
      <c r="AH1823" s="1153"/>
      <c r="AI1823" s="732">
        <f t="shared" si="235"/>
        <v>310000</v>
      </c>
      <c r="AJ1823" s="733">
        <f t="shared" si="236"/>
        <v>0</v>
      </c>
    </row>
    <row r="1824" spans="1:36">
      <c r="A1824" s="1075" t="s">
        <v>746</v>
      </c>
      <c r="B1824" s="1017" t="s">
        <v>99</v>
      </c>
      <c r="C1824" s="1076" t="s">
        <v>1551</v>
      </c>
      <c r="D1824" s="1010"/>
      <c r="E1824" s="987">
        <v>218733</v>
      </c>
      <c r="F1824" s="988">
        <v>5</v>
      </c>
      <c r="G1824" s="1152"/>
      <c r="H1824" s="1153"/>
      <c r="I1824" s="1152">
        <v>87924</v>
      </c>
      <c r="J1824" s="1153">
        <v>87924</v>
      </c>
      <c r="K1824" s="1152"/>
      <c r="L1824" s="1153"/>
      <c r="M1824" s="1152"/>
      <c r="N1824" s="1152"/>
      <c r="O1824" s="732">
        <f t="shared" si="229"/>
        <v>0</v>
      </c>
      <c r="P1824" s="1159"/>
      <c r="Q1824" s="1153"/>
      <c r="R1824" s="733">
        <f t="shared" si="232"/>
        <v>0</v>
      </c>
      <c r="S1824" s="732">
        <f t="shared" si="233"/>
        <v>87924</v>
      </c>
      <c r="T1824" s="733">
        <f t="shared" si="234"/>
        <v>87924</v>
      </c>
      <c r="U1824" s="1152"/>
      <c r="V1824" s="1153"/>
      <c r="W1824" s="1152"/>
      <c r="X1824" s="1152"/>
      <c r="Y1824" s="732">
        <f t="shared" si="230"/>
        <v>0</v>
      </c>
      <c r="Z1824" s="1153"/>
      <c r="AA1824" s="1153"/>
      <c r="AB1824" s="733">
        <f t="shared" si="231"/>
        <v>0</v>
      </c>
      <c r="AC1824" s="1152"/>
      <c r="AD1824" s="1153"/>
      <c r="AE1824" s="1152"/>
      <c r="AF1824" s="1152"/>
      <c r="AG1824" s="1153"/>
      <c r="AH1824" s="1153"/>
      <c r="AI1824" s="732">
        <f t="shared" si="235"/>
        <v>87924</v>
      </c>
      <c r="AJ1824" s="733">
        <f t="shared" si="236"/>
        <v>87924</v>
      </c>
    </row>
    <row r="1825" spans="1:36">
      <c r="A1825" s="1075" t="s">
        <v>746</v>
      </c>
      <c r="B1825" s="1017" t="s">
        <v>99</v>
      </c>
      <c r="C1825" s="1076" t="s">
        <v>1552</v>
      </c>
      <c r="D1825" s="1010"/>
      <c r="E1825" s="987">
        <v>218733</v>
      </c>
      <c r="F1825" s="988">
        <v>5</v>
      </c>
      <c r="G1825" s="1152">
        <v>2500000</v>
      </c>
      <c r="H1825" s="1153">
        <v>2500000</v>
      </c>
      <c r="I1825" s="1152"/>
      <c r="J1825" s="1153"/>
      <c r="K1825" s="1152"/>
      <c r="L1825" s="1153"/>
      <c r="M1825" s="1152"/>
      <c r="N1825" s="1152"/>
      <c r="O1825" s="732">
        <f t="shared" si="229"/>
        <v>0</v>
      </c>
      <c r="P1825" s="1159"/>
      <c r="Q1825" s="1153"/>
      <c r="R1825" s="733">
        <f t="shared" si="232"/>
        <v>0</v>
      </c>
      <c r="S1825" s="732">
        <f t="shared" si="233"/>
        <v>2500000</v>
      </c>
      <c r="T1825" s="733">
        <f t="shared" si="234"/>
        <v>2500000</v>
      </c>
      <c r="U1825" s="1152"/>
      <c r="V1825" s="1153"/>
      <c r="W1825" s="1152"/>
      <c r="X1825" s="1152"/>
      <c r="Y1825" s="732">
        <f t="shared" si="230"/>
        <v>0</v>
      </c>
      <c r="Z1825" s="1153"/>
      <c r="AA1825" s="1153"/>
      <c r="AB1825" s="733">
        <f t="shared" si="231"/>
        <v>0</v>
      </c>
      <c r="AC1825" s="1152"/>
      <c r="AD1825" s="1153"/>
      <c r="AE1825" s="1152"/>
      <c r="AF1825" s="1152"/>
      <c r="AG1825" s="1153"/>
      <c r="AH1825" s="1153"/>
      <c r="AI1825" s="732">
        <f t="shared" si="235"/>
        <v>2500000</v>
      </c>
      <c r="AJ1825" s="733">
        <f t="shared" si="236"/>
        <v>2500000</v>
      </c>
    </row>
    <row r="1826" spans="1:36">
      <c r="A1826" s="1075" t="s">
        <v>746</v>
      </c>
      <c r="B1826" s="1017" t="s">
        <v>99</v>
      </c>
      <c r="C1826" s="1084" t="s">
        <v>1553</v>
      </c>
      <c r="D1826" s="1010"/>
      <c r="E1826" s="987">
        <v>218733</v>
      </c>
      <c r="F1826" s="988">
        <v>5</v>
      </c>
      <c r="G1826" s="1152"/>
      <c r="H1826" s="1153"/>
      <c r="I1826" s="1152">
        <v>1000000</v>
      </c>
      <c r="J1826" s="1153">
        <v>674719</v>
      </c>
      <c r="K1826" s="1152"/>
      <c r="L1826" s="1153"/>
      <c r="M1826" s="1152"/>
      <c r="N1826" s="1152"/>
      <c r="O1826" s="732">
        <f t="shared" si="229"/>
        <v>0</v>
      </c>
      <c r="P1826" s="1159"/>
      <c r="Q1826" s="1153"/>
      <c r="R1826" s="733">
        <f t="shared" si="232"/>
        <v>0</v>
      </c>
      <c r="S1826" s="732">
        <f t="shared" si="233"/>
        <v>1000000</v>
      </c>
      <c r="T1826" s="733">
        <f t="shared" si="234"/>
        <v>674719</v>
      </c>
      <c r="U1826" s="1152"/>
      <c r="V1826" s="1153"/>
      <c r="W1826" s="1152"/>
      <c r="X1826" s="1152"/>
      <c r="Y1826" s="732">
        <f t="shared" si="230"/>
        <v>0</v>
      </c>
      <c r="Z1826" s="1153"/>
      <c r="AA1826" s="1153"/>
      <c r="AB1826" s="733">
        <f t="shared" si="231"/>
        <v>0</v>
      </c>
      <c r="AC1826" s="1152"/>
      <c r="AD1826" s="1153"/>
      <c r="AE1826" s="1152"/>
      <c r="AF1826" s="1152"/>
      <c r="AG1826" s="1153"/>
      <c r="AH1826" s="1153"/>
      <c r="AI1826" s="732">
        <f t="shared" si="235"/>
        <v>1000000</v>
      </c>
      <c r="AJ1826" s="733">
        <f t="shared" si="236"/>
        <v>674719</v>
      </c>
    </row>
    <row r="1827" spans="1:36">
      <c r="A1827" s="1075" t="s">
        <v>746</v>
      </c>
      <c r="B1827" s="1017" t="s">
        <v>99</v>
      </c>
      <c r="C1827" s="1076" t="s">
        <v>1539</v>
      </c>
      <c r="D1827" s="1010"/>
      <c r="E1827" s="987">
        <v>218733</v>
      </c>
      <c r="F1827" s="988">
        <v>5</v>
      </c>
      <c r="G1827" s="1152"/>
      <c r="H1827" s="1153"/>
      <c r="I1827" s="1152">
        <v>224476</v>
      </c>
      <c r="J1827" s="1153">
        <v>224476</v>
      </c>
      <c r="K1827" s="1152"/>
      <c r="L1827" s="1153"/>
      <c r="M1827" s="1152"/>
      <c r="N1827" s="1152"/>
      <c r="O1827" s="732">
        <f t="shared" si="229"/>
        <v>0</v>
      </c>
      <c r="P1827" s="1159"/>
      <c r="Q1827" s="1153"/>
      <c r="R1827" s="733">
        <f t="shared" si="232"/>
        <v>0</v>
      </c>
      <c r="S1827" s="732">
        <f t="shared" si="233"/>
        <v>224476</v>
      </c>
      <c r="T1827" s="733">
        <f t="shared" si="234"/>
        <v>224476</v>
      </c>
      <c r="U1827" s="1152"/>
      <c r="V1827" s="1153"/>
      <c r="W1827" s="1152"/>
      <c r="X1827" s="1152"/>
      <c r="Y1827" s="732">
        <f t="shared" si="230"/>
        <v>0</v>
      </c>
      <c r="Z1827" s="1153"/>
      <c r="AA1827" s="1153"/>
      <c r="AB1827" s="733">
        <f t="shared" si="231"/>
        <v>0</v>
      </c>
      <c r="AC1827" s="1152"/>
      <c r="AD1827" s="1153"/>
      <c r="AE1827" s="1152"/>
      <c r="AF1827" s="1152"/>
      <c r="AG1827" s="1153"/>
      <c r="AH1827" s="1153"/>
      <c r="AI1827" s="732">
        <f t="shared" si="235"/>
        <v>224476</v>
      </c>
      <c r="AJ1827" s="733">
        <f t="shared" si="236"/>
        <v>224476</v>
      </c>
    </row>
    <row r="1828" spans="1:36">
      <c r="A1828" s="1075" t="s">
        <v>746</v>
      </c>
      <c r="B1828" s="1017" t="s">
        <v>99</v>
      </c>
      <c r="C1828" s="1076" t="s">
        <v>1554</v>
      </c>
      <c r="D1828" s="1010"/>
      <c r="E1828" s="987">
        <v>218733</v>
      </c>
      <c r="F1828" s="988">
        <v>5</v>
      </c>
      <c r="G1828" s="1152"/>
      <c r="H1828" s="1153"/>
      <c r="I1828" s="1152">
        <v>339482</v>
      </c>
      <c r="J1828" s="1153">
        <v>339482</v>
      </c>
      <c r="K1828" s="1152"/>
      <c r="L1828" s="1153"/>
      <c r="M1828" s="1152"/>
      <c r="N1828" s="1152"/>
      <c r="O1828" s="732">
        <f t="shared" si="229"/>
        <v>0</v>
      </c>
      <c r="P1828" s="1159"/>
      <c r="Q1828" s="1153"/>
      <c r="R1828" s="733">
        <f t="shared" si="232"/>
        <v>0</v>
      </c>
      <c r="S1828" s="732">
        <f t="shared" si="233"/>
        <v>339482</v>
      </c>
      <c r="T1828" s="733">
        <f t="shared" si="234"/>
        <v>339482</v>
      </c>
      <c r="U1828" s="1152"/>
      <c r="V1828" s="1153"/>
      <c r="W1828" s="1152"/>
      <c r="X1828" s="1152"/>
      <c r="Y1828" s="732">
        <f t="shared" si="230"/>
        <v>0</v>
      </c>
      <c r="Z1828" s="1153"/>
      <c r="AA1828" s="1153"/>
      <c r="AB1828" s="733">
        <f t="shared" si="231"/>
        <v>0</v>
      </c>
      <c r="AC1828" s="1152"/>
      <c r="AD1828" s="1153"/>
      <c r="AE1828" s="1152"/>
      <c r="AF1828" s="1152"/>
      <c r="AG1828" s="1153"/>
      <c r="AH1828" s="1153"/>
      <c r="AI1828" s="732">
        <f t="shared" si="235"/>
        <v>339482</v>
      </c>
      <c r="AJ1828" s="733">
        <f t="shared" si="236"/>
        <v>339482</v>
      </c>
    </row>
    <row r="1829" spans="1:36">
      <c r="A1829" s="1075" t="s">
        <v>746</v>
      </c>
      <c r="B1829" s="1017" t="s">
        <v>99</v>
      </c>
      <c r="C1829" s="1076" t="s">
        <v>1555</v>
      </c>
      <c r="D1829" s="1010"/>
      <c r="E1829" s="987">
        <v>218733</v>
      </c>
      <c r="F1829" s="988">
        <v>5</v>
      </c>
      <c r="G1829" s="1152"/>
      <c r="H1829" s="1153"/>
      <c r="I1829" s="1152">
        <v>1400000</v>
      </c>
      <c r="J1829" s="1153">
        <v>1400000</v>
      </c>
      <c r="K1829" s="1152"/>
      <c r="L1829" s="1153"/>
      <c r="M1829" s="1152"/>
      <c r="N1829" s="1152"/>
      <c r="O1829" s="732">
        <f t="shared" si="229"/>
        <v>0</v>
      </c>
      <c r="P1829" s="1159"/>
      <c r="Q1829" s="1153"/>
      <c r="R1829" s="733">
        <f t="shared" si="232"/>
        <v>0</v>
      </c>
      <c r="S1829" s="732">
        <f t="shared" si="233"/>
        <v>1400000</v>
      </c>
      <c r="T1829" s="733">
        <f t="shared" si="234"/>
        <v>1400000</v>
      </c>
      <c r="U1829" s="1152"/>
      <c r="V1829" s="1153"/>
      <c r="W1829" s="1152"/>
      <c r="X1829" s="1152"/>
      <c r="Y1829" s="732">
        <f t="shared" si="230"/>
        <v>0</v>
      </c>
      <c r="Z1829" s="1153"/>
      <c r="AA1829" s="1153"/>
      <c r="AB1829" s="733">
        <f t="shared" si="231"/>
        <v>0</v>
      </c>
      <c r="AC1829" s="1152"/>
      <c r="AD1829" s="1153"/>
      <c r="AE1829" s="1152"/>
      <c r="AF1829" s="1152"/>
      <c r="AG1829" s="1153"/>
      <c r="AH1829" s="1153"/>
      <c r="AI1829" s="732">
        <f t="shared" si="235"/>
        <v>1400000</v>
      </c>
      <c r="AJ1829" s="733">
        <f t="shared" si="236"/>
        <v>1400000</v>
      </c>
    </row>
    <row r="1830" spans="1:36" s="13" customFormat="1" ht="15" customHeight="1">
      <c r="A1830" s="1075" t="s">
        <v>746</v>
      </c>
      <c r="B1830" s="1017" t="s">
        <v>62</v>
      </c>
      <c r="C1830" s="1003" t="s">
        <v>1556</v>
      </c>
      <c r="D1830" s="1085" t="s">
        <v>1424</v>
      </c>
      <c r="E1830" s="987">
        <v>218229</v>
      </c>
      <c r="F1830" s="988">
        <v>6</v>
      </c>
      <c r="G1830" s="1152">
        <v>7285501</v>
      </c>
      <c r="H1830" s="1153">
        <v>7285501</v>
      </c>
      <c r="I1830" s="1152"/>
      <c r="J1830" s="1153"/>
      <c r="K1830" s="1152"/>
      <c r="L1830" s="1153"/>
      <c r="M1830" s="1152">
        <v>37914978</v>
      </c>
      <c r="N1830" s="1152">
        <v>0</v>
      </c>
      <c r="O1830" s="732">
        <f t="shared" si="229"/>
        <v>37914978</v>
      </c>
      <c r="P1830" s="1159">
        <v>40504544</v>
      </c>
      <c r="Q1830" s="1153">
        <v>0</v>
      </c>
      <c r="R1830" s="733">
        <f t="shared" si="232"/>
        <v>40504544</v>
      </c>
      <c r="S1830" s="732">
        <f t="shared" si="233"/>
        <v>45200479</v>
      </c>
      <c r="T1830" s="733">
        <f t="shared" si="234"/>
        <v>47790045</v>
      </c>
      <c r="U1830" s="1152"/>
      <c r="V1830" s="1153"/>
      <c r="W1830" s="1152"/>
      <c r="X1830" s="1152"/>
      <c r="Y1830" s="732">
        <f t="shared" si="230"/>
        <v>0</v>
      </c>
      <c r="Z1830" s="1153"/>
      <c r="AA1830" s="1153"/>
      <c r="AB1830" s="733">
        <f t="shared" si="231"/>
        <v>0</v>
      </c>
      <c r="AC1830" s="1152"/>
      <c r="AD1830" s="1153"/>
      <c r="AE1830" s="1152"/>
      <c r="AF1830" s="1152"/>
      <c r="AG1830" s="1153"/>
      <c r="AH1830" s="1153"/>
      <c r="AI1830" s="732">
        <f t="shared" si="235"/>
        <v>45200479</v>
      </c>
      <c r="AJ1830" s="733">
        <f t="shared" si="236"/>
        <v>47790045</v>
      </c>
    </row>
    <row r="1831" spans="1:36">
      <c r="A1831" s="1075" t="s">
        <v>746</v>
      </c>
      <c r="B1831" s="1017" t="s">
        <v>62</v>
      </c>
      <c r="C1831" s="1076" t="s">
        <v>1518</v>
      </c>
      <c r="D1831" s="1010"/>
      <c r="E1831" s="987">
        <v>218229</v>
      </c>
      <c r="F1831" s="988">
        <v>6</v>
      </c>
      <c r="G1831" s="1152">
        <v>2643529</v>
      </c>
      <c r="H1831" s="1153">
        <v>2548176</v>
      </c>
      <c r="I1831" s="1152"/>
      <c r="J1831" s="1153"/>
      <c r="K1831" s="1152"/>
      <c r="L1831" s="1153"/>
      <c r="M1831" s="1152"/>
      <c r="N1831" s="1152"/>
      <c r="O1831" s="732">
        <f t="shared" si="229"/>
        <v>0</v>
      </c>
      <c r="P1831" s="1159"/>
      <c r="Q1831" s="1153"/>
      <c r="R1831" s="733">
        <f t="shared" si="232"/>
        <v>0</v>
      </c>
      <c r="S1831" s="732">
        <f t="shared" si="233"/>
        <v>2643529</v>
      </c>
      <c r="T1831" s="733">
        <f t="shared" si="234"/>
        <v>2548176</v>
      </c>
      <c r="U1831" s="1152"/>
      <c r="V1831" s="1153"/>
      <c r="W1831" s="1152"/>
      <c r="X1831" s="1152"/>
      <c r="Y1831" s="732">
        <f t="shared" si="230"/>
        <v>0</v>
      </c>
      <c r="Z1831" s="1153"/>
      <c r="AA1831" s="1153"/>
      <c r="AB1831" s="733">
        <f t="shared" si="231"/>
        <v>0</v>
      </c>
      <c r="AC1831" s="1152"/>
      <c r="AD1831" s="1153"/>
      <c r="AE1831" s="1152"/>
      <c r="AF1831" s="1152"/>
      <c r="AG1831" s="1153"/>
      <c r="AH1831" s="1153"/>
      <c r="AI1831" s="732">
        <f t="shared" si="235"/>
        <v>2643529</v>
      </c>
      <c r="AJ1831" s="733">
        <f t="shared" si="236"/>
        <v>2548176</v>
      </c>
    </row>
    <row r="1832" spans="1:36">
      <c r="A1832" s="1075" t="s">
        <v>746</v>
      </c>
      <c r="B1832" s="1017" t="s">
        <v>62</v>
      </c>
      <c r="C1832" s="1076" t="s">
        <v>1538</v>
      </c>
      <c r="D1832" s="1010"/>
      <c r="E1832" s="987">
        <v>218229</v>
      </c>
      <c r="F1832" s="988">
        <v>6</v>
      </c>
      <c r="G1832" s="1152">
        <v>146376</v>
      </c>
      <c r="H1832" s="1153">
        <v>146376</v>
      </c>
      <c r="I1832" s="1152"/>
      <c r="J1832" s="1153"/>
      <c r="K1832" s="1152"/>
      <c r="L1832" s="1153"/>
      <c r="M1832" s="1152"/>
      <c r="N1832" s="1152"/>
      <c r="O1832" s="732">
        <f t="shared" si="229"/>
        <v>0</v>
      </c>
      <c r="P1832" s="1159"/>
      <c r="Q1832" s="1153"/>
      <c r="R1832" s="733">
        <f t="shared" si="232"/>
        <v>0</v>
      </c>
      <c r="S1832" s="732">
        <f t="shared" si="233"/>
        <v>146376</v>
      </c>
      <c r="T1832" s="733">
        <f t="shared" si="234"/>
        <v>146376</v>
      </c>
      <c r="U1832" s="1152"/>
      <c r="V1832" s="1153"/>
      <c r="W1832" s="1152"/>
      <c r="X1832" s="1152"/>
      <c r="Y1832" s="732">
        <f t="shared" si="230"/>
        <v>0</v>
      </c>
      <c r="Z1832" s="1153"/>
      <c r="AA1832" s="1153"/>
      <c r="AB1832" s="733">
        <f t="shared" si="231"/>
        <v>0</v>
      </c>
      <c r="AC1832" s="1152"/>
      <c r="AD1832" s="1153"/>
      <c r="AE1832" s="1152"/>
      <c r="AF1832" s="1152"/>
      <c r="AG1832" s="1153"/>
      <c r="AH1832" s="1153"/>
      <c r="AI1832" s="732">
        <f t="shared" si="235"/>
        <v>146376</v>
      </c>
      <c r="AJ1832" s="733">
        <f t="shared" si="236"/>
        <v>146376</v>
      </c>
    </row>
    <row r="1833" spans="1:36">
      <c r="A1833" s="1075" t="s">
        <v>746</v>
      </c>
      <c r="B1833" s="1017" t="s">
        <v>99</v>
      </c>
      <c r="C1833" s="1077" t="s">
        <v>1070</v>
      </c>
      <c r="D1833" s="1010"/>
      <c r="E1833" s="987">
        <v>218229</v>
      </c>
      <c r="F1833" s="988">
        <v>6</v>
      </c>
      <c r="G1833" s="1152"/>
      <c r="H1833" s="1153"/>
      <c r="I1833" s="1152"/>
      <c r="J1833" s="1153"/>
      <c r="K1833" s="1152"/>
      <c r="L1833" s="1153"/>
      <c r="M1833" s="1152"/>
      <c r="N1833" s="1152"/>
      <c r="O1833" s="732">
        <f t="shared" si="229"/>
        <v>0</v>
      </c>
      <c r="P1833" s="1159"/>
      <c r="Q1833" s="1153"/>
      <c r="R1833" s="733">
        <f t="shared" si="232"/>
        <v>0</v>
      </c>
      <c r="S1833" s="732">
        <f t="shared" si="233"/>
        <v>0</v>
      </c>
      <c r="T1833" s="733">
        <f t="shared" si="234"/>
        <v>0</v>
      </c>
      <c r="U1833" s="1152"/>
      <c r="V1833" s="1153"/>
      <c r="W1833" s="1152"/>
      <c r="X1833" s="1152"/>
      <c r="Y1833" s="732">
        <f t="shared" si="230"/>
        <v>0</v>
      </c>
      <c r="Z1833" s="1153"/>
      <c r="AA1833" s="1153"/>
      <c r="AB1833" s="733">
        <f t="shared" si="231"/>
        <v>0</v>
      </c>
      <c r="AC1833" s="1152"/>
      <c r="AD1833" s="1153"/>
      <c r="AE1833" s="1152"/>
      <c r="AF1833" s="1152"/>
      <c r="AG1833" s="1153"/>
      <c r="AH1833" s="1153"/>
      <c r="AI1833" s="732">
        <f t="shared" si="235"/>
        <v>0</v>
      </c>
      <c r="AJ1833" s="733">
        <f t="shared" si="236"/>
        <v>0</v>
      </c>
    </row>
    <row r="1834" spans="1:36">
      <c r="A1834" s="1075" t="s">
        <v>746</v>
      </c>
      <c r="B1834" s="1017" t="s">
        <v>99</v>
      </c>
      <c r="C1834" s="1076" t="s">
        <v>1523</v>
      </c>
      <c r="D1834" s="1010"/>
      <c r="E1834" s="987">
        <v>218229</v>
      </c>
      <c r="F1834" s="988">
        <v>6</v>
      </c>
      <c r="G1834" s="1152"/>
      <c r="H1834" s="1153"/>
      <c r="I1834" s="1152">
        <v>3146</v>
      </c>
      <c r="J1834" s="1153">
        <v>3146</v>
      </c>
      <c r="K1834" s="1152"/>
      <c r="L1834" s="1153"/>
      <c r="M1834" s="1152"/>
      <c r="N1834" s="1152"/>
      <c r="O1834" s="732">
        <f t="shared" si="229"/>
        <v>0</v>
      </c>
      <c r="P1834" s="1159"/>
      <c r="Q1834" s="1153"/>
      <c r="R1834" s="733">
        <f t="shared" si="232"/>
        <v>0</v>
      </c>
      <c r="S1834" s="732">
        <f t="shared" si="233"/>
        <v>3146</v>
      </c>
      <c r="T1834" s="733">
        <f t="shared" si="234"/>
        <v>3146</v>
      </c>
      <c r="U1834" s="1152"/>
      <c r="V1834" s="1153"/>
      <c r="W1834" s="1152"/>
      <c r="X1834" s="1152"/>
      <c r="Y1834" s="732">
        <f t="shared" si="230"/>
        <v>0</v>
      </c>
      <c r="Z1834" s="1153"/>
      <c r="AA1834" s="1153"/>
      <c r="AB1834" s="733">
        <f t="shared" si="231"/>
        <v>0</v>
      </c>
      <c r="AC1834" s="1152"/>
      <c r="AD1834" s="1153"/>
      <c r="AE1834" s="1152"/>
      <c r="AF1834" s="1152"/>
      <c r="AG1834" s="1153"/>
      <c r="AH1834" s="1153"/>
      <c r="AI1834" s="732">
        <f t="shared" si="235"/>
        <v>3146</v>
      </c>
      <c r="AJ1834" s="733">
        <f t="shared" si="236"/>
        <v>3146</v>
      </c>
    </row>
    <row r="1835" spans="1:36">
      <c r="A1835" s="1075" t="s">
        <v>746</v>
      </c>
      <c r="B1835" s="1017" t="s">
        <v>99</v>
      </c>
      <c r="C1835" s="1076" t="s">
        <v>1539</v>
      </c>
      <c r="D1835" s="1010"/>
      <c r="E1835" s="987">
        <v>218229</v>
      </c>
      <c r="F1835" s="988">
        <v>6</v>
      </c>
      <c r="G1835" s="1152"/>
      <c r="H1835" s="1153"/>
      <c r="I1835" s="1152">
        <v>224174</v>
      </c>
      <c r="J1835" s="1153">
        <v>224174</v>
      </c>
      <c r="K1835" s="1152"/>
      <c r="L1835" s="1153"/>
      <c r="M1835" s="1152"/>
      <c r="N1835" s="1152"/>
      <c r="O1835" s="732">
        <f t="shared" si="229"/>
        <v>0</v>
      </c>
      <c r="P1835" s="1159"/>
      <c r="Q1835" s="1153"/>
      <c r="R1835" s="733">
        <f t="shared" si="232"/>
        <v>0</v>
      </c>
      <c r="S1835" s="732">
        <f t="shared" si="233"/>
        <v>224174</v>
      </c>
      <c r="T1835" s="733">
        <f t="shared" si="234"/>
        <v>224174</v>
      </c>
      <c r="U1835" s="1152"/>
      <c r="V1835" s="1153"/>
      <c r="W1835" s="1152"/>
      <c r="X1835" s="1152"/>
      <c r="Y1835" s="732">
        <f t="shared" si="230"/>
        <v>0</v>
      </c>
      <c r="Z1835" s="1153"/>
      <c r="AA1835" s="1153"/>
      <c r="AB1835" s="733">
        <f t="shared" si="231"/>
        <v>0</v>
      </c>
      <c r="AC1835" s="1152"/>
      <c r="AD1835" s="1153"/>
      <c r="AE1835" s="1152"/>
      <c r="AF1835" s="1152"/>
      <c r="AG1835" s="1153"/>
      <c r="AH1835" s="1153"/>
      <c r="AI1835" s="732">
        <f t="shared" si="235"/>
        <v>224174</v>
      </c>
      <c r="AJ1835" s="733">
        <f t="shared" si="236"/>
        <v>224174</v>
      </c>
    </row>
    <row r="1836" spans="1:36" s="13" customFormat="1" ht="15" customHeight="1">
      <c r="A1836" s="1075" t="s">
        <v>746</v>
      </c>
      <c r="B1836" s="1017" t="s">
        <v>62</v>
      </c>
      <c r="C1836" s="1082" t="s">
        <v>1557</v>
      </c>
      <c r="D1836" s="1085" t="s">
        <v>1424</v>
      </c>
      <c r="E1836" s="987">
        <v>218645</v>
      </c>
      <c r="F1836" s="988">
        <v>6</v>
      </c>
      <c r="G1836" s="1152">
        <v>8162120</v>
      </c>
      <c r="H1836" s="1153">
        <v>8162120</v>
      </c>
      <c r="I1836" s="1152"/>
      <c r="J1836" s="1153"/>
      <c r="K1836" s="1152"/>
      <c r="L1836" s="1153"/>
      <c r="M1836" s="1152">
        <v>34416119</v>
      </c>
      <c r="N1836" s="1152">
        <v>1319539</v>
      </c>
      <c r="O1836" s="732">
        <f t="shared" si="229"/>
        <v>35735658</v>
      </c>
      <c r="P1836" s="1159">
        <f>37303829-Q1836</f>
        <v>35936343</v>
      </c>
      <c r="Q1836" s="1153">
        <v>1367486</v>
      </c>
      <c r="R1836" s="733">
        <f t="shared" si="232"/>
        <v>37303829</v>
      </c>
      <c r="S1836" s="732">
        <f t="shared" si="233"/>
        <v>42578239</v>
      </c>
      <c r="T1836" s="733">
        <f t="shared" si="234"/>
        <v>44098463</v>
      </c>
      <c r="U1836" s="1152"/>
      <c r="V1836" s="1153"/>
      <c r="W1836" s="1152"/>
      <c r="X1836" s="1152"/>
      <c r="Y1836" s="732">
        <f t="shared" si="230"/>
        <v>0</v>
      </c>
      <c r="Z1836" s="1153"/>
      <c r="AA1836" s="1153"/>
      <c r="AB1836" s="733">
        <f t="shared" si="231"/>
        <v>0</v>
      </c>
      <c r="AC1836" s="1152"/>
      <c r="AD1836" s="1153"/>
      <c r="AE1836" s="1152"/>
      <c r="AF1836" s="1152"/>
      <c r="AG1836" s="1153"/>
      <c r="AH1836" s="1153"/>
      <c r="AI1836" s="732">
        <f t="shared" si="235"/>
        <v>42578239</v>
      </c>
      <c r="AJ1836" s="733">
        <f t="shared" si="236"/>
        <v>44098463</v>
      </c>
    </row>
    <row r="1837" spans="1:36">
      <c r="A1837" s="1075" t="s">
        <v>746</v>
      </c>
      <c r="B1837" s="1017" t="s">
        <v>62</v>
      </c>
      <c r="C1837" s="1076" t="s">
        <v>1518</v>
      </c>
      <c r="D1837" s="1010"/>
      <c r="E1837" s="987">
        <v>218645</v>
      </c>
      <c r="F1837" s="988">
        <v>6</v>
      </c>
      <c r="G1837" s="1152">
        <v>2434348</v>
      </c>
      <c r="H1837" s="1153">
        <v>2391940</v>
      </c>
      <c r="I1837" s="1152"/>
      <c r="J1837" s="1153"/>
      <c r="K1837" s="1152"/>
      <c r="L1837" s="1153"/>
      <c r="M1837" s="1152"/>
      <c r="N1837" s="1152"/>
      <c r="O1837" s="732">
        <f t="shared" si="229"/>
        <v>0</v>
      </c>
      <c r="P1837" s="1159"/>
      <c r="Q1837" s="1153"/>
      <c r="R1837" s="733">
        <f t="shared" si="232"/>
        <v>0</v>
      </c>
      <c r="S1837" s="732">
        <f t="shared" si="233"/>
        <v>2434348</v>
      </c>
      <c r="T1837" s="733">
        <f t="shared" si="234"/>
        <v>2391940</v>
      </c>
      <c r="U1837" s="1152"/>
      <c r="V1837" s="1153"/>
      <c r="W1837" s="1152"/>
      <c r="X1837" s="1152"/>
      <c r="Y1837" s="732">
        <f t="shared" si="230"/>
        <v>0</v>
      </c>
      <c r="Z1837" s="1153"/>
      <c r="AA1837" s="1153"/>
      <c r="AB1837" s="733">
        <f t="shared" si="231"/>
        <v>0</v>
      </c>
      <c r="AC1837" s="1152"/>
      <c r="AD1837" s="1153"/>
      <c r="AE1837" s="1152"/>
      <c r="AF1837" s="1152"/>
      <c r="AG1837" s="1153"/>
      <c r="AH1837" s="1153"/>
      <c r="AI1837" s="732">
        <f t="shared" si="235"/>
        <v>2434348</v>
      </c>
      <c r="AJ1837" s="733">
        <f t="shared" si="236"/>
        <v>2391940</v>
      </c>
    </row>
    <row r="1838" spans="1:36">
      <c r="A1838" s="1075" t="s">
        <v>746</v>
      </c>
      <c r="B1838" s="1017" t="s">
        <v>62</v>
      </c>
      <c r="C1838" s="1076" t="s">
        <v>1538</v>
      </c>
      <c r="D1838" s="1010"/>
      <c r="E1838" s="987">
        <v>218645</v>
      </c>
      <c r="F1838" s="988">
        <v>6</v>
      </c>
      <c r="G1838" s="1152"/>
      <c r="H1838" s="1153"/>
      <c r="I1838" s="1152"/>
      <c r="J1838" s="1153"/>
      <c r="K1838" s="1152"/>
      <c r="L1838" s="1153"/>
      <c r="M1838" s="1152"/>
      <c r="N1838" s="1152"/>
      <c r="O1838" s="732">
        <f t="shared" si="229"/>
        <v>0</v>
      </c>
      <c r="P1838" s="1159"/>
      <c r="Q1838" s="1153"/>
      <c r="R1838" s="733">
        <f t="shared" si="232"/>
        <v>0</v>
      </c>
      <c r="S1838" s="732">
        <f t="shared" si="233"/>
        <v>0</v>
      </c>
      <c r="T1838" s="733">
        <f t="shared" si="234"/>
        <v>0</v>
      </c>
      <c r="U1838" s="1152"/>
      <c r="V1838" s="1153"/>
      <c r="W1838" s="1152"/>
      <c r="X1838" s="1152"/>
      <c r="Y1838" s="732">
        <f t="shared" si="230"/>
        <v>0</v>
      </c>
      <c r="Z1838" s="1153"/>
      <c r="AA1838" s="1153"/>
      <c r="AB1838" s="733">
        <f t="shared" si="231"/>
        <v>0</v>
      </c>
      <c r="AC1838" s="1152"/>
      <c r="AD1838" s="1153"/>
      <c r="AE1838" s="1152"/>
      <c r="AF1838" s="1152"/>
      <c r="AG1838" s="1153"/>
      <c r="AH1838" s="1153"/>
      <c r="AI1838" s="732">
        <f t="shared" si="235"/>
        <v>0</v>
      </c>
      <c r="AJ1838" s="733">
        <f t="shared" si="236"/>
        <v>0</v>
      </c>
    </row>
    <row r="1839" spans="1:36">
      <c r="A1839" s="1075" t="s">
        <v>746</v>
      </c>
      <c r="B1839" s="1017" t="s">
        <v>99</v>
      </c>
      <c r="C1839" s="1077" t="s">
        <v>1070</v>
      </c>
      <c r="D1839" s="1010"/>
      <c r="E1839" s="987">
        <v>218645</v>
      </c>
      <c r="F1839" s="988">
        <v>6</v>
      </c>
      <c r="G1839" s="1152"/>
      <c r="H1839" s="1153"/>
      <c r="I1839" s="1152"/>
      <c r="J1839" s="1153"/>
      <c r="K1839" s="1152"/>
      <c r="L1839" s="1153"/>
      <c r="M1839" s="1152"/>
      <c r="N1839" s="1152"/>
      <c r="O1839" s="732">
        <f t="shared" si="229"/>
        <v>0</v>
      </c>
      <c r="P1839" s="1159"/>
      <c r="Q1839" s="1153"/>
      <c r="R1839" s="733">
        <f t="shared" si="232"/>
        <v>0</v>
      </c>
      <c r="S1839" s="732">
        <f t="shared" si="233"/>
        <v>0</v>
      </c>
      <c r="T1839" s="733">
        <f t="shared" si="234"/>
        <v>0</v>
      </c>
      <c r="U1839" s="1152"/>
      <c r="V1839" s="1153"/>
      <c r="W1839" s="1152"/>
      <c r="X1839" s="1152"/>
      <c r="Y1839" s="732">
        <f t="shared" si="230"/>
        <v>0</v>
      </c>
      <c r="Z1839" s="1153"/>
      <c r="AA1839" s="1153"/>
      <c r="AB1839" s="733">
        <f t="shared" si="231"/>
        <v>0</v>
      </c>
      <c r="AC1839" s="1152"/>
      <c r="AD1839" s="1153"/>
      <c r="AE1839" s="1152"/>
      <c r="AF1839" s="1152"/>
      <c r="AG1839" s="1153"/>
      <c r="AH1839" s="1153"/>
      <c r="AI1839" s="732">
        <f t="shared" si="235"/>
        <v>0</v>
      </c>
      <c r="AJ1839" s="733">
        <f t="shared" si="236"/>
        <v>0</v>
      </c>
    </row>
    <row r="1840" spans="1:36">
      <c r="A1840" s="1075" t="s">
        <v>746</v>
      </c>
      <c r="B1840" s="1017" t="s">
        <v>99</v>
      </c>
      <c r="C1840" s="1076" t="s">
        <v>1523</v>
      </c>
      <c r="D1840" s="1010"/>
      <c r="E1840" s="987">
        <v>218645</v>
      </c>
      <c r="F1840" s="988">
        <v>6</v>
      </c>
      <c r="G1840" s="1152"/>
      <c r="H1840" s="1153"/>
      <c r="I1840" s="1152">
        <v>3379</v>
      </c>
      <c r="J1840" s="1153">
        <v>3379</v>
      </c>
      <c r="K1840" s="1152"/>
      <c r="L1840" s="1153"/>
      <c r="M1840" s="1152"/>
      <c r="N1840" s="1152"/>
      <c r="O1840" s="732">
        <f t="shared" si="229"/>
        <v>0</v>
      </c>
      <c r="P1840" s="1159"/>
      <c r="Q1840" s="1153"/>
      <c r="R1840" s="733">
        <f t="shared" si="232"/>
        <v>0</v>
      </c>
      <c r="S1840" s="732">
        <f t="shared" si="233"/>
        <v>3379</v>
      </c>
      <c r="T1840" s="733">
        <f t="shared" si="234"/>
        <v>3379</v>
      </c>
      <c r="U1840" s="1152"/>
      <c r="V1840" s="1153"/>
      <c r="W1840" s="1152"/>
      <c r="X1840" s="1152"/>
      <c r="Y1840" s="732">
        <f t="shared" si="230"/>
        <v>0</v>
      </c>
      <c r="Z1840" s="1153"/>
      <c r="AA1840" s="1153"/>
      <c r="AB1840" s="733">
        <f t="shared" si="231"/>
        <v>0</v>
      </c>
      <c r="AC1840" s="1152"/>
      <c r="AD1840" s="1153"/>
      <c r="AE1840" s="1152"/>
      <c r="AF1840" s="1152"/>
      <c r="AG1840" s="1153"/>
      <c r="AH1840" s="1153"/>
      <c r="AI1840" s="732">
        <f t="shared" si="235"/>
        <v>3379</v>
      </c>
      <c r="AJ1840" s="733">
        <f t="shared" si="236"/>
        <v>3379</v>
      </c>
    </row>
    <row r="1841" spans="1:36">
      <c r="A1841" s="1075" t="s">
        <v>746</v>
      </c>
      <c r="B1841" s="1017" t="s">
        <v>99</v>
      </c>
      <c r="C1841" s="1076" t="s">
        <v>1539</v>
      </c>
      <c r="D1841" s="1010"/>
      <c r="E1841" s="987">
        <v>218645</v>
      </c>
      <c r="F1841" s="988">
        <v>6</v>
      </c>
      <c r="G1841" s="1152"/>
      <c r="H1841" s="1153"/>
      <c r="I1841" s="1152">
        <v>243662</v>
      </c>
      <c r="J1841" s="1153">
        <v>243662</v>
      </c>
      <c r="K1841" s="1152"/>
      <c r="L1841" s="1153"/>
      <c r="M1841" s="1152"/>
      <c r="N1841" s="1152"/>
      <c r="O1841" s="732">
        <f t="shared" si="229"/>
        <v>0</v>
      </c>
      <c r="P1841" s="1159"/>
      <c r="Q1841" s="1153"/>
      <c r="R1841" s="733">
        <f t="shared" si="232"/>
        <v>0</v>
      </c>
      <c r="S1841" s="732">
        <f t="shared" si="233"/>
        <v>243662</v>
      </c>
      <c r="T1841" s="733">
        <f t="shared" si="234"/>
        <v>243662</v>
      </c>
      <c r="U1841" s="1152"/>
      <c r="V1841" s="1153"/>
      <c r="W1841" s="1152"/>
      <c r="X1841" s="1152"/>
      <c r="Y1841" s="732">
        <f t="shared" si="230"/>
        <v>0</v>
      </c>
      <c r="Z1841" s="1153"/>
      <c r="AA1841" s="1153"/>
      <c r="AB1841" s="733">
        <f t="shared" si="231"/>
        <v>0</v>
      </c>
      <c r="AC1841" s="1152"/>
      <c r="AD1841" s="1153"/>
      <c r="AE1841" s="1152"/>
      <c r="AF1841" s="1152"/>
      <c r="AG1841" s="1153"/>
      <c r="AH1841" s="1153"/>
      <c r="AI1841" s="732">
        <f t="shared" si="235"/>
        <v>243662</v>
      </c>
      <c r="AJ1841" s="733">
        <f t="shared" si="236"/>
        <v>243662</v>
      </c>
    </row>
    <row r="1842" spans="1:36">
      <c r="A1842" s="1075" t="s">
        <v>746</v>
      </c>
      <c r="B1842" s="1017" t="s">
        <v>62</v>
      </c>
      <c r="C1842" s="1086" t="s">
        <v>1558</v>
      </c>
      <c r="D1842" s="1010"/>
      <c r="E1842" s="987">
        <v>218654</v>
      </c>
      <c r="F1842" s="988">
        <v>6</v>
      </c>
      <c r="G1842" s="1152">
        <v>5103524</v>
      </c>
      <c r="H1842" s="1153">
        <v>5103524</v>
      </c>
      <c r="I1842" s="1152"/>
      <c r="J1842" s="1153"/>
      <c r="K1842" s="1152"/>
      <c r="L1842" s="1153"/>
      <c r="M1842" s="1152">
        <v>23482278</v>
      </c>
      <c r="N1842" s="1152">
        <v>293386</v>
      </c>
      <c r="O1842" s="732">
        <f t="shared" si="229"/>
        <v>23775664</v>
      </c>
      <c r="P1842" s="1159">
        <f>22160344-Q1842</f>
        <v>21889054</v>
      </c>
      <c r="Q1842" s="1153">
        <v>271290</v>
      </c>
      <c r="R1842" s="733">
        <f t="shared" si="232"/>
        <v>22160344</v>
      </c>
      <c r="S1842" s="732">
        <f t="shared" si="233"/>
        <v>28585802</v>
      </c>
      <c r="T1842" s="733">
        <f t="shared" si="234"/>
        <v>26992578</v>
      </c>
      <c r="U1842" s="1152"/>
      <c r="V1842" s="1153"/>
      <c r="W1842" s="1152"/>
      <c r="X1842" s="1152"/>
      <c r="Y1842" s="732">
        <f t="shared" si="230"/>
        <v>0</v>
      </c>
      <c r="Z1842" s="1153"/>
      <c r="AA1842" s="1153"/>
      <c r="AB1842" s="733">
        <f t="shared" si="231"/>
        <v>0</v>
      </c>
      <c r="AC1842" s="1152"/>
      <c r="AD1842" s="1153"/>
      <c r="AE1842" s="1152"/>
      <c r="AF1842" s="1152"/>
      <c r="AG1842" s="1153"/>
      <c r="AH1842" s="1153"/>
      <c r="AI1842" s="732">
        <f t="shared" si="235"/>
        <v>28585802</v>
      </c>
      <c r="AJ1842" s="733">
        <f t="shared" si="236"/>
        <v>26992578</v>
      </c>
    </row>
    <row r="1843" spans="1:36">
      <c r="A1843" s="1075" t="s">
        <v>746</v>
      </c>
      <c r="B1843" s="1017" t="s">
        <v>62</v>
      </c>
      <c r="C1843" s="1076" t="s">
        <v>1518</v>
      </c>
      <c r="D1843" s="1010"/>
      <c r="E1843" s="987">
        <v>218654</v>
      </c>
      <c r="F1843" s="988">
        <v>6</v>
      </c>
      <c r="G1843" s="1152">
        <v>874632</v>
      </c>
      <c r="H1843" s="1153">
        <v>860624</v>
      </c>
      <c r="I1843" s="1152"/>
      <c r="J1843" s="1153"/>
      <c r="K1843" s="1152"/>
      <c r="L1843" s="1153"/>
      <c r="M1843" s="1152"/>
      <c r="N1843" s="1152"/>
      <c r="O1843" s="732">
        <f t="shared" si="229"/>
        <v>0</v>
      </c>
      <c r="P1843" s="1159"/>
      <c r="Q1843" s="1153"/>
      <c r="R1843" s="733">
        <f t="shared" si="232"/>
        <v>0</v>
      </c>
      <c r="S1843" s="732">
        <f t="shared" si="233"/>
        <v>874632</v>
      </c>
      <c r="T1843" s="733">
        <f t="shared" si="234"/>
        <v>860624</v>
      </c>
      <c r="U1843" s="1152"/>
      <c r="V1843" s="1153"/>
      <c r="W1843" s="1152"/>
      <c r="X1843" s="1152"/>
      <c r="Y1843" s="732">
        <f t="shared" si="230"/>
        <v>0</v>
      </c>
      <c r="Z1843" s="1153"/>
      <c r="AA1843" s="1153"/>
      <c r="AB1843" s="733">
        <f t="shared" si="231"/>
        <v>0</v>
      </c>
      <c r="AC1843" s="1152"/>
      <c r="AD1843" s="1153"/>
      <c r="AE1843" s="1152"/>
      <c r="AF1843" s="1152"/>
      <c r="AG1843" s="1153"/>
      <c r="AH1843" s="1153"/>
      <c r="AI1843" s="732">
        <f t="shared" si="235"/>
        <v>874632</v>
      </c>
      <c r="AJ1843" s="733">
        <f t="shared" si="236"/>
        <v>860624</v>
      </c>
    </row>
    <row r="1844" spans="1:36">
      <c r="A1844" s="1075" t="s">
        <v>746</v>
      </c>
      <c r="B1844" s="1017" t="s">
        <v>62</v>
      </c>
      <c r="C1844" s="1076" t="s">
        <v>1538</v>
      </c>
      <c r="D1844" s="1010"/>
      <c r="E1844" s="987">
        <v>218654</v>
      </c>
      <c r="F1844" s="988">
        <v>6</v>
      </c>
      <c r="G1844" s="1152"/>
      <c r="H1844" s="1153"/>
      <c r="I1844" s="1152"/>
      <c r="J1844" s="1153"/>
      <c r="K1844" s="1152"/>
      <c r="L1844" s="1153"/>
      <c r="M1844" s="1152"/>
      <c r="N1844" s="1152"/>
      <c r="O1844" s="732">
        <f t="shared" si="229"/>
        <v>0</v>
      </c>
      <c r="P1844" s="1159"/>
      <c r="Q1844" s="1153"/>
      <c r="R1844" s="733">
        <f t="shared" si="232"/>
        <v>0</v>
      </c>
      <c r="S1844" s="732">
        <f t="shared" si="233"/>
        <v>0</v>
      </c>
      <c r="T1844" s="733">
        <f t="shared" si="234"/>
        <v>0</v>
      </c>
      <c r="U1844" s="1152"/>
      <c r="V1844" s="1153"/>
      <c r="W1844" s="1152"/>
      <c r="X1844" s="1152"/>
      <c r="Y1844" s="732">
        <f t="shared" si="230"/>
        <v>0</v>
      </c>
      <c r="Z1844" s="1153"/>
      <c r="AA1844" s="1153"/>
      <c r="AB1844" s="733">
        <f t="shared" si="231"/>
        <v>0</v>
      </c>
      <c r="AC1844" s="1152"/>
      <c r="AD1844" s="1153"/>
      <c r="AE1844" s="1152"/>
      <c r="AF1844" s="1152"/>
      <c r="AG1844" s="1153"/>
      <c r="AH1844" s="1153"/>
      <c r="AI1844" s="732">
        <f t="shared" si="235"/>
        <v>0</v>
      </c>
      <c r="AJ1844" s="733">
        <f t="shared" si="236"/>
        <v>0</v>
      </c>
    </row>
    <row r="1845" spans="1:36">
      <c r="A1845" s="1075" t="s">
        <v>746</v>
      </c>
      <c r="B1845" s="1017" t="s">
        <v>69</v>
      </c>
      <c r="C1845" s="1078" t="s">
        <v>70</v>
      </c>
      <c r="D1845" s="1010"/>
      <c r="E1845" s="987">
        <v>218654</v>
      </c>
      <c r="F1845" s="988">
        <v>6</v>
      </c>
      <c r="G1845" s="1152"/>
      <c r="H1845" s="1153"/>
      <c r="I1845" s="1152"/>
      <c r="J1845" s="1153"/>
      <c r="K1845" s="1152"/>
      <c r="L1845" s="1153"/>
      <c r="M1845" s="1152"/>
      <c r="N1845" s="1152"/>
      <c r="O1845" s="732">
        <f t="shared" si="229"/>
        <v>0</v>
      </c>
      <c r="P1845" s="1159"/>
      <c r="Q1845" s="1153"/>
      <c r="R1845" s="733">
        <f t="shared" si="232"/>
        <v>0</v>
      </c>
      <c r="S1845" s="732">
        <f t="shared" si="233"/>
        <v>0</v>
      </c>
      <c r="T1845" s="733">
        <f t="shared" si="234"/>
        <v>0</v>
      </c>
      <c r="U1845" s="1152"/>
      <c r="V1845" s="1153"/>
      <c r="W1845" s="1152"/>
      <c r="X1845" s="1152"/>
      <c r="Y1845" s="732">
        <f t="shared" si="230"/>
        <v>0</v>
      </c>
      <c r="Z1845" s="1153"/>
      <c r="AA1845" s="1153"/>
      <c r="AB1845" s="733">
        <f t="shared" si="231"/>
        <v>0</v>
      </c>
      <c r="AC1845" s="1152"/>
      <c r="AD1845" s="1153"/>
      <c r="AE1845" s="1152"/>
      <c r="AF1845" s="1152"/>
      <c r="AG1845" s="1153"/>
      <c r="AH1845" s="1153"/>
      <c r="AI1845" s="732">
        <f t="shared" si="235"/>
        <v>0</v>
      </c>
      <c r="AJ1845" s="733">
        <f t="shared" si="236"/>
        <v>0</v>
      </c>
    </row>
    <row r="1846" spans="1:36">
      <c r="A1846" s="1075" t="s">
        <v>746</v>
      </c>
      <c r="B1846" s="1017" t="s">
        <v>99</v>
      </c>
      <c r="C1846" s="1077" t="s">
        <v>1070</v>
      </c>
      <c r="D1846" s="1010"/>
      <c r="E1846" s="987">
        <v>218654</v>
      </c>
      <c r="F1846" s="988">
        <v>6</v>
      </c>
      <c r="G1846" s="1152"/>
      <c r="H1846" s="1153"/>
      <c r="I1846" s="1152"/>
      <c r="J1846" s="1153"/>
      <c r="K1846" s="1152"/>
      <c r="L1846" s="1153"/>
      <c r="M1846" s="1152"/>
      <c r="N1846" s="1152"/>
      <c r="O1846" s="732">
        <f t="shared" si="229"/>
        <v>0</v>
      </c>
      <c r="P1846" s="1159"/>
      <c r="Q1846" s="1153"/>
      <c r="R1846" s="733">
        <f t="shared" si="232"/>
        <v>0</v>
      </c>
      <c r="S1846" s="732">
        <f t="shared" si="233"/>
        <v>0</v>
      </c>
      <c r="T1846" s="733">
        <f t="shared" si="234"/>
        <v>0</v>
      </c>
      <c r="U1846" s="1152"/>
      <c r="V1846" s="1153"/>
      <c r="W1846" s="1152"/>
      <c r="X1846" s="1152"/>
      <c r="Y1846" s="732">
        <f t="shared" si="230"/>
        <v>0</v>
      </c>
      <c r="Z1846" s="1153"/>
      <c r="AA1846" s="1153"/>
      <c r="AB1846" s="733">
        <f t="shared" si="231"/>
        <v>0</v>
      </c>
      <c r="AC1846" s="1152"/>
      <c r="AD1846" s="1153"/>
      <c r="AE1846" s="1152"/>
      <c r="AF1846" s="1152"/>
      <c r="AG1846" s="1153"/>
      <c r="AH1846" s="1153"/>
      <c r="AI1846" s="732">
        <f t="shared" si="235"/>
        <v>0</v>
      </c>
      <c r="AJ1846" s="733">
        <f t="shared" si="236"/>
        <v>0</v>
      </c>
    </row>
    <row r="1847" spans="1:36">
      <c r="A1847" s="1075" t="s">
        <v>746</v>
      </c>
      <c r="B1847" s="1017" t="s">
        <v>99</v>
      </c>
      <c r="C1847" s="1076" t="s">
        <v>1523</v>
      </c>
      <c r="D1847" s="1010"/>
      <c r="E1847" s="987">
        <v>218654</v>
      </c>
      <c r="F1847" s="988">
        <v>6</v>
      </c>
      <c r="G1847" s="1152"/>
      <c r="H1847" s="1153"/>
      <c r="I1847" s="1152">
        <v>808</v>
      </c>
      <c r="J1847" s="1153">
        <v>808</v>
      </c>
      <c r="K1847" s="1152"/>
      <c r="L1847" s="1153"/>
      <c r="M1847" s="1152"/>
      <c r="N1847" s="1152"/>
      <c r="O1847" s="732">
        <f t="shared" si="229"/>
        <v>0</v>
      </c>
      <c r="P1847" s="1159"/>
      <c r="Q1847" s="1153"/>
      <c r="R1847" s="733">
        <f t="shared" si="232"/>
        <v>0</v>
      </c>
      <c r="S1847" s="732">
        <f t="shared" si="233"/>
        <v>808</v>
      </c>
      <c r="T1847" s="733">
        <f t="shared" si="234"/>
        <v>808</v>
      </c>
      <c r="U1847" s="1152"/>
      <c r="V1847" s="1153"/>
      <c r="W1847" s="1152"/>
      <c r="X1847" s="1152"/>
      <c r="Y1847" s="732">
        <f t="shared" si="230"/>
        <v>0</v>
      </c>
      <c r="Z1847" s="1153"/>
      <c r="AA1847" s="1153"/>
      <c r="AB1847" s="733">
        <f t="shared" si="231"/>
        <v>0</v>
      </c>
      <c r="AC1847" s="1152"/>
      <c r="AD1847" s="1153"/>
      <c r="AE1847" s="1152"/>
      <c r="AF1847" s="1152"/>
      <c r="AG1847" s="1153"/>
      <c r="AH1847" s="1153"/>
      <c r="AI1847" s="732">
        <f t="shared" si="235"/>
        <v>808</v>
      </c>
      <c r="AJ1847" s="733">
        <f t="shared" si="236"/>
        <v>808</v>
      </c>
    </row>
    <row r="1848" spans="1:36">
      <c r="A1848" s="1075" t="s">
        <v>746</v>
      </c>
      <c r="B1848" s="1017" t="s">
        <v>99</v>
      </c>
      <c r="C1848" s="1076" t="s">
        <v>1539</v>
      </c>
      <c r="D1848" s="1010"/>
      <c r="E1848" s="987">
        <v>218654</v>
      </c>
      <c r="F1848" s="988">
        <v>6</v>
      </c>
      <c r="G1848" s="1152"/>
      <c r="H1848" s="1153"/>
      <c r="I1848" s="1152">
        <v>183437</v>
      </c>
      <c r="J1848" s="1153">
        <v>183437</v>
      </c>
      <c r="K1848" s="1152"/>
      <c r="L1848" s="1153"/>
      <c r="M1848" s="1152"/>
      <c r="N1848" s="1152"/>
      <c r="O1848" s="732">
        <f t="shared" si="229"/>
        <v>0</v>
      </c>
      <c r="P1848" s="1159"/>
      <c r="Q1848" s="1153"/>
      <c r="R1848" s="733">
        <f t="shared" si="232"/>
        <v>0</v>
      </c>
      <c r="S1848" s="732">
        <f t="shared" si="233"/>
        <v>183437</v>
      </c>
      <c r="T1848" s="733">
        <f t="shared" si="234"/>
        <v>183437</v>
      </c>
      <c r="U1848" s="1152"/>
      <c r="V1848" s="1153"/>
      <c r="W1848" s="1152"/>
      <c r="X1848" s="1152"/>
      <c r="Y1848" s="732">
        <f t="shared" si="230"/>
        <v>0</v>
      </c>
      <c r="Z1848" s="1153"/>
      <c r="AA1848" s="1153"/>
      <c r="AB1848" s="733">
        <f t="shared" si="231"/>
        <v>0</v>
      </c>
      <c r="AC1848" s="1152"/>
      <c r="AD1848" s="1153"/>
      <c r="AE1848" s="1152"/>
      <c r="AF1848" s="1152"/>
      <c r="AG1848" s="1153"/>
      <c r="AH1848" s="1153"/>
      <c r="AI1848" s="732">
        <f t="shared" si="235"/>
        <v>183437</v>
      </c>
      <c r="AJ1848" s="733">
        <f t="shared" si="236"/>
        <v>183437</v>
      </c>
    </row>
    <row r="1849" spans="1:36">
      <c r="A1849" s="1075" t="s">
        <v>746</v>
      </c>
      <c r="B1849" s="1017" t="s">
        <v>62</v>
      </c>
      <c r="C1849" s="1082" t="s">
        <v>1559</v>
      </c>
      <c r="D1849" s="1010"/>
      <c r="E1849" s="987">
        <v>218742</v>
      </c>
      <c r="F1849" s="988">
        <v>6</v>
      </c>
      <c r="G1849" s="1152">
        <v>12276406</v>
      </c>
      <c r="H1849" s="1153">
        <v>12276406</v>
      </c>
      <c r="I1849" s="1152"/>
      <c r="J1849" s="1153"/>
      <c r="K1849" s="1152"/>
      <c r="L1849" s="1153"/>
      <c r="M1849" s="1152">
        <v>60323523</v>
      </c>
      <c r="N1849" s="1152">
        <v>2659118</v>
      </c>
      <c r="O1849" s="732">
        <f t="shared" si="229"/>
        <v>62982641</v>
      </c>
      <c r="P1849" s="1159">
        <f>60751357-Q1849</f>
        <v>58235121</v>
      </c>
      <c r="Q1849" s="1153">
        <v>2516236</v>
      </c>
      <c r="R1849" s="733">
        <f t="shared" si="232"/>
        <v>60751357</v>
      </c>
      <c r="S1849" s="732">
        <f t="shared" si="233"/>
        <v>72599929</v>
      </c>
      <c r="T1849" s="733">
        <f t="shared" si="234"/>
        <v>70511527</v>
      </c>
      <c r="U1849" s="1152"/>
      <c r="V1849" s="1153"/>
      <c r="W1849" s="1152"/>
      <c r="X1849" s="1152"/>
      <c r="Y1849" s="732">
        <f t="shared" si="230"/>
        <v>0</v>
      </c>
      <c r="Z1849" s="1153"/>
      <c r="AA1849" s="1153"/>
      <c r="AB1849" s="733">
        <f t="shared" si="231"/>
        <v>0</v>
      </c>
      <c r="AC1849" s="1152"/>
      <c r="AD1849" s="1153"/>
      <c r="AE1849" s="1152"/>
      <c r="AF1849" s="1152"/>
      <c r="AG1849" s="1153"/>
      <c r="AH1849" s="1153"/>
      <c r="AI1849" s="732">
        <f t="shared" si="235"/>
        <v>72599929</v>
      </c>
      <c r="AJ1849" s="733">
        <f t="shared" si="236"/>
        <v>70511527</v>
      </c>
    </row>
    <row r="1850" spans="1:36">
      <c r="A1850" s="1075" t="s">
        <v>746</v>
      </c>
      <c r="B1850" s="1017" t="s">
        <v>62</v>
      </c>
      <c r="C1850" s="1076" t="s">
        <v>1518</v>
      </c>
      <c r="D1850" s="1010"/>
      <c r="E1850" s="987">
        <v>218742</v>
      </c>
      <c r="F1850" s="988">
        <v>6</v>
      </c>
      <c r="G1850" s="1152">
        <v>3356901</v>
      </c>
      <c r="H1850" s="1153">
        <v>3306620</v>
      </c>
      <c r="I1850" s="1152"/>
      <c r="J1850" s="1153"/>
      <c r="K1850" s="1152"/>
      <c r="L1850" s="1153"/>
      <c r="M1850" s="1152"/>
      <c r="N1850" s="1152"/>
      <c r="O1850" s="732">
        <f t="shared" si="229"/>
        <v>0</v>
      </c>
      <c r="P1850" s="1159"/>
      <c r="Q1850" s="1153"/>
      <c r="R1850" s="733">
        <f t="shared" si="232"/>
        <v>0</v>
      </c>
      <c r="S1850" s="732">
        <f t="shared" si="233"/>
        <v>3356901</v>
      </c>
      <c r="T1850" s="733">
        <f t="shared" si="234"/>
        <v>3306620</v>
      </c>
      <c r="U1850" s="1152"/>
      <c r="V1850" s="1153"/>
      <c r="W1850" s="1152"/>
      <c r="X1850" s="1152"/>
      <c r="Y1850" s="732">
        <f t="shared" si="230"/>
        <v>0</v>
      </c>
      <c r="Z1850" s="1153"/>
      <c r="AA1850" s="1153"/>
      <c r="AB1850" s="733">
        <f t="shared" si="231"/>
        <v>0</v>
      </c>
      <c r="AC1850" s="1152"/>
      <c r="AD1850" s="1153"/>
      <c r="AE1850" s="1152"/>
      <c r="AF1850" s="1152"/>
      <c r="AG1850" s="1153"/>
      <c r="AH1850" s="1153"/>
      <c r="AI1850" s="732">
        <f t="shared" si="235"/>
        <v>3356901</v>
      </c>
      <c r="AJ1850" s="733">
        <f t="shared" si="236"/>
        <v>3306620</v>
      </c>
    </row>
    <row r="1851" spans="1:36">
      <c r="A1851" s="1075" t="s">
        <v>746</v>
      </c>
      <c r="B1851" s="1017" t="s">
        <v>62</v>
      </c>
      <c r="C1851" s="1076" t="s">
        <v>1538</v>
      </c>
      <c r="D1851" s="1010"/>
      <c r="E1851" s="987">
        <v>218742</v>
      </c>
      <c r="F1851" s="988">
        <v>6</v>
      </c>
      <c r="G1851" s="1152"/>
      <c r="H1851" s="1153"/>
      <c r="I1851" s="1152"/>
      <c r="J1851" s="1153"/>
      <c r="K1851" s="1152"/>
      <c r="L1851" s="1153"/>
      <c r="M1851" s="1152"/>
      <c r="N1851" s="1152"/>
      <c r="O1851" s="732">
        <f t="shared" si="229"/>
        <v>0</v>
      </c>
      <c r="P1851" s="1159"/>
      <c r="Q1851" s="1153"/>
      <c r="R1851" s="733">
        <f t="shared" si="232"/>
        <v>0</v>
      </c>
      <c r="S1851" s="732">
        <f t="shared" si="233"/>
        <v>0</v>
      </c>
      <c r="T1851" s="733">
        <f t="shared" si="234"/>
        <v>0</v>
      </c>
      <c r="U1851" s="1152"/>
      <c r="V1851" s="1153"/>
      <c r="W1851" s="1152"/>
      <c r="X1851" s="1152"/>
      <c r="Y1851" s="732">
        <f t="shared" si="230"/>
        <v>0</v>
      </c>
      <c r="Z1851" s="1153"/>
      <c r="AA1851" s="1153"/>
      <c r="AB1851" s="733">
        <f t="shared" si="231"/>
        <v>0</v>
      </c>
      <c r="AC1851" s="1152"/>
      <c r="AD1851" s="1153"/>
      <c r="AE1851" s="1152"/>
      <c r="AF1851" s="1152"/>
      <c r="AG1851" s="1153"/>
      <c r="AH1851" s="1153"/>
      <c r="AI1851" s="732">
        <f t="shared" si="235"/>
        <v>0</v>
      </c>
      <c r="AJ1851" s="733">
        <f t="shared" si="236"/>
        <v>0</v>
      </c>
    </row>
    <row r="1852" spans="1:36">
      <c r="A1852" s="1075" t="s">
        <v>746</v>
      </c>
      <c r="B1852" s="1017" t="s">
        <v>99</v>
      </c>
      <c r="C1852" s="1077" t="s">
        <v>1070</v>
      </c>
      <c r="D1852" s="1010"/>
      <c r="E1852" s="987">
        <v>218742</v>
      </c>
      <c r="F1852" s="988">
        <v>6</v>
      </c>
      <c r="G1852" s="1152"/>
      <c r="H1852" s="1153"/>
      <c r="I1852" s="1152"/>
      <c r="J1852" s="1153"/>
      <c r="K1852" s="1152"/>
      <c r="L1852" s="1153"/>
      <c r="M1852" s="1152"/>
      <c r="N1852" s="1152"/>
      <c r="O1852" s="732">
        <f t="shared" si="229"/>
        <v>0</v>
      </c>
      <c r="P1852" s="1159"/>
      <c r="Q1852" s="1153"/>
      <c r="R1852" s="733">
        <f t="shared" si="232"/>
        <v>0</v>
      </c>
      <c r="S1852" s="732">
        <f t="shared" si="233"/>
        <v>0</v>
      </c>
      <c r="T1852" s="733">
        <f t="shared" si="234"/>
        <v>0</v>
      </c>
      <c r="U1852" s="1152"/>
      <c r="V1852" s="1153"/>
      <c r="W1852" s="1152"/>
      <c r="X1852" s="1152"/>
      <c r="Y1852" s="732">
        <f t="shared" si="230"/>
        <v>0</v>
      </c>
      <c r="Z1852" s="1153"/>
      <c r="AA1852" s="1153"/>
      <c r="AB1852" s="733">
        <f t="shared" si="231"/>
        <v>0</v>
      </c>
      <c r="AC1852" s="1152"/>
      <c r="AD1852" s="1153"/>
      <c r="AE1852" s="1152"/>
      <c r="AF1852" s="1152"/>
      <c r="AG1852" s="1153"/>
      <c r="AH1852" s="1153"/>
      <c r="AI1852" s="732">
        <f t="shared" si="235"/>
        <v>0</v>
      </c>
      <c r="AJ1852" s="733">
        <f t="shared" si="236"/>
        <v>0</v>
      </c>
    </row>
    <row r="1853" spans="1:36">
      <c r="A1853" s="1075" t="s">
        <v>746</v>
      </c>
      <c r="B1853" s="1017" t="s">
        <v>99</v>
      </c>
      <c r="C1853" s="1076" t="s">
        <v>1523</v>
      </c>
      <c r="D1853" s="1010"/>
      <c r="E1853" s="987">
        <v>218742</v>
      </c>
      <c r="F1853" s="988">
        <v>6</v>
      </c>
      <c r="G1853" s="1152"/>
      <c r="H1853" s="1153"/>
      <c r="I1853" s="1152">
        <v>2237</v>
      </c>
      <c r="J1853" s="1153">
        <v>2237</v>
      </c>
      <c r="K1853" s="1152"/>
      <c r="L1853" s="1153"/>
      <c r="M1853" s="1152"/>
      <c r="N1853" s="1152"/>
      <c r="O1853" s="732">
        <f t="shared" si="229"/>
        <v>0</v>
      </c>
      <c r="P1853" s="1159"/>
      <c r="Q1853" s="1153"/>
      <c r="R1853" s="733">
        <f t="shared" si="232"/>
        <v>0</v>
      </c>
      <c r="S1853" s="732">
        <f t="shared" si="233"/>
        <v>2237</v>
      </c>
      <c r="T1853" s="733">
        <f t="shared" si="234"/>
        <v>2237</v>
      </c>
      <c r="U1853" s="1152"/>
      <c r="V1853" s="1153"/>
      <c r="W1853" s="1152"/>
      <c r="X1853" s="1152"/>
      <c r="Y1853" s="732">
        <f t="shared" si="230"/>
        <v>0</v>
      </c>
      <c r="Z1853" s="1153"/>
      <c r="AA1853" s="1153"/>
      <c r="AB1853" s="733">
        <f t="shared" si="231"/>
        <v>0</v>
      </c>
      <c r="AC1853" s="1152"/>
      <c r="AD1853" s="1153"/>
      <c r="AE1853" s="1152"/>
      <c r="AF1853" s="1152"/>
      <c r="AG1853" s="1153"/>
      <c r="AH1853" s="1153"/>
      <c r="AI1853" s="732">
        <f t="shared" si="235"/>
        <v>2237</v>
      </c>
      <c r="AJ1853" s="733">
        <f t="shared" si="236"/>
        <v>2237</v>
      </c>
    </row>
    <row r="1854" spans="1:36">
      <c r="A1854" s="1075" t="s">
        <v>746</v>
      </c>
      <c r="B1854" s="1017" t="s">
        <v>99</v>
      </c>
      <c r="C1854" s="1076" t="s">
        <v>1539</v>
      </c>
      <c r="D1854" s="1010"/>
      <c r="E1854" s="987">
        <v>218742</v>
      </c>
      <c r="F1854" s="988">
        <v>6</v>
      </c>
      <c r="G1854" s="1152"/>
      <c r="H1854" s="1153"/>
      <c r="I1854" s="1152">
        <v>330928</v>
      </c>
      <c r="J1854" s="1153">
        <v>330928</v>
      </c>
      <c r="K1854" s="1152"/>
      <c r="L1854" s="1153"/>
      <c r="M1854" s="1152"/>
      <c r="N1854" s="1152"/>
      <c r="O1854" s="732">
        <f t="shared" si="229"/>
        <v>0</v>
      </c>
      <c r="P1854" s="1159"/>
      <c r="Q1854" s="1153"/>
      <c r="R1854" s="733">
        <f t="shared" si="232"/>
        <v>0</v>
      </c>
      <c r="S1854" s="732">
        <f t="shared" si="233"/>
        <v>330928</v>
      </c>
      <c r="T1854" s="733">
        <f t="shared" si="234"/>
        <v>330928</v>
      </c>
      <c r="U1854" s="1152"/>
      <c r="V1854" s="1153"/>
      <c r="W1854" s="1152"/>
      <c r="X1854" s="1152"/>
      <c r="Y1854" s="732">
        <f t="shared" si="230"/>
        <v>0</v>
      </c>
      <c r="Z1854" s="1153"/>
      <c r="AA1854" s="1153"/>
      <c r="AB1854" s="733">
        <f t="shared" si="231"/>
        <v>0</v>
      </c>
      <c r="AC1854" s="1152"/>
      <c r="AD1854" s="1153"/>
      <c r="AE1854" s="1152"/>
      <c r="AF1854" s="1152"/>
      <c r="AG1854" s="1153"/>
      <c r="AH1854" s="1153"/>
      <c r="AI1854" s="732">
        <f t="shared" si="235"/>
        <v>330928</v>
      </c>
      <c r="AJ1854" s="733">
        <f t="shared" si="236"/>
        <v>330928</v>
      </c>
    </row>
    <row r="1855" spans="1:36">
      <c r="A1855" s="1075" t="s">
        <v>746</v>
      </c>
      <c r="B1855" s="1017" t="s">
        <v>62</v>
      </c>
      <c r="C1855" s="1082" t="s">
        <v>1560</v>
      </c>
      <c r="D1855" s="1010"/>
      <c r="E1855" s="987">
        <v>218113</v>
      </c>
      <c r="F1855" s="988">
        <v>8</v>
      </c>
      <c r="G1855" s="1152">
        <v>17405812</v>
      </c>
      <c r="H1855" s="1153">
        <v>18291816</v>
      </c>
      <c r="I1855" s="1152"/>
      <c r="J1855" s="1153"/>
      <c r="K1855" s="1152">
        <v>13707737</v>
      </c>
      <c r="L1855" s="1153">
        <v>14370543</v>
      </c>
      <c r="M1855" s="1152">
        <v>53532577</v>
      </c>
      <c r="N1855" s="1152"/>
      <c r="O1855" s="732">
        <f t="shared" si="229"/>
        <v>53532577</v>
      </c>
      <c r="P1855" s="1159">
        <v>47913052</v>
      </c>
      <c r="Q1855" s="1153"/>
      <c r="R1855" s="733">
        <f t="shared" si="232"/>
        <v>47913052</v>
      </c>
      <c r="S1855" s="732">
        <f t="shared" si="233"/>
        <v>84646126</v>
      </c>
      <c r="T1855" s="733">
        <f t="shared" si="234"/>
        <v>80575411</v>
      </c>
      <c r="U1855" s="1152"/>
      <c r="V1855" s="1153"/>
      <c r="W1855" s="1152"/>
      <c r="X1855" s="1152"/>
      <c r="Y1855" s="732">
        <f t="shared" si="230"/>
        <v>0</v>
      </c>
      <c r="Z1855" s="1153"/>
      <c r="AA1855" s="1153"/>
      <c r="AB1855" s="733">
        <f t="shared" si="231"/>
        <v>0</v>
      </c>
      <c r="AC1855" s="1152"/>
      <c r="AD1855" s="1153"/>
      <c r="AE1855" s="1152"/>
      <c r="AF1855" s="1152"/>
      <c r="AG1855" s="1153"/>
      <c r="AH1855" s="1153"/>
      <c r="AI1855" s="732">
        <f t="shared" si="235"/>
        <v>84646126</v>
      </c>
      <c r="AJ1855" s="733">
        <f t="shared" si="236"/>
        <v>80575411</v>
      </c>
    </row>
    <row r="1856" spans="1:36">
      <c r="A1856" s="1075" t="s">
        <v>746</v>
      </c>
      <c r="B1856" s="1017" t="s">
        <v>62</v>
      </c>
      <c r="C1856" s="1076" t="s">
        <v>1561</v>
      </c>
      <c r="D1856" s="1010"/>
      <c r="E1856" s="987">
        <v>218113</v>
      </c>
      <c r="F1856" s="988">
        <v>8</v>
      </c>
      <c r="G1856" s="1152">
        <v>509466</v>
      </c>
      <c r="H1856" s="1153"/>
      <c r="I1856" s="1152"/>
      <c r="J1856" s="1153"/>
      <c r="K1856" s="1152"/>
      <c r="L1856" s="1153"/>
      <c r="M1856" s="1152"/>
      <c r="N1856" s="1152"/>
      <c r="O1856" s="732">
        <f t="shared" si="229"/>
        <v>0</v>
      </c>
      <c r="P1856" s="1159"/>
      <c r="Q1856" s="1153"/>
      <c r="R1856" s="733">
        <f t="shared" si="232"/>
        <v>0</v>
      </c>
      <c r="S1856" s="732">
        <f t="shared" si="233"/>
        <v>509466</v>
      </c>
      <c r="T1856" s="733">
        <f t="shared" si="234"/>
        <v>0</v>
      </c>
      <c r="U1856" s="1152"/>
      <c r="V1856" s="1153"/>
      <c r="W1856" s="1152"/>
      <c r="X1856" s="1152"/>
      <c r="Y1856" s="732">
        <f t="shared" si="230"/>
        <v>0</v>
      </c>
      <c r="Z1856" s="1153"/>
      <c r="AA1856" s="1153"/>
      <c r="AB1856" s="733">
        <f t="shared" si="231"/>
        <v>0</v>
      </c>
      <c r="AC1856" s="1152"/>
      <c r="AD1856" s="1153"/>
      <c r="AE1856" s="1152"/>
      <c r="AF1856" s="1152"/>
      <c r="AG1856" s="1153"/>
      <c r="AH1856" s="1153"/>
      <c r="AI1856" s="732">
        <f t="shared" si="235"/>
        <v>509466</v>
      </c>
      <c r="AJ1856" s="733">
        <f t="shared" si="236"/>
        <v>0</v>
      </c>
    </row>
    <row r="1857" spans="1:36">
      <c r="A1857" s="1075" t="s">
        <v>746</v>
      </c>
      <c r="B1857" s="1017" t="s">
        <v>62</v>
      </c>
      <c r="C1857" s="1076" t="s">
        <v>1562</v>
      </c>
      <c r="D1857" s="1010"/>
      <c r="E1857" s="987">
        <v>218113</v>
      </c>
      <c r="F1857" s="988">
        <v>8</v>
      </c>
      <c r="G1857" s="1152">
        <v>310608</v>
      </c>
      <c r="H1857" s="1153"/>
      <c r="I1857" s="1152"/>
      <c r="J1857" s="1153"/>
      <c r="K1857" s="1152"/>
      <c r="L1857" s="1153"/>
      <c r="M1857" s="1152"/>
      <c r="N1857" s="1152"/>
      <c r="O1857" s="732">
        <f t="shared" si="229"/>
        <v>0</v>
      </c>
      <c r="P1857" s="1159"/>
      <c r="Q1857" s="1153"/>
      <c r="R1857" s="733">
        <f t="shared" si="232"/>
        <v>0</v>
      </c>
      <c r="S1857" s="732">
        <f t="shared" si="233"/>
        <v>310608</v>
      </c>
      <c r="T1857" s="733">
        <f t="shared" si="234"/>
        <v>0</v>
      </c>
      <c r="U1857" s="1152"/>
      <c r="V1857" s="1153"/>
      <c r="W1857" s="1152"/>
      <c r="X1857" s="1152"/>
      <c r="Y1857" s="732">
        <f t="shared" si="230"/>
        <v>0</v>
      </c>
      <c r="Z1857" s="1153"/>
      <c r="AA1857" s="1153"/>
      <c r="AB1857" s="733">
        <f t="shared" si="231"/>
        <v>0</v>
      </c>
      <c r="AC1857" s="1152"/>
      <c r="AD1857" s="1153"/>
      <c r="AE1857" s="1152"/>
      <c r="AF1857" s="1152"/>
      <c r="AG1857" s="1153"/>
      <c r="AH1857" s="1153"/>
      <c r="AI1857" s="732">
        <f t="shared" si="235"/>
        <v>310608</v>
      </c>
      <c r="AJ1857" s="733">
        <f t="shared" si="236"/>
        <v>0</v>
      </c>
    </row>
    <row r="1858" spans="1:36">
      <c r="A1858" s="1075" t="s">
        <v>746</v>
      </c>
      <c r="B1858" s="1017" t="s">
        <v>62</v>
      </c>
      <c r="C1858" s="1076" t="s">
        <v>1538</v>
      </c>
      <c r="D1858" s="1010"/>
      <c r="E1858" s="987">
        <v>218113</v>
      </c>
      <c r="F1858" s="988">
        <v>8</v>
      </c>
      <c r="G1858" s="1152"/>
      <c r="H1858" s="1153"/>
      <c r="I1858" s="1152"/>
      <c r="J1858" s="1153"/>
      <c r="K1858" s="1152"/>
      <c r="L1858" s="1153"/>
      <c r="M1858" s="1152"/>
      <c r="N1858" s="1152"/>
      <c r="O1858" s="732">
        <f t="shared" si="229"/>
        <v>0</v>
      </c>
      <c r="P1858" s="1159"/>
      <c r="Q1858" s="1153"/>
      <c r="R1858" s="733">
        <f t="shared" si="232"/>
        <v>0</v>
      </c>
      <c r="S1858" s="732">
        <f t="shared" si="233"/>
        <v>0</v>
      </c>
      <c r="T1858" s="733">
        <f t="shared" si="234"/>
        <v>0</v>
      </c>
      <c r="U1858" s="1152"/>
      <c r="V1858" s="1153"/>
      <c r="W1858" s="1152"/>
      <c r="X1858" s="1152"/>
      <c r="Y1858" s="732">
        <f t="shared" si="230"/>
        <v>0</v>
      </c>
      <c r="Z1858" s="1153"/>
      <c r="AA1858" s="1153"/>
      <c r="AB1858" s="733">
        <f t="shared" si="231"/>
        <v>0</v>
      </c>
      <c r="AC1858" s="1152"/>
      <c r="AD1858" s="1153"/>
      <c r="AE1858" s="1152"/>
      <c r="AF1858" s="1152"/>
      <c r="AG1858" s="1153"/>
      <c r="AH1858" s="1153"/>
      <c r="AI1858" s="732">
        <f t="shared" si="235"/>
        <v>0</v>
      </c>
      <c r="AJ1858" s="733">
        <f t="shared" si="236"/>
        <v>0</v>
      </c>
    </row>
    <row r="1859" spans="1:36">
      <c r="A1859" s="1075" t="s">
        <v>746</v>
      </c>
      <c r="B1859" s="1017" t="s">
        <v>99</v>
      </c>
      <c r="C1859" s="1077" t="s">
        <v>1070</v>
      </c>
      <c r="D1859" s="1010"/>
      <c r="E1859" s="987">
        <v>218113</v>
      </c>
      <c r="F1859" s="988">
        <v>8</v>
      </c>
      <c r="G1859" s="1152"/>
      <c r="H1859" s="1153"/>
      <c r="I1859" s="1152"/>
      <c r="J1859" s="1153"/>
      <c r="K1859" s="1152"/>
      <c r="L1859" s="1153"/>
      <c r="M1859" s="1152"/>
      <c r="N1859" s="1152"/>
      <c r="O1859" s="732">
        <f t="shared" si="229"/>
        <v>0</v>
      </c>
      <c r="P1859" s="1159"/>
      <c r="Q1859" s="1153"/>
      <c r="R1859" s="733">
        <f t="shared" si="232"/>
        <v>0</v>
      </c>
      <c r="S1859" s="732">
        <f t="shared" si="233"/>
        <v>0</v>
      </c>
      <c r="T1859" s="733">
        <f t="shared" si="234"/>
        <v>0</v>
      </c>
      <c r="U1859" s="1152"/>
      <c r="V1859" s="1153"/>
      <c r="W1859" s="1152"/>
      <c r="X1859" s="1152"/>
      <c r="Y1859" s="732">
        <f t="shared" si="230"/>
        <v>0</v>
      </c>
      <c r="Z1859" s="1153"/>
      <c r="AA1859" s="1153"/>
      <c r="AB1859" s="733">
        <f t="shared" si="231"/>
        <v>0</v>
      </c>
      <c r="AC1859" s="1152"/>
      <c r="AD1859" s="1153"/>
      <c r="AE1859" s="1152"/>
      <c r="AF1859" s="1152"/>
      <c r="AG1859" s="1153"/>
      <c r="AH1859" s="1153"/>
      <c r="AI1859" s="732">
        <f t="shared" si="235"/>
        <v>0</v>
      </c>
      <c r="AJ1859" s="733">
        <f t="shared" si="236"/>
        <v>0</v>
      </c>
    </row>
    <row r="1860" spans="1:36">
      <c r="A1860" s="1075" t="s">
        <v>746</v>
      </c>
      <c r="B1860" s="1017" t="s">
        <v>99</v>
      </c>
      <c r="C1860" s="1076" t="s">
        <v>1563</v>
      </c>
      <c r="D1860" s="1010"/>
      <c r="E1860" s="987">
        <v>218113</v>
      </c>
      <c r="F1860" s="988">
        <v>8</v>
      </c>
      <c r="G1860" s="1152"/>
      <c r="H1860" s="1153"/>
      <c r="I1860" s="1152">
        <v>348137</v>
      </c>
      <c r="J1860" s="1153">
        <v>343470</v>
      </c>
      <c r="K1860" s="1152"/>
      <c r="L1860" s="1153"/>
      <c r="M1860" s="1152"/>
      <c r="N1860" s="1152"/>
      <c r="O1860" s="732">
        <f t="shared" si="229"/>
        <v>0</v>
      </c>
      <c r="P1860" s="1159"/>
      <c r="Q1860" s="1153"/>
      <c r="R1860" s="733">
        <f t="shared" si="232"/>
        <v>0</v>
      </c>
      <c r="S1860" s="732">
        <f t="shared" si="233"/>
        <v>348137</v>
      </c>
      <c r="T1860" s="733">
        <f t="shared" si="234"/>
        <v>343470</v>
      </c>
      <c r="U1860" s="1152"/>
      <c r="V1860" s="1153"/>
      <c r="W1860" s="1152"/>
      <c r="X1860" s="1152"/>
      <c r="Y1860" s="732">
        <f t="shared" si="230"/>
        <v>0</v>
      </c>
      <c r="Z1860" s="1153"/>
      <c r="AA1860" s="1153"/>
      <c r="AB1860" s="733">
        <f t="shared" si="231"/>
        <v>0</v>
      </c>
      <c r="AC1860" s="1152"/>
      <c r="AD1860" s="1153"/>
      <c r="AE1860" s="1152"/>
      <c r="AF1860" s="1152"/>
      <c r="AG1860" s="1153"/>
      <c r="AH1860" s="1153"/>
      <c r="AI1860" s="732">
        <f t="shared" si="235"/>
        <v>348137</v>
      </c>
      <c r="AJ1860" s="733">
        <f t="shared" si="236"/>
        <v>343470</v>
      </c>
    </row>
    <row r="1861" spans="1:36">
      <c r="A1861" s="1075" t="s">
        <v>746</v>
      </c>
      <c r="B1861" s="1017" t="s">
        <v>99</v>
      </c>
      <c r="C1861" s="1076" t="s">
        <v>1564</v>
      </c>
      <c r="D1861" s="1010"/>
      <c r="E1861" s="987">
        <v>218113</v>
      </c>
      <c r="F1861" s="988">
        <v>8</v>
      </c>
      <c r="G1861" s="1152"/>
      <c r="H1861" s="1153"/>
      <c r="I1861" s="1152">
        <v>59265</v>
      </c>
      <c r="J1861" s="1153">
        <v>56508</v>
      </c>
      <c r="K1861" s="1152"/>
      <c r="L1861" s="1153"/>
      <c r="M1861" s="1152"/>
      <c r="N1861" s="1152"/>
      <c r="O1861" s="732">
        <f t="shared" si="229"/>
        <v>0</v>
      </c>
      <c r="P1861" s="1159"/>
      <c r="Q1861" s="1153"/>
      <c r="R1861" s="733">
        <f t="shared" si="232"/>
        <v>0</v>
      </c>
      <c r="S1861" s="732">
        <f t="shared" si="233"/>
        <v>59265</v>
      </c>
      <c r="T1861" s="733">
        <f t="shared" si="234"/>
        <v>56508</v>
      </c>
      <c r="U1861" s="1152"/>
      <c r="V1861" s="1153"/>
      <c r="W1861" s="1152"/>
      <c r="X1861" s="1152"/>
      <c r="Y1861" s="732">
        <f t="shared" si="230"/>
        <v>0</v>
      </c>
      <c r="Z1861" s="1153"/>
      <c r="AA1861" s="1153"/>
      <c r="AB1861" s="733">
        <f t="shared" si="231"/>
        <v>0</v>
      </c>
      <c r="AC1861" s="1152"/>
      <c r="AD1861" s="1153"/>
      <c r="AE1861" s="1152"/>
      <c r="AF1861" s="1152"/>
      <c r="AG1861" s="1153"/>
      <c r="AH1861" s="1153"/>
      <c r="AI1861" s="732">
        <f t="shared" si="235"/>
        <v>59265</v>
      </c>
      <c r="AJ1861" s="733">
        <f t="shared" si="236"/>
        <v>56508</v>
      </c>
    </row>
    <row r="1862" spans="1:36">
      <c r="A1862" s="1075" t="s">
        <v>746</v>
      </c>
      <c r="B1862" s="1017" t="s">
        <v>99</v>
      </c>
      <c r="C1862" s="1076" t="s">
        <v>1565</v>
      </c>
      <c r="D1862" s="1010"/>
      <c r="E1862" s="987">
        <v>218113</v>
      </c>
      <c r="F1862" s="988">
        <v>8</v>
      </c>
      <c r="G1862" s="1152"/>
      <c r="H1862" s="1153"/>
      <c r="I1862" s="1152">
        <v>37784</v>
      </c>
      <c r="J1862" s="1153">
        <v>37784</v>
      </c>
      <c r="K1862" s="1152"/>
      <c r="L1862" s="1153"/>
      <c r="M1862" s="1152"/>
      <c r="N1862" s="1152"/>
      <c r="O1862" s="732">
        <f t="shared" si="229"/>
        <v>0</v>
      </c>
      <c r="P1862" s="1159"/>
      <c r="Q1862" s="1153"/>
      <c r="R1862" s="733">
        <f t="shared" si="232"/>
        <v>0</v>
      </c>
      <c r="S1862" s="732">
        <f t="shared" si="233"/>
        <v>37784</v>
      </c>
      <c r="T1862" s="733">
        <f t="shared" si="234"/>
        <v>37784</v>
      </c>
      <c r="U1862" s="1152"/>
      <c r="V1862" s="1153"/>
      <c r="W1862" s="1152"/>
      <c r="X1862" s="1152"/>
      <c r="Y1862" s="732">
        <f t="shared" si="230"/>
        <v>0</v>
      </c>
      <c r="Z1862" s="1153"/>
      <c r="AA1862" s="1153"/>
      <c r="AB1862" s="733">
        <f t="shared" si="231"/>
        <v>0</v>
      </c>
      <c r="AC1862" s="1152"/>
      <c r="AD1862" s="1153"/>
      <c r="AE1862" s="1152"/>
      <c r="AF1862" s="1152"/>
      <c r="AG1862" s="1153"/>
      <c r="AH1862" s="1153"/>
      <c r="AI1862" s="732">
        <f t="shared" si="235"/>
        <v>37784</v>
      </c>
      <c r="AJ1862" s="733">
        <f t="shared" si="236"/>
        <v>37784</v>
      </c>
    </row>
    <row r="1863" spans="1:36">
      <c r="A1863" s="1075" t="s">
        <v>746</v>
      </c>
      <c r="B1863" s="1017" t="s">
        <v>99</v>
      </c>
      <c r="C1863" s="1076" t="s">
        <v>1566</v>
      </c>
      <c r="D1863" s="1010"/>
      <c r="E1863" s="987">
        <v>218113</v>
      </c>
      <c r="F1863" s="988">
        <v>8</v>
      </c>
      <c r="G1863" s="1152"/>
      <c r="H1863" s="1153"/>
      <c r="I1863" s="1152">
        <f>345476+1434028</f>
        <v>1779504</v>
      </c>
      <c r="J1863" s="1153">
        <f>349620+1460581</f>
        <v>1810201</v>
      </c>
      <c r="K1863" s="1152"/>
      <c r="L1863" s="1153"/>
      <c r="M1863" s="1152"/>
      <c r="N1863" s="1152"/>
      <c r="O1863" s="732">
        <f t="shared" si="229"/>
        <v>0</v>
      </c>
      <c r="P1863" s="1159"/>
      <c r="Q1863" s="1153"/>
      <c r="R1863" s="733">
        <f t="shared" si="232"/>
        <v>0</v>
      </c>
      <c r="S1863" s="732">
        <f t="shared" si="233"/>
        <v>1779504</v>
      </c>
      <c r="T1863" s="733">
        <f t="shared" si="234"/>
        <v>1810201</v>
      </c>
      <c r="U1863" s="1152"/>
      <c r="V1863" s="1153"/>
      <c r="W1863" s="1152"/>
      <c r="X1863" s="1152"/>
      <c r="Y1863" s="732">
        <f t="shared" si="230"/>
        <v>0</v>
      </c>
      <c r="Z1863" s="1153"/>
      <c r="AA1863" s="1153"/>
      <c r="AB1863" s="733">
        <f t="shared" si="231"/>
        <v>0</v>
      </c>
      <c r="AC1863" s="1152"/>
      <c r="AD1863" s="1153"/>
      <c r="AE1863" s="1152"/>
      <c r="AF1863" s="1152"/>
      <c r="AG1863" s="1153"/>
      <c r="AH1863" s="1153"/>
      <c r="AI1863" s="732">
        <f t="shared" si="235"/>
        <v>1779504</v>
      </c>
      <c r="AJ1863" s="733">
        <f t="shared" si="236"/>
        <v>1810201</v>
      </c>
    </row>
    <row r="1864" spans="1:36">
      <c r="A1864" s="1075" t="s">
        <v>746</v>
      </c>
      <c r="B1864" s="1017" t="s">
        <v>99</v>
      </c>
      <c r="C1864" s="1076" t="s">
        <v>1567</v>
      </c>
      <c r="D1864" s="1010"/>
      <c r="E1864" s="987">
        <v>218113</v>
      </c>
      <c r="F1864" s="988">
        <v>8</v>
      </c>
      <c r="G1864" s="1152"/>
      <c r="H1864" s="1153"/>
      <c r="I1864" s="1152"/>
      <c r="J1864" s="1153"/>
      <c r="K1864" s="1152"/>
      <c r="L1864" s="1153"/>
      <c r="M1864" s="1152"/>
      <c r="N1864" s="1152"/>
      <c r="O1864" s="732">
        <f t="shared" si="229"/>
        <v>0</v>
      </c>
      <c r="P1864" s="1159"/>
      <c r="Q1864" s="1153"/>
      <c r="R1864" s="733">
        <f t="shared" si="232"/>
        <v>0</v>
      </c>
      <c r="S1864" s="732">
        <f t="shared" si="233"/>
        <v>0</v>
      </c>
      <c r="T1864" s="733">
        <f t="shared" si="234"/>
        <v>0</v>
      </c>
      <c r="U1864" s="1152"/>
      <c r="V1864" s="1153"/>
      <c r="W1864" s="1152"/>
      <c r="X1864" s="1152"/>
      <c r="Y1864" s="732">
        <f t="shared" si="230"/>
        <v>0</v>
      </c>
      <c r="Z1864" s="1153"/>
      <c r="AA1864" s="1153"/>
      <c r="AB1864" s="733">
        <f t="shared" si="231"/>
        <v>0</v>
      </c>
      <c r="AC1864" s="1152"/>
      <c r="AD1864" s="1153"/>
      <c r="AE1864" s="1152"/>
      <c r="AF1864" s="1152"/>
      <c r="AG1864" s="1153"/>
      <c r="AH1864" s="1153"/>
      <c r="AI1864" s="732">
        <f t="shared" si="235"/>
        <v>0</v>
      </c>
      <c r="AJ1864" s="733">
        <f t="shared" si="236"/>
        <v>0</v>
      </c>
    </row>
    <row r="1865" spans="1:36">
      <c r="A1865" s="1075" t="s">
        <v>746</v>
      </c>
      <c r="B1865" s="1017" t="s">
        <v>99</v>
      </c>
      <c r="C1865" s="1076" t="s">
        <v>1539</v>
      </c>
      <c r="D1865" s="1010"/>
      <c r="E1865" s="987">
        <v>218113</v>
      </c>
      <c r="F1865" s="988">
        <v>8</v>
      </c>
      <c r="G1865" s="1152"/>
      <c r="H1865" s="1153"/>
      <c r="I1865" s="1152">
        <v>486509</v>
      </c>
      <c r="J1865" s="1153">
        <v>489665</v>
      </c>
      <c r="K1865" s="1152"/>
      <c r="L1865" s="1153"/>
      <c r="M1865" s="1152"/>
      <c r="N1865" s="1152"/>
      <c r="O1865" s="732">
        <f t="shared" si="229"/>
        <v>0</v>
      </c>
      <c r="P1865" s="1159"/>
      <c r="Q1865" s="1153"/>
      <c r="R1865" s="733">
        <f t="shared" si="232"/>
        <v>0</v>
      </c>
      <c r="S1865" s="732">
        <f t="shared" si="233"/>
        <v>486509</v>
      </c>
      <c r="T1865" s="733">
        <f t="shared" si="234"/>
        <v>489665</v>
      </c>
      <c r="U1865" s="1152"/>
      <c r="V1865" s="1153"/>
      <c r="W1865" s="1152"/>
      <c r="X1865" s="1152"/>
      <c r="Y1865" s="732">
        <f t="shared" si="230"/>
        <v>0</v>
      </c>
      <c r="Z1865" s="1153"/>
      <c r="AA1865" s="1153"/>
      <c r="AB1865" s="733">
        <f t="shared" si="231"/>
        <v>0</v>
      </c>
      <c r="AC1865" s="1152"/>
      <c r="AD1865" s="1153"/>
      <c r="AE1865" s="1152"/>
      <c r="AF1865" s="1152"/>
      <c r="AG1865" s="1153"/>
      <c r="AH1865" s="1153"/>
      <c r="AI1865" s="732">
        <f t="shared" si="235"/>
        <v>486509</v>
      </c>
      <c r="AJ1865" s="733">
        <f t="shared" si="236"/>
        <v>489665</v>
      </c>
    </row>
    <row r="1866" spans="1:36">
      <c r="A1866" s="1075" t="s">
        <v>746</v>
      </c>
      <c r="B1866" s="1017" t="s">
        <v>99</v>
      </c>
      <c r="C1866" s="1076" t="s">
        <v>1568</v>
      </c>
      <c r="D1866" s="1010"/>
      <c r="E1866" s="987">
        <v>218113</v>
      </c>
      <c r="F1866" s="988">
        <v>8</v>
      </c>
      <c r="G1866" s="1152"/>
      <c r="H1866" s="1153"/>
      <c r="I1866" s="1152">
        <v>250000</v>
      </c>
      <c r="J1866" s="1153"/>
      <c r="K1866" s="1152"/>
      <c r="L1866" s="1153"/>
      <c r="M1866" s="1152"/>
      <c r="N1866" s="1152"/>
      <c r="O1866" s="732">
        <f t="shared" ref="O1866:O1929" si="237">SUM(M1866:N1866)</f>
        <v>0</v>
      </c>
      <c r="P1866" s="1159"/>
      <c r="Q1866" s="1153"/>
      <c r="R1866" s="733">
        <f t="shared" si="232"/>
        <v>0</v>
      </c>
      <c r="S1866" s="732">
        <f t="shared" si="233"/>
        <v>250000</v>
      </c>
      <c r="T1866" s="733">
        <f t="shared" si="234"/>
        <v>0</v>
      </c>
      <c r="U1866" s="1152"/>
      <c r="V1866" s="1153"/>
      <c r="W1866" s="1152"/>
      <c r="X1866" s="1152"/>
      <c r="Y1866" s="732">
        <f t="shared" ref="Y1866:Y1929" si="238">SUM(W1866:X1866)</f>
        <v>0</v>
      </c>
      <c r="Z1866" s="1153"/>
      <c r="AA1866" s="1153"/>
      <c r="AB1866" s="733">
        <f t="shared" ref="AB1866:AB1929" si="239">SUM(Z1866:AA1866)</f>
        <v>0</v>
      </c>
      <c r="AC1866" s="1152"/>
      <c r="AD1866" s="1153"/>
      <c r="AE1866" s="1152"/>
      <c r="AF1866" s="1152"/>
      <c r="AG1866" s="1153"/>
      <c r="AH1866" s="1153"/>
      <c r="AI1866" s="732">
        <f t="shared" si="235"/>
        <v>250000</v>
      </c>
      <c r="AJ1866" s="733">
        <f t="shared" si="236"/>
        <v>0</v>
      </c>
    </row>
    <row r="1867" spans="1:36">
      <c r="A1867" s="1075" t="s">
        <v>746</v>
      </c>
      <c r="B1867" s="1017" t="s">
        <v>62</v>
      </c>
      <c r="C1867" s="1003" t="s">
        <v>1569</v>
      </c>
      <c r="D1867" s="1010"/>
      <c r="E1867" s="987">
        <v>218140</v>
      </c>
      <c r="F1867" s="988">
        <v>8</v>
      </c>
      <c r="G1867" s="1152">
        <v>10905636</v>
      </c>
      <c r="H1867" s="1153">
        <v>11769521</v>
      </c>
      <c r="I1867" s="1152"/>
      <c r="J1867" s="1153"/>
      <c r="K1867" s="1152">
        <v>4165000</v>
      </c>
      <c r="L1867" s="1153">
        <v>4165000</v>
      </c>
      <c r="M1867" s="1152">
        <v>32287545</v>
      </c>
      <c r="N1867" s="1152"/>
      <c r="O1867" s="732">
        <f t="shared" si="237"/>
        <v>32287545</v>
      </c>
      <c r="P1867" s="1159">
        <v>31452136</v>
      </c>
      <c r="Q1867" s="1153"/>
      <c r="R1867" s="733">
        <f t="shared" ref="R1867:R1930" si="240">SUM(P1867:Q1867)</f>
        <v>31452136</v>
      </c>
      <c r="S1867" s="732">
        <f t="shared" ref="S1867:S1930" si="241">SUM(G1867,I1867,K1867,M1867)</f>
        <v>47358181</v>
      </c>
      <c r="T1867" s="733">
        <f t="shared" ref="T1867:T1930" si="242">SUM(H1867,J1867,L1867,P1867)</f>
        <v>47386657</v>
      </c>
      <c r="U1867" s="1152"/>
      <c r="V1867" s="1153"/>
      <c r="W1867" s="1152"/>
      <c r="X1867" s="1152"/>
      <c r="Y1867" s="732">
        <f t="shared" si="238"/>
        <v>0</v>
      </c>
      <c r="Z1867" s="1153"/>
      <c r="AA1867" s="1153"/>
      <c r="AB1867" s="733">
        <f t="shared" si="239"/>
        <v>0</v>
      </c>
      <c r="AC1867" s="1152"/>
      <c r="AD1867" s="1153"/>
      <c r="AE1867" s="1152"/>
      <c r="AF1867" s="1152"/>
      <c r="AG1867" s="1153"/>
      <c r="AH1867" s="1153"/>
      <c r="AI1867" s="732">
        <f t="shared" ref="AI1867:AI1930" si="243">SUM(S1867,U1867,W1867,AC1867,AE1867)</f>
        <v>47358181</v>
      </c>
      <c r="AJ1867" s="733">
        <f t="shared" ref="AJ1867:AJ1930" si="244">SUM(T1867,V1867,Z1867,AD1867,AG1867)</f>
        <v>47386657</v>
      </c>
    </row>
    <row r="1868" spans="1:36">
      <c r="A1868" s="1075" t="s">
        <v>746</v>
      </c>
      <c r="B1868" s="1017" t="s">
        <v>62</v>
      </c>
      <c r="C1868" s="1087" t="s">
        <v>1561</v>
      </c>
      <c r="D1868" s="1010"/>
      <c r="E1868" s="987">
        <v>218140</v>
      </c>
      <c r="F1868" s="988">
        <v>8</v>
      </c>
      <c r="G1868" s="1152">
        <v>215779</v>
      </c>
      <c r="H1868" s="1153"/>
      <c r="I1868" s="1152"/>
      <c r="J1868" s="1153"/>
      <c r="K1868" s="1152"/>
      <c r="L1868" s="1153"/>
      <c r="M1868" s="1152"/>
      <c r="N1868" s="1152"/>
      <c r="O1868" s="732">
        <f t="shared" si="237"/>
        <v>0</v>
      </c>
      <c r="P1868" s="1159"/>
      <c r="Q1868" s="1153"/>
      <c r="R1868" s="733">
        <f t="shared" si="240"/>
        <v>0</v>
      </c>
      <c r="S1868" s="732">
        <f t="shared" si="241"/>
        <v>215779</v>
      </c>
      <c r="T1868" s="733">
        <f t="shared" si="242"/>
        <v>0</v>
      </c>
      <c r="U1868" s="1152"/>
      <c r="V1868" s="1153"/>
      <c r="W1868" s="1152"/>
      <c r="X1868" s="1152"/>
      <c r="Y1868" s="732">
        <f t="shared" si="238"/>
        <v>0</v>
      </c>
      <c r="Z1868" s="1153"/>
      <c r="AA1868" s="1153"/>
      <c r="AB1868" s="733">
        <f t="shared" si="239"/>
        <v>0</v>
      </c>
      <c r="AC1868" s="1152"/>
      <c r="AD1868" s="1153"/>
      <c r="AE1868" s="1152"/>
      <c r="AF1868" s="1152"/>
      <c r="AG1868" s="1153"/>
      <c r="AH1868" s="1153"/>
      <c r="AI1868" s="732">
        <f t="shared" si="243"/>
        <v>215779</v>
      </c>
      <c r="AJ1868" s="733">
        <f t="shared" si="244"/>
        <v>0</v>
      </c>
    </row>
    <row r="1869" spans="1:36">
      <c r="A1869" s="1075" t="s">
        <v>746</v>
      </c>
      <c r="B1869" s="1017" t="s">
        <v>62</v>
      </c>
      <c r="C1869" s="1087" t="s">
        <v>1562</v>
      </c>
      <c r="D1869" s="1010"/>
      <c r="E1869" s="987">
        <v>218140</v>
      </c>
      <c r="F1869" s="988">
        <v>8</v>
      </c>
      <c r="G1869" s="1152">
        <v>129782</v>
      </c>
      <c r="H1869" s="1153"/>
      <c r="I1869" s="1152"/>
      <c r="J1869" s="1153"/>
      <c r="K1869" s="1152"/>
      <c r="L1869" s="1153"/>
      <c r="M1869" s="1152"/>
      <c r="N1869" s="1152"/>
      <c r="O1869" s="732">
        <f t="shared" si="237"/>
        <v>0</v>
      </c>
      <c r="P1869" s="1159"/>
      <c r="Q1869" s="1153"/>
      <c r="R1869" s="733">
        <f t="shared" si="240"/>
        <v>0</v>
      </c>
      <c r="S1869" s="732">
        <f t="shared" si="241"/>
        <v>129782</v>
      </c>
      <c r="T1869" s="733">
        <f t="shared" si="242"/>
        <v>0</v>
      </c>
      <c r="U1869" s="1152"/>
      <c r="V1869" s="1153"/>
      <c r="W1869" s="1152"/>
      <c r="X1869" s="1152"/>
      <c r="Y1869" s="732">
        <f t="shared" si="238"/>
        <v>0</v>
      </c>
      <c r="Z1869" s="1153"/>
      <c r="AA1869" s="1153"/>
      <c r="AB1869" s="733">
        <f t="shared" si="239"/>
        <v>0</v>
      </c>
      <c r="AC1869" s="1152"/>
      <c r="AD1869" s="1153"/>
      <c r="AE1869" s="1152"/>
      <c r="AF1869" s="1152"/>
      <c r="AG1869" s="1153"/>
      <c r="AH1869" s="1153"/>
      <c r="AI1869" s="732">
        <f t="shared" si="243"/>
        <v>129782</v>
      </c>
      <c r="AJ1869" s="733">
        <f t="shared" si="244"/>
        <v>0</v>
      </c>
    </row>
    <row r="1870" spans="1:36">
      <c r="A1870" s="1075" t="s">
        <v>746</v>
      </c>
      <c r="B1870" s="1017" t="s">
        <v>62</v>
      </c>
      <c r="C1870" s="1076" t="s">
        <v>1538</v>
      </c>
      <c r="D1870" s="1010"/>
      <c r="E1870" s="987">
        <v>218140</v>
      </c>
      <c r="F1870" s="988">
        <v>8</v>
      </c>
      <c r="G1870" s="1152"/>
      <c r="H1870" s="1153"/>
      <c r="I1870" s="1152"/>
      <c r="J1870" s="1153"/>
      <c r="K1870" s="1152"/>
      <c r="L1870" s="1153"/>
      <c r="M1870" s="1152"/>
      <c r="N1870" s="1152"/>
      <c r="O1870" s="732">
        <f t="shared" si="237"/>
        <v>0</v>
      </c>
      <c r="P1870" s="1159"/>
      <c r="Q1870" s="1153"/>
      <c r="R1870" s="733">
        <f t="shared" si="240"/>
        <v>0</v>
      </c>
      <c r="S1870" s="732">
        <f t="shared" si="241"/>
        <v>0</v>
      </c>
      <c r="T1870" s="733">
        <f t="shared" si="242"/>
        <v>0</v>
      </c>
      <c r="U1870" s="1152"/>
      <c r="V1870" s="1153"/>
      <c r="W1870" s="1152"/>
      <c r="X1870" s="1152"/>
      <c r="Y1870" s="732">
        <f t="shared" si="238"/>
        <v>0</v>
      </c>
      <c r="Z1870" s="1153"/>
      <c r="AA1870" s="1153"/>
      <c r="AB1870" s="733">
        <f t="shared" si="239"/>
        <v>0</v>
      </c>
      <c r="AC1870" s="1152"/>
      <c r="AD1870" s="1153"/>
      <c r="AE1870" s="1152"/>
      <c r="AF1870" s="1152"/>
      <c r="AG1870" s="1153"/>
      <c r="AH1870" s="1153"/>
      <c r="AI1870" s="732">
        <f t="shared" si="243"/>
        <v>0</v>
      </c>
      <c r="AJ1870" s="733">
        <f t="shared" si="244"/>
        <v>0</v>
      </c>
    </row>
    <row r="1871" spans="1:36">
      <c r="A1871" s="1075" t="s">
        <v>746</v>
      </c>
      <c r="B1871" s="1017" t="s">
        <v>99</v>
      </c>
      <c r="C1871" s="1077" t="s">
        <v>1070</v>
      </c>
      <c r="D1871" s="1010"/>
      <c r="E1871" s="987">
        <v>218140</v>
      </c>
      <c r="F1871" s="988">
        <v>8</v>
      </c>
      <c r="G1871" s="1152"/>
      <c r="H1871" s="1153"/>
      <c r="I1871" s="1152"/>
      <c r="J1871" s="1153"/>
      <c r="K1871" s="1152"/>
      <c r="L1871" s="1153"/>
      <c r="M1871" s="1152"/>
      <c r="N1871" s="1152"/>
      <c r="O1871" s="732">
        <f t="shared" si="237"/>
        <v>0</v>
      </c>
      <c r="P1871" s="1159"/>
      <c r="Q1871" s="1153"/>
      <c r="R1871" s="733">
        <f t="shared" si="240"/>
        <v>0</v>
      </c>
      <c r="S1871" s="732">
        <f t="shared" si="241"/>
        <v>0</v>
      </c>
      <c r="T1871" s="733">
        <f t="shared" si="242"/>
        <v>0</v>
      </c>
      <c r="U1871" s="1152"/>
      <c r="V1871" s="1153"/>
      <c r="W1871" s="1152"/>
      <c r="X1871" s="1152"/>
      <c r="Y1871" s="732">
        <f t="shared" si="238"/>
        <v>0</v>
      </c>
      <c r="Z1871" s="1153"/>
      <c r="AA1871" s="1153"/>
      <c r="AB1871" s="733">
        <f t="shared" si="239"/>
        <v>0</v>
      </c>
      <c r="AC1871" s="1152"/>
      <c r="AD1871" s="1153"/>
      <c r="AE1871" s="1152"/>
      <c r="AF1871" s="1152"/>
      <c r="AG1871" s="1153"/>
      <c r="AH1871" s="1153"/>
      <c r="AI1871" s="732">
        <f t="shared" si="243"/>
        <v>0</v>
      </c>
      <c r="AJ1871" s="733">
        <f t="shared" si="244"/>
        <v>0</v>
      </c>
    </row>
    <row r="1872" spans="1:36">
      <c r="A1872" s="1075" t="s">
        <v>746</v>
      </c>
      <c r="B1872" s="1017" t="s">
        <v>99</v>
      </c>
      <c r="C1872" s="1076" t="s">
        <v>1563</v>
      </c>
      <c r="D1872" s="1010"/>
      <c r="E1872" s="987">
        <v>218140</v>
      </c>
      <c r="F1872" s="988">
        <v>8</v>
      </c>
      <c r="G1872" s="1152"/>
      <c r="H1872" s="1153"/>
      <c r="I1872" s="1152">
        <v>173033</v>
      </c>
      <c r="J1872" s="1153">
        <v>178213</v>
      </c>
      <c r="K1872" s="1152"/>
      <c r="L1872" s="1153"/>
      <c r="M1872" s="1152"/>
      <c r="N1872" s="1152"/>
      <c r="O1872" s="732">
        <f t="shared" si="237"/>
        <v>0</v>
      </c>
      <c r="P1872" s="1159"/>
      <c r="Q1872" s="1153"/>
      <c r="R1872" s="733">
        <f t="shared" si="240"/>
        <v>0</v>
      </c>
      <c r="S1872" s="732">
        <f t="shared" si="241"/>
        <v>173033</v>
      </c>
      <c r="T1872" s="733">
        <f t="shared" si="242"/>
        <v>178213</v>
      </c>
      <c r="U1872" s="1152"/>
      <c r="V1872" s="1153"/>
      <c r="W1872" s="1152"/>
      <c r="X1872" s="1152"/>
      <c r="Y1872" s="732">
        <f t="shared" si="238"/>
        <v>0</v>
      </c>
      <c r="Z1872" s="1153"/>
      <c r="AA1872" s="1153"/>
      <c r="AB1872" s="733">
        <f t="shared" si="239"/>
        <v>0</v>
      </c>
      <c r="AC1872" s="1152"/>
      <c r="AD1872" s="1153"/>
      <c r="AE1872" s="1152"/>
      <c r="AF1872" s="1152"/>
      <c r="AG1872" s="1153"/>
      <c r="AH1872" s="1153"/>
      <c r="AI1872" s="732">
        <f t="shared" si="243"/>
        <v>173033</v>
      </c>
      <c r="AJ1872" s="733">
        <f t="shared" si="244"/>
        <v>178213</v>
      </c>
    </row>
    <row r="1873" spans="1:36">
      <c r="A1873" s="1075" t="s">
        <v>746</v>
      </c>
      <c r="B1873" s="1017" t="s">
        <v>99</v>
      </c>
      <c r="C1873" s="1076" t="s">
        <v>1564</v>
      </c>
      <c r="D1873" s="1010"/>
      <c r="E1873" s="987">
        <v>218140</v>
      </c>
      <c r="F1873" s="988">
        <v>8</v>
      </c>
      <c r="G1873" s="1152"/>
      <c r="H1873" s="1153"/>
      <c r="I1873" s="1152">
        <v>27565</v>
      </c>
      <c r="J1873" s="1153">
        <v>31700</v>
      </c>
      <c r="K1873" s="1152"/>
      <c r="L1873" s="1153"/>
      <c r="M1873" s="1152"/>
      <c r="N1873" s="1152"/>
      <c r="O1873" s="732">
        <f t="shared" si="237"/>
        <v>0</v>
      </c>
      <c r="P1873" s="1159"/>
      <c r="Q1873" s="1153"/>
      <c r="R1873" s="733">
        <f t="shared" si="240"/>
        <v>0</v>
      </c>
      <c r="S1873" s="732">
        <f t="shared" si="241"/>
        <v>27565</v>
      </c>
      <c r="T1873" s="733">
        <f t="shared" si="242"/>
        <v>31700</v>
      </c>
      <c r="U1873" s="1152"/>
      <c r="V1873" s="1153"/>
      <c r="W1873" s="1152"/>
      <c r="X1873" s="1152"/>
      <c r="Y1873" s="732">
        <f t="shared" si="238"/>
        <v>0</v>
      </c>
      <c r="Z1873" s="1153"/>
      <c r="AA1873" s="1153"/>
      <c r="AB1873" s="733">
        <f t="shared" si="239"/>
        <v>0</v>
      </c>
      <c r="AC1873" s="1152"/>
      <c r="AD1873" s="1153"/>
      <c r="AE1873" s="1152"/>
      <c r="AF1873" s="1152"/>
      <c r="AG1873" s="1153"/>
      <c r="AH1873" s="1153"/>
      <c r="AI1873" s="732">
        <f t="shared" si="243"/>
        <v>27565</v>
      </c>
      <c r="AJ1873" s="733">
        <f t="shared" si="244"/>
        <v>31700</v>
      </c>
    </row>
    <row r="1874" spans="1:36">
      <c r="A1874" s="1075" t="s">
        <v>746</v>
      </c>
      <c r="B1874" s="1017" t="s">
        <v>99</v>
      </c>
      <c r="C1874" s="1076" t="s">
        <v>1566</v>
      </c>
      <c r="D1874" s="1010"/>
      <c r="E1874" s="987">
        <v>218140</v>
      </c>
      <c r="F1874" s="988">
        <v>8</v>
      </c>
      <c r="G1874" s="1152"/>
      <c r="H1874" s="1153"/>
      <c r="I1874" s="1152">
        <f>223454+912786</f>
        <v>1136240</v>
      </c>
      <c r="J1874" s="1153">
        <f>231841+981222</f>
        <v>1213063</v>
      </c>
      <c r="K1874" s="1152"/>
      <c r="L1874" s="1153"/>
      <c r="M1874" s="1152"/>
      <c r="N1874" s="1152"/>
      <c r="O1874" s="732">
        <f t="shared" si="237"/>
        <v>0</v>
      </c>
      <c r="P1874" s="1159"/>
      <c r="Q1874" s="1153"/>
      <c r="R1874" s="733">
        <f t="shared" si="240"/>
        <v>0</v>
      </c>
      <c r="S1874" s="732">
        <f t="shared" si="241"/>
        <v>1136240</v>
      </c>
      <c r="T1874" s="733">
        <f t="shared" si="242"/>
        <v>1213063</v>
      </c>
      <c r="U1874" s="1152"/>
      <c r="V1874" s="1153"/>
      <c r="W1874" s="1152"/>
      <c r="X1874" s="1152"/>
      <c r="Y1874" s="732">
        <f t="shared" si="238"/>
        <v>0</v>
      </c>
      <c r="Z1874" s="1153"/>
      <c r="AA1874" s="1153"/>
      <c r="AB1874" s="733">
        <f t="shared" si="239"/>
        <v>0</v>
      </c>
      <c r="AC1874" s="1152"/>
      <c r="AD1874" s="1153"/>
      <c r="AE1874" s="1152"/>
      <c r="AF1874" s="1152"/>
      <c r="AG1874" s="1153"/>
      <c r="AH1874" s="1153"/>
      <c r="AI1874" s="732">
        <f t="shared" si="243"/>
        <v>1136240</v>
      </c>
      <c r="AJ1874" s="733">
        <f t="shared" si="244"/>
        <v>1213063</v>
      </c>
    </row>
    <row r="1875" spans="1:36">
      <c r="A1875" s="1075" t="s">
        <v>746</v>
      </c>
      <c r="B1875" s="1017" t="s">
        <v>99</v>
      </c>
      <c r="C1875" s="1076" t="s">
        <v>1567</v>
      </c>
      <c r="D1875" s="1010"/>
      <c r="E1875" s="987">
        <v>218140</v>
      </c>
      <c r="F1875" s="988">
        <v>8</v>
      </c>
      <c r="G1875" s="1152"/>
      <c r="H1875" s="1153"/>
      <c r="I1875" s="1152"/>
      <c r="J1875" s="1153"/>
      <c r="K1875" s="1152"/>
      <c r="L1875" s="1153"/>
      <c r="M1875" s="1152"/>
      <c r="N1875" s="1152"/>
      <c r="O1875" s="732">
        <f t="shared" si="237"/>
        <v>0</v>
      </c>
      <c r="P1875" s="1159"/>
      <c r="Q1875" s="1153"/>
      <c r="R1875" s="733">
        <f t="shared" si="240"/>
        <v>0</v>
      </c>
      <c r="S1875" s="732">
        <f t="shared" si="241"/>
        <v>0</v>
      </c>
      <c r="T1875" s="733">
        <f t="shared" si="242"/>
        <v>0</v>
      </c>
      <c r="U1875" s="1152"/>
      <c r="V1875" s="1153"/>
      <c r="W1875" s="1152"/>
      <c r="X1875" s="1152"/>
      <c r="Y1875" s="732">
        <f t="shared" si="238"/>
        <v>0</v>
      </c>
      <c r="Z1875" s="1153"/>
      <c r="AA1875" s="1153"/>
      <c r="AB1875" s="733">
        <f t="shared" si="239"/>
        <v>0</v>
      </c>
      <c r="AC1875" s="1152"/>
      <c r="AD1875" s="1153"/>
      <c r="AE1875" s="1152"/>
      <c r="AF1875" s="1152"/>
      <c r="AG1875" s="1153"/>
      <c r="AH1875" s="1153"/>
      <c r="AI1875" s="732">
        <f t="shared" si="243"/>
        <v>0</v>
      </c>
      <c r="AJ1875" s="733">
        <f t="shared" si="244"/>
        <v>0</v>
      </c>
    </row>
    <row r="1876" spans="1:36">
      <c r="A1876" s="1075" t="s">
        <v>746</v>
      </c>
      <c r="B1876" s="1017" t="s">
        <v>99</v>
      </c>
      <c r="C1876" s="1076" t="s">
        <v>1565</v>
      </c>
      <c r="D1876" s="1010"/>
      <c r="E1876" s="987">
        <v>218140</v>
      </c>
      <c r="F1876" s="988">
        <v>8</v>
      </c>
      <c r="G1876" s="1152"/>
      <c r="H1876" s="1153"/>
      <c r="I1876" s="1152">
        <v>37784</v>
      </c>
      <c r="J1876" s="1153">
        <v>37784</v>
      </c>
      <c r="K1876" s="1152"/>
      <c r="L1876" s="1153"/>
      <c r="M1876" s="1152"/>
      <c r="N1876" s="1152"/>
      <c r="O1876" s="732">
        <f t="shared" si="237"/>
        <v>0</v>
      </c>
      <c r="P1876" s="1159"/>
      <c r="Q1876" s="1153"/>
      <c r="R1876" s="733">
        <f t="shared" si="240"/>
        <v>0</v>
      </c>
      <c r="S1876" s="732">
        <f t="shared" si="241"/>
        <v>37784</v>
      </c>
      <c r="T1876" s="733">
        <f t="shared" si="242"/>
        <v>37784</v>
      </c>
      <c r="U1876" s="1152"/>
      <c r="V1876" s="1153"/>
      <c r="W1876" s="1152"/>
      <c r="X1876" s="1152"/>
      <c r="Y1876" s="732">
        <f t="shared" si="238"/>
        <v>0</v>
      </c>
      <c r="Z1876" s="1153"/>
      <c r="AA1876" s="1153"/>
      <c r="AB1876" s="733">
        <f t="shared" si="239"/>
        <v>0</v>
      </c>
      <c r="AC1876" s="1152"/>
      <c r="AD1876" s="1153"/>
      <c r="AE1876" s="1152"/>
      <c r="AF1876" s="1152"/>
      <c r="AG1876" s="1153"/>
      <c r="AH1876" s="1153"/>
      <c r="AI1876" s="732">
        <f t="shared" si="243"/>
        <v>37784</v>
      </c>
      <c r="AJ1876" s="733">
        <f t="shared" si="244"/>
        <v>37784</v>
      </c>
    </row>
    <row r="1877" spans="1:36">
      <c r="A1877" s="1075" t="s">
        <v>746</v>
      </c>
      <c r="B1877" s="1017" t="s">
        <v>99</v>
      </c>
      <c r="C1877" s="1076" t="s">
        <v>1539</v>
      </c>
      <c r="D1877" s="1010"/>
      <c r="E1877" s="987">
        <v>218140</v>
      </c>
      <c r="F1877" s="988">
        <v>8</v>
      </c>
      <c r="G1877" s="1152"/>
      <c r="H1877" s="1153"/>
      <c r="I1877" s="1152">
        <v>304831</v>
      </c>
      <c r="J1877" s="1153">
        <v>315066</v>
      </c>
      <c r="K1877" s="1152"/>
      <c r="L1877" s="1153"/>
      <c r="M1877" s="1152"/>
      <c r="N1877" s="1152"/>
      <c r="O1877" s="732">
        <f t="shared" si="237"/>
        <v>0</v>
      </c>
      <c r="P1877" s="1159"/>
      <c r="Q1877" s="1153"/>
      <c r="R1877" s="733">
        <f t="shared" si="240"/>
        <v>0</v>
      </c>
      <c r="S1877" s="732">
        <f t="shared" si="241"/>
        <v>304831</v>
      </c>
      <c r="T1877" s="733">
        <f t="shared" si="242"/>
        <v>315066</v>
      </c>
      <c r="U1877" s="1152"/>
      <c r="V1877" s="1153"/>
      <c r="W1877" s="1152"/>
      <c r="X1877" s="1152"/>
      <c r="Y1877" s="732">
        <f t="shared" si="238"/>
        <v>0</v>
      </c>
      <c r="Z1877" s="1153"/>
      <c r="AA1877" s="1153"/>
      <c r="AB1877" s="733">
        <f t="shared" si="239"/>
        <v>0</v>
      </c>
      <c r="AC1877" s="1152"/>
      <c r="AD1877" s="1153"/>
      <c r="AE1877" s="1152"/>
      <c r="AF1877" s="1152"/>
      <c r="AG1877" s="1153"/>
      <c r="AH1877" s="1153"/>
      <c r="AI1877" s="732">
        <f t="shared" si="243"/>
        <v>304831</v>
      </c>
      <c r="AJ1877" s="733">
        <f t="shared" si="244"/>
        <v>315066</v>
      </c>
    </row>
    <row r="1878" spans="1:36">
      <c r="A1878" s="1075" t="s">
        <v>746</v>
      </c>
      <c r="B1878" s="1017" t="s">
        <v>99</v>
      </c>
      <c r="C1878" s="1076" t="s">
        <v>1570</v>
      </c>
      <c r="D1878" s="1016" t="s">
        <v>1571</v>
      </c>
      <c r="E1878" s="987">
        <v>218140</v>
      </c>
      <c r="F1878" s="988">
        <v>8</v>
      </c>
      <c r="G1878" s="1152"/>
      <c r="H1878" s="1153"/>
      <c r="I1878" s="1152"/>
      <c r="J1878" s="1153"/>
      <c r="K1878" s="1152"/>
      <c r="L1878" s="1153"/>
      <c r="M1878" s="1152"/>
      <c r="N1878" s="1152"/>
      <c r="O1878" s="732">
        <f t="shared" si="237"/>
        <v>0</v>
      </c>
      <c r="P1878" s="1159"/>
      <c r="Q1878" s="1153"/>
      <c r="R1878" s="733">
        <f t="shared" si="240"/>
        <v>0</v>
      </c>
      <c r="S1878" s="732">
        <f t="shared" si="241"/>
        <v>0</v>
      </c>
      <c r="T1878" s="733">
        <f t="shared" si="242"/>
        <v>0</v>
      </c>
      <c r="U1878" s="1152"/>
      <c r="V1878" s="1153"/>
      <c r="W1878" s="1152"/>
      <c r="X1878" s="1152"/>
      <c r="Y1878" s="732">
        <f t="shared" si="238"/>
        <v>0</v>
      </c>
      <c r="Z1878" s="1153"/>
      <c r="AA1878" s="1153"/>
      <c r="AB1878" s="733">
        <f t="shared" si="239"/>
        <v>0</v>
      </c>
      <c r="AC1878" s="1152"/>
      <c r="AD1878" s="1153"/>
      <c r="AE1878" s="1152"/>
      <c r="AF1878" s="1152"/>
      <c r="AG1878" s="1153"/>
      <c r="AH1878" s="1153"/>
      <c r="AI1878" s="732">
        <f t="shared" si="243"/>
        <v>0</v>
      </c>
      <c r="AJ1878" s="733">
        <f t="shared" si="244"/>
        <v>0</v>
      </c>
    </row>
    <row r="1879" spans="1:36">
      <c r="A1879" s="1075" t="s">
        <v>746</v>
      </c>
      <c r="B1879" s="1017" t="s">
        <v>62</v>
      </c>
      <c r="C1879" s="1082" t="s">
        <v>1572</v>
      </c>
      <c r="D1879" s="1010"/>
      <c r="E1879" s="987">
        <v>218353</v>
      </c>
      <c r="F1879" s="988">
        <v>8</v>
      </c>
      <c r="G1879" s="1152">
        <v>16172667</v>
      </c>
      <c r="H1879" s="1153">
        <v>16866375</v>
      </c>
      <c r="I1879" s="1152"/>
      <c r="J1879" s="1153"/>
      <c r="K1879" s="1152">
        <v>13147412</v>
      </c>
      <c r="L1879" s="1153">
        <v>12815686</v>
      </c>
      <c r="M1879" s="1152">
        <v>58022143</v>
      </c>
      <c r="N1879" s="1152">
        <v>2227600</v>
      </c>
      <c r="O1879" s="732">
        <f t="shared" si="237"/>
        <v>60249743</v>
      </c>
      <c r="P1879" s="1159">
        <f>57143203-Q1879</f>
        <v>54795087</v>
      </c>
      <c r="Q1879" s="1153">
        <v>2348116</v>
      </c>
      <c r="R1879" s="733">
        <f t="shared" si="240"/>
        <v>57143203</v>
      </c>
      <c r="S1879" s="732">
        <f t="shared" si="241"/>
        <v>87342222</v>
      </c>
      <c r="T1879" s="733">
        <f t="shared" si="242"/>
        <v>84477148</v>
      </c>
      <c r="U1879" s="1152"/>
      <c r="V1879" s="1153"/>
      <c r="W1879" s="1152"/>
      <c r="X1879" s="1152"/>
      <c r="Y1879" s="732">
        <f t="shared" si="238"/>
        <v>0</v>
      </c>
      <c r="Z1879" s="1153"/>
      <c r="AA1879" s="1153"/>
      <c r="AB1879" s="733">
        <f t="shared" si="239"/>
        <v>0</v>
      </c>
      <c r="AC1879" s="1152"/>
      <c r="AD1879" s="1153"/>
      <c r="AE1879" s="1152"/>
      <c r="AF1879" s="1152"/>
      <c r="AG1879" s="1153"/>
      <c r="AH1879" s="1153"/>
      <c r="AI1879" s="732">
        <f t="shared" si="243"/>
        <v>87342222</v>
      </c>
      <c r="AJ1879" s="733">
        <f t="shared" si="244"/>
        <v>84477148</v>
      </c>
    </row>
    <row r="1880" spans="1:36">
      <c r="A1880" s="1075" t="s">
        <v>746</v>
      </c>
      <c r="B1880" s="1017" t="s">
        <v>62</v>
      </c>
      <c r="C1880" s="1087" t="s">
        <v>1561</v>
      </c>
      <c r="D1880" s="1010"/>
      <c r="E1880" s="987">
        <v>218353</v>
      </c>
      <c r="F1880" s="988">
        <v>8</v>
      </c>
      <c r="G1880" s="1152">
        <v>405236</v>
      </c>
      <c r="H1880" s="1153"/>
      <c r="I1880" s="1152"/>
      <c r="J1880" s="1153"/>
      <c r="K1880" s="1152"/>
      <c r="L1880" s="1153"/>
      <c r="M1880" s="1152"/>
      <c r="N1880" s="1152"/>
      <c r="O1880" s="732">
        <f t="shared" si="237"/>
        <v>0</v>
      </c>
      <c r="P1880" s="1159"/>
      <c r="Q1880" s="1153"/>
      <c r="R1880" s="733">
        <f t="shared" si="240"/>
        <v>0</v>
      </c>
      <c r="S1880" s="732">
        <f t="shared" si="241"/>
        <v>405236</v>
      </c>
      <c r="T1880" s="733">
        <f t="shared" si="242"/>
        <v>0</v>
      </c>
      <c r="U1880" s="1152"/>
      <c r="V1880" s="1153"/>
      <c r="W1880" s="1152"/>
      <c r="X1880" s="1152"/>
      <c r="Y1880" s="732">
        <f t="shared" si="238"/>
        <v>0</v>
      </c>
      <c r="Z1880" s="1153"/>
      <c r="AA1880" s="1153"/>
      <c r="AB1880" s="733">
        <f t="shared" si="239"/>
        <v>0</v>
      </c>
      <c r="AC1880" s="1152"/>
      <c r="AD1880" s="1153"/>
      <c r="AE1880" s="1152"/>
      <c r="AF1880" s="1152"/>
      <c r="AG1880" s="1153"/>
      <c r="AH1880" s="1153"/>
      <c r="AI1880" s="732">
        <f t="shared" si="243"/>
        <v>405236</v>
      </c>
      <c r="AJ1880" s="733">
        <f t="shared" si="244"/>
        <v>0</v>
      </c>
    </row>
    <row r="1881" spans="1:36">
      <c r="A1881" s="1075" t="s">
        <v>746</v>
      </c>
      <c r="B1881" s="1017" t="s">
        <v>62</v>
      </c>
      <c r="C1881" s="1087" t="s">
        <v>1562</v>
      </c>
      <c r="D1881" s="1010"/>
      <c r="E1881" s="987">
        <v>218353</v>
      </c>
      <c r="F1881" s="988">
        <v>8</v>
      </c>
      <c r="G1881" s="1152">
        <v>244968</v>
      </c>
      <c r="H1881" s="1153"/>
      <c r="I1881" s="1152"/>
      <c r="J1881" s="1153"/>
      <c r="K1881" s="1152"/>
      <c r="L1881" s="1153"/>
      <c r="M1881" s="1152"/>
      <c r="N1881" s="1152"/>
      <c r="O1881" s="732">
        <f t="shared" si="237"/>
        <v>0</v>
      </c>
      <c r="P1881" s="1159"/>
      <c r="Q1881" s="1153"/>
      <c r="R1881" s="733">
        <f t="shared" si="240"/>
        <v>0</v>
      </c>
      <c r="S1881" s="732">
        <f t="shared" si="241"/>
        <v>244968</v>
      </c>
      <c r="T1881" s="733">
        <f t="shared" si="242"/>
        <v>0</v>
      </c>
      <c r="U1881" s="1152"/>
      <c r="V1881" s="1153"/>
      <c r="W1881" s="1152"/>
      <c r="X1881" s="1152"/>
      <c r="Y1881" s="732">
        <f t="shared" si="238"/>
        <v>0</v>
      </c>
      <c r="Z1881" s="1153"/>
      <c r="AA1881" s="1153"/>
      <c r="AB1881" s="733">
        <f t="shared" si="239"/>
        <v>0</v>
      </c>
      <c r="AC1881" s="1152"/>
      <c r="AD1881" s="1153"/>
      <c r="AE1881" s="1152"/>
      <c r="AF1881" s="1152"/>
      <c r="AG1881" s="1153"/>
      <c r="AH1881" s="1153"/>
      <c r="AI1881" s="732">
        <f t="shared" si="243"/>
        <v>244968</v>
      </c>
      <c r="AJ1881" s="733">
        <f t="shared" si="244"/>
        <v>0</v>
      </c>
    </row>
    <row r="1882" spans="1:36">
      <c r="A1882" s="1075" t="s">
        <v>746</v>
      </c>
      <c r="B1882" s="1017" t="s">
        <v>62</v>
      </c>
      <c r="C1882" s="1076" t="s">
        <v>1538</v>
      </c>
      <c r="D1882" s="1010"/>
      <c r="E1882" s="987">
        <v>218353</v>
      </c>
      <c r="F1882" s="988">
        <v>8</v>
      </c>
      <c r="G1882" s="1152"/>
      <c r="H1882" s="1153"/>
      <c r="I1882" s="1152"/>
      <c r="J1882" s="1153"/>
      <c r="K1882" s="1152"/>
      <c r="L1882" s="1153"/>
      <c r="M1882" s="1152"/>
      <c r="N1882" s="1152"/>
      <c r="O1882" s="732">
        <f t="shared" si="237"/>
        <v>0</v>
      </c>
      <c r="P1882" s="1159"/>
      <c r="Q1882" s="1153"/>
      <c r="R1882" s="733">
        <f t="shared" si="240"/>
        <v>0</v>
      </c>
      <c r="S1882" s="732">
        <f t="shared" si="241"/>
        <v>0</v>
      </c>
      <c r="T1882" s="733">
        <f t="shared" si="242"/>
        <v>0</v>
      </c>
      <c r="U1882" s="1152"/>
      <c r="V1882" s="1153"/>
      <c r="W1882" s="1152"/>
      <c r="X1882" s="1152"/>
      <c r="Y1882" s="732">
        <f t="shared" si="238"/>
        <v>0</v>
      </c>
      <c r="Z1882" s="1153"/>
      <c r="AA1882" s="1153"/>
      <c r="AB1882" s="733">
        <f t="shared" si="239"/>
        <v>0</v>
      </c>
      <c r="AC1882" s="1152"/>
      <c r="AD1882" s="1153"/>
      <c r="AE1882" s="1152"/>
      <c r="AF1882" s="1152"/>
      <c r="AG1882" s="1153"/>
      <c r="AH1882" s="1153"/>
      <c r="AI1882" s="732">
        <f t="shared" si="243"/>
        <v>0</v>
      </c>
      <c r="AJ1882" s="733">
        <f t="shared" si="244"/>
        <v>0</v>
      </c>
    </row>
    <row r="1883" spans="1:36">
      <c r="A1883" s="1075" t="s">
        <v>746</v>
      </c>
      <c r="B1883" s="1017" t="s">
        <v>99</v>
      </c>
      <c r="C1883" s="1077" t="s">
        <v>1070</v>
      </c>
      <c r="D1883" s="1010"/>
      <c r="E1883" s="987">
        <v>218353</v>
      </c>
      <c r="F1883" s="988">
        <v>8</v>
      </c>
      <c r="G1883" s="1152"/>
      <c r="H1883" s="1153"/>
      <c r="I1883" s="1152"/>
      <c r="J1883" s="1153"/>
      <c r="K1883" s="1152"/>
      <c r="L1883" s="1153"/>
      <c r="M1883" s="1152"/>
      <c r="N1883" s="1152"/>
      <c r="O1883" s="732">
        <f t="shared" si="237"/>
        <v>0</v>
      </c>
      <c r="P1883" s="1159"/>
      <c r="Q1883" s="1153"/>
      <c r="R1883" s="733">
        <f t="shared" si="240"/>
        <v>0</v>
      </c>
      <c r="S1883" s="732">
        <f t="shared" si="241"/>
        <v>0</v>
      </c>
      <c r="T1883" s="733">
        <f t="shared" si="242"/>
        <v>0</v>
      </c>
      <c r="U1883" s="1152"/>
      <c r="V1883" s="1153"/>
      <c r="W1883" s="1152"/>
      <c r="X1883" s="1152"/>
      <c r="Y1883" s="732">
        <f t="shared" si="238"/>
        <v>0</v>
      </c>
      <c r="Z1883" s="1153"/>
      <c r="AA1883" s="1153"/>
      <c r="AB1883" s="733">
        <f t="shared" si="239"/>
        <v>0</v>
      </c>
      <c r="AC1883" s="1152"/>
      <c r="AD1883" s="1153"/>
      <c r="AE1883" s="1152"/>
      <c r="AF1883" s="1152"/>
      <c r="AG1883" s="1153"/>
      <c r="AH1883" s="1153"/>
      <c r="AI1883" s="732">
        <f t="shared" si="243"/>
        <v>0</v>
      </c>
      <c r="AJ1883" s="733">
        <f t="shared" si="244"/>
        <v>0</v>
      </c>
    </row>
    <row r="1884" spans="1:36">
      <c r="A1884" s="1075" t="s">
        <v>746</v>
      </c>
      <c r="B1884" s="1017" t="s">
        <v>99</v>
      </c>
      <c r="C1884" s="1076" t="s">
        <v>1563</v>
      </c>
      <c r="D1884" s="1010"/>
      <c r="E1884" s="987">
        <v>218353</v>
      </c>
      <c r="F1884" s="988">
        <v>8</v>
      </c>
      <c r="G1884" s="1152"/>
      <c r="H1884" s="1153"/>
      <c r="I1884" s="1152">
        <v>325221</v>
      </c>
      <c r="J1884" s="1153">
        <v>308969</v>
      </c>
      <c r="K1884" s="1152"/>
      <c r="L1884" s="1153"/>
      <c r="M1884" s="1152"/>
      <c r="N1884" s="1152"/>
      <c r="O1884" s="732">
        <f t="shared" si="237"/>
        <v>0</v>
      </c>
      <c r="P1884" s="1159"/>
      <c r="Q1884" s="1153"/>
      <c r="R1884" s="733">
        <f t="shared" si="240"/>
        <v>0</v>
      </c>
      <c r="S1884" s="732">
        <f t="shared" si="241"/>
        <v>325221</v>
      </c>
      <c r="T1884" s="733">
        <f t="shared" si="242"/>
        <v>308969</v>
      </c>
      <c r="U1884" s="1152"/>
      <c r="V1884" s="1153"/>
      <c r="W1884" s="1152"/>
      <c r="X1884" s="1152"/>
      <c r="Y1884" s="732">
        <f t="shared" si="238"/>
        <v>0</v>
      </c>
      <c r="Z1884" s="1153"/>
      <c r="AA1884" s="1153"/>
      <c r="AB1884" s="733">
        <f t="shared" si="239"/>
        <v>0</v>
      </c>
      <c r="AC1884" s="1152"/>
      <c r="AD1884" s="1153"/>
      <c r="AE1884" s="1152"/>
      <c r="AF1884" s="1152"/>
      <c r="AG1884" s="1153"/>
      <c r="AH1884" s="1153"/>
      <c r="AI1884" s="732">
        <f t="shared" si="243"/>
        <v>325221</v>
      </c>
      <c r="AJ1884" s="733">
        <f t="shared" si="244"/>
        <v>308969</v>
      </c>
    </row>
    <row r="1885" spans="1:36">
      <c r="A1885" s="1075" t="s">
        <v>746</v>
      </c>
      <c r="B1885" s="1017" t="s">
        <v>99</v>
      </c>
      <c r="C1885" s="1076" t="s">
        <v>1564</v>
      </c>
      <c r="D1885" s="1010"/>
      <c r="E1885" s="987">
        <v>218353</v>
      </c>
      <c r="F1885" s="988">
        <v>8</v>
      </c>
      <c r="G1885" s="1152"/>
      <c r="H1885" s="1153"/>
      <c r="I1885" s="1152">
        <v>39969</v>
      </c>
      <c r="J1885" s="1153">
        <v>37213</v>
      </c>
      <c r="K1885" s="1152"/>
      <c r="L1885" s="1153"/>
      <c r="M1885" s="1152"/>
      <c r="N1885" s="1152"/>
      <c r="O1885" s="732">
        <f t="shared" si="237"/>
        <v>0</v>
      </c>
      <c r="P1885" s="1159"/>
      <c r="Q1885" s="1153"/>
      <c r="R1885" s="733">
        <f t="shared" si="240"/>
        <v>0</v>
      </c>
      <c r="S1885" s="732">
        <f t="shared" si="241"/>
        <v>39969</v>
      </c>
      <c r="T1885" s="733">
        <f t="shared" si="242"/>
        <v>37213</v>
      </c>
      <c r="U1885" s="1152"/>
      <c r="V1885" s="1153"/>
      <c r="W1885" s="1152"/>
      <c r="X1885" s="1152"/>
      <c r="Y1885" s="732">
        <f t="shared" si="238"/>
        <v>0</v>
      </c>
      <c r="Z1885" s="1153"/>
      <c r="AA1885" s="1153"/>
      <c r="AB1885" s="733">
        <f t="shared" si="239"/>
        <v>0</v>
      </c>
      <c r="AC1885" s="1152"/>
      <c r="AD1885" s="1153"/>
      <c r="AE1885" s="1152"/>
      <c r="AF1885" s="1152"/>
      <c r="AG1885" s="1153"/>
      <c r="AH1885" s="1153"/>
      <c r="AI1885" s="732">
        <f t="shared" si="243"/>
        <v>39969</v>
      </c>
      <c r="AJ1885" s="733">
        <f t="shared" si="244"/>
        <v>37213</v>
      </c>
    </row>
    <row r="1886" spans="1:36">
      <c r="A1886" s="1075" t="s">
        <v>746</v>
      </c>
      <c r="B1886" s="1017" t="s">
        <v>99</v>
      </c>
      <c r="C1886" s="1076" t="s">
        <v>1566</v>
      </c>
      <c r="D1886" s="1010"/>
      <c r="E1886" s="987">
        <v>218353</v>
      </c>
      <c r="F1886" s="988">
        <v>8</v>
      </c>
      <c r="G1886" s="1152"/>
      <c r="H1886" s="1153"/>
      <c r="I1886" s="1152">
        <f>326453+1344893</f>
        <v>1671346</v>
      </c>
      <c r="J1886" s="1153">
        <f>321886+1330843</f>
        <v>1652729</v>
      </c>
      <c r="K1886" s="1152"/>
      <c r="L1886" s="1153"/>
      <c r="M1886" s="1152"/>
      <c r="N1886" s="1152"/>
      <c r="O1886" s="732">
        <f t="shared" si="237"/>
        <v>0</v>
      </c>
      <c r="P1886" s="1159"/>
      <c r="Q1886" s="1153"/>
      <c r="R1886" s="733">
        <f t="shared" si="240"/>
        <v>0</v>
      </c>
      <c r="S1886" s="732">
        <f t="shared" si="241"/>
        <v>1671346</v>
      </c>
      <c r="T1886" s="733">
        <f t="shared" si="242"/>
        <v>1652729</v>
      </c>
      <c r="U1886" s="1152"/>
      <c r="V1886" s="1153"/>
      <c r="W1886" s="1152"/>
      <c r="X1886" s="1152"/>
      <c r="Y1886" s="732">
        <f t="shared" si="238"/>
        <v>0</v>
      </c>
      <c r="Z1886" s="1153"/>
      <c r="AA1886" s="1153"/>
      <c r="AB1886" s="733">
        <f t="shared" si="239"/>
        <v>0</v>
      </c>
      <c r="AC1886" s="1152"/>
      <c r="AD1886" s="1153"/>
      <c r="AE1886" s="1152"/>
      <c r="AF1886" s="1152"/>
      <c r="AG1886" s="1153"/>
      <c r="AH1886" s="1153"/>
      <c r="AI1886" s="732">
        <f t="shared" si="243"/>
        <v>1671346</v>
      </c>
      <c r="AJ1886" s="733">
        <f t="shared" si="244"/>
        <v>1652729</v>
      </c>
    </row>
    <row r="1887" spans="1:36">
      <c r="A1887" s="1075" t="s">
        <v>746</v>
      </c>
      <c r="B1887" s="1017" t="s">
        <v>99</v>
      </c>
      <c r="C1887" s="1076" t="s">
        <v>1567</v>
      </c>
      <c r="D1887" s="1010"/>
      <c r="E1887" s="987">
        <v>218353</v>
      </c>
      <c r="F1887" s="988">
        <v>8</v>
      </c>
      <c r="G1887" s="1152"/>
      <c r="H1887" s="1153"/>
      <c r="I1887" s="1152"/>
      <c r="J1887" s="1153"/>
      <c r="K1887" s="1152"/>
      <c r="L1887" s="1153"/>
      <c r="M1887" s="1152"/>
      <c r="N1887" s="1152"/>
      <c r="O1887" s="732">
        <f t="shared" si="237"/>
        <v>0</v>
      </c>
      <c r="P1887" s="1159"/>
      <c r="Q1887" s="1153"/>
      <c r="R1887" s="733">
        <f t="shared" si="240"/>
        <v>0</v>
      </c>
      <c r="S1887" s="732">
        <f t="shared" si="241"/>
        <v>0</v>
      </c>
      <c r="T1887" s="733">
        <f t="shared" si="242"/>
        <v>0</v>
      </c>
      <c r="U1887" s="1152"/>
      <c r="V1887" s="1153"/>
      <c r="W1887" s="1152"/>
      <c r="X1887" s="1152"/>
      <c r="Y1887" s="732">
        <f t="shared" si="238"/>
        <v>0</v>
      </c>
      <c r="Z1887" s="1153"/>
      <c r="AA1887" s="1153"/>
      <c r="AB1887" s="733">
        <f t="shared" si="239"/>
        <v>0</v>
      </c>
      <c r="AC1887" s="1152"/>
      <c r="AD1887" s="1153"/>
      <c r="AE1887" s="1152"/>
      <c r="AF1887" s="1152"/>
      <c r="AG1887" s="1153"/>
      <c r="AH1887" s="1153"/>
      <c r="AI1887" s="732">
        <f t="shared" si="243"/>
        <v>0</v>
      </c>
      <c r="AJ1887" s="733">
        <f t="shared" si="244"/>
        <v>0</v>
      </c>
    </row>
    <row r="1888" spans="1:36">
      <c r="A1888" s="1075" t="s">
        <v>746</v>
      </c>
      <c r="B1888" s="1017" t="s">
        <v>99</v>
      </c>
      <c r="C1888" s="1076" t="s">
        <v>1573</v>
      </c>
      <c r="D1888" s="1010"/>
      <c r="E1888" s="987">
        <v>218353</v>
      </c>
      <c r="F1888" s="988">
        <v>8</v>
      </c>
      <c r="G1888" s="1152"/>
      <c r="H1888" s="1153"/>
      <c r="I1888" s="1152">
        <v>2500000</v>
      </c>
      <c r="J1888" s="1153"/>
      <c r="K1888" s="1152"/>
      <c r="L1888" s="1153"/>
      <c r="M1888" s="1152"/>
      <c r="N1888" s="1152"/>
      <c r="O1888" s="732">
        <f t="shared" si="237"/>
        <v>0</v>
      </c>
      <c r="P1888" s="1159"/>
      <c r="Q1888" s="1153"/>
      <c r="R1888" s="733">
        <f t="shared" si="240"/>
        <v>0</v>
      </c>
      <c r="S1888" s="732">
        <f t="shared" si="241"/>
        <v>2500000</v>
      </c>
      <c r="T1888" s="733">
        <f t="shared" si="242"/>
        <v>0</v>
      </c>
      <c r="U1888" s="1152"/>
      <c r="V1888" s="1153"/>
      <c r="W1888" s="1152"/>
      <c r="X1888" s="1152"/>
      <c r="Y1888" s="732">
        <f t="shared" si="238"/>
        <v>0</v>
      </c>
      <c r="Z1888" s="1153"/>
      <c r="AA1888" s="1153"/>
      <c r="AB1888" s="733">
        <f t="shared" si="239"/>
        <v>0</v>
      </c>
      <c r="AC1888" s="1152"/>
      <c r="AD1888" s="1153"/>
      <c r="AE1888" s="1152"/>
      <c r="AF1888" s="1152"/>
      <c r="AG1888" s="1153"/>
      <c r="AH1888" s="1153"/>
      <c r="AI1888" s="732">
        <f t="shared" si="243"/>
        <v>2500000</v>
      </c>
      <c r="AJ1888" s="733">
        <f t="shared" si="244"/>
        <v>0</v>
      </c>
    </row>
    <row r="1889" spans="1:36">
      <c r="A1889" s="1075" t="s">
        <v>746</v>
      </c>
      <c r="B1889" s="1017" t="s">
        <v>99</v>
      </c>
      <c r="C1889" s="1076" t="s">
        <v>1574</v>
      </c>
      <c r="D1889" s="1010"/>
      <c r="E1889" s="987">
        <v>218353</v>
      </c>
      <c r="F1889" s="988">
        <v>8</v>
      </c>
      <c r="G1889" s="1152"/>
      <c r="H1889" s="1153"/>
      <c r="I1889" s="1152">
        <v>370943</v>
      </c>
      <c r="J1889" s="1153">
        <v>370943</v>
      </c>
      <c r="K1889" s="1152"/>
      <c r="L1889" s="1153"/>
      <c r="M1889" s="1152"/>
      <c r="N1889" s="1152"/>
      <c r="O1889" s="732">
        <f t="shared" si="237"/>
        <v>0</v>
      </c>
      <c r="P1889" s="1159"/>
      <c r="Q1889" s="1153"/>
      <c r="R1889" s="733">
        <f t="shared" si="240"/>
        <v>0</v>
      </c>
      <c r="S1889" s="732">
        <f t="shared" si="241"/>
        <v>370943</v>
      </c>
      <c r="T1889" s="733">
        <f t="shared" si="242"/>
        <v>370943</v>
      </c>
      <c r="U1889" s="1152"/>
      <c r="V1889" s="1153"/>
      <c r="W1889" s="1152"/>
      <c r="X1889" s="1152"/>
      <c r="Y1889" s="732">
        <f t="shared" si="238"/>
        <v>0</v>
      </c>
      <c r="Z1889" s="1153"/>
      <c r="AA1889" s="1153"/>
      <c r="AB1889" s="733">
        <f t="shared" si="239"/>
        <v>0</v>
      </c>
      <c r="AC1889" s="1152"/>
      <c r="AD1889" s="1153"/>
      <c r="AE1889" s="1152"/>
      <c r="AF1889" s="1152"/>
      <c r="AG1889" s="1153"/>
      <c r="AH1889" s="1153"/>
      <c r="AI1889" s="732">
        <f t="shared" si="243"/>
        <v>370943</v>
      </c>
      <c r="AJ1889" s="733">
        <f t="shared" si="244"/>
        <v>370943</v>
      </c>
    </row>
    <row r="1890" spans="1:36">
      <c r="A1890" s="1075" t="s">
        <v>746</v>
      </c>
      <c r="B1890" s="1017" t="s">
        <v>99</v>
      </c>
      <c r="C1890" s="1076" t="s">
        <v>1565</v>
      </c>
      <c r="D1890" s="1010"/>
      <c r="E1890" s="987">
        <v>218353</v>
      </c>
      <c r="F1890" s="988">
        <v>8</v>
      </c>
      <c r="G1890" s="1152"/>
      <c r="H1890" s="1153"/>
      <c r="I1890" s="1152">
        <v>37784</v>
      </c>
      <c r="J1890" s="1153">
        <v>37784</v>
      </c>
      <c r="K1890" s="1152"/>
      <c r="L1890" s="1153"/>
      <c r="M1890" s="1152"/>
      <c r="N1890" s="1152"/>
      <c r="O1890" s="732">
        <f t="shared" si="237"/>
        <v>0</v>
      </c>
      <c r="P1890" s="1159"/>
      <c r="Q1890" s="1153"/>
      <c r="R1890" s="733">
        <f t="shared" si="240"/>
        <v>0</v>
      </c>
      <c r="S1890" s="732">
        <f t="shared" si="241"/>
        <v>37784</v>
      </c>
      <c r="T1890" s="733">
        <f t="shared" si="242"/>
        <v>37784</v>
      </c>
      <c r="U1890" s="1152"/>
      <c r="V1890" s="1153"/>
      <c r="W1890" s="1152"/>
      <c r="X1890" s="1152"/>
      <c r="Y1890" s="732">
        <f t="shared" si="238"/>
        <v>0</v>
      </c>
      <c r="Z1890" s="1153"/>
      <c r="AA1890" s="1153"/>
      <c r="AB1890" s="733">
        <f t="shared" si="239"/>
        <v>0</v>
      </c>
      <c r="AC1890" s="1152"/>
      <c r="AD1890" s="1153"/>
      <c r="AE1890" s="1152"/>
      <c r="AF1890" s="1152"/>
      <c r="AG1890" s="1153"/>
      <c r="AH1890" s="1153"/>
      <c r="AI1890" s="732">
        <f t="shared" si="243"/>
        <v>37784</v>
      </c>
      <c r="AJ1890" s="733">
        <f t="shared" si="244"/>
        <v>37784</v>
      </c>
    </row>
    <row r="1891" spans="1:36">
      <c r="A1891" s="1075" t="s">
        <v>746</v>
      </c>
      <c r="B1891" s="1017" t="s">
        <v>99</v>
      </c>
      <c r="C1891" s="1076" t="s">
        <v>1539</v>
      </c>
      <c r="D1891" s="1010"/>
      <c r="E1891" s="987">
        <v>218353</v>
      </c>
      <c r="F1891" s="988">
        <v>8</v>
      </c>
      <c r="G1891" s="1152"/>
      <c r="H1891" s="1153"/>
      <c r="I1891" s="1152">
        <v>452054</v>
      </c>
      <c r="J1891" s="1153">
        <v>451506</v>
      </c>
      <c r="K1891" s="1152"/>
      <c r="L1891" s="1153"/>
      <c r="M1891" s="1152"/>
      <c r="N1891" s="1152"/>
      <c r="O1891" s="732">
        <f t="shared" si="237"/>
        <v>0</v>
      </c>
      <c r="P1891" s="1159"/>
      <c r="Q1891" s="1153"/>
      <c r="R1891" s="733">
        <f t="shared" si="240"/>
        <v>0</v>
      </c>
      <c r="S1891" s="732">
        <f t="shared" si="241"/>
        <v>452054</v>
      </c>
      <c r="T1891" s="733">
        <f t="shared" si="242"/>
        <v>451506</v>
      </c>
      <c r="U1891" s="1152"/>
      <c r="V1891" s="1153"/>
      <c r="W1891" s="1152"/>
      <c r="X1891" s="1152"/>
      <c r="Y1891" s="732">
        <f t="shared" si="238"/>
        <v>0</v>
      </c>
      <c r="Z1891" s="1153"/>
      <c r="AA1891" s="1153"/>
      <c r="AB1891" s="733">
        <f t="shared" si="239"/>
        <v>0</v>
      </c>
      <c r="AC1891" s="1152"/>
      <c r="AD1891" s="1153"/>
      <c r="AE1891" s="1152"/>
      <c r="AF1891" s="1152"/>
      <c r="AG1891" s="1153"/>
      <c r="AH1891" s="1153"/>
      <c r="AI1891" s="732">
        <f t="shared" si="243"/>
        <v>452054</v>
      </c>
      <c r="AJ1891" s="733">
        <f t="shared" si="244"/>
        <v>451506</v>
      </c>
    </row>
    <row r="1892" spans="1:36">
      <c r="A1892" s="1075" t="s">
        <v>746</v>
      </c>
      <c r="B1892" s="1017" t="s">
        <v>99</v>
      </c>
      <c r="C1892" s="1076" t="s">
        <v>1570</v>
      </c>
      <c r="D1892" s="1016" t="s">
        <v>1571</v>
      </c>
      <c r="E1892" s="987">
        <v>218353</v>
      </c>
      <c r="F1892" s="988">
        <v>8</v>
      </c>
      <c r="G1892" s="1152"/>
      <c r="H1892" s="1153"/>
      <c r="I1892" s="1152"/>
      <c r="J1892" s="1153"/>
      <c r="K1892" s="1152"/>
      <c r="L1892" s="1153"/>
      <c r="M1892" s="1152"/>
      <c r="N1892" s="1152"/>
      <c r="O1892" s="732">
        <f t="shared" si="237"/>
        <v>0</v>
      </c>
      <c r="P1892" s="1159"/>
      <c r="Q1892" s="1153"/>
      <c r="R1892" s="733">
        <f t="shared" si="240"/>
        <v>0</v>
      </c>
      <c r="S1892" s="732">
        <f t="shared" si="241"/>
        <v>0</v>
      </c>
      <c r="T1892" s="733">
        <f t="shared" si="242"/>
        <v>0</v>
      </c>
      <c r="U1892" s="1152"/>
      <c r="V1892" s="1153"/>
      <c r="W1892" s="1152"/>
      <c r="X1892" s="1152"/>
      <c r="Y1892" s="732">
        <f t="shared" si="238"/>
        <v>0</v>
      </c>
      <c r="Z1892" s="1153"/>
      <c r="AA1892" s="1153"/>
      <c r="AB1892" s="733">
        <f t="shared" si="239"/>
        <v>0</v>
      </c>
      <c r="AC1892" s="1152"/>
      <c r="AD1892" s="1153"/>
      <c r="AE1892" s="1152"/>
      <c r="AF1892" s="1152"/>
      <c r="AG1892" s="1153"/>
      <c r="AH1892" s="1153"/>
      <c r="AI1892" s="732">
        <f t="shared" si="243"/>
        <v>0</v>
      </c>
      <c r="AJ1892" s="733">
        <f t="shared" si="244"/>
        <v>0</v>
      </c>
    </row>
    <row r="1893" spans="1:36">
      <c r="A1893" s="1075" t="s">
        <v>746</v>
      </c>
      <c r="B1893" s="1017" t="s">
        <v>62</v>
      </c>
      <c r="C1893" s="1082" t="s">
        <v>1575</v>
      </c>
      <c r="D1893" s="1010"/>
      <c r="E1893" s="987">
        <v>218894</v>
      </c>
      <c r="F1893" s="988">
        <v>8</v>
      </c>
      <c r="G1893" s="1152">
        <v>19076515</v>
      </c>
      <c r="H1893" s="1153">
        <v>19725175</v>
      </c>
      <c r="I1893" s="1152"/>
      <c r="J1893" s="1153"/>
      <c r="K1893" s="1152">
        <v>13890829</v>
      </c>
      <c r="L1893" s="1153">
        <v>14837445</v>
      </c>
      <c r="M1893" s="1152">
        <v>56061753</v>
      </c>
      <c r="N1893" s="1152"/>
      <c r="O1893" s="732">
        <f t="shared" si="237"/>
        <v>56061753</v>
      </c>
      <c r="P1893" s="1159">
        <f>49358139-Q1893</f>
        <v>48022046</v>
      </c>
      <c r="Q1893" s="1153">
        <v>1336093</v>
      </c>
      <c r="R1893" s="733">
        <f t="shared" si="240"/>
        <v>49358139</v>
      </c>
      <c r="S1893" s="732">
        <f t="shared" si="241"/>
        <v>89029097</v>
      </c>
      <c r="T1893" s="733">
        <f t="shared" si="242"/>
        <v>82584666</v>
      </c>
      <c r="U1893" s="1152"/>
      <c r="V1893" s="1153"/>
      <c r="W1893" s="1152"/>
      <c r="X1893" s="1152"/>
      <c r="Y1893" s="732">
        <f t="shared" si="238"/>
        <v>0</v>
      </c>
      <c r="Z1893" s="1153"/>
      <c r="AA1893" s="1153"/>
      <c r="AB1893" s="733">
        <f t="shared" si="239"/>
        <v>0</v>
      </c>
      <c r="AC1893" s="1152"/>
      <c r="AD1893" s="1153"/>
      <c r="AE1893" s="1152"/>
      <c r="AF1893" s="1152"/>
      <c r="AG1893" s="1153"/>
      <c r="AH1893" s="1153"/>
      <c r="AI1893" s="732">
        <f t="shared" si="243"/>
        <v>89029097</v>
      </c>
      <c r="AJ1893" s="733">
        <f t="shared" si="244"/>
        <v>82584666</v>
      </c>
    </row>
    <row r="1894" spans="1:36">
      <c r="A1894" s="1075" t="s">
        <v>746</v>
      </c>
      <c r="B1894" s="1017" t="s">
        <v>62</v>
      </c>
      <c r="C1894" s="1087" t="s">
        <v>1561</v>
      </c>
      <c r="D1894" s="1010"/>
      <c r="E1894" s="987">
        <v>218894</v>
      </c>
      <c r="F1894" s="988">
        <v>8</v>
      </c>
      <c r="G1894" s="1152">
        <v>431280</v>
      </c>
      <c r="H1894" s="1153"/>
      <c r="I1894" s="1152"/>
      <c r="J1894" s="1153"/>
      <c r="K1894" s="1152"/>
      <c r="L1894" s="1153"/>
      <c r="M1894" s="1152"/>
      <c r="N1894" s="1152"/>
      <c r="O1894" s="732">
        <f t="shared" si="237"/>
        <v>0</v>
      </c>
      <c r="P1894" s="1159"/>
      <c r="Q1894" s="1153"/>
      <c r="R1894" s="733">
        <f t="shared" si="240"/>
        <v>0</v>
      </c>
      <c r="S1894" s="732">
        <f t="shared" si="241"/>
        <v>431280</v>
      </c>
      <c r="T1894" s="733">
        <f t="shared" si="242"/>
        <v>0</v>
      </c>
      <c r="U1894" s="1152"/>
      <c r="V1894" s="1153"/>
      <c r="W1894" s="1152"/>
      <c r="X1894" s="1152"/>
      <c r="Y1894" s="732">
        <f t="shared" si="238"/>
        <v>0</v>
      </c>
      <c r="Z1894" s="1153"/>
      <c r="AA1894" s="1153"/>
      <c r="AB1894" s="733">
        <f t="shared" si="239"/>
        <v>0</v>
      </c>
      <c r="AC1894" s="1152"/>
      <c r="AD1894" s="1153"/>
      <c r="AE1894" s="1152"/>
      <c r="AF1894" s="1152"/>
      <c r="AG1894" s="1153"/>
      <c r="AH1894" s="1153"/>
      <c r="AI1894" s="732">
        <f t="shared" si="243"/>
        <v>431280</v>
      </c>
      <c r="AJ1894" s="733">
        <f t="shared" si="244"/>
        <v>0</v>
      </c>
    </row>
    <row r="1895" spans="1:36">
      <c r="A1895" s="1075" t="s">
        <v>746</v>
      </c>
      <c r="B1895" s="1017" t="s">
        <v>62</v>
      </c>
      <c r="C1895" s="1087" t="s">
        <v>1562</v>
      </c>
      <c r="D1895" s="1010"/>
      <c r="E1895" s="987">
        <v>218894</v>
      </c>
      <c r="F1895" s="988">
        <v>8</v>
      </c>
      <c r="G1895" s="1152">
        <v>261392</v>
      </c>
      <c r="H1895" s="1153"/>
      <c r="I1895" s="1152"/>
      <c r="J1895" s="1153"/>
      <c r="K1895" s="1152"/>
      <c r="L1895" s="1153"/>
      <c r="M1895" s="1152"/>
      <c r="N1895" s="1152"/>
      <c r="O1895" s="732">
        <f t="shared" si="237"/>
        <v>0</v>
      </c>
      <c r="P1895" s="1159"/>
      <c r="Q1895" s="1153"/>
      <c r="R1895" s="733">
        <f t="shared" si="240"/>
        <v>0</v>
      </c>
      <c r="S1895" s="732">
        <f t="shared" si="241"/>
        <v>261392</v>
      </c>
      <c r="T1895" s="733">
        <f t="shared" si="242"/>
        <v>0</v>
      </c>
      <c r="U1895" s="1152"/>
      <c r="V1895" s="1153"/>
      <c r="W1895" s="1152"/>
      <c r="X1895" s="1152"/>
      <c r="Y1895" s="732">
        <f t="shared" si="238"/>
        <v>0</v>
      </c>
      <c r="Z1895" s="1153"/>
      <c r="AA1895" s="1153"/>
      <c r="AB1895" s="733">
        <f t="shared" si="239"/>
        <v>0</v>
      </c>
      <c r="AC1895" s="1152"/>
      <c r="AD1895" s="1153"/>
      <c r="AE1895" s="1152"/>
      <c r="AF1895" s="1152"/>
      <c r="AG1895" s="1153"/>
      <c r="AH1895" s="1153"/>
      <c r="AI1895" s="732">
        <f t="shared" si="243"/>
        <v>261392</v>
      </c>
      <c r="AJ1895" s="733">
        <f t="shared" si="244"/>
        <v>0</v>
      </c>
    </row>
    <row r="1896" spans="1:36">
      <c r="A1896" s="1075" t="s">
        <v>746</v>
      </c>
      <c r="B1896" s="1017" t="s">
        <v>62</v>
      </c>
      <c r="C1896" s="1076" t="s">
        <v>1538</v>
      </c>
      <c r="D1896" s="1010"/>
      <c r="E1896" s="987">
        <v>218894</v>
      </c>
      <c r="F1896" s="988">
        <v>8</v>
      </c>
      <c r="G1896" s="1152"/>
      <c r="H1896" s="1153"/>
      <c r="I1896" s="1152"/>
      <c r="J1896" s="1153"/>
      <c r="K1896" s="1152"/>
      <c r="L1896" s="1153"/>
      <c r="M1896" s="1152"/>
      <c r="N1896" s="1152"/>
      <c r="O1896" s="732">
        <f t="shared" si="237"/>
        <v>0</v>
      </c>
      <c r="P1896" s="1159"/>
      <c r="Q1896" s="1153"/>
      <c r="R1896" s="733">
        <f t="shared" si="240"/>
        <v>0</v>
      </c>
      <c r="S1896" s="732">
        <f t="shared" si="241"/>
        <v>0</v>
      </c>
      <c r="T1896" s="733">
        <f t="shared" si="242"/>
        <v>0</v>
      </c>
      <c r="U1896" s="1152"/>
      <c r="V1896" s="1153"/>
      <c r="W1896" s="1152"/>
      <c r="X1896" s="1152"/>
      <c r="Y1896" s="732">
        <f t="shared" si="238"/>
        <v>0</v>
      </c>
      <c r="Z1896" s="1153"/>
      <c r="AA1896" s="1153"/>
      <c r="AB1896" s="733">
        <f t="shared" si="239"/>
        <v>0</v>
      </c>
      <c r="AC1896" s="1152"/>
      <c r="AD1896" s="1153"/>
      <c r="AE1896" s="1152"/>
      <c r="AF1896" s="1152"/>
      <c r="AG1896" s="1153"/>
      <c r="AH1896" s="1153"/>
      <c r="AI1896" s="732">
        <f t="shared" si="243"/>
        <v>0</v>
      </c>
      <c r="AJ1896" s="733">
        <f t="shared" si="244"/>
        <v>0</v>
      </c>
    </row>
    <row r="1897" spans="1:36">
      <c r="A1897" s="1075" t="s">
        <v>746</v>
      </c>
      <c r="B1897" s="1017" t="s">
        <v>99</v>
      </c>
      <c r="C1897" s="1077" t="s">
        <v>1070</v>
      </c>
      <c r="D1897" s="1010"/>
      <c r="E1897" s="987">
        <v>218894</v>
      </c>
      <c r="F1897" s="988">
        <v>8</v>
      </c>
      <c r="G1897" s="1152"/>
      <c r="H1897" s="1153"/>
      <c r="I1897" s="1152"/>
      <c r="J1897" s="1153"/>
      <c r="K1897" s="1152"/>
      <c r="L1897" s="1153"/>
      <c r="M1897" s="1152"/>
      <c r="N1897" s="1152"/>
      <c r="O1897" s="732">
        <f t="shared" si="237"/>
        <v>0</v>
      </c>
      <c r="P1897" s="1159"/>
      <c r="Q1897" s="1153"/>
      <c r="R1897" s="733">
        <f t="shared" si="240"/>
        <v>0</v>
      </c>
      <c r="S1897" s="732">
        <f t="shared" si="241"/>
        <v>0</v>
      </c>
      <c r="T1897" s="733">
        <f t="shared" si="242"/>
        <v>0</v>
      </c>
      <c r="U1897" s="1152"/>
      <c r="V1897" s="1153"/>
      <c r="W1897" s="1152"/>
      <c r="X1897" s="1152"/>
      <c r="Y1897" s="732">
        <f t="shared" si="238"/>
        <v>0</v>
      </c>
      <c r="Z1897" s="1153"/>
      <c r="AA1897" s="1153"/>
      <c r="AB1897" s="733">
        <f t="shared" si="239"/>
        <v>0</v>
      </c>
      <c r="AC1897" s="1152"/>
      <c r="AD1897" s="1153"/>
      <c r="AE1897" s="1152"/>
      <c r="AF1897" s="1152"/>
      <c r="AG1897" s="1153"/>
      <c r="AH1897" s="1153"/>
      <c r="AI1897" s="732">
        <f t="shared" si="243"/>
        <v>0</v>
      </c>
      <c r="AJ1897" s="733">
        <f t="shared" si="244"/>
        <v>0</v>
      </c>
    </row>
    <row r="1898" spans="1:36">
      <c r="A1898" s="1075" t="s">
        <v>746</v>
      </c>
      <c r="B1898" s="1017" t="s">
        <v>99</v>
      </c>
      <c r="C1898" s="1076" t="s">
        <v>1563</v>
      </c>
      <c r="D1898" s="1010"/>
      <c r="E1898" s="987">
        <v>218894</v>
      </c>
      <c r="F1898" s="988">
        <v>8</v>
      </c>
      <c r="G1898" s="1152"/>
      <c r="H1898" s="1153"/>
      <c r="I1898" s="1152">
        <v>412389</v>
      </c>
      <c r="J1898" s="1153">
        <v>427972</v>
      </c>
      <c r="K1898" s="1152"/>
      <c r="L1898" s="1153"/>
      <c r="M1898" s="1152"/>
      <c r="N1898" s="1152"/>
      <c r="O1898" s="732">
        <f t="shared" si="237"/>
        <v>0</v>
      </c>
      <c r="P1898" s="1159"/>
      <c r="Q1898" s="1153"/>
      <c r="R1898" s="733">
        <f t="shared" si="240"/>
        <v>0</v>
      </c>
      <c r="S1898" s="732">
        <f t="shared" si="241"/>
        <v>412389</v>
      </c>
      <c r="T1898" s="733">
        <f t="shared" si="242"/>
        <v>427972</v>
      </c>
      <c r="U1898" s="1152"/>
      <c r="V1898" s="1153"/>
      <c r="W1898" s="1152"/>
      <c r="X1898" s="1152"/>
      <c r="Y1898" s="732">
        <f t="shared" si="238"/>
        <v>0</v>
      </c>
      <c r="Z1898" s="1153"/>
      <c r="AA1898" s="1153"/>
      <c r="AB1898" s="733">
        <f t="shared" si="239"/>
        <v>0</v>
      </c>
      <c r="AC1898" s="1152"/>
      <c r="AD1898" s="1153"/>
      <c r="AE1898" s="1152"/>
      <c r="AF1898" s="1152"/>
      <c r="AG1898" s="1153"/>
      <c r="AH1898" s="1153"/>
      <c r="AI1898" s="732">
        <f t="shared" si="243"/>
        <v>412389</v>
      </c>
      <c r="AJ1898" s="733">
        <f t="shared" si="244"/>
        <v>427972</v>
      </c>
    </row>
    <row r="1899" spans="1:36">
      <c r="A1899" s="1075" t="s">
        <v>746</v>
      </c>
      <c r="B1899" s="1017" t="s">
        <v>99</v>
      </c>
      <c r="C1899" s="1076" t="s">
        <v>1564</v>
      </c>
      <c r="D1899" s="1010"/>
      <c r="E1899" s="987">
        <v>218894</v>
      </c>
      <c r="F1899" s="988">
        <v>8</v>
      </c>
      <c r="G1899" s="1152"/>
      <c r="H1899" s="1153"/>
      <c r="I1899" s="1152">
        <v>41348</v>
      </c>
      <c r="J1899" s="1153">
        <v>41348</v>
      </c>
      <c r="K1899" s="1152"/>
      <c r="L1899" s="1153"/>
      <c r="M1899" s="1152"/>
      <c r="N1899" s="1152"/>
      <c r="O1899" s="732">
        <f t="shared" si="237"/>
        <v>0</v>
      </c>
      <c r="P1899" s="1159"/>
      <c r="Q1899" s="1153"/>
      <c r="R1899" s="733">
        <f t="shared" si="240"/>
        <v>0</v>
      </c>
      <c r="S1899" s="732">
        <f t="shared" si="241"/>
        <v>41348</v>
      </c>
      <c r="T1899" s="733">
        <f t="shared" si="242"/>
        <v>41348</v>
      </c>
      <c r="U1899" s="1152"/>
      <c r="V1899" s="1153"/>
      <c r="W1899" s="1152"/>
      <c r="X1899" s="1152"/>
      <c r="Y1899" s="732">
        <f t="shared" si="238"/>
        <v>0</v>
      </c>
      <c r="Z1899" s="1153"/>
      <c r="AA1899" s="1153"/>
      <c r="AB1899" s="733">
        <f t="shared" si="239"/>
        <v>0</v>
      </c>
      <c r="AC1899" s="1152"/>
      <c r="AD1899" s="1153"/>
      <c r="AE1899" s="1152"/>
      <c r="AF1899" s="1152"/>
      <c r="AG1899" s="1153"/>
      <c r="AH1899" s="1153"/>
      <c r="AI1899" s="732">
        <f t="shared" si="243"/>
        <v>41348</v>
      </c>
      <c r="AJ1899" s="733">
        <f t="shared" si="244"/>
        <v>41348</v>
      </c>
    </row>
    <row r="1900" spans="1:36">
      <c r="A1900" s="1075" t="s">
        <v>746</v>
      </c>
      <c r="B1900" s="1017" t="s">
        <v>99</v>
      </c>
      <c r="C1900" s="1076" t="s">
        <v>1566</v>
      </c>
      <c r="D1900" s="1010"/>
      <c r="E1900" s="987">
        <v>218894</v>
      </c>
      <c r="F1900" s="988">
        <v>8</v>
      </c>
      <c r="G1900" s="1152"/>
      <c r="H1900" s="1153"/>
      <c r="I1900" s="1152">
        <f>376133+1600518</f>
        <v>1976651</v>
      </c>
      <c r="J1900" s="1153">
        <f>374361+1562724</f>
        <v>1937085</v>
      </c>
      <c r="K1900" s="1152"/>
      <c r="L1900" s="1153"/>
      <c r="M1900" s="1152"/>
      <c r="N1900" s="1152"/>
      <c r="O1900" s="732">
        <f t="shared" si="237"/>
        <v>0</v>
      </c>
      <c r="P1900" s="1159"/>
      <c r="Q1900" s="1153"/>
      <c r="R1900" s="733">
        <f t="shared" si="240"/>
        <v>0</v>
      </c>
      <c r="S1900" s="732">
        <f t="shared" si="241"/>
        <v>1976651</v>
      </c>
      <c r="T1900" s="733">
        <f t="shared" si="242"/>
        <v>1937085</v>
      </c>
      <c r="U1900" s="1152"/>
      <c r="V1900" s="1153"/>
      <c r="W1900" s="1152"/>
      <c r="X1900" s="1152"/>
      <c r="Y1900" s="732">
        <f t="shared" si="238"/>
        <v>0</v>
      </c>
      <c r="Z1900" s="1153"/>
      <c r="AA1900" s="1153"/>
      <c r="AB1900" s="733">
        <f t="shared" si="239"/>
        <v>0</v>
      </c>
      <c r="AC1900" s="1152"/>
      <c r="AD1900" s="1153"/>
      <c r="AE1900" s="1152"/>
      <c r="AF1900" s="1152"/>
      <c r="AG1900" s="1153"/>
      <c r="AH1900" s="1153"/>
      <c r="AI1900" s="732">
        <f t="shared" si="243"/>
        <v>1976651</v>
      </c>
      <c r="AJ1900" s="733">
        <f t="shared" si="244"/>
        <v>1937085</v>
      </c>
    </row>
    <row r="1901" spans="1:36">
      <c r="A1901" s="1075" t="s">
        <v>746</v>
      </c>
      <c r="B1901" s="1017" t="s">
        <v>99</v>
      </c>
      <c r="C1901" s="1076" t="s">
        <v>1567</v>
      </c>
      <c r="D1901" s="1010"/>
      <c r="E1901" s="987">
        <v>218894</v>
      </c>
      <c r="F1901" s="988">
        <v>8</v>
      </c>
      <c r="G1901" s="1152"/>
      <c r="H1901" s="1153"/>
      <c r="I1901" s="1152"/>
      <c r="J1901" s="1153"/>
      <c r="K1901" s="1152"/>
      <c r="L1901" s="1153"/>
      <c r="M1901" s="1152"/>
      <c r="N1901" s="1152"/>
      <c r="O1901" s="732">
        <f t="shared" si="237"/>
        <v>0</v>
      </c>
      <c r="P1901" s="1159"/>
      <c r="Q1901" s="1153"/>
      <c r="R1901" s="733">
        <f t="shared" si="240"/>
        <v>0</v>
      </c>
      <c r="S1901" s="732">
        <f t="shared" si="241"/>
        <v>0</v>
      </c>
      <c r="T1901" s="733">
        <f t="shared" si="242"/>
        <v>0</v>
      </c>
      <c r="U1901" s="1152"/>
      <c r="V1901" s="1153"/>
      <c r="W1901" s="1152"/>
      <c r="X1901" s="1152"/>
      <c r="Y1901" s="732">
        <f t="shared" si="238"/>
        <v>0</v>
      </c>
      <c r="Z1901" s="1153"/>
      <c r="AA1901" s="1153"/>
      <c r="AB1901" s="733">
        <f t="shared" si="239"/>
        <v>0</v>
      </c>
      <c r="AC1901" s="1152"/>
      <c r="AD1901" s="1153"/>
      <c r="AE1901" s="1152"/>
      <c r="AF1901" s="1152"/>
      <c r="AG1901" s="1153"/>
      <c r="AH1901" s="1153"/>
      <c r="AI1901" s="732">
        <f t="shared" si="243"/>
        <v>0</v>
      </c>
      <c r="AJ1901" s="733">
        <f t="shared" si="244"/>
        <v>0</v>
      </c>
    </row>
    <row r="1902" spans="1:36">
      <c r="A1902" s="1075" t="s">
        <v>746</v>
      </c>
      <c r="B1902" s="1017" t="s">
        <v>99</v>
      </c>
      <c r="C1902" s="1076" t="s">
        <v>1576</v>
      </c>
      <c r="D1902" s="1010"/>
      <c r="E1902" s="987">
        <v>218894</v>
      </c>
      <c r="F1902" s="988">
        <v>8</v>
      </c>
      <c r="G1902" s="1152"/>
      <c r="H1902" s="1153"/>
      <c r="I1902" s="1152">
        <v>468522</v>
      </c>
      <c r="J1902" s="1153">
        <v>468522</v>
      </c>
      <c r="K1902" s="1152"/>
      <c r="L1902" s="1153"/>
      <c r="M1902" s="1152"/>
      <c r="N1902" s="1152"/>
      <c r="O1902" s="732">
        <f t="shared" si="237"/>
        <v>0</v>
      </c>
      <c r="P1902" s="1159"/>
      <c r="Q1902" s="1153"/>
      <c r="R1902" s="733">
        <f t="shared" si="240"/>
        <v>0</v>
      </c>
      <c r="S1902" s="732">
        <f t="shared" si="241"/>
        <v>468522</v>
      </c>
      <c r="T1902" s="733">
        <f t="shared" si="242"/>
        <v>468522</v>
      </c>
      <c r="U1902" s="1152"/>
      <c r="V1902" s="1153"/>
      <c r="W1902" s="1152"/>
      <c r="X1902" s="1152"/>
      <c r="Y1902" s="732">
        <f t="shared" si="238"/>
        <v>0</v>
      </c>
      <c r="Z1902" s="1153"/>
      <c r="AA1902" s="1153"/>
      <c r="AB1902" s="733">
        <f t="shared" si="239"/>
        <v>0</v>
      </c>
      <c r="AC1902" s="1152"/>
      <c r="AD1902" s="1153"/>
      <c r="AE1902" s="1152"/>
      <c r="AF1902" s="1152"/>
      <c r="AG1902" s="1153"/>
      <c r="AH1902" s="1153"/>
      <c r="AI1902" s="732">
        <f t="shared" si="243"/>
        <v>468522</v>
      </c>
      <c r="AJ1902" s="733">
        <f t="shared" si="244"/>
        <v>468522</v>
      </c>
    </row>
    <row r="1903" spans="1:36">
      <c r="A1903" s="1075" t="s">
        <v>746</v>
      </c>
      <c r="B1903" s="1017" t="s">
        <v>99</v>
      </c>
      <c r="C1903" s="1076" t="s">
        <v>1565</v>
      </c>
      <c r="D1903" s="1010"/>
      <c r="E1903" s="987">
        <v>218894</v>
      </c>
      <c r="F1903" s="988">
        <v>8</v>
      </c>
      <c r="G1903" s="1152"/>
      <c r="H1903" s="1153"/>
      <c r="I1903" s="1152">
        <v>37784</v>
      </c>
      <c r="J1903" s="1153">
        <v>37784</v>
      </c>
      <c r="K1903" s="1152"/>
      <c r="L1903" s="1153"/>
      <c r="M1903" s="1152"/>
      <c r="N1903" s="1152"/>
      <c r="O1903" s="732">
        <f t="shared" si="237"/>
        <v>0</v>
      </c>
      <c r="P1903" s="1159"/>
      <c r="Q1903" s="1153"/>
      <c r="R1903" s="733">
        <f t="shared" si="240"/>
        <v>0</v>
      </c>
      <c r="S1903" s="732">
        <f t="shared" si="241"/>
        <v>37784</v>
      </c>
      <c r="T1903" s="733">
        <f t="shared" si="242"/>
        <v>37784</v>
      </c>
      <c r="U1903" s="1152"/>
      <c r="V1903" s="1153"/>
      <c r="W1903" s="1152"/>
      <c r="X1903" s="1152"/>
      <c r="Y1903" s="732">
        <f t="shared" si="238"/>
        <v>0</v>
      </c>
      <c r="Z1903" s="1153"/>
      <c r="AA1903" s="1153"/>
      <c r="AB1903" s="733">
        <f t="shared" si="239"/>
        <v>0</v>
      </c>
      <c r="AC1903" s="1152"/>
      <c r="AD1903" s="1153"/>
      <c r="AE1903" s="1152"/>
      <c r="AF1903" s="1152"/>
      <c r="AG1903" s="1153"/>
      <c r="AH1903" s="1153"/>
      <c r="AI1903" s="732">
        <f t="shared" si="243"/>
        <v>37784</v>
      </c>
      <c r="AJ1903" s="733">
        <f t="shared" si="244"/>
        <v>37784</v>
      </c>
    </row>
    <row r="1904" spans="1:36">
      <c r="A1904" s="1075" t="s">
        <v>746</v>
      </c>
      <c r="B1904" s="1017" t="s">
        <v>99</v>
      </c>
      <c r="C1904" s="1076" t="s">
        <v>1539</v>
      </c>
      <c r="D1904" s="1010"/>
      <c r="E1904" s="987">
        <v>218894</v>
      </c>
      <c r="F1904" s="988">
        <v>8</v>
      </c>
      <c r="G1904" s="1152"/>
      <c r="H1904" s="1153"/>
      <c r="I1904" s="1152">
        <v>533260</v>
      </c>
      <c r="J1904" s="1153">
        <v>528035</v>
      </c>
      <c r="K1904" s="1152"/>
      <c r="L1904" s="1153"/>
      <c r="M1904" s="1152"/>
      <c r="N1904" s="1152"/>
      <c r="O1904" s="732">
        <f t="shared" si="237"/>
        <v>0</v>
      </c>
      <c r="P1904" s="1159"/>
      <c r="Q1904" s="1153"/>
      <c r="R1904" s="733">
        <f t="shared" si="240"/>
        <v>0</v>
      </c>
      <c r="S1904" s="732">
        <f t="shared" si="241"/>
        <v>533260</v>
      </c>
      <c r="T1904" s="733">
        <f t="shared" si="242"/>
        <v>528035</v>
      </c>
      <c r="U1904" s="1152"/>
      <c r="V1904" s="1153"/>
      <c r="W1904" s="1152"/>
      <c r="X1904" s="1152"/>
      <c r="Y1904" s="732">
        <f t="shared" si="238"/>
        <v>0</v>
      </c>
      <c r="Z1904" s="1153"/>
      <c r="AA1904" s="1153"/>
      <c r="AB1904" s="733">
        <f t="shared" si="239"/>
        <v>0</v>
      </c>
      <c r="AC1904" s="1152"/>
      <c r="AD1904" s="1153"/>
      <c r="AE1904" s="1152"/>
      <c r="AF1904" s="1152"/>
      <c r="AG1904" s="1153"/>
      <c r="AH1904" s="1153"/>
      <c r="AI1904" s="732">
        <f t="shared" si="243"/>
        <v>533260</v>
      </c>
      <c r="AJ1904" s="733">
        <f t="shared" si="244"/>
        <v>528035</v>
      </c>
    </row>
    <row r="1905" spans="1:36">
      <c r="A1905" s="1075" t="s">
        <v>746</v>
      </c>
      <c r="B1905" s="1017" t="s">
        <v>99</v>
      </c>
      <c r="C1905" s="1076" t="s">
        <v>1570</v>
      </c>
      <c r="D1905" s="1016" t="s">
        <v>1571</v>
      </c>
      <c r="E1905" s="987">
        <v>218894</v>
      </c>
      <c r="F1905" s="988">
        <v>8</v>
      </c>
      <c r="G1905" s="1152"/>
      <c r="H1905" s="1153"/>
      <c r="I1905" s="1152"/>
      <c r="J1905" s="1153"/>
      <c r="K1905" s="1152"/>
      <c r="L1905" s="1153"/>
      <c r="M1905" s="1152"/>
      <c r="N1905" s="1152"/>
      <c r="O1905" s="732">
        <f t="shared" si="237"/>
        <v>0</v>
      </c>
      <c r="P1905" s="1159"/>
      <c r="Q1905" s="1153"/>
      <c r="R1905" s="733">
        <f t="shared" si="240"/>
        <v>0</v>
      </c>
      <c r="S1905" s="732">
        <f t="shared" si="241"/>
        <v>0</v>
      </c>
      <c r="T1905" s="733">
        <f t="shared" si="242"/>
        <v>0</v>
      </c>
      <c r="U1905" s="1152"/>
      <c r="V1905" s="1153"/>
      <c r="W1905" s="1152"/>
      <c r="X1905" s="1152"/>
      <c r="Y1905" s="732">
        <f t="shared" si="238"/>
        <v>0</v>
      </c>
      <c r="Z1905" s="1153"/>
      <c r="AA1905" s="1153"/>
      <c r="AB1905" s="733">
        <f t="shared" si="239"/>
        <v>0</v>
      </c>
      <c r="AC1905" s="1152"/>
      <c r="AD1905" s="1153"/>
      <c r="AE1905" s="1152"/>
      <c r="AF1905" s="1152"/>
      <c r="AG1905" s="1153"/>
      <c r="AH1905" s="1153"/>
      <c r="AI1905" s="732">
        <f t="shared" si="243"/>
        <v>0</v>
      </c>
      <c r="AJ1905" s="733">
        <f t="shared" si="244"/>
        <v>0</v>
      </c>
    </row>
    <row r="1906" spans="1:36">
      <c r="A1906" s="1075" t="s">
        <v>746</v>
      </c>
      <c r="B1906" s="1017" t="s">
        <v>62</v>
      </c>
      <c r="C1906" s="1082" t="s">
        <v>1577</v>
      </c>
      <c r="D1906" s="1010"/>
      <c r="E1906" s="987">
        <v>218858</v>
      </c>
      <c r="F1906" s="988">
        <v>9</v>
      </c>
      <c r="G1906" s="1152">
        <v>6193540</v>
      </c>
      <c r="H1906" s="1153">
        <v>6492761</v>
      </c>
      <c r="I1906" s="1152"/>
      <c r="J1906" s="1153"/>
      <c r="K1906" s="1152">
        <v>3522961</v>
      </c>
      <c r="L1906" s="1153">
        <v>3496115</v>
      </c>
      <c r="M1906" s="1152">
        <v>14178399</v>
      </c>
      <c r="N1906" s="1152"/>
      <c r="O1906" s="732">
        <f t="shared" si="237"/>
        <v>14178399</v>
      </c>
      <c r="P1906" s="1159">
        <v>13388950</v>
      </c>
      <c r="Q1906" s="1153"/>
      <c r="R1906" s="733">
        <f t="shared" si="240"/>
        <v>13388950</v>
      </c>
      <c r="S1906" s="732">
        <f t="shared" si="241"/>
        <v>23894900</v>
      </c>
      <c r="T1906" s="733">
        <f t="shared" si="242"/>
        <v>23377826</v>
      </c>
      <c r="U1906" s="1152"/>
      <c r="V1906" s="1153"/>
      <c r="W1906" s="1152"/>
      <c r="X1906" s="1152"/>
      <c r="Y1906" s="732">
        <f t="shared" si="238"/>
        <v>0</v>
      </c>
      <c r="Z1906" s="1153"/>
      <c r="AA1906" s="1153"/>
      <c r="AB1906" s="733">
        <f t="shared" si="239"/>
        <v>0</v>
      </c>
      <c r="AC1906" s="1152"/>
      <c r="AD1906" s="1153"/>
      <c r="AE1906" s="1152"/>
      <c r="AF1906" s="1152"/>
      <c r="AG1906" s="1153"/>
      <c r="AH1906" s="1153"/>
      <c r="AI1906" s="732">
        <f t="shared" si="243"/>
        <v>23894900</v>
      </c>
      <c r="AJ1906" s="733">
        <f t="shared" si="244"/>
        <v>23377826</v>
      </c>
    </row>
    <row r="1907" spans="1:36">
      <c r="A1907" s="1075" t="s">
        <v>746</v>
      </c>
      <c r="B1907" s="1017" t="s">
        <v>62</v>
      </c>
      <c r="C1907" s="1087" t="s">
        <v>1561</v>
      </c>
      <c r="D1907" s="1010"/>
      <c r="E1907" s="987">
        <v>218858</v>
      </c>
      <c r="F1907" s="988">
        <v>9</v>
      </c>
      <c r="G1907" s="1152">
        <v>138213</v>
      </c>
      <c r="H1907" s="1153"/>
      <c r="I1907" s="1152"/>
      <c r="J1907" s="1153"/>
      <c r="K1907" s="1152"/>
      <c r="L1907" s="1153"/>
      <c r="M1907" s="1152"/>
      <c r="N1907" s="1152"/>
      <c r="O1907" s="732">
        <f t="shared" si="237"/>
        <v>0</v>
      </c>
      <c r="P1907" s="1159"/>
      <c r="Q1907" s="1153"/>
      <c r="R1907" s="733">
        <f t="shared" si="240"/>
        <v>0</v>
      </c>
      <c r="S1907" s="732">
        <f t="shared" si="241"/>
        <v>138213</v>
      </c>
      <c r="T1907" s="733">
        <f t="shared" si="242"/>
        <v>0</v>
      </c>
      <c r="U1907" s="1152"/>
      <c r="V1907" s="1153"/>
      <c r="W1907" s="1152"/>
      <c r="X1907" s="1152"/>
      <c r="Y1907" s="732">
        <f t="shared" si="238"/>
        <v>0</v>
      </c>
      <c r="Z1907" s="1153"/>
      <c r="AA1907" s="1153"/>
      <c r="AB1907" s="733">
        <f t="shared" si="239"/>
        <v>0</v>
      </c>
      <c r="AC1907" s="1152"/>
      <c r="AD1907" s="1153"/>
      <c r="AE1907" s="1152"/>
      <c r="AF1907" s="1152"/>
      <c r="AG1907" s="1153"/>
      <c r="AH1907" s="1153"/>
      <c r="AI1907" s="732">
        <f t="shared" si="243"/>
        <v>138213</v>
      </c>
      <c r="AJ1907" s="733">
        <f t="shared" si="244"/>
        <v>0</v>
      </c>
    </row>
    <row r="1908" spans="1:36">
      <c r="A1908" s="1075" t="s">
        <v>746</v>
      </c>
      <c r="B1908" s="1017" t="s">
        <v>62</v>
      </c>
      <c r="C1908" s="1087" t="s">
        <v>1562</v>
      </c>
      <c r="D1908" s="1010"/>
      <c r="E1908" s="987">
        <v>218858</v>
      </c>
      <c r="F1908" s="988">
        <v>9</v>
      </c>
      <c r="G1908" s="1152">
        <v>78982</v>
      </c>
      <c r="H1908" s="1153"/>
      <c r="I1908" s="1152"/>
      <c r="J1908" s="1153"/>
      <c r="K1908" s="1152"/>
      <c r="L1908" s="1153"/>
      <c r="M1908" s="1152"/>
      <c r="N1908" s="1152"/>
      <c r="O1908" s="732">
        <f t="shared" si="237"/>
        <v>0</v>
      </c>
      <c r="P1908" s="1159"/>
      <c r="Q1908" s="1153"/>
      <c r="R1908" s="733">
        <f t="shared" si="240"/>
        <v>0</v>
      </c>
      <c r="S1908" s="732">
        <f t="shared" si="241"/>
        <v>78982</v>
      </c>
      <c r="T1908" s="733">
        <f t="shared" si="242"/>
        <v>0</v>
      </c>
      <c r="U1908" s="1152"/>
      <c r="V1908" s="1153"/>
      <c r="W1908" s="1152"/>
      <c r="X1908" s="1152"/>
      <c r="Y1908" s="732">
        <f t="shared" si="238"/>
        <v>0</v>
      </c>
      <c r="Z1908" s="1153"/>
      <c r="AA1908" s="1153"/>
      <c r="AB1908" s="733">
        <f t="shared" si="239"/>
        <v>0</v>
      </c>
      <c r="AC1908" s="1152"/>
      <c r="AD1908" s="1153"/>
      <c r="AE1908" s="1152"/>
      <c r="AF1908" s="1152"/>
      <c r="AG1908" s="1153"/>
      <c r="AH1908" s="1153"/>
      <c r="AI1908" s="732">
        <f t="shared" si="243"/>
        <v>78982</v>
      </c>
      <c r="AJ1908" s="733">
        <f t="shared" si="244"/>
        <v>0</v>
      </c>
    </row>
    <row r="1909" spans="1:36">
      <c r="A1909" s="1075" t="s">
        <v>746</v>
      </c>
      <c r="B1909" s="1017" t="s">
        <v>62</v>
      </c>
      <c r="C1909" s="1076" t="s">
        <v>1538</v>
      </c>
      <c r="D1909" s="1010"/>
      <c r="E1909" s="987">
        <v>218858</v>
      </c>
      <c r="F1909" s="988">
        <v>9</v>
      </c>
      <c r="G1909" s="1152"/>
      <c r="H1909" s="1153"/>
      <c r="I1909" s="1152"/>
      <c r="J1909" s="1153"/>
      <c r="K1909" s="1152"/>
      <c r="L1909" s="1153"/>
      <c r="M1909" s="1152"/>
      <c r="N1909" s="1152"/>
      <c r="O1909" s="732">
        <f t="shared" si="237"/>
        <v>0</v>
      </c>
      <c r="P1909" s="1159"/>
      <c r="Q1909" s="1153"/>
      <c r="R1909" s="733">
        <f t="shared" si="240"/>
        <v>0</v>
      </c>
      <c r="S1909" s="732">
        <f t="shared" si="241"/>
        <v>0</v>
      </c>
      <c r="T1909" s="733">
        <f t="shared" si="242"/>
        <v>0</v>
      </c>
      <c r="U1909" s="1152"/>
      <c r="V1909" s="1153"/>
      <c r="W1909" s="1152"/>
      <c r="X1909" s="1152"/>
      <c r="Y1909" s="732">
        <f t="shared" si="238"/>
        <v>0</v>
      </c>
      <c r="Z1909" s="1153"/>
      <c r="AA1909" s="1153"/>
      <c r="AB1909" s="733">
        <f t="shared" si="239"/>
        <v>0</v>
      </c>
      <c r="AC1909" s="1152"/>
      <c r="AD1909" s="1153"/>
      <c r="AE1909" s="1152"/>
      <c r="AF1909" s="1152"/>
      <c r="AG1909" s="1153"/>
      <c r="AH1909" s="1153"/>
      <c r="AI1909" s="732">
        <f t="shared" si="243"/>
        <v>0</v>
      </c>
      <c r="AJ1909" s="733">
        <f t="shared" si="244"/>
        <v>0</v>
      </c>
    </row>
    <row r="1910" spans="1:36">
      <c r="A1910" s="1075" t="s">
        <v>746</v>
      </c>
      <c r="B1910" s="1017" t="s">
        <v>99</v>
      </c>
      <c r="C1910" s="1077" t="s">
        <v>1070</v>
      </c>
      <c r="D1910" s="1010"/>
      <c r="E1910" s="987">
        <v>218858</v>
      </c>
      <c r="F1910" s="988">
        <v>9</v>
      </c>
      <c r="G1910" s="1152"/>
      <c r="H1910" s="1153"/>
      <c r="I1910" s="1152"/>
      <c r="J1910" s="1153"/>
      <c r="K1910" s="1152"/>
      <c r="L1910" s="1153"/>
      <c r="M1910" s="1152"/>
      <c r="N1910" s="1152"/>
      <c r="O1910" s="732">
        <f t="shared" si="237"/>
        <v>0</v>
      </c>
      <c r="P1910" s="1159"/>
      <c r="Q1910" s="1153"/>
      <c r="R1910" s="733">
        <f t="shared" si="240"/>
        <v>0</v>
      </c>
      <c r="S1910" s="732">
        <f t="shared" si="241"/>
        <v>0</v>
      </c>
      <c r="T1910" s="733">
        <f t="shared" si="242"/>
        <v>0</v>
      </c>
      <c r="U1910" s="1152"/>
      <c r="V1910" s="1153"/>
      <c r="W1910" s="1152"/>
      <c r="X1910" s="1152"/>
      <c r="Y1910" s="732">
        <f t="shared" si="238"/>
        <v>0</v>
      </c>
      <c r="Z1910" s="1153"/>
      <c r="AA1910" s="1153"/>
      <c r="AB1910" s="733">
        <f t="shared" si="239"/>
        <v>0</v>
      </c>
      <c r="AC1910" s="1152"/>
      <c r="AD1910" s="1153"/>
      <c r="AE1910" s="1152"/>
      <c r="AF1910" s="1152"/>
      <c r="AG1910" s="1153"/>
      <c r="AH1910" s="1153"/>
      <c r="AI1910" s="732">
        <f t="shared" si="243"/>
        <v>0</v>
      </c>
      <c r="AJ1910" s="733">
        <f t="shared" si="244"/>
        <v>0</v>
      </c>
    </row>
    <row r="1911" spans="1:36">
      <c r="A1911" s="1075" t="s">
        <v>746</v>
      </c>
      <c r="B1911" s="1017" t="s">
        <v>99</v>
      </c>
      <c r="C1911" s="1076" t="s">
        <v>1563</v>
      </c>
      <c r="D1911" s="1010"/>
      <c r="E1911" s="987">
        <v>218858</v>
      </c>
      <c r="F1911" s="988">
        <v>9</v>
      </c>
      <c r="G1911" s="1152"/>
      <c r="H1911" s="1153"/>
      <c r="I1911" s="1152">
        <v>77372</v>
      </c>
      <c r="J1911" s="1153">
        <v>82844</v>
      </c>
      <c r="K1911" s="1152"/>
      <c r="L1911" s="1153"/>
      <c r="M1911" s="1152"/>
      <c r="N1911" s="1152"/>
      <c r="O1911" s="732">
        <f t="shared" si="237"/>
        <v>0</v>
      </c>
      <c r="P1911" s="1159"/>
      <c r="Q1911" s="1153"/>
      <c r="R1911" s="733">
        <f t="shared" si="240"/>
        <v>0</v>
      </c>
      <c r="S1911" s="732">
        <f t="shared" si="241"/>
        <v>77372</v>
      </c>
      <c r="T1911" s="733">
        <f t="shared" si="242"/>
        <v>82844</v>
      </c>
      <c r="U1911" s="1152"/>
      <c r="V1911" s="1153"/>
      <c r="W1911" s="1152"/>
      <c r="X1911" s="1152"/>
      <c r="Y1911" s="732">
        <f t="shared" si="238"/>
        <v>0</v>
      </c>
      <c r="Z1911" s="1153"/>
      <c r="AA1911" s="1153"/>
      <c r="AB1911" s="733">
        <f t="shared" si="239"/>
        <v>0</v>
      </c>
      <c r="AC1911" s="1152"/>
      <c r="AD1911" s="1153"/>
      <c r="AE1911" s="1152"/>
      <c r="AF1911" s="1152"/>
      <c r="AG1911" s="1153"/>
      <c r="AH1911" s="1153"/>
      <c r="AI1911" s="732">
        <f t="shared" si="243"/>
        <v>77372</v>
      </c>
      <c r="AJ1911" s="733">
        <f t="shared" si="244"/>
        <v>82844</v>
      </c>
    </row>
    <row r="1912" spans="1:36">
      <c r="A1912" s="1075" t="s">
        <v>746</v>
      </c>
      <c r="B1912" s="1017" t="s">
        <v>99</v>
      </c>
      <c r="C1912" s="1076" t="s">
        <v>1564</v>
      </c>
      <c r="D1912" s="1010"/>
      <c r="E1912" s="987">
        <v>218858</v>
      </c>
      <c r="F1912" s="988">
        <v>9</v>
      </c>
      <c r="G1912" s="1152"/>
      <c r="H1912" s="1153"/>
      <c r="I1912" s="1152">
        <v>17918</v>
      </c>
      <c r="J1912" s="1153">
        <v>17917</v>
      </c>
      <c r="K1912" s="1152"/>
      <c r="L1912" s="1153"/>
      <c r="M1912" s="1152"/>
      <c r="N1912" s="1152"/>
      <c r="O1912" s="732">
        <f t="shared" si="237"/>
        <v>0</v>
      </c>
      <c r="P1912" s="1159"/>
      <c r="Q1912" s="1153"/>
      <c r="R1912" s="733">
        <f t="shared" si="240"/>
        <v>0</v>
      </c>
      <c r="S1912" s="732">
        <f t="shared" si="241"/>
        <v>17918</v>
      </c>
      <c r="T1912" s="733">
        <f t="shared" si="242"/>
        <v>17917</v>
      </c>
      <c r="U1912" s="1152"/>
      <c r="V1912" s="1153"/>
      <c r="W1912" s="1152"/>
      <c r="X1912" s="1152"/>
      <c r="Y1912" s="732">
        <f t="shared" si="238"/>
        <v>0</v>
      </c>
      <c r="Z1912" s="1153"/>
      <c r="AA1912" s="1153"/>
      <c r="AB1912" s="733">
        <f t="shared" si="239"/>
        <v>0</v>
      </c>
      <c r="AC1912" s="1152"/>
      <c r="AD1912" s="1153"/>
      <c r="AE1912" s="1152"/>
      <c r="AF1912" s="1152"/>
      <c r="AG1912" s="1153"/>
      <c r="AH1912" s="1153"/>
      <c r="AI1912" s="732">
        <f t="shared" si="243"/>
        <v>17918</v>
      </c>
      <c r="AJ1912" s="733">
        <f t="shared" si="244"/>
        <v>17917</v>
      </c>
    </row>
    <row r="1913" spans="1:36">
      <c r="A1913" s="1075" t="s">
        <v>746</v>
      </c>
      <c r="B1913" s="1017" t="s">
        <v>99</v>
      </c>
      <c r="C1913" s="1076" t="s">
        <v>1566</v>
      </c>
      <c r="D1913" s="1010"/>
      <c r="E1913" s="987">
        <v>218858</v>
      </c>
      <c r="F1913" s="988">
        <v>9</v>
      </c>
      <c r="G1913" s="1152"/>
      <c r="H1913" s="1153"/>
      <c r="I1913" s="1152">
        <f>123501+503287</f>
        <v>626788</v>
      </c>
      <c r="J1913" s="1153">
        <f>124135+512122</f>
        <v>636257</v>
      </c>
      <c r="K1913" s="1152"/>
      <c r="L1913" s="1153"/>
      <c r="M1913" s="1152"/>
      <c r="N1913" s="1152"/>
      <c r="O1913" s="732">
        <f t="shared" si="237"/>
        <v>0</v>
      </c>
      <c r="P1913" s="1159"/>
      <c r="Q1913" s="1153"/>
      <c r="R1913" s="733">
        <f t="shared" si="240"/>
        <v>0</v>
      </c>
      <c r="S1913" s="732">
        <f t="shared" si="241"/>
        <v>626788</v>
      </c>
      <c r="T1913" s="733">
        <f t="shared" si="242"/>
        <v>636257</v>
      </c>
      <c r="U1913" s="1152"/>
      <c r="V1913" s="1153"/>
      <c r="W1913" s="1152"/>
      <c r="X1913" s="1152"/>
      <c r="Y1913" s="732">
        <f t="shared" si="238"/>
        <v>0</v>
      </c>
      <c r="Z1913" s="1153"/>
      <c r="AA1913" s="1153"/>
      <c r="AB1913" s="733">
        <f t="shared" si="239"/>
        <v>0</v>
      </c>
      <c r="AC1913" s="1152"/>
      <c r="AD1913" s="1153"/>
      <c r="AE1913" s="1152"/>
      <c r="AF1913" s="1152"/>
      <c r="AG1913" s="1153"/>
      <c r="AH1913" s="1153"/>
      <c r="AI1913" s="732">
        <f t="shared" si="243"/>
        <v>626788</v>
      </c>
      <c r="AJ1913" s="733">
        <f t="shared" si="244"/>
        <v>636257</v>
      </c>
    </row>
    <row r="1914" spans="1:36">
      <c r="A1914" s="1075" t="s">
        <v>746</v>
      </c>
      <c r="B1914" s="1017" t="s">
        <v>99</v>
      </c>
      <c r="C1914" s="1076" t="s">
        <v>1567</v>
      </c>
      <c r="D1914" s="1010"/>
      <c r="E1914" s="987">
        <v>218858</v>
      </c>
      <c r="F1914" s="988">
        <v>9</v>
      </c>
      <c r="G1914" s="1152"/>
      <c r="H1914" s="1153"/>
      <c r="I1914" s="1152"/>
      <c r="J1914" s="1153"/>
      <c r="K1914" s="1152"/>
      <c r="L1914" s="1153"/>
      <c r="M1914" s="1152"/>
      <c r="N1914" s="1152"/>
      <c r="O1914" s="732">
        <f t="shared" si="237"/>
        <v>0</v>
      </c>
      <c r="P1914" s="1159"/>
      <c r="Q1914" s="1153"/>
      <c r="R1914" s="733">
        <f t="shared" si="240"/>
        <v>0</v>
      </c>
      <c r="S1914" s="732">
        <f t="shared" si="241"/>
        <v>0</v>
      </c>
      <c r="T1914" s="733">
        <f t="shared" si="242"/>
        <v>0</v>
      </c>
      <c r="U1914" s="1152"/>
      <c r="V1914" s="1153"/>
      <c r="W1914" s="1152"/>
      <c r="X1914" s="1152"/>
      <c r="Y1914" s="732">
        <f t="shared" si="238"/>
        <v>0</v>
      </c>
      <c r="Z1914" s="1153"/>
      <c r="AA1914" s="1153"/>
      <c r="AB1914" s="733">
        <f t="shared" si="239"/>
        <v>0</v>
      </c>
      <c r="AC1914" s="1152"/>
      <c r="AD1914" s="1153"/>
      <c r="AE1914" s="1152"/>
      <c r="AF1914" s="1152"/>
      <c r="AG1914" s="1153"/>
      <c r="AH1914" s="1153"/>
      <c r="AI1914" s="732">
        <f t="shared" si="243"/>
        <v>0</v>
      </c>
      <c r="AJ1914" s="733">
        <f t="shared" si="244"/>
        <v>0</v>
      </c>
    </row>
    <row r="1915" spans="1:36">
      <c r="A1915" s="1075" t="s">
        <v>746</v>
      </c>
      <c r="B1915" s="1017" t="s">
        <v>99</v>
      </c>
      <c r="C1915" s="1076" t="s">
        <v>1565</v>
      </c>
      <c r="D1915" s="1010"/>
      <c r="E1915" s="987">
        <v>218858</v>
      </c>
      <c r="F1915" s="988">
        <v>9</v>
      </c>
      <c r="G1915" s="1152"/>
      <c r="H1915" s="1153"/>
      <c r="I1915" s="1152">
        <v>37784</v>
      </c>
      <c r="J1915" s="1153">
        <v>37784</v>
      </c>
      <c r="K1915" s="1152"/>
      <c r="L1915" s="1153"/>
      <c r="M1915" s="1152"/>
      <c r="N1915" s="1152"/>
      <c r="O1915" s="732">
        <f t="shared" si="237"/>
        <v>0</v>
      </c>
      <c r="P1915" s="1159"/>
      <c r="Q1915" s="1153"/>
      <c r="R1915" s="733">
        <f t="shared" si="240"/>
        <v>0</v>
      </c>
      <c r="S1915" s="732">
        <f t="shared" si="241"/>
        <v>37784</v>
      </c>
      <c r="T1915" s="733">
        <f t="shared" si="242"/>
        <v>37784</v>
      </c>
      <c r="U1915" s="1152"/>
      <c r="V1915" s="1153"/>
      <c r="W1915" s="1152"/>
      <c r="X1915" s="1152"/>
      <c r="Y1915" s="732">
        <f t="shared" si="238"/>
        <v>0</v>
      </c>
      <c r="Z1915" s="1153"/>
      <c r="AA1915" s="1153"/>
      <c r="AB1915" s="733">
        <f t="shared" si="239"/>
        <v>0</v>
      </c>
      <c r="AC1915" s="1152"/>
      <c r="AD1915" s="1153"/>
      <c r="AE1915" s="1152"/>
      <c r="AF1915" s="1152"/>
      <c r="AG1915" s="1153"/>
      <c r="AH1915" s="1153"/>
      <c r="AI1915" s="732">
        <f t="shared" si="243"/>
        <v>37784</v>
      </c>
      <c r="AJ1915" s="733">
        <f t="shared" si="244"/>
        <v>37784</v>
      </c>
    </row>
    <row r="1916" spans="1:36">
      <c r="A1916" s="1075" t="s">
        <v>746</v>
      </c>
      <c r="B1916" s="1017" t="s">
        <v>99</v>
      </c>
      <c r="C1916" s="1076" t="s">
        <v>1539</v>
      </c>
      <c r="D1916" s="1010"/>
      <c r="E1916" s="987">
        <v>218858</v>
      </c>
      <c r="F1916" s="988">
        <v>9</v>
      </c>
      <c r="G1916" s="1152"/>
      <c r="H1916" s="1153"/>
      <c r="I1916" s="1152">
        <v>173116</v>
      </c>
      <c r="J1916" s="1153">
        <v>173809</v>
      </c>
      <c r="K1916" s="1152"/>
      <c r="L1916" s="1153"/>
      <c r="M1916" s="1152"/>
      <c r="N1916" s="1152"/>
      <c r="O1916" s="732">
        <f t="shared" si="237"/>
        <v>0</v>
      </c>
      <c r="P1916" s="1159"/>
      <c r="Q1916" s="1153"/>
      <c r="R1916" s="733">
        <f t="shared" si="240"/>
        <v>0</v>
      </c>
      <c r="S1916" s="732">
        <f t="shared" si="241"/>
        <v>173116</v>
      </c>
      <c r="T1916" s="733">
        <f t="shared" si="242"/>
        <v>173809</v>
      </c>
      <c r="U1916" s="1152"/>
      <c r="V1916" s="1153"/>
      <c r="W1916" s="1152"/>
      <c r="X1916" s="1152"/>
      <c r="Y1916" s="732">
        <f t="shared" si="238"/>
        <v>0</v>
      </c>
      <c r="Z1916" s="1153"/>
      <c r="AA1916" s="1153"/>
      <c r="AB1916" s="733">
        <f t="shared" si="239"/>
        <v>0</v>
      </c>
      <c r="AC1916" s="1152"/>
      <c r="AD1916" s="1153"/>
      <c r="AE1916" s="1152"/>
      <c r="AF1916" s="1152"/>
      <c r="AG1916" s="1153"/>
      <c r="AH1916" s="1153"/>
      <c r="AI1916" s="732">
        <f t="shared" si="243"/>
        <v>173116</v>
      </c>
      <c r="AJ1916" s="733">
        <f t="shared" si="244"/>
        <v>173809</v>
      </c>
    </row>
    <row r="1917" spans="1:36">
      <c r="A1917" s="1075" t="s">
        <v>746</v>
      </c>
      <c r="B1917" s="1017" t="s">
        <v>99</v>
      </c>
      <c r="C1917" s="1076" t="s">
        <v>1570</v>
      </c>
      <c r="D1917" s="1016" t="s">
        <v>1571</v>
      </c>
      <c r="E1917" s="987">
        <v>218858</v>
      </c>
      <c r="F1917" s="988">
        <v>9</v>
      </c>
      <c r="G1917" s="1152"/>
      <c r="H1917" s="1153"/>
      <c r="I1917" s="1152"/>
      <c r="J1917" s="1153"/>
      <c r="K1917" s="1152"/>
      <c r="L1917" s="1153"/>
      <c r="M1917" s="1152"/>
      <c r="N1917" s="1152"/>
      <c r="O1917" s="732">
        <f t="shared" si="237"/>
        <v>0</v>
      </c>
      <c r="P1917" s="1159"/>
      <c r="Q1917" s="1153"/>
      <c r="R1917" s="733">
        <f t="shared" si="240"/>
        <v>0</v>
      </c>
      <c r="S1917" s="732">
        <f t="shared" si="241"/>
        <v>0</v>
      </c>
      <c r="T1917" s="733">
        <f t="shared" si="242"/>
        <v>0</v>
      </c>
      <c r="U1917" s="1152"/>
      <c r="V1917" s="1153"/>
      <c r="W1917" s="1152"/>
      <c r="X1917" s="1152"/>
      <c r="Y1917" s="732">
        <f t="shared" si="238"/>
        <v>0</v>
      </c>
      <c r="Z1917" s="1153"/>
      <c r="AA1917" s="1153"/>
      <c r="AB1917" s="733">
        <f t="shared" si="239"/>
        <v>0</v>
      </c>
      <c r="AC1917" s="1152"/>
      <c r="AD1917" s="1153"/>
      <c r="AE1917" s="1152"/>
      <c r="AF1917" s="1152"/>
      <c r="AG1917" s="1153"/>
      <c r="AH1917" s="1153"/>
      <c r="AI1917" s="732">
        <f t="shared" si="243"/>
        <v>0</v>
      </c>
      <c r="AJ1917" s="733">
        <f t="shared" si="244"/>
        <v>0</v>
      </c>
    </row>
    <row r="1918" spans="1:36" s="13" customFormat="1" ht="15" customHeight="1">
      <c r="A1918" s="1075" t="s">
        <v>746</v>
      </c>
      <c r="B1918" s="1017" t="s">
        <v>62</v>
      </c>
      <c r="C1918" s="1003" t="s">
        <v>1578</v>
      </c>
      <c r="D1918" s="1088"/>
      <c r="E1918" s="987">
        <v>218025</v>
      </c>
      <c r="F1918" s="988">
        <v>9</v>
      </c>
      <c r="G1918" s="1152">
        <v>8780978</v>
      </c>
      <c r="H1918" s="1153">
        <v>8553388</v>
      </c>
      <c r="I1918" s="1152"/>
      <c r="J1918" s="1153"/>
      <c r="K1918" s="1152">
        <v>5447394</v>
      </c>
      <c r="L1918" s="1153">
        <v>6570183</v>
      </c>
      <c r="M1918" s="1152">
        <v>17158099</v>
      </c>
      <c r="N1918" s="1152"/>
      <c r="O1918" s="732">
        <f t="shared" si="237"/>
        <v>17158099</v>
      </c>
      <c r="P1918" s="1159">
        <f>16020124-Q1918</f>
        <v>14638737</v>
      </c>
      <c r="Q1918" s="1153">
        <v>1381387</v>
      </c>
      <c r="R1918" s="733">
        <f t="shared" si="240"/>
        <v>16020124</v>
      </c>
      <c r="S1918" s="732">
        <f t="shared" si="241"/>
        <v>31386471</v>
      </c>
      <c r="T1918" s="733">
        <f t="shared" si="242"/>
        <v>29762308</v>
      </c>
      <c r="U1918" s="1152"/>
      <c r="V1918" s="1153"/>
      <c r="W1918" s="1152"/>
      <c r="X1918" s="1152"/>
      <c r="Y1918" s="732">
        <f t="shared" si="238"/>
        <v>0</v>
      </c>
      <c r="Z1918" s="1153"/>
      <c r="AA1918" s="1153"/>
      <c r="AB1918" s="733">
        <f t="shared" si="239"/>
        <v>0</v>
      </c>
      <c r="AC1918" s="1152"/>
      <c r="AD1918" s="1153"/>
      <c r="AE1918" s="1152"/>
      <c r="AF1918" s="1152"/>
      <c r="AG1918" s="1153"/>
      <c r="AH1918" s="1153"/>
      <c r="AI1918" s="732">
        <f t="shared" si="243"/>
        <v>31386471</v>
      </c>
      <c r="AJ1918" s="733">
        <f t="shared" si="244"/>
        <v>29762308</v>
      </c>
    </row>
    <row r="1919" spans="1:36">
      <c r="A1919" s="1075" t="s">
        <v>746</v>
      </c>
      <c r="B1919" s="1017" t="s">
        <v>62</v>
      </c>
      <c r="C1919" s="1087" t="s">
        <v>1561</v>
      </c>
      <c r="D1919" s="1004"/>
      <c r="E1919" s="987">
        <v>218025</v>
      </c>
      <c r="F1919" s="988">
        <v>9</v>
      </c>
      <c r="G1919" s="1152">
        <v>177421</v>
      </c>
      <c r="H1919" s="1153"/>
      <c r="I1919" s="1152"/>
      <c r="J1919" s="1153"/>
      <c r="K1919" s="1152"/>
      <c r="L1919" s="1153"/>
      <c r="M1919" s="1152"/>
      <c r="N1919" s="1152"/>
      <c r="O1919" s="732">
        <f t="shared" si="237"/>
        <v>0</v>
      </c>
      <c r="P1919" s="1159"/>
      <c r="Q1919" s="1153"/>
      <c r="R1919" s="733">
        <f t="shared" si="240"/>
        <v>0</v>
      </c>
      <c r="S1919" s="732">
        <f t="shared" si="241"/>
        <v>177421</v>
      </c>
      <c r="T1919" s="733">
        <f t="shared" si="242"/>
        <v>0</v>
      </c>
      <c r="U1919" s="1152"/>
      <c r="V1919" s="1153"/>
      <c r="W1919" s="1152"/>
      <c r="X1919" s="1152"/>
      <c r="Y1919" s="732">
        <f t="shared" si="238"/>
        <v>0</v>
      </c>
      <c r="Z1919" s="1153"/>
      <c r="AA1919" s="1153"/>
      <c r="AB1919" s="733">
        <f t="shared" si="239"/>
        <v>0</v>
      </c>
      <c r="AC1919" s="1152"/>
      <c r="AD1919" s="1153"/>
      <c r="AE1919" s="1152"/>
      <c r="AF1919" s="1152"/>
      <c r="AG1919" s="1153"/>
      <c r="AH1919" s="1153"/>
      <c r="AI1919" s="732">
        <f t="shared" si="243"/>
        <v>177421</v>
      </c>
      <c r="AJ1919" s="733">
        <f t="shared" si="244"/>
        <v>0</v>
      </c>
    </row>
    <row r="1920" spans="1:36">
      <c r="A1920" s="1075" t="s">
        <v>746</v>
      </c>
      <c r="B1920" s="1017" t="s">
        <v>62</v>
      </c>
      <c r="C1920" s="1087" t="s">
        <v>1562</v>
      </c>
      <c r="D1920" s="1004"/>
      <c r="E1920" s="987">
        <v>218025</v>
      </c>
      <c r="F1920" s="988">
        <v>9</v>
      </c>
      <c r="G1920" s="1152">
        <v>108821</v>
      </c>
      <c r="H1920" s="1153"/>
      <c r="I1920" s="1152"/>
      <c r="J1920" s="1153"/>
      <c r="K1920" s="1152"/>
      <c r="L1920" s="1153"/>
      <c r="M1920" s="1152"/>
      <c r="N1920" s="1152"/>
      <c r="O1920" s="732">
        <f t="shared" si="237"/>
        <v>0</v>
      </c>
      <c r="P1920" s="1159"/>
      <c r="Q1920" s="1153"/>
      <c r="R1920" s="733">
        <f t="shared" si="240"/>
        <v>0</v>
      </c>
      <c r="S1920" s="732">
        <f t="shared" si="241"/>
        <v>108821</v>
      </c>
      <c r="T1920" s="733">
        <f t="shared" si="242"/>
        <v>0</v>
      </c>
      <c r="U1920" s="1152"/>
      <c r="V1920" s="1153"/>
      <c r="W1920" s="1152"/>
      <c r="X1920" s="1152"/>
      <c r="Y1920" s="732">
        <f t="shared" si="238"/>
        <v>0</v>
      </c>
      <c r="Z1920" s="1153"/>
      <c r="AA1920" s="1153"/>
      <c r="AB1920" s="733">
        <f t="shared" si="239"/>
        <v>0</v>
      </c>
      <c r="AC1920" s="1152"/>
      <c r="AD1920" s="1153"/>
      <c r="AE1920" s="1152"/>
      <c r="AF1920" s="1152"/>
      <c r="AG1920" s="1153"/>
      <c r="AH1920" s="1153"/>
      <c r="AI1920" s="732">
        <f t="shared" si="243"/>
        <v>108821</v>
      </c>
      <c r="AJ1920" s="733">
        <f t="shared" si="244"/>
        <v>0</v>
      </c>
    </row>
    <row r="1921" spans="1:36">
      <c r="A1921" s="1075" t="s">
        <v>746</v>
      </c>
      <c r="B1921" s="1017" t="s">
        <v>62</v>
      </c>
      <c r="C1921" s="1076" t="s">
        <v>1538</v>
      </c>
      <c r="D1921" s="1004"/>
      <c r="E1921" s="987">
        <v>218025</v>
      </c>
      <c r="F1921" s="988">
        <v>9</v>
      </c>
      <c r="G1921" s="1152"/>
      <c r="H1921" s="1153"/>
      <c r="I1921" s="1152"/>
      <c r="J1921" s="1153"/>
      <c r="K1921" s="1152"/>
      <c r="L1921" s="1153"/>
      <c r="M1921" s="1152"/>
      <c r="N1921" s="1152"/>
      <c r="O1921" s="732">
        <f t="shared" si="237"/>
        <v>0</v>
      </c>
      <c r="P1921" s="1159"/>
      <c r="Q1921" s="1153"/>
      <c r="R1921" s="733">
        <f t="shared" si="240"/>
        <v>0</v>
      </c>
      <c r="S1921" s="732">
        <f t="shared" si="241"/>
        <v>0</v>
      </c>
      <c r="T1921" s="733">
        <f t="shared" si="242"/>
        <v>0</v>
      </c>
      <c r="U1921" s="1152"/>
      <c r="V1921" s="1153"/>
      <c r="W1921" s="1152"/>
      <c r="X1921" s="1152"/>
      <c r="Y1921" s="732">
        <f t="shared" si="238"/>
        <v>0</v>
      </c>
      <c r="Z1921" s="1153"/>
      <c r="AA1921" s="1153"/>
      <c r="AB1921" s="733">
        <f t="shared" si="239"/>
        <v>0</v>
      </c>
      <c r="AC1921" s="1152"/>
      <c r="AD1921" s="1153"/>
      <c r="AE1921" s="1152"/>
      <c r="AF1921" s="1152"/>
      <c r="AG1921" s="1153"/>
      <c r="AH1921" s="1153"/>
      <c r="AI1921" s="732">
        <f t="shared" si="243"/>
        <v>0</v>
      </c>
      <c r="AJ1921" s="733">
        <f t="shared" si="244"/>
        <v>0</v>
      </c>
    </row>
    <row r="1922" spans="1:36">
      <c r="A1922" s="1075" t="s">
        <v>746</v>
      </c>
      <c r="B1922" s="1017" t="s">
        <v>99</v>
      </c>
      <c r="C1922" s="1077" t="s">
        <v>1070</v>
      </c>
      <c r="D1922" s="1010"/>
      <c r="E1922" s="987">
        <v>218025</v>
      </c>
      <c r="F1922" s="988">
        <v>9</v>
      </c>
      <c r="G1922" s="1152"/>
      <c r="H1922" s="1153"/>
      <c r="I1922" s="1152"/>
      <c r="J1922" s="1153"/>
      <c r="K1922" s="1152"/>
      <c r="L1922" s="1153"/>
      <c r="M1922" s="1152"/>
      <c r="N1922" s="1152"/>
      <c r="O1922" s="732">
        <f t="shared" si="237"/>
        <v>0</v>
      </c>
      <c r="P1922" s="1159"/>
      <c r="Q1922" s="1153"/>
      <c r="R1922" s="733">
        <f t="shared" si="240"/>
        <v>0</v>
      </c>
      <c r="S1922" s="732">
        <f t="shared" si="241"/>
        <v>0</v>
      </c>
      <c r="T1922" s="733">
        <f t="shared" si="242"/>
        <v>0</v>
      </c>
      <c r="U1922" s="1152"/>
      <c r="V1922" s="1153"/>
      <c r="W1922" s="1152"/>
      <c r="X1922" s="1152"/>
      <c r="Y1922" s="732">
        <f t="shared" si="238"/>
        <v>0</v>
      </c>
      <c r="Z1922" s="1153"/>
      <c r="AA1922" s="1153"/>
      <c r="AB1922" s="733">
        <f t="shared" si="239"/>
        <v>0</v>
      </c>
      <c r="AC1922" s="1152"/>
      <c r="AD1922" s="1153"/>
      <c r="AE1922" s="1152"/>
      <c r="AF1922" s="1152"/>
      <c r="AG1922" s="1153"/>
      <c r="AH1922" s="1153"/>
      <c r="AI1922" s="732">
        <f t="shared" si="243"/>
        <v>0</v>
      </c>
      <c r="AJ1922" s="733">
        <f t="shared" si="244"/>
        <v>0</v>
      </c>
    </row>
    <row r="1923" spans="1:36">
      <c r="A1923" s="1075" t="s">
        <v>746</v>
      </c>
      <c r="B1923" s="1017" t="s">
        <v>99</v>
      </c>
      <c r="C1923" s="1076" t="s">
        <v>1563</v>
      </c>
      <c r="D1923" s="1010"/>
      <c r="E1923" s="987">
        <v>218025</v>
      </c>
      <c r="F1923" s="988">
        <v>9</v>
      </c>
      <c r="G1923" s="1152"/>
      <c r="H1923" s="1153"/>
      <c r="I1923" s="1152">
        <v>184748</v>
      </c>
      <c r="J1923" s="1153">
        <v>142783</v>
      </c>
      <c r="K1923" s="1152"/>
      <c r="L1923" s="1153"/>
      <c r="M1923" s="1152"/>
      <c r="N1923" s="1152"/>
      <c r="O1923" s="732">
        <f t="shared" si="237"/>
        <v>0</v>
      </c>
      <c r="P1923" s="1159"/>
      <c r="Q1923" s="1153"/>
      <c r="R1923" s="733">
        <f t="shared" si="240"/>
        <v>0</v>
      </c>
      <c r="S1923" s="732">
        <f t="shared" si="241"/>
        <v>184748</v>
      </c>
      <c r="T1923" s="733">
        <f t="shared" si="242"/>
        <v>142783</v>
      </c>
      <c r="U1923" s="1152"/>
      <c r="V1923" s="1153"/>
      <c r="W1923" s="1152"/>
      <c r="X1923" s="1152"/>
      <c r="Y1923" s="732">
        <f t="shared" si="238"/>
        <v>0</v>
      </c>
      <c r="Z1923" s="1153"/>
      <c r="AA1923" s="1153"/>
      <c r="AB1923" s="733">
        <f t="shared" si="239"/>
        <v>0</v>
      </c>
      <c r="AC1923" s="1152"/>
      <c r="AD1923" s="1153"/>
      <c r="AE1923" s="1152"/>
      <c r="AF1923" s="1152"/>
      <c r="AG1923" s="1153"/>
      <c r="AH1923" s="1153"/>
      <c r="AI1923" s="732">
        <f t="shared" si="243"/>
        <v>184748</v>
      </c>
      <c r="AJ1923" s="733">
        <f t="shared" si="244"/>
        <v>142783</v>
      </c>
    </row>
    <row r="1924" spans="1:36">
      <c r="A1924" s="1075" t="s">
        <v>746</v>
      </c>
      <c r="B1924" s="1017" t="s">
        <v>99</v>
      </c>
      <c r="C1924" s="1076" t="s">
        <v>1564</v>
      </c>
      <c r="D1924" s="1010"/>
      <c r="E1924" s="987">
        <v>218025</v>
      </c>
      <c r="F1924" s="988">
        <v>9</v>
      </c>
      <c r="G1924" s="1152"/>
      <c r="H1924" s="1153"/>
      <c r="I1924" s="1152">
        <v>12404</v>
      </c>
      <c r="J1924" s="1153">
        <v>13782</v>
      </c>
      <c r="K1924" s="1152"/>
      <c r="L1924" s="1153"/>
      <c r="M1924" s="1152"/>
      <c r="N1924" s="1152"/>
      <c r="O1924" s="732">
        <f t="shared" si="237"/>
        <v>0</v>
      </c>
      <c r="P1924" s="1159"/>
      <c r="Q1924" s="1153"/>
      <c r="R1924" s="733">
        <f t="shared" si="240"/>
        <v>0</v>
      </c>
      <c r="S1924" s="732">
        <f t="shared" si="241"/>
        <v>12404</v>
      </c>
      <c r="T1924" s="733">
        <f t="shared" si="242"/>
        <v>13782</v>
      </c>
      <c r="U1924" s="1152"/>
      <c r="V1924" s="1153"/>
      <c r="W1924" s="1152"/>
      <c r="X1924" s="1152"/>
      <c r="Y1924" s="732">
        <f t="shared" si="238"/>
        <v>0</v>
      </c>
      <c r="Z1924" s="1153"/>
      <c r="AA1924" s="1153"/>
      <c r="AB1924" s="733">
        <f t="shared" si="239"/>
        <v>0</v>
      </c>
      <c r="AC1924" s="1152"/>
      <c r="AD1924" s="1153"/>
      <c r="AE1924" s="1152"/>
      <c r="AF1924" s="1152"/>
      <c r="AG1924" s="1153"/>
      <c r="AH1924" s="1153"/>
      <c r="AI1924" s="732">
        <f t="shared" si="243"/>
        <v>12404</v>
      </c>
      <c r="AJ1924" s="733">
        <f t="shared" si="244"/>
        <v>13782</v>
      </c>
    </row>
    <row r="1925" spans="1:36">
      <c r="A1925" s="1075" t="s">
        <v>746</v>
      </c>
      <c r="B1925" s="1017" t="s">
        <v>99</v>
      </c>
      <c r="C1925" s="1076" t="s">
        <v>1566</v>
      </c>
      <c r="D1925" s="1010"/>
      <c r="E1925" s="987">
        <v>218025</v>
      </c>
      <c r="F1925" s="988">
        <v>9</v>
      </c>
      <c r="G1925" s="1152"/>
      <c r="H1925" s="1153"/>
      <c r="I1925" s="1152">
        <f>172919+742501</f>
        <v>915420</v>
      </c>
      <c r="J1925" s="1153">
        <f>151721+626268</f>
        <v>777989</v>
      </c>
      <c r="K1925" s="1152"/>
      <c r="L1925" s="1153"/>
      <c r="M1925" s="1152"/>
      <c r="N1925" s="1152"/>
      <c r="O1925" s="732">
        <f t="shared" si="237"/>
        <v>0</v>
      </c>
      <c r="P1925" s="1159"/>
      <c r="Q1925" s="1153"/>
      <c r="R1925" s="733">
        <f t="shared" si="240"/>
        <v>0</v>
      </c>
      <c r="S1925" s="732">
        <f t="shared" si="241"/>
        <v>915420</v>
      </c>
      <c r="T1925" s="733">
        <f t="shared" si="242"/>
        <v>777989</v>
      </c>
      <c r="U1925" s="1152"/>
      <c r="V1925" s="1153"/>
      <c r="W1925" s="1152"/>
      <c r="X1925" s="1152"/>
      <c r="Y1925" s="732">
        <f t="shared" si="238"/>
        <v>0</v>
      </c>
      <c r="Z1925" s="1153"/>
      <c r="AA1925" s="1153"/>
      <c r="AB1925" s="733">
        <f t="shared" si="239"/>
        <v>0</v>
      </c>
      <c r="AC1925" s="1152"/>
      <c r="AD1925" s="1153"/>
      <c r="AE1925" s="1152"/>
      <c r="AF1925" s="1152"/>
      <c r="AG1925" s="1153"/>
      <c r="AH1925" s="1153"/>
      <c r="AI1925" s="732">
        <f t="shared" si="243"/>
        <v>915420</v>
      </c>
      <c r="AJ1925" s="733">
        <f t="shared" si="244"/>
        <v>777989</v>
      </c>
    </row>
    <row r="1926" spans="1:36">
      <c r="A1926" s="1075" t="s">
        <v>746</v>
      </c>
      <c r="B1926" s="1017" t="s">
        <v>99</v>
      </c>
      <c r="C1926" s="1076" t="s">
        <v>1567</v>
      </c>
      <c r="D1926" s="1010"/>
      <c r="E1926" s="987">
        <v>218025</v>
      </c>
      <c r="F1926" s="988">
        <v>9</v>
      </c>
      <c r="G1926" s="1152"/>
      <c r="H1926" s="1153"/>
      <c r="I1926" s="1152"/>
      <c r="J1926" s="1153"/>
      <c r="K1926" s="1152"/>
      <c r="L1926" s="1153"/>
      <c r="M1926" s="1152"/>
      <c r="N1926" s="1152"/>
      <c r="O1926" s="732">
        <f t="shared" si="237"/>
        <v>0</v>
      </c>
      <c r="P1926" s="1159"/>
      <c r="Q1926" s="1153"/>
      <c r="R1926" s="733">
        <f t="shared" si="240"/>
        <v>0</v>
      </c>
      <c r="S1926" s="732">
        <f t="shared" si="241"/>
        <v>0</v>
      </c>
      <c r="T1926" s="733">
        <f t="shared" si="242"/>
        <v>0</v>
      </c>
      <c r="U1926" s="1152"/>
      <c r="V1926" s="1153"/>
      <c r="W1926" s="1152"/>
      <c r="X1926" s="1152"/>
      <c r="Y1926" s="732">
        <f t="shared" si="238"/>
        <v>0</v>
      </c>
      <c r="Z1926" s="1153"/>
      <c r="AA1926" s="1153"/>
      <c r="AB1926" s="733">
        <f t="shared" si="239"/>
        <v>0</v>
      </c>
      <c r="AC1926" s="1152"/>
      <c r="AD1926" s="1153"/>
      <c r="AE1926" s="1152"/>
      <c r="AF1926" s="1152"/>
      <c r="AG1926" s="1153"/>
      <c r="AH1926" s="1153"/>
      <c r="AI1926" s="732">
        <f t="shared" si="243"/>
        <v>0</v>
      </c>
      <c r="AJ1926" s="733">
        <f t="shared" si="244"/>
        <v>0</v>
      </c>
    </row>
    <row r="1927" spans="1:36">
      <c r="A1927" s="1075" t="s">
        <v>746</v>
      </c>
      <c r="B1927" s="1017" t="s">
        <v>99</v>
      </c>
      <c r="C1927" s="1076" t="s">
        <v>1579</v>
      </c>
      <c r="D1927" s="1010"/>
      <c r="E1927" s="987">
        <v>218025</v>
      </c>
      <c r="F1927" s="988">
        <v>9</v>
      </c>
      <c r="G1927" s="1152"/>
      <c r="H1927" s="1153"/>
      <c r="I1927" s="1152">
        <v>906817</v>
      </c>
      <c r="J1927" s="1153">
        <v>906817</v>
      </c>
      <c r="K1927" s="1152"/>
      <c r="L1927" s="1153"/>
      <c r="M1927" s="1152"/>
      <c r="N1927" s="1152"/>
      <c r="O1927" s="732">
        <f t="shared" si="237"/>
        <v>0</v>
      </c>
      <c r="P1927" s="1159"/>
      <c r="Q1927" s="1153"/>
      <c r="R1927" s="733">
        <f t="shared" si="240"/>
        <v>0</v>
      </c>
      <c r="S1927" s="732">
        <f t="shared" si="241"/>
        <v>906817</v>
      </c>
      <c r="T1927" s="733">
        <f t="shared" si="242"/>
        <v>906817</v>
      </c>
      <c r="U1927" s="1152"/>
      <c r="V1927" s="1153"/>
      <c r="W1927" s="1152"/>
      <c r="X1927" s="1152"/>
      <c r="Y1927" s="732">
        <f t="shared" si="238"/>
        <v>0</v>
      </c>
      <c r="Z1927" s="1153"/>
      <c r="AA1927" s="1153"/>
      <c r="AB1927" s="733">
        <f t="shared" si="239"/>
        <v>0</v>
      </c>
      <c r="AC1927" s="1152"/>
      <c r="AD1927" s="1153"/>
      <c r="AE1927" s="1152"/>
      <c r="AF1927" s="1152"/>
      <c r="AG1927" s="1153"/>
      <c r="AH1927" s="1153"/>
      <c r="AI1927" s="732">
        <f t="shared" si="243"/>
        <v>906817</v>
      </c>
      <c r="AJ1927" s="733">
        <f t="shared" si="244"/>
        <v>906817</v>
      </c>
    </row>
    <row r="1928" spans="1:36">
      <c r="A1928" s="1075" t="s">
        <v>746</v>
      </c>
      <c r="B1928" s="1017" t="s">
        <v>99</v>
      </c>
      <c r="C1928" s="1076" t="s">
        <v>1580</v>
      </c>
      <c r="D1928" s="1010"/>
      <c r="E1928" s="987">
        <v>218025</v>
      </c>
      <c r="F1928" s="988">
        <v>9</v>
      </c>
      <c r="G1928" s="1152">
        <v>302271</v>
      </c>
      <c r="H1928" s="1153">
        <v>302271</v>
      </c>
      <c r="I1928" s="1152"/>
      <c r="J1928" s="1153"/>
      <c r="K1928" s="1152"/>
      <c r="L1928" s="1153"/>
      <c r="M1928" s="1152"/>
      <c r="N1928" s="1152"/>
      <c r="O1928" s="732">
        <f t="shared" si="237"/>
        <v>0</v>
      </c>
      <c r="P1928" s="1159"/>
      <c r="Q1928" s="1153"/>
      <c r="R1928" s="733">
        <f t="shared" si="240"/>
        <v>0</v>
      </c>
      <c r="S1928" s="732">
        <f t="shared" si="241"/>
        <v>302271</v>
      </c>
      <c r="T1928" s="733">
        <f t="shared" si="242"/>
        <v>302271</v>
      </c>
      <c r="U1928" s="1152"/>
      <c r="V1928" s="1153"/>
      <c r="W1928" s="1152"/>
      <c r="X1928" s="1152"/>
      <c r="Y1928" s="732">
        <f t="shared" si="238"/>
        <v>0</v>
      </c>
      <c r="Z1928" s="1153"/>
      <c r="AA1928" s="1153"/>
      <c r="AB1928" s="733">
        <f t="shared" si="239"/>
        <v>0</v>
      </c>
      <c r="AC1928" s="1152"/>
      <c r="AD1928" s="1153"/>
      <c r="AE1928" s="1152"/>
      <c r="AF1928" s="1152"/>
      <c r="AG1928" s="1153"/>
      <c r="AH1928" s="1153"/>
      <c r="AI1928" s="732">
        <f t="shared" si="243"/>
        <v>302271</v>
      </c>
      <c r="AJ1928" s="733">
        <f t="shared" si="244"/>
        <v>302271</v>
      </c>
    </row>
    <row r="1929" spans="1:36">
      <c r="A1929" s="1075" t="s">
        <v>746</v>
      </c>
      <c r="B1929" s="1017" t="s">
        <v>99</v>
      </c>
      <c r="C1929" s="1076" t="s">
        <v>1565</v>
      </c>
      <c r="D1929" s="1010"/>
      <c r="E1929" s="987">
        <v>218025</v>
      </c>
      <c r="F1929" s="988">
        <v>9</v>
      </c>
      <c r="G1929" s="1152"/>
      <c r="H1929" s="1153"/>
      <c r="I1929" s="1152">
        <v>37784</v>
      </c>
      <c r="J1929" s="1153">
        <v>37784</v>
      </c>
      <c r="K1929" s="1152"/>
      <c r="L1929" s="1153"/>
      <c r="M1929" s="1152"/>
      <c r="N1929" s="1152"/>
      <c r="O1929" s="732">
        <f t="shared" si="237"/>
        <v>0</v>
      </c>
      <c r="P1929" s="1159"/>
      <c r="Q1929" s="1153"/>
      <c r="R1929" s="733">
        <f t="shared" si="240"/>
        <v>0</v>
      </c>
      <c r="S1929" s="732">
        <f t="shared" si="241"/>
        <v>37784</v>
      </c>
      <c r="T1929" s="733">
        <f t="shared" si="242"/>
        <v>37784</v>
      </c>
      <c r="U1929" s="1152"/>
      <c r="V1929" s="1153"/>
      <c r="W1929" s="1152"/>
      <c r="X1929" s="1152"/>
      <c r="Y1929" s="732">
        <f t="shared" si="238"/>
        <v>0</v>
      </c>
      <c r="Z1929" s="1153"/>
      <c r="AA1929" s="1153"/>
      <c r="AB1929" s="733">
        <f t="shared" si="239"/>
        <v>0</v>
      </c>
      <c r="AC1929" s="1152"/>
      <c r="AD1929" s="1153"/>
      <c r="AE1929" s="1152"/>
      <c r="AF1929" s="1152"/>
      <c r="AG1929" s="1153"/>
      <c r="AH1929" s="1153"/>
      <c r="AI1929" s="732">
        <f t="shared" si="243"/>
        <v>37784</v>
      </c>
      <c r="AJ1929" s="733">
        <f t="shared" si="244"/>
        <v>37784</v>
      </c>
    </row>
    <row r="1930" spans="1:36">
      <c r="A1930" s="1075" t="s">
        <v>746</v>
      </c>
      <c r="B1930" s="1017" t="s">
        <v>99</v>
      </c>
      <c r="C1930" s="1076" t="s">
        <v>1539</v>
      </c>
      <c r="D1930" s="1010"/>
      <c r="E1930" s="987">
        <v>218025</v>
      </c>
      <c r="F1930" s="988">
        <v>9</v>
      </c>
      <c r="G1930" s="1152"/>
      <c r="H1930" s="1153"/>
      <c r="I1930" s="1152">
        <v>245538</v>
      </c>
      <c r="J1930" s="1153">
        <v>228971</v>
      </c>
      <c r="K1930" s="1152"/>
      <c r="L1930" s="1153"/>
      <c r="M1930" s="1152"/>
      <c r="N1930" s="1152"/>
      <c r="O1930" s="732">
        <f t="shared" ref="O1930:O1993" si="245">SUM(M1930:N1930)</f>
        <v>0</v>
      </c>
      <c r="P1930" s="1159"/>
      <c r="Q1930" s="1153"/>
      <c r="R1930" s="733">
        <f t="shared" si="240"/>
        <v>0</v>
      </c>
      <c r="S1930" s="732">
        <f t="shared" si="241"/>
        <v>245538</v>
      </c>
      <c r="T1930" s="733">
        <f t="shared" si="242"/>
        <v>228971</v>
      </c>
      <c r="U1930" s="1152"/>
      <c r="V1930" s="1153"/>
      <c r="W1930" s="1152"/>
      <c r="X1930" s="1152"/>
      <c r="Y1930" s="732">
        <f t="shared" ref="Y1930:Y1993" si="246">SUM(W1930:X1930)</f>
        <v>0</v>
      </c>
      <c r="Z1930" s="1153"/>
      <c r="AA1930" s="1153"/>
      <c r="AB1930" s="733">
        <f t="shared" ref="AB1930:AB1993" si="247">SUM(Z1930:AA1930)</f>
        <v>0</v>
      </c>
      <c r="AC1930" s="1152"/>
      <c r="AD1930" s="1153"/>
      <c r="AE1930" s="1152"/>
      <c r="AF1930" s="1152"/>
      <c r="AG1930" s="1153"/>
      <c r="AH1930" s="1153"/>
      <c r="AI1930" s="732">
        <f t="shared" si="243"/>
        <v>245538</v>
      </c>
      <c r="AJ1930" s="733">
        <f t="shared" si="244"/>
        <v>228971</v>
      </c>
    </row>
    <row r="1931" spans="1:36">
      <c r="A1931" s="1075" t="s">
        <v>746</v>
      </c>
      <c r="B1931" s="1017" t="s">
        <v>99</v>
      </c>
      <c r="C1931" s="1076" t="s">
        <v>1570</v>
      </c>
      <c r="D1931" s="1016" t="s">
        <v>1571</v>
      </c>
      <c r="E1931" s="987">
        <v>218025</v>
      </c>
      <c r="F1931" s="988">
        <v>9</v>
      </c>
      <c r="G1931" s="1152"/>
      <c r="H1931" s="1153"/>
      <c r="I1931" s="1152"/>
      <c r="J1931" s="1153"/>
      <c r="K1931" s="1152"/>
      <c r="L1931" s="1153"/>
      <c r="M1931" s="1152"/>
      <c r="N1931" s="1152"/>
      <c r="O1931" s="732">
        <f t="shared" si="245"/>
        <v>0</v>
      </c>
      <c r="P1931" s="1159"/>
      <c r="Q1931" s="1153"/>
      <c r="R1931" s="733">
        <f t="shared" ref="R1931:R1994" si="248">SUM(P1931:Q1931)</f>
        <v>0</v>
      </c>
      <c r="S1931" s="732">
        <f t="shared" ref="S1931:S1994" si="249">SUM(G1931,I1931,K1931,M1931)</f>
        <v>0</v>
      </c>
      <c r="T1931" s="733">
        <f t="shared" ref="T1931:T1994" si="250">SUM(H1931,J1931,L1931,P1931)</f>
        <v>0</v>
      </c>
      <c r="U1931" s="1152"/>
      <c r="V1931" s="1153"/>
      <c r="W1931" s="1152"/>
      <c r="X1931" s="1152"/>
      <c r="Y1931" s="732">
        <f t="shared" si="246"/>
        <v>0</v>
      </c>
      <c r="Z1931" s="1153"/>
      <c r="AA1931" s="1153"/>
      <c r="AB1931" s="733">
        <f t="shared" si="247"/>
        <v>0</v>
      </c>
      <c r="AC1931" s="1152"/>
      <c r="AD1931" s="1153"/>
      <c r="AE1931" s="1152"/>
      <c r="AF1931" s="1152"/>
      <c r="AG1931" s="1153"/>
      <c r="AH1931" s="1153"/>
      <c r="AI1931" s="732">
        <f t="shared" ref="AI1931:AI1994" si="251">SUM(S1931,U1931,W1931,AC1931,AE1931)</f>
        <v>0</v>
      </c>
      <c r="AJ1931" s="733">
        <f t="shared" ref="AJ1931:AJ1994" si="252">SUM(T1931,V1931,Z1931,AD1931,AG1931)</f>
        <v>0</v>
      </c>
    </row>
    <row r="1932" spans="1:36" s="13" customFormat="1" ht="15" customHeight="1">
      <c r="A1932" s="1075" t="s">
        <v>746</v>
      </c>
      <c r="B1932" s="1017" t="s">
        <v>62</v>
      </c>
      <c r="C1932" s="1003" t="s">
        <v>1581</v>
      </c>
      <c r="D1932" s="1088"/>
      <c r="E1932" s="987">
        <v>218520</v>
      </c>
      <c r="F1932" s="988">
        <v>9</v>
      </c>
      <c r="G1932" s="1152">
        <v>8359710</v>
      </c>
      <c r="H1932" s="1153">
        <v>8849876</v>
      </c>
      <c r="I1932" s="1152"/>
      <c r="J1932" s="1153"/>
      <c r="K1932" s="1152">
        <v>2429669</v>
      </c>
      <c r="L1932" s="1153">
        <v>2461200</v>
      </c>
      <c r="M1932" s="1152">
        <v>23868052</v>
      </c>
      <c r="N1932" s="1152"/>
      <c r="O1932" s="732">
        <f t="shared" si="245"/>
        <v>23868052</v>
      </c>
      <c r="P1932" s="1159">
        <v>21834102</v>
      </c>
      <c r="Q1932" s="1153"/>
      <c r="R1932" s="733">
        <f t="shared" si="248"/>
        <v>21834102</v>
      </c>
      <c r="S1932" s="732">
        <f t="shared" si="249"/>
        <v>34657431</v>
      </c>
      <c r="T1932" s="733">
        <f t="shared" si="250"/>
        <v>33145178</v>
      </c>
      <c r="U1932" s="1152"/>
      <c r="V1932" s="1153"/>
      <c r="W1932" s="1152"/>
      <c r="X1932" s="1152"/>
      <c r="Y1932" s="732">
        <f t="shared" si="246"/>
        <v>0</v>
      </c>
      <c r="Z1932" s="1153"/>
      <c r="AA1932" s="1153"/>
      <c r="AB1932" s="733">
        <f t="shared" si="247"/>
        <v>0</v>
      </c>
      <c r="AC1932" s="1152"/>
      <c r="AD1932" s="1153"/>
      <c r="AE1932" s="1152"/>
      <c r="AF1932" s="1152"/>
      <c r="AG1932" s="1153"/>
      <c r="AH1932" s="1153"/>
      <c r="AI1932" s="732">
        <f t="shared" si="251"/>
        <v>34657431</v>
      </c>
      <c r="AJ1932" s="733">
        <f t="shared" si="252"/>
        <v>33145178</v>
      </c>
    </row>
    <row r="1933" spans="1:36">
      <c r="A1933" s="1075" t="s">
        <v>746</v>
      </c>
      <c r="B1933" s="1017" t="s">
        <v>62</v>
      </c>
      <c r="C1933" s="1087" t="s">
        <v>1561</v>
      </c>
      <c r="D1933" s="1010"/>
      <c r="E1933" s="987">
        <v>218520</v>
      </c>
      <c r="F1933" s="988">
        <v>9</v>
      </c>
      <c r="G1933" s="1152">
        <v>210310</v>
      </c>
      <c r="H1933" s="1153"/>
      <c r="I1933" s="1152"/>
      <c r="J1933" s="1153"/>
      <c r="K1933" s="1152"/>
      <c r="L1933" s="1153"/>
      <c r="M1933" s="1152"/>
      <c r="N1933" s="1152"/>
      <c r="O1933" s="732">
        <f t="shared" si="245"/>
        <v>0</v>
      </c>
      <c r="P1933" s="1159"/>
      <c r="Q1933" s="1153"/>
      <c r="R1933" s="733">
        <f t="shared" si="248"/>
        <v>0</v>
      </c>
      <c r="S1933" s="732">
        <f t="shared" si="249"/>
        <v>210310</v>
      </c>
      <c r="T1933" s="733">
        <f t="shared" si="250"/>
        <v>0</v>
      </c>
      <c r="U1933" s="1152"/>
      <c r="V1933" s="1153"/>
      <c r="W1933" s="1152"/>
      <c r="X1933" s="1152"/>
      <c r="Y1933" s="732">
        <f t="shared" si="246"/>
        <v>0</v>
      </c>
      <c r="Z1933" s="1153"/>
      <c r="AA1933" s="1153"/>
      <c r="AB1933" s="733">
        <f t="shared" si="247"/>
        <v>0</v>
      </c>
      <c r="AC1933" s="1152"/>
      <c r="AD1933" s="1153"/>
      <c r="AE1933" s="1152"/>
      <c r="AF1933" s="1152"/>
      <c r="AG1933" s="1153"/>
      <c r="AH1933" s="1153"/>
      <c r="AI1933" s="732">
        <f t="shared" si="251"/>
        <v>210310</v>
      </c>
      <c r="AJ1933" s="733">
        <f t="shared" si="252"/>
        <v>0</v>
      </c>
    </row>
    <row r="1934" spans="1:36">
      <c r="A1934" s="1075" t="s">
        <v>746</v>
      </c>
      <c r="B1934" s="1017" t="s">
        <v>62</v>
      </c>
      <c r="C1934" s="1087" t="s">
        <v>1562</v>
      </c>
      <c r="D1934" s="1010"/>
      <c r="E1934" s="987">
        <v>218520</v>
      </c>
      <c r="F1934" s="988">
        <v>9</v>
      </c>
      <c r="G1934" s="1152">
        <v>111744</v>
      </c>
      <c r="H1934" s="1153"/>
      <c r="I1934" s="1152"/>
      <c r="J1934" s="1153"/>
      <c r="K1934" s="1152"/>
      <c r="L1934" s="1153"/>
      <c r="M1934" s="1152"/>
      <c r="N1934" s="1152"/>
      <c r="O1934" s="732">
        <f t="shared" si="245"/>
        <v>0</v>
      </c>
      <c r="P1934" s="1159"/>
      <c r="Q1934" s="1153"/>
      <c r="R1934" s="733">
        <f t="shared" si="248"/>
        <v>0</v>
      </c>
      <c r="S1934" s="732">
        <f t="shared" si="249"/>
        <v>111744</v>
      </c>
      <c r="T1934" s="733">
        <f t="shared" si="250"/>
        <v>0</v>
      </c>
      <c r="U1934" s="1152"/>
      <c r="V1934" s="1153"/>
      <c r="W1934" s="1152"/>
      <c r="X1934" s="1152"/>
      <c r="Y1934" s="732">
        <f t="shared" si="246"/>
        <v>0</v>
      </c>
      <c r="Z1934" s="1153"/>
      <c r="AA1934" s="1153"/>
      <c r="AB1934" s="733">
        <f t="shared" si="247"/>
        <v>0</v>
      </c>
      <c r="AC1934" s="1152"/>
      <c r="AD1934" s="1153"/>
      <c r="AE1934" s="1152"/>
      <c r="AF1934" s="1152"/>
      <c r="AG1934" s="1153"/>
      <c r="AH1934" s="1153"/>
      <c r="AI1934" s="732">
        <f t="shared" si="251"/>
        <v>111744</v>
      </c>
      <c r="AJ1934" s="733">
        <f t="shared" si="252"/>
        <v>0</v>
      </c>
    </row>
    <row r="1935" spans="1:36">
      <c r="A1935" s="1075" t="s">
        <v>746</v>
      </c>
      <c r="B1935" s="1017" t="s">
        <v>62</v>
      </c>
      <c r="C1935" s="1076" t="s">
        <v>1538</v>
      </c>
      <c r="D1935" s="1010"/>
      <c r="E1935" s="987">
        <v>218520</v>
      </c>
      <c r="F1935" s="988">
        <v>9</v>
      </c>
      <c r="G1935" s="1152"/>
      <c r="H1935" s="1153"/>
      <c r="I1935" s="1152"/>
      <c r="J1935" s="1153"/>
      <c r="K1935" s="1152"/>
      <c r="L1935" s="1153"/>
      <c r="M1935" s="1152"/>
      <c r="N1935" s="1152"/>
      <c r="O1935" s="732">
        <f t="shared" si="245"/>
        <v>0</v>
      </c>
      <c r="P1935" s="1159"/>
      <c r="Q1935" s="1153"/>
      <c r="R1935" s="733">
        <f t="shared" si="248"/>
        <v>0</v>
      </c>
      <c r="S1935" s="732">
        <f t="shared" si="249"/>
        <v>0</v>
      </c>
      <c r="T1935" s="733">
        <f t="shared" si="250"/>
        <v>0</v>
      </c>
      <c r="U1935" s="1152"/>
      <c r="V1935" s="1153"/>
      <c r="W1935" s="1152"/>
      <c r="X1935" s="1152"/>
      <c r="Y1935" s="732">
        <f t="shared" si="246"/>
        <v>0</v>
      </c>
      <c r="Z1935" s="1153"/>
      <c r="AA1935" s="1153"/>
      <c r="AB1935" s="733">
        <f t="shared" si="247"/>
        <v>0</v>
      </c>
      <c r="AC1935" s="1152"/>
      <c r="AD1935" s="1153"/>
      <c r="AE1935" s="1152"/>
      <c r="AF1935" s="1152"/>
      <c r="AG1935" s="1153"/>
      <c r="AH1935" s="1153"/>
      <c r="AI1935" s="732">
        <f t="shared" si="251"/>
        <v>0</v>
      </c>
      <c r="AJ1935" s="733">
        <f t="shared" si="252"/>
        <v>0</v>
      </c>
    </row>
    <row r="1936" spans="1:36">
      <c r="A1936" s="1075" t="s">
        <v>746</v>
      </c>
      <c r="B1936" s="1017" t="s">
        <v>99</v>
      </c>
      <c r="C1936" s="1077" t="s">
        <v>1070</v>
      </c>
      <c r="D1936" s="1010"/>
      <c r="E1936" s="987">
        <v>218520</v>
      </c>
      <c r="F1936" s="988">
        <v>9</v>
      </c>
      <c r="G1936" s="1152"/>
      <c r="H1936" s="1153"/>
      <c r="I1936" s="1152"/>
      <c r="J1936" s="1153"/>
      <c r="K1936" s="1152"/>
      <c r="L1936" s="1153"/>
      <c r="M1936" s="1152"/>
      <c r="N1936" s="1152"/>
      <c r="O1936" s="732">
        <f t="shared" si="245"/>
        <v>0</v>
      </c>
      <c r="P1936" s="1159"/>
      <c r="Q1936" s="1153"/>
      <c r="R1936" s="733">
        <f t="shared" si="248"/>
        <v>0</v>
      </c>
      <c r="S1936" s="732">
        <f t="shared" si="249"/>
        <v>0</v>
      </c>
      <c r="T1936" s="733">
        <f t="shared" si="250"/>
        <v>0</v>
      </c>
      <c r="U1936" s="1152"/>
      <c r="V1936" s="1153"/>
      <c r="W1936" s="1152"/>
      <c r="X1936" s="1152"/>
      <c r="Y1936" s="732">
        <f t="shared" si="246"/>
        <v>0</v>
      </c>
      <c r="Z1936" s="1153"/>
      <c r="AA1936" s="1153"/>
      <c r="AB1936" s="733">
        <f t="shared" si="247"/>
        <v>0</v>
      </c>
      <c r="AC1936" s="1152"/>
      <c r="AD1936" s="1153"/>
      <c r="AE1936" s="1152"/>
      <c r="AF1936" s="1152"/>
      <c r="AG1936" s="1153"/>
      <c r="AH1936" s="1153"/>
      <c r="AI1936" s="732">
        <f t="shared" si="251"/>
        <v>0</v>
      </c>
      <c r="AJ1936" s="733">
        <f t="shared" si="252"/>
        <v>0</v>
      </c>
    </row>
    <row r="1937" spans="1:36">
      <c r="A1937" s="1075" t="s">
        <v>746</v>
      </c>
      <c r="B1937" s="1017" t="s">
        <v>99</v>
      </c>
      <c r="C1937" s="1076" t="s">
        <v>1563</v>
      </c>
      <c r="D1937" s="1010"/>
      <c r="E1937" s="987">
        <v>218520</v>
      </c>
      <c r="F1937" s="988">
        <v>9</v>
      </c>
      <c r="G1937" s="1152"/>
      <c r="H1937" s="1153"/>
      <c r="I1937" s="1152">
        <v>141564</v>
      </c>
      <c r="J1937" s="1153">
        <v>159755</v>
      </c>
      <c r="K1937" s="1152"/>
      <c r="L1937" s="1153"/>
      <c r="M1937" s="1152"/>
      <c r="N1937" s="1152"/>
      <c r="O1937" s="732">
        <f t="shared" si="245"/>
        <v>0</v>
      </c>
      <c r="P1937" s="1159"/>
      <c r="Q1937" s="1153"/>
      <c r="R1937" s="733">
        <f t="shared" si="248"/>
        <v>0</v>
      </c>
      <c r="S1937" s="732">
        <f t="shared" si="249"/>
        <v>141564</v>
      </c>
      <c r="T1937" s="733">
        <f t="shared" si="250"/>
        <v>159755</v>
      </c>
      <c r="U1937" s="1152"/>
      <c r="V1937" s="1153"/>
      <c r="W1937" s="1152"/>
      <c r="X1937" s="1152"/>
      <c r="Y1937" s="732">
        <f t="shared" si="246"/>
        <v>0</v>
      </c>
      <c r="Z1937" s="1153"/>
      <c r="AA1937" s="1153"/>
      <c r="AB1937" s="733">
        <f t="shared" si="247"/>
        <v>0</v>
      </c>
      <c r="AC1937" s="1152"/>
      <c r="AD1937" s="1153"/>
      <c r="AE1937" s="1152"/>
      <c r="AF1937" s="1152"/>
      <c r="AG1937" s="1153"/>
      <c r="AH1937" s="1153"/>
      <c r="AI1937" s="732">
        <f t="shared" si="251"/>
        <v>141564</v>
      </c>
      <c r="AJ1937" s="733">
        <f t="shared" si="252"/>
        <v>159755</v>
      </c>
    </row>
    <row r="1938" spans="1:36">
      <c r="A1938" s="1075" t="s">
        <v>746</v>
      </c>
      <c r="B1938" s="1017" t="s">
        <v>99</v>
      </c>
      <c r="C1938" s="1076" t="s">
        <v>1564</v>
      </c>
      <c r="D1938" s="1010"/>
      <c r="E1938" s="987">
        <v>218520</v>
      </c>
      <c r="F1938" s="988">
        <v>9</v>
      </c>
      <c r="G1938" s="1152"/>
      <c r="H1938" s="1153"/>
      <c r="I1938" s="1152">
        <v>15161</v>
      </c>
      <c r="J1938" s="1153">
        <v>15161</v>
      </c>
      <c r="K1938" s="1152"/>
      <c r="L1938" s="1153"/>
      <c r="M1938" s="1152"/>
      <c r="N1938" s="1152"/>
      <c r="O1938" s="732">
        <f t="shared" si="245"/>
        <v>0</v>
      </c>
      <c r="P1938" s="1159"/>
      <c r="Q1938" s="1153"/>
      <c r="R1938" s="733">
        <f t="shared" si="248"/>
        <v>0</v>
      </c>
      <c r="S1938" s="732">
        <f t="shared" si="249"/>
        <v>15161</v>
      </c>
      <c r="T1938" s="733">
        <f t="shared" si="250"/>
        <v>15161</v>
      </c>
      <c r="U1938" s="1152"/>
      <c r="V1938" s="1153"/>
      <c r="W1938" s="1152"/>
      <c r="X1938" s="1152"/>
      <c r="Y1938" s="732">
        <f t="shared" si="246"/>
        <v>0</v>
      </c>
      <c r="Z1938" s="1153"/>
      <c r="AA1938" s="1153"/>
      <c r="AB1938" s="733">
        <f t="shared" si="247"/>
        <v>0</v>
      </c>
      <c r="AC1938" s="1152"/>
      <c r="AD1938" s="1153"/>
      <c r="AE1938" s="1152"/>
      <c r="AF1938" s="1152"/>
      <c r="AG1938" s="1153"/>
      <c r="AH1938" s="1153"/>
      <c r="AI1938" s="732">
        <f t="shared" si="251"/>
        <v>15161</v>
      </c>
      <c r="AJ1938" s="733">
        <f t="shared" si="252"/>
        <v>15161</v>
      </c>
    </row>
    <row r="1939" spans="1:36">
      <c r="A1939" s="1075" t="s">
        <v>746</v>
      </c>
      <c r="B1939" s="1017" t="s">
        <v>99</v>
      </c>
      <c r="C1939" s="1076" t="s">
        <v>1566</v>
      </c>
      <c r="D1939" s="1010"/>
      <c r="E1939" s="987">
        <v>218520</v>
      </c>
      <c r="F1939" s="988">
        <v>9</v>
      </c>
      <c r="G1939" s="1152"/>
      <c r="H1939" s="1153"/>
      <c r="I1939" s="1152">
        <f>163564+688505</f>
        <v>852069</v>
      </c>
      <c r="J1939" s="1153">
        <f>170589+712391</f>
        <v>882980</v>
      </c>
      <c r="K1939" s="1152"/>
      <c r="L1939" s="1153"/>
      <c r="M1939" s="1152"/>
      <c r="N1939" s="1152"/>
      <c r="O1939" s="732">
        <f t="shared" si="245"/>
        <v>0</v>
      </c>
      <c r="P1939" s="1159"/>
      <c r="Q1939" s="1153"/>
      <c r="R1939" s="733">
        <f t="shared" si="248"/>
        <v>0</v>
      </c>
      <c r="S1939" s="732">
        <f t="shared" si="249"/>
        <v>852069</v>
      </c>
      <c r="T1939" s="733">
        <f t="shared" si="250"/>
        <v>882980</v>
      </c>
      <c r="U1939" s="1152"/>
      <c r="V1939" s="1153"/>
      <c r="W1939" s="1152"/>
      <c r="X1939" s="1152"/>
      <c r="Y1939" s="732">
        <f t="shared" si="246"/>
        <v>0</v>
      </c>
      <c r="Z1939" s="1153"/>
      <c r="AA1939" s="1153"/>
      <c r="AB1939" s="733">
        <f t="shared" si="247"/>
        <v>0</v>
      </c>
      <c r="AC1939" s="1152"/>
      <c r="AD1939" s="1153"/>
      <c r="AE1939" s="1152"/>
      <c r="AF1939" s="1152"/>
      <c r="AG1939" s="1153"/>
      <c r="AH1939" s="1153"/>
      <c r="AI1939" s="732">
        <f t="shared" si="251"/>
        <v>852069</v>
      </c>
      <c r="AJ1939" s="733">
        <f t="shared" si="252"/>
        <v>882980</v>
      </c>
    </row>
    <row r="1940" spans="1:36">
      <c r="A1940" s="1075" t="s">
        <v>746</v>
      </c>
      <c r="B1940" s="1017" t="s">
        <v>99</v>
      </c>
      <c r="C1940" s="1076" t="s">
        <v>1567</v>
      </c>
      <c r="D1940" s="1010"/>
      <c r="E1940" s="987">
        <v>218520</v>
      </c>
      <c r="F1940" s="988">
        <v>9</v>
      </c>
      <c r="G1940" s="1152"/>
      <c r="H1940" s="1153"/>
      <c r="I1940" s="1152"/>
      <c r="J1940" s="1153"/>
      <c r="K1940" s="1152"/>
      <c r="L1940" s="1153"/>
      <c r="M1940" s="1152"/>
      <c r="N1940" s="1152"/>
      <c r="O1940" s="732">
        <f t="shared" si="245"/>
        <v>0</v>
      </c>
      <c r="P1940" s="1159"/>
      <c r="Q1940" s="1153"/>
      <c r="R1940" s="733">
        <f t="shared" si="248"/>
        <v>0</v>
      </c>
      <c r="S1940" s="732">
        <f t="shared" si="249"/>
        <v>0</v>
      </c>
      <c r="T1940" s="733">
        <f t="shared" si="250"/>
        <v>0</v>
      </c>
      <c r="U1940" s="1152"/>
      <c r="V1940" s="1153"/>
      <c r="W1940" s="1152"/>
      <c r="X1940" s="1152"/>
      <c r="Y1940" s="732">
        <f t="shared" si="246"/>
        <v>0</v>
      </c>
      <c r="Z1940" s="1153"/>
      <c r="AA1940" s="1153"/>
      <c r="AB1940" s="733">
        <f t="shared" si="247"/>
        <v>0</v>
      </c>
      <c r="AC1940" s="1152"/>
      <c r="AD1940" s="1153"/>
      <c r="AE1940" s="1152"/>
      <c r="AF1940" s="1152"/>
      <c r="AG1940" s="1153"/>
      <c r="AH1940" s="1153"/>
      <c r="AI1940" s="732">
        <f t="shared" si="251"/>
        <v>0</v>
      </c>
      <c r="AJ1940" s="733">
        <f t="shared" si="252"/>
        <v>0</v>
      </c>
    </row>
    <row r="1941" spans="1:36">
      <c r="A1941" s="1075" t="s">
        <v>746</v>
      </c>
      <c r="B1941" s="1017" t="s">
        <v>99</v>
      </c>
      <c r="C1941" s="1076" t="s">
        <v>1565</v>
      </c>
      <c r="D1941" s="1010"/>
      <c r="E1941" s="987">
        <v>218520</v>
      </c>
      <c r="F1941" s="988">
        <v>9</v>
      </c>
      <c r="G1941" s="1152"/>
      <c r="H1941" s="1153"/>
      <c r="I1941" s="1152">
        <v>37784</v>
      </c>
      <c r="J1941" s="1153">
        <v>37784</v>
      </c>
      <c r="K1941" s="1152"/>
      <c r="L1941" s="1153"/>
      <c r="M1941" s="1152"/>
      <c r="N1941" s="1152"/>
      <c r="O1941" s="732">
        <f t="shared" si="245"/>
        <v>0</v>
      </c>
      <c r="P1941" s="1159"/>
      <c r="Q1941" s="1153"/>
      <c r="R1941" s="733">
        <f t="shared" si="248"/>
        <v>0</v>
      </c>
      <c r="S1941" s="732">
        <f t="shared" si="249"/>
        <v>37784</v>
      </c>
      <c r="T1941" s="733">
        <f t="shared" si="250"/>
        <v>37784</v>
      </c>
      <c r="U1941" s="1152"/>
      <c r="V1941" s="1153"/>
      <c r="W1941" s="1152"/>
      <c r="X1941" s="1152"/>
      <c r="Y1941" s="732">
        <f t="shared" si="246"/>
        <v>0</v>
      </c>
      <c r="Z1941" s="1153"/>
      <c r="AA1941" s="1153"/>
      <c r="AB1941" s="733">
        <f t="shared" si="247"/>
        <v>0</v>
      </c>
      <c r="AC1941" s="1152"/>
      <c r="AD1941" s="1153"/>
      <c r="AE1941" s="1152"/>
      <c r="AF1941" s="1152"/>
      <c r="AG1941" s="1153"/>
      <c r="AH1941" s="1153"/>
      <c r="AI1941" s="732">
        <f t="shared" si="251"/>
        <v>37784</v>
      </c>
      <c r="AJ1941" s="733">
        <f t="shared" si="252"/>
        <v>37784</v>
      </c>
    </row>
    <row r="1942" spans="1:36">
      <c r="A1942" s="1075" t="s">
        <v>746</v>
      </c>
      <c r="B1942" s="1017" t="s">
        <v>99</v>
      </c>
      <c r="C1942" s="1076" t="s">
        <v>1539</v>
      </c>
      <c r="D1942" s="1010"/>
      <c r="E1942" s="987">
        <v>218520</v>
      </c>
      <c r="F1942" s="988">
        <v>9</v>
      </c>
      <c r="G1942" s="1152"/>
      <c r="H1942" s="1153"/>
      <c r="I1942" s="1152">
        <v>233663</v>
      </c>
      <c r="J1942" s="1153">
        <v>236908</v>
      </c>
      <c r="K1942" s="1152"/>
      <c r="L1942" s="1153"/>
      <c r="M1942" s="1152"/>
      <c r="N1942" s="1152"/>
      <c r="O1942" s="732">
        <f t="shared" si="245"/>
        <v>0</v>
      </c>
      <c r="P1942" s="1159"/>
      <c r="Q1942" s="1153"/>
      <c r="R1942" s="733">
        <f t="shared" si="248"/>
        <v>0</v>
      </c>
      <c r="S1942" s="732">
        <f t="shared" si="249"/>
        <v>233663</v>
      </c>
      <c r="T1942" s="733">
        <f t="shared" si="250"/>
        <v>236908</v>
      </c>
      <c r="U1942" s="1152"/>
      <c r="V1942" s="1153"/>
      <c r="W1942" s="1152"/>
      <c r="X1942" s="1152"/>
      <c r="Y1942" s="732">
        <f t="shared" si="246"/>
        <v>0</v>
      </c>
      <c r="Z1942" s="1153"/>
      <c r="AA1942" s="1153"/>
      <c r="AB1942" s="733">
        <f t="shared" si="247"/>
        <v>0</v>
      </c>
      <c r="AC1942" s="1152"/>
      <c r="AD1942" s="1153"/>
      <c r="AE1942" s="1152"/>
      <c r="AF1942" s="1152"/>
      <c r="AG1942" s="1153"/>
      <c r="AH1942" s="1153"/>
      <c r="AI1942" s="732">
        <f t="shared" si="251"/>
        <v>233663</v>
      </c>
      <c r="AJ1942" s="733">
        <f t="shared" si="252"/>
        <v>236908</v>
      </c>
    </row>
    <row r="1943" spans="1:36">
      <c r="A1943" s="1075" t="s">
        <v>746</v>
      </c>
      <c r="B1943" s="1017" t="s">
        <v>99</v>
      </c>
      <c r="C1943" s="1076" t="s">
        <v>1570</v>
      </c>
      <c r="D1943" s="1016" t="s">
        <v>1571</v>
      </c>
      <c r="E1943" s="987">
        <v>218520</v>
      </c>
      <c r="F1943" s="988">
        <v>9</v>
      </c>
      <c r="G1943" s="1152"/>
      <c r="H1943" s="1153"/>
      <c r="I1943" s="1152"/>
      <c r="J1943" s="1153"/>
      <c r="K1943" s="1152"/>
      <c r="L1943" s="1153"/>
      <c r="M1943" s="1152"/>
      <c r="N1943" s="1152"/>
      <c r="O1943" s="732">
        <f t="shared" si="245"/>
        <v>0</v>
      </c>
      <c r="P1943" s="1159"/>
      <c r="Q1943" s="1153"/>
      <c r="R1943" s="733">
        <f t="shared" si="248"/>
        <v>0</v>
      </c>
      <c r="S1943" s="732">
        <f t="shared" si="249"/>
        <v>0</v>
      </c>
      <c r="T1943" s="733">
        <f t="shared" si="250"/>
        <v>0</v>
      </c>
      <c r="U1943" s="1152"/>
      <c r="V1943" s="1153"/>
      <c r="W1943" s="1152"/>
      <c r="X1943" s="1152"/>
      <c r="Y1943" s="732">
        <f t="shared" si="246"/>
        <v>0</v>
      </c>
      <c r="Z1943" s="1153"/>
      <c r="AA1943" s="1153"/>
      <c r="AB1943" s="733">
        <f t="shared" si="247"/>
        <v>0</v>
      </c>
      <c r="AC1943" s="1152"/>
      <c r="AD1943" s="1153"/>
      <c r="AE1943" s="1152"/>
      <c r="AF1943" s="1152"/>
      <c r="AG1943" s="1153"/>
      <c r="AH1943" s="1153"/>
      <c r="AI1943" s="732">
        <f t="shared" si="251"/>
        <v>0</v>
      </c>
      <c r="AJ1943" s="733">
        <f t="shared" si="252"/>
        <v>0</v>
      </c>
    </row>
    <row r="1944" spans="1:36">
      <c r="A1944" s="1075" t="s">
        <v>746</v>
      </c>
      <c r="B1944" s="1017" t="s">
        <v>62</v>
      </c>
      <c r="C1944" s="1080" t="s">
        <v>1582</v>
      </c>
      <c r="D1944" s="1010"/>
      <c r="E1944" s="987">
        <v>218830</v>
      </c>
      <c r="F1944" s="988">
        <v>9</v>
      </c>
      <c r="G1944" s="1152">
        <v>8012057</v>
      </c>
      <c r="H1944" s="1153">
        <v>8345132</v>
      </c>
      <c r="I1944" s="1152"/>
      <c r="J1944" s="1153"/>
      <c r="K1944" s="1152">
        <v>7404645</v>
      </c>
      <c r="L1944" s="1153">
        <v>8191613</v>
      </c>
      <c r="M1944" s="1152">
        <v>25767779</v>
      </c>
      <c r="N1944" s="1152"/>
      <c r="O1944" s="732">
        <f t="shared" si="245"/>
        <v>25767779</v>
      </c>
      <c r="P1944" s="1159">
        <v>23648089</v>
      </c>
      <c r="Q1944" s="1153"/>
      <c r="R1944" s="733">
        <f t="shared" si="248"/>
        <v>23648089</v>
      </c>
      <c r="S1944" s="732">
        <f t="shared" si="249"/>
        <v>41184481</v>
      </c>
      <c r="T1944" s="733">
        <f t="shared" si="250"/>
        <v>40184834</v>
      </c>
      <c r="U1944" s="1152"/>
      <c r="V1944" s="1153"/>
      <c r="W1944" s="1152"/>
      <c r="X1944" s="1152"/>
      <c r="Y1944" s="732">
        <f t="shared" si="246"/>
        <v>0</v>
      </c>
      <c r="Z1944" s="1153"/>
      <c r="AA1944" s="1153"/>
      <c r="AB1944" s="733">
        <f t="shared" si="247"/>
        <v>0</v>
      </c>
      <c r="AC1944" s="1152"/>
      <c r="AD1944" s="1153"/>
      <c r="AE1944" s="1152"/>
      <c r="AF1944" s="1152"/>
      <c r="AG1944" s="1153"/>
      <c r="AH1944" s="1153"/>
      <c r="AI1944" s="732">
        <f t="shared" si="251"/>
        <v>41184481</v>
      </c>
      <c r="AJ1944" s="733">
        <f t="shared" si="252"/>
        <v>40184834</v>
      </c>
    </row>
    <row r="1945" spans="1:36">
      <c r="A1945" s="1075" t="s">
        <v>746</v>
      </c>
      <c r="B1945" s="1017" t="s">
        <v>62</v>
      </c>
      <c r="C1945" s="1087" t="s">
        <v>1561</v>
      </c>
      <c r="D1945" s="1010"/>
      <c r="E1945" s="987">
        <v>218830</v>
      </c>
      <c r="F1945" s="988">
        <v>9</v>
      </c>
      <c r="G1945" s="1152">
        <v>191327</v>
      </c>
      <c r="H1945" s="1153"/>
      <c r="I1945" s="1152"/>
      <c r="J1945" s="1153"/>
      <c r="K1945" s="1152"/>
      <c r="L1945" s="1153"/>
      <c r="M1945" s="1152"/>
      <c r="N1945" s="1152"/>
      <c r="O1945" s="732">
        <f t="shared" si="245"/>
        <v>0</v>
      </c>
      <c r="P1945" s="1159"/>
      <c r="Q1945" s="1153"/>
      <c r="R1945" s="733">
        <f t="shared" si="248"/>
        <v>0</v>
      </c>
      <c r="S1945" s="732">
        <f t="shared" si="249"/>
        <v>191327</v>
      </c>
      <c r="T1945" s="733">
        <f t="shared" si="250"/>
        <v>0</v>
      </c>
      <c r="U1945" s="1152"/>
      <c r="V1945" s="1153"/>
      <c r="W1945" s="1152"/>
      <c r="X1945" s="1152"/>
      <c r="Y1945" s="732">
        <f t="shared" si="246"/>
        <v>0</v>
      </c>
      <c r="Z1945" s="1153"/>
      <c r="AA1945" s="1153"/>
      <c r="AB1945" s="733">
        <f t="shared" si="247"/>
        <v>0</v>
      </c>
      <c r="AC1945" s="1152"/>
      <c r="AD1945" s="1153"/>
      <c r="AE1945" s="1152"/>
      <c r="AF1945" s="1152"/>
      <c r="AG1945" s="1153"/>
      <c r="AH1945" s="1153"/>
      <c r="AI1945" s="732">
        <f t="shared" si="251"/>
        <v>191327</v>
      </c>
      <c r="AJ1945" s="733">
        <f t="shared" si="252"/>
        <v>0</v>
      </c>
    </row>
    <row r="1946" spans="1:36">
      <c r="A1946" s="1075" t="s">
        <v>746</v>
      </c>
      <c r="B1946" s="1017" t="s">
        <v>62</v>
      </c>
      <c r="C1946" s="1087" t="s">
        <v>1562</v>
      </c>
      <c r="D1946" s="1010"/>
      <c r="E1946" s="987">
        <v>218830</v>
      </c>
      <c r="F1946" s="988">
        <v>9</v>
      </c>
      <c r="G1946" s="1152">
        <v>113639</v>
      </c>
      <c r="H1946" s="1153"/>
      <c r="I1946" s="1152"/>
      <c r="J1946" s="1153"/>
      <c r="K1946" s="1152"/>
      <c r="L1946" s="1153"/>
      <c r="M1946" s="1152"/>
      <c r="N1946" s="1152"/>
      <c r="O1946" s="732">
        <f t="shared" si="245"/>
        <v>0</v>
      </c>
      <c r="P1946" s="1159"/>
      <c r="Q1946" s="1153"/>
      <c r="R1946" s="733">
        <f t="shared" si="248"/>
        <v>0</v>
      </c>
      <c r="S1946" s="732">
        <f t="shared" si="249"/>
        <v>113639</v>
      </c>
      <c r="T1946" s="733">
        <f t="shared" si="250"/>
        <v>0</v>
      </c>
      <c r="U1946" s="1152"/>
      <c r="V1946" s="1153"/>
      <c r="W1946" s="1152"/>
      <c r="X1946" s="1152"/>
      <c r="Y1946" s="732">
        <f t="shared" si="246"/>
        <v>0</v>
      </c>
      <c r="Z1946" s="1153"/>
      <c r="AA1946" s="1153"/>
      <c r="AB1946" s="733">
        <f t="shared" si="247"/>
        <v>0</v>
      </c>
      <c r="AC1946" s="1152"/>
      <c r="AD1946" s="1153"/>
      <c r="AE1946" s="1152"/>
      <c r="AF1946" s="1152"/>
      <c r="AG1946" s="1153"/>
      <c r="AH1946" s="1153"/>
      <c r="AI1946" s="732">
        <f t="shared" si="251"/>
        <v>113639</v>
      </c>
      <c r="AJ1946" s="733">
        <f t="shared" si="252"/>
        <v>0</v>
      </c>
    </row>
    <row r="1947" spans="1:36">
      <c r="A1947" s="1075" t="s">
        <v>746</v>
      </c>
      <c r="B1947" s="1017" t="s">
        <v>62</v>
      </c>
      <c r="C1947" s="1076" t="s">
        <v>1538</v>
      </c>
      <c r="D1947" s="1010"/>
      <c r="E1947" s="987">
        <v>218830</v>
      </c>
      <c r="F1947" s="988">
        <v>9</v>
      </c>
      <c r="G1947" s="1152"/>
      <c r="H1947" s="1153"/>
      <c r="I1947" s="1152"/>
      <c r="J1947" s="1153"/>
      <c r="K1947" s="1152"/>
      <c r="L1947" s="1153"/>
      <c r="M1947" s="1152"/>
      <c r="N1947" s="1152"/>
      <c r="O1947" s="732">
        <f t="shared" si="245"/>
        <v>0</v>
      </c>
      <c r="P1947" s="1159"/>
      <c r="Q1947" s="1153"/>
      <c r="R1947" s="733">
        <f t="shared" si="248"/>
        <v>0</v>
      </c>
      <c r="S1947" s="732">
        <f t="shared" si="249"/>
        <v>0</v>
      </c>
      <c r="T1947" s="733">
        <f t="shared" si="250"/>
        <v>0</v>
      </c>
      <c r="U1947" s="1152"/>
      <c r="V1947" s="1153"/>
      <c r="W1947" s="1152"/>
      <c r="X1947" s="1152"/>
      <c r="Y1947" s="732">
        <f t="shared" si="246"/>
        <v>0</v>
      </c>
      <c r="Z1947" s="1153"/>
      <c r="AA1947" s="1153"/>
      <c r="AB1947" s="733">
        <f t="shared" si="247"/>
        <v>0</v>
      </c>
      <c r="AC1947" s="1152"/>
      <c r="AD1947" s="1153"/>
      <c r="AE1947" s="1152"/>
      <c r="AF1947" s="1152"/>
      <c r="AG1947" s="1153"/>
      <c r="AH1947" s="1153"/>
      <c r="AI1947" s="732">
        <f t="shared" si="251"/>
        <v>0</v>
      </c>
      <c r="AJ1947" s="733">
        <f t="shared" si="252"/>
        <v>0</v>
      </c>
    </row>
    <row r="1948" spans="1:36">
      <c r="A1948" s="1075" t="s">
        <v>746</v>
      </c>
      <c r="B1948" s="1017" t="s">
        <v>99</v>
      </c>
      <c r="C1948" s="1077" t="s">
        <v>1070</v>
      </c>
      <c r="D1948" s="1010"/>
      <c r="E1948" s="987">
        <v>218830</v>
      </c>
      <c r="F1948" s="988">
        <v>9</v>
      </c>
      <c r="G1948" s="1152"/>
      <c r="H1948" s="1153"/>
      <c r="I1948" s="1152"/>
      <c r="J1948" s="1153"/>
      <c r="K1948" s="1152"/>
      <c r="L1948" s="1153"/>
      <c r="M1948" s="1152"/>
      <c r="N1948" s="1152"/>
      <c r="O1948" s="732">
        <f t="shared" si="245"/>
        <v>0</v>
      </c>
      <c r="P1948" s="1159"/>
      <c r="Q1948" s="1153"/>
      <c r="R1948" s="733">
        <f t="shared" si="248"/>
        <v>0</v>
      </c>
      <c r="S1948" s="732">
        <f t="shared" si="249"/>
        <v>0</v>
      </c>
      <c r="T1948" s="733">
        <f t="shared" si="250"/>
        <v>0</v>
      </c>
      <c r="U1948" s="1152"/>
      <c r="V1948" s="1153"/>
      <c r="W1948" s="1152"/>
      <c r="X1948" s="1152"/>
      <c r="Y1948" s="732">
        <f t="shared" si="246"/>
        <v>0</v>
      </c>
      <c r="Z1948" s="1153"/>
      <c r="AA1948" s="1153"/>
      <c r="AB1948" s="733">
        <f t="shared" si="247"/>
        <v>0</v>
      </c>
      <c r="AC1948" s="1152"/>
      <c r="AD1948" s="1153"/>
      <c r="AE1948" s="1152"/>
      <c r="AF1948" s="1152"/>
      <c r="AG1948" s="1153"/>
      <c r="AH1948" s="1153"/>
      <c r="AI1948" s="732">
        <f t="shared" si="251"/>
        <v>0</v>
      </c>
      <c r="AJ1948" s="733">
        <f t="shared" si="252"/>
        <v>0</v>
      </c>
    </row>
    <row r="1949" spans="1:36">
      <c r="A1949" s="1075" t="s">
        <v>746</v>
      </c>
      <c r="B1949" s="1017" t="s">
        <v>99</v>
      </c>
      <c r="C1949" s="1076" t="s">
        <v>1563</v>
      </c>
      <c r="D1949" s="1010"/>
      <c r="E1949" s="987">
        <v>218830</v>
      </c>
      <c r="F1949" s="988">
        <v>9</v>
      </c>
      <c r="G1949" s="1152"/>
      <c r="H1949" s="1153"/>
      <c r="I1949" s="1152">
        <v>147145</v>
      </c>
      <c r="J1949" s="1153">
        <v>153680</v>
      </c>
      <c r="K1949" s="1152"/>
      <c r="L1949" s="1153"/>
      <c r="M1949" s="1152"/>
      <c r="N1949" s="1152"/>
      <c r="O1949" s="732">
        <f t="shared" si="245"/>
        <v>0</v>
      </c>
      <c r="P1949" s="1159"/>
      <c r="Q1949" s="1153"/>
      <c r="R1949" s="733">
        <f t="shared" si="248"/>
        <v>0</v>
      </c>
      <c r="S1949" s="732">
        <f t="shared" si="249"/>
        <v>147145</v>
      </c>
      <c r="T1949" s="733">
        <f t="shared" si="250"/>
        <v>153680</v>
      </c>
      <c r="U1949" s="1152"/>
      <c r="V1949" s="1153"/>
      <c r="W1949" s="1152"/>
      <c r="X1949" s="1152"/>
      <c r="Y1949" s="732">
        <f t="shared" si="246"/>
        <v>0</v>
      </c>
      <c r="Z1949" s="1153"/>
      <c r="AA1949" s="1153"/>
      <c r="AB1949" s="733">
        <f t="shared" si="247"/>
        <v>0</v>
      </c>
      <c r="AC1949" s="1152"/>
      <c r="AD1949" s="1153"/>
      <c r="AE1949" s="1152"/>
      <c r="AF1949" s="1152"/>
      <c r="AG1949" s="1153"/>
      <c r="AH1949" s="1153"/>
      <c r="AI1949" s="732">
        <f t="shared" si="251"/>
        <v>147145</v>
      </c>
      <c r="AJ1949" s="733">
        <f t="shared" si="252"/>
        <v>153680</v>
      </c>
    </row>
    <row r="1950" spans="1:36">
      <c r="A1950" s="1075" t="s">
        <v>746</v>
      </c>
      <c r="B1950" s="1017" t="s">
        <v>99</v>
      </c>
      <c r="C1950" s="1076" t="s">
        <v>1564</v>
      </c>
      <c r="D1950" s="1010"/>
      <c r="E1950" s="987">
        <v>218830</v>
      </c>
      <c r="F1950" s="988">
        <v>9</v>
      </c>
      <c r="G1950" s="1152"/>
      <c r="H1950" s="1153"/>
      <c r="I1950" s="1152">
        <v>11026</v>
      </c>
      <c r="J1950" s="1153">
        <v>11026</v>
      </c>
      <c r="K1950" s="1152"/>
      <c r="L1950" s="1153"/>
      <c r="M1950" s="1152"/>
      <c r="N1950" s="1152"/>
      <c r="O1950" s="732">
        <f t="shared" si="245"/>
        <v>0</v>
      </c>
      <c r="P1950" s="1159"/>
      <c r="Q1950" s="1153"/>
      <c r="R1950" s="733">
        <f t="shared" si="248"/>
        <v>0</v>
      </c>
      <c r="S1950" s="732">
        <f t="shared" si="249"/>
        <v>11026</v>
      </c>
      <c r="T1950" s="733">
        <f t="shared" si="250"/>
        <v>11026</v>
      </c>
      <c r="U1950" s="1152"/>
      <c r="V1950" s="1153"/>
      <c r="W1950" s="1152"/>
      <c r="X1950" s="1152"/>
      <c r="Y1950" s="732">
        <f t="shared" si="246"/>
        <v>0</v>
      </c>
      <c r="Z1950" s="1153"/>
      <c r="AA1950" s="1153"/>
      <c r="AB1950" s="733">
        <f t="shared" si="247"/>
        <v>0</v>
      </c>
      <c r="AC1950" s="1152"/>
      <c r="AD1950" s="1153"/>
      <c r="AE1950" s="1152"/>
      <c r="AF1950" s="1152"/>
      <c r="AG1950" s="1153"/>
      <c r="AH1950" s="1153"/>
      <c r="AI1950" s="732">
        <f t="shared" si="251"/>
        <v>11026</v>
      </c>
      <c r="AJ1950" s="733">
        <f t="shared" si="252"/>
        <v>11026</v>
      </c>
    </row>
    <row r="1951" spans="1:36">
      <c r="A1951" s="1075" t="s">
        <v>746</v>
      </c>
      <c r="B1951" s="1017" t="s">
        <v>99</v>
      </c>
      <c r="C1951" s="1076" t="s">
        <v>1566</v>
      </c>
      <c r="D1951" s="1010"/>
      <c r="E1951" s="987">
        <v>218830</v>
      </c>
      <c r="F1951" s="988">
        <v>9</v>
      </c>
      <c r="G1951" s="1152"/>
      <c r="H1951" s="1153"/>
      <c r="I1951" s="1152">
        <f>159021+657432</f>
        <v>816453</v>
      </c>
      <c r="J1951" s="1153">
        <f>160128+662074</f>
        <v>822202</v>
      </c>
      <c r="K1951" s="1152"/>
      <c r="L1951" s="1153"/>
      <c r="M1951" s="1152"/>
      <c r="N1951" s="1152"/>
      <c r="O1951" s="732">
        <f t="shared" si="245"/>
        <v>0</v>
      </c>
      <c r="P1951" s="1159"/>
      <c r="Q1951" s="1153"/>
      <c r="R1951" s="733">
        <f t="shared" si="248"/>
        <v>0</v>
      </c>
      <c r="S1951" s="732">
        <f t="shared" si="249"/>
        <v>816453</v>
      </c>
      <c r="T1951" s="733">
        <f t="shared" si="250"/>
        <v>822202</v>
      </c>
      <c r="U1951" s="1152"/>
      <c r="V1951" s="1153"/>
      <c r="W1951" s="1152"/>
      <c r="X1951" s="1152"/>
      <c r="Y1951" s="732">
        <f t="shared" si="246"/>
        <v>0</v>
      </c>
      <c r="Z1951" s="1153"/>
      <c r="AA1951" s="1153"/>
      <c r="AB1951" s="733">
        <f t="shared" si="247"/>
        <v>0</v>
      </c>
      <c r="AC1951" s="1152"/>
      <c r="AD1951" s="1153"/>
      <c r="AE1951" s="1152"/>
      <c r="AF1951" s="1152"/>
      <c r="AG1951" s="1153"/>
      <c r="AH1951" s="1153"/>
      <c r="AI1951" s="732">
        <f t="shared" si="251"/>
        <v>816453</v>
      </c>
      <c r="AJ1951" s="733">
        <f t="shared" si="252"/>
        <v>822202</v>
      </c>
    </row>
    <row r="1952" spans="1:36">
      <c r="A1952" s="1075" t="s">
        <v>746</v>
      </c>
      <c r="B1952" s="1017" t="s">
        <v>99</v>
      </c>
      <c r="C1952" s="1076" t="s">
        <v>1583</v>
      </c>
      <c r="D1952" s="1010"/>
      <c r="E1952" s="987">
        <v>218830</v>
      </c>
      <c r="F1952" s="988">
        <v>9</v>
      </c>
      <c r="G1952" s="1152"/>
      <c r="H1952" s="1153"/>
      <c r="I1952" s="1152">
        <v>906816</v>
      </c>
      <c r="J1952" s="1153">
        <v>906816</v>
      </c>
      <c r="K1952" s="1152"/>
      <c r="L1952" s="1153"/>
      <c r="M1952" s="1152"/>
      <c r="N1952" s="1152"/>
      <c r="O1952" s="732">
        <f t="shared" si="245"/>
        <v>0</v>
      </c>
      <c r="P1952" s="1159"/>
      <c r="Q1952" s="1153"/>
      <c r="R1952" s="733">
        <f t="shared" si="248"/>
        <v>0</v>
      </c>
      <c r="S1952" s="732">
        <f t="shared" si="249"/>
        <v>906816</v>
      </c>
      <c r="T1952" s="733">
        <f t="shared" si="250"/>
        <v>906816</v>
      </c>
      <c r="U1952" s="1152"/>
      <c r="V1952" s="1153"/>
      <c r="W1952" s="1152"/>
      <c r="X1952" s="1152"/>
      <c r="Y1952" s="732">
        <f t="shared" si="246"/>
        <v>0</v>
      </c>
      <c r="Z1952" s="1153"/>
      <c r="AA1952" s="1153"/>
      <c r="AB1952" s="733">
        <f t="shared" si="247"/>
        <v>0</v>
      </c>
      <c r="AC1952" s="1152"/>
      <c r="AD1952" s="1153"/>
      <c r="AE1952" s="1152"/>
      <c r="AF1952" s="1152"/>
      <c r="AG1952" s="1153"/>
      <c r="AH1952" s="1153"/>
      <c r="AI1952" s="732">
        <f t="shared" si="251"/>
        <v>906816</v>
      </c>
      <c r="AJ1952" s="733">
        <f t="shared" si="252"/>
        <v>906816</v>
      </c>
    </row>
    <row r="1953" spans="1:36">
      <c r="A1953" s="1075" t="s">
        <v>746</v>
      </c>
      <c r="B1953" s="1017" t="s">
        <v>99</v>
      </c>
      <c r="C1953" s="1076" t="s">
        <v>1565</v>
      </c>
      <c r="D1953" s="1010"/>
      <c r="E1953" s="987">
        <v>218830</v>
      </c>
      <c r="F1953" s="988">
        <v>9</v>
      </c>
      <c r="G1953" s="1152"/>
      <c r="H1953" s="1153"/>
      <c r="I1953" s="1152">
        <v>37784</v>
      </c>
      <c r="J1953" s="1153">
        <v>37784</v>
      </c>
      <c r="K1953" s="1152"/>
      <c r="L1953" s="1153"/>
      <c r="M1953" s="1152"/>
      <c r="N1953" s="1152"/>
      <c r="O1953" s="732">
        <f t="shared" si="245"/>
        <v>0</v>
      </c>
      <c r="P1953" s="1159"/>
      <c r="Q1953" s="1153"/>
      <c r="R1953" s="733">
        <f t="shared" si="248"/>
        <v>0</v>
      </c>
      <c r="S1953" s="732">
        <f t="shared" si="249"/>
        <v>37784</v>
      </c>
      <c r="T1953" s="733">
        <f t="shared" si="250"/>
        <v>37784</v>
      </c>
      <c r="U1953" s="1152"/>
      <c r="V1953" s="1153"/>
      <c r="W1953" s="1152"/>
      <c r="X1953" s="1152"/>
      <c r="Y1953" s="732">
        <f t="shared" si="246"/>
        <v>0</v>
      </c>
      <c r="Z1953" s="1153"/>
      <c r="AA1953" s="1153"/>
      <c r="AB1953" s="733">
        <f t="shared" si="247"/>
        <v>0</v>
      </c>
      <c r="AC1953" s="1152"/>
      <c r="AD1953" s="1153"/>
      <c r="AE1953" s="1152"/>
      <c r="AF1953" s="1152"/>
      <c r="AG1953" s="1153"/>
      <c r="AH1953" s="1153"/>
      <c r="AI1953" s="732">
        <f t="shared" si="251"/>
        <v>37784</v>
      </c>
      <c r="AJ1953" s="733">
        <f t="shared" si="252"/>
        <v>37784</v>
      </c>
    </row>
    <row r="1954" spans="1:36">
      <c r="A1954" s="1075" t="s">
        <v>746</v>
      </c>
      <c r="B1954" s="1017" t="s">
        <v>99</v>
      </c>
      <c r="C1954" s="1076" t="s">
        <v>1539</v>
      </c>
      <c r="D1954" s="1010"/>
      <c r="E1954" s="987">
        <v>218830</v>
      </c>
      <c r="F1954" s="988">
        <v>9</v>
      </c>
      <c r="G1954" s="1152"/>
      <c r="H1954" s="1153"/>
      <c r="I1954" s="1152">
        <v>223972</v>
      </c>
      <c r="J1954" s="1153">
        <v>223396</v>
      </c>
      <c r="K1954" s="1152"/>
      <c r="L1954" s="1153"/>
      <c r="M1954" s="1152"/>
      <c r="N1954" s="1152"/>
      <c r="O1954" s="732">
        <f t="shared" si="245"/>
        <v>0</v>
      </c>
      <c r="P1954" s="1159"/>
      <c r="Q1954" s="1153"/>
      <c r="R1954" s="733">
        <f t="shared" si="248"/>
        <v>0</v>
      </c>
      <c r="S1954" s="732">
        <f t="shared" si="249"/>
        <v>223972</v>
      </c>
      <c r="T1954" s="733">
        <f t="shared" si="250"/>
        <v>223396</v>
      </c>
      <c r="U1954" s="1152"/>
      <c r="V1954" s="1153"/>
      <c r="W1954" s="1152"/>
      <c r="X1954" s="1152"/>
      <c r="Y1954" s="732">
        <f t="shared" si="246"/>
        <v>0</v>
      </c>
      <c r="Z1954" s="1153"/>
      <c r="AA1954" s="1153"/>
      <c r="AB1954" s="733">
        <f t="shared" si="247"/>
        <v>0</v>
      </c>
      <c r="AC1954" s="1152"/>
      <c r="AD1954" s="1153"/>
      <c r="AE1954" s="1152"/>
      <c r="AF1954" s="1152"/>
      <c r="AG1954" s="1153"/>
      <c r="AH1954" s="1153"/>
      <c r="AI1954" s="732">
        <f t="shared" si="251"/>
        <v>223972</v>
      </c>
      <c r="AJ1954" s="733">
        <f t="shared" si="252"/>
        <v>223396</v>
      </c>
    </row>
    <row r="1955" spans="1:36">
      <c r="A1955" s="1075" t="s">
        <v>746</v>
      </c>
      <c r="B1955" s="1017" t="s">
        <v>99</v>
      </c>
      <c r="C1955" s="1076" t="s">
        <v>1570</v>
      </c>
      <c r="D1955" s="1016" t="s">
        <v>1571</v>
      </c>
      <c r="E1955" s="987">
        <v>218830</v>
      </c>
      <c r="F1955" s="988">
        <v>9</v>
      </c>
      <c r="G1955" s="1152"/>
      <c r="H1955" s="1153"/>
      <c r="I1955" s="1152"/>
      <c r="J1955" s="1153"/>
      <c r="K1955" s="1152"/>
      <c r="L1955" s="1153"/>
      <c r="M1955" s="1152"/>
      <c r="N1955" s="1152"/>
      <c r="O1955" s="732">
        <f t="shared" si="245"/>
        <v>0</v>
      </c>
      <c r="P1955" s="1159"/>
      <c r="Q1955" s="1153"/>
      <c r="R1955" s="733">
        <f t="shared" si="248"/>
        <v>0</v>
      </c>
      <c r="S1955" s="732">
        <f t="shared" si="249"/>
        <v>0</v>
      </c>
      <c r="T1955" s="733">
        <f t="shared" si="250"/>
        <v>0</v>
      </c>
      <c r="U1955" s="1152"/>
      <c r="V1955" s="1153"/>
      <c r="W1955" s="1152"/>
      <c r="X1955" s="1152"/>
      <c r="Y1955" s="732">
        <f t="shared" si="246"/>
        <v>0</v>
      </c>
      <c r="Z1955" s="1153"/>
      <c r="AA1955" s="1153"/>
      <c r="AB1955" s="733">
        <f t="shared" si="247"/>
        <v>0</v>
      </c>
      <c r="AC1955" s="1152"/>
      <c r="AD1955" s="1153"/>
      <c r="AE1955" s="1152"/>
      <c r="AF1955" s="1152"/>
      <c r="AG1955" s="1153"/>
      <c r="AH1955" s="1153"/>
      <c r="AI1955" s="732">
        <f t="shared" si="251"/>
        <v>0</v>
      </c>
      <c r="AJ1955" s="733">
        <f t="shared" si="252"/>
        <v>0</v>
      </c>
    </row>
    <row r="1956" spans="1:36" s="13" customFormat="1" ht="15" customHeight="1">
      <c r="A1956" s="1075" t="s">
        <v>746</v>
      </c>
      <c r="B1956" s="1017" t="s">
        <v>62</v>
      </c>
      <c r="C1956" s="1003" t="s">
        <v>1584</v>
      </c>
      <c r="D1956" s="1089"/>
      <c r="E1956" s="987">
        <v>218885</v>
      </c>
      <c r="F1956" s="988">
        <v>9</v>
      </c>
      <c r="G1956" s="1152">
        <v>10514015</v>
      </c>
      <c r="H1956" s="1153">
        <v>11246734</v>
      </c>
      <c r="I1956" s="1152"/>
      <c r="J1956" s="1153"/>
      <c r="K1956" s="1152">
        <v>5010800</v>
      </c>
      <c r="L1956" s="1153">
        <v>5086400</v>
      </c>
      <c r="M1956" s="1152">
        <v>34805989</v>
      </c>
      <c r="N1956" s="1152"/>
      <c r="O1956" s="732">
        <f t="shared" si="245"/>
        <v>34805989</v>
      </c>
      <c r="P1956" s="1159">
        <v>32783594</v>
      </c>
      <c r="Q1956" s="1153"/>
      <c r="R1956" s="733">
        <f t="shared" si="248"/>
        <v>32783594</v>
      </c>
      <c r="S1956" s="732">
        <f t="shared" si="249"/>
        <v>50330804</v>
      </c>
      <c r="T1956" s="733">
        <f t="shared" si="250"/>
        <v>49116728</v>
      </c>
      <c r="U1956" s="1152"/>
      <c r="V1956" s="1153"/>
      <c r="W1956" s="1152"/>
      <c r="X1956" s="1152"/>
      <c r="Y1956" s="732">
        <f t="shared" si="246"/>
        <v>0</v>
      </c>
      <c r="Z1956" s="1153"/>
      <c r="AA1956" s="1153"/>
      <c r="AB1956" s="733">
        <f t="shared" si="247"/>
        <v>0</v>
      </c>
      <c r="AC1956" s="1152"/>
      <c r="AD1956" s="1153"/>
      <c r="AE1956" s="1152"/>
      <c r="AF1956" s="1152"/>
      <c r="AG1956" s="1153"/>
      <c r="AH1956" s="1153"/>
      <c r="AI1956" s="732">
        <f t="shared" si="251"/>
        <v>50330804</v>
      </c>
      <c r="AJ1956" s="733">
        <f t="shared" si="252"/>
        <v>49116728</v>
      </c>
    </row>
    <row r="1957" spans="1:36">
      <c r="A1957" s="1075" t="s">
        <v>746</v>
      </c>
      <c r="B1957" s="1017" t="s">
        <v>62</v>
      </c>
      <c r="C1957" s="1087" t="s">
        <v>1561</v>
      </c>
      <c r="D1957" s="1010"/>
      <c r="E1957" s="987">
        <v>218885</v>
      </c>
      <c r="F1957" s="988">
        <v>9</v>
      </c>
      <c r="G1957" s="1152">
        <v>189195</v>
      </c>
      <c r="H1957" s="1153"/>
      <c r="I1957" s="1152"/>
      <c r="J1957" s="1153"/>
      <c r="K1957" s="1152"/>
      <c r="L1957" s="1153"/>
      <c r="M1957" s="1152"/>
      <c r="N1957" s="1152"/>
      <c r="O1957" s="732">
        <f t="shared" si="245"/>
        <v>0</v>
      </c>
      <c r="P1957" s="1159"/>
      <c r="Q1957" s="1153"/>
      <c r="R1957" s="733">
        <f t="shared" si="248"/>
        <v>0</v>
      </c>
      <c r="S1957" s="732">
        <f t="shared" si="249"/>
        <v>189195</v>
      </c>
      <c r="T1957" s="733">
        <f t="shared" si="250"/>
        <v>0</v>
      </c>
      <c r="U1957" s="1152"/>
      <c r="V1957" s="1153"/>
      <c r="W1957" s="1152"/>
      <c r="X1957" s="1152"/>
      <c r="Y1957" s="732">
        <f t="shared" si="246"/>
        <v>0</v>
      </c>
      <c r="Z1957" s="1153"/>
      <c r="AA1957" s="1153"/>
      <c r="AB1957" s="733">
        <f t="shared" si="247"/>
        <v>0</v>
      </c>
      <c r="AC1957" s="1152"/>
      <c r="AD1957" s="1153"/>
      <c r="AE1957" s="1152"/>
      <c r="AF1957" s="1152"/>
      <c r="AG1957" s="1153"/>
      <c r="AH1957" s="1153"/>
      <c r="AI1957" s="732">
        <f t="shared" si="251"/>
        <v>189195</v>
      </c>
      <c r="AJ1957" s="733">
        <f t="shared" si="252"/>
        <v>0</v>
      </c>
    </row>
    <row r="1958" spans="1:36">
      <c r="A1958" s="1075" t="s">
        <v>746</v>
      </c>
      <c r="B1958" s="1017" t="s">
        <v>62</v>
      </c>
      <c r="C1958" s="1087" t="s">
        <v>1562</v>
      </c>
      <c r="D1958" s="1010"/>
      <c r="E1958" s="987">
        <v>218885</v>
      </c>
      <c r="F1958" s="988">
        <v>9</v>
      </c>
      <c r="G1958" s="1152">
        <v>111285</v>
      </c>
      <c r="H1958" s="1153"/>
      <c r="I1958" s="1152"/>
      <c r="J1958" s="1153"/>
      <c r="K1958" s="1152"/>
      <c r="L1958" s="1153"/>
      <c r="M1958" s="1152"/>
      <c r="N1958" s="1152"/>
      <c r="O1958" s="732">
        <f t="shared" si="245"/>
        <v>0</v>
      </c>
      <c r="P1958" s="1159"/>
      <c r="Q1958" s="1153"/>
      <c r="R1958" s="733">
        <f t="shared" si="248"/>
        <v>0</v>
      </c>
      <c r="S1958" s="732">
        <f t="shared" si="249"/>
        <v>111285</v>
      </c>
      <c r="T1958" s="733">
        <f t="shared" si="250"/>
        <v>0</v>
      </c>
      <c r="U1958" s="1152"/>
      <c r="V1958" s="1153"/>
      <c r="W1958" s="1152"/>
      <c r="X1958" s="1152"/>
      <c r="Y1958" s="732">
        <f t="shared" si="246"/>
        <v>0</v>
      </c>
      <c r="Z1958" s="1153"/>
      <c r="AA1958" s="1153"/>
      <c r="AB1958" s="733">
        <f t="shared" si="247"/>
        <v>0</v>
      </c>
      <c r="AC1958" s="1152"/>
      <c r="AD1958" s="1153"/>
      <c r="AE1958" s="1152"/>
      <c r="AF1958" s="1152"/>
      <c r="AG1958" s="1153"/>
      <c r="AH1958" s="1153"/>
      <c r="AI1958" s="732">
        <f t="shared" si="251"/>
        <v>111285</v>
      </c>
      <c r="AJ1958" s="733">
        <f t="shared" si="252"/>
        <v>0</v>
      </c>
    </row>
    <row r="1959" spans="1:36">
      <c r="A1959" s="1075" t="s">
        <v>746</v>
      </c>
      <c r="B1959" s="1017" t="s">
        <v>62</v>
      </c>
      <c r="C1959" s="1076" t="s">
        <v>1538</v>
      </c>
      <c r="D1959" s="1010"/>
      <c r="E1959" s="987">
        <v>218885</v>
      </c>
      <c r="F1959" s="988">
        <v>9</v>
      </c>
      <c r="G1959" s="1152"/>
      <c r="H1959" s="1153"/>
      <c r="I1959" s="1152"/>
      <c r="J1959" s="1153"/>
      <c r="K1959" s="1152"/>
      <c r="L1959" s="1153"/>
      <c r="M1959" s="1152"/>
      <c r="N1959" s="1152"/>
      <c r="O1959" s="732">
        <f t="shared" si="245"/>
        <v>0</v>
      </c>
      <c r="P1959" s="1159"/>
      <c r="Q1959" s="1153"/>
      <c r="R1959" s="733">
        <f t="shared" si="248"/>
        <v>0</v>
      </c>
      <c r="S1959" s="732">
        <f t="shared" si="249"/>
        <v>0</v>
      </c>
      <c r="T1959" s="733">
        <f t="shared" si="250"/>
        <v>0</v>
      </c>
      <c r="U1959" s="1152"/>
      <c r="V1959" s="1153"/>
      <c r="W1959" s="1152"/>
      <c r="X1959" s="1152"/>
      <c r="Y1959" s="732">
        <f t="shared" si="246"/>
        <v>0</v>
      </c>
      <c r="Z1959" s="1153"/>
      <c r="AA1959" s="1153"/>
      <c r="AB1959" s="733">
        <f t="shared" si="247"/>
        <v>0</v>
      </c>
      <c r="AC1959" s="1152"/>
      <c r="AD1959" s="1153"/>
      <c r="AE1959" s="1152"/>
      <c r="AF1959" s="1152"/>
      <c r="AG1959" s="1153"/>
      <c r="AH1959" s="1153"/>
      <c r="AI1959" s="732">
        <f t="shared" si="251"/>
        <v>0</v>
      </c>
      <c r="AJ1959" s="733">
        <f t="shared" si="252"/>
        <v>0</v>
      </c>
    </row>
    <row r="1960" spans="1:36">
      <c r="A1960" s="1075" t="s">
        <v>746</v>
      </c>
      <c r="B1960" s="1017" t="s">
        <v>99</v>
      </c>
      <c r="C1960" s="1077" t="s">
        <v>1070</v>
      </c>
      <c r="D1960" s="1010"/>
      <c r="E1960" s="987">
        <v>218885</v>
      </c>
      <c r="F1960" s="988">
        <v>9</v>
      </c>
      <c r="G1960" s="1152"/>
      <c r="H1960" s="1153"/>
      <c r="I1960" s="1152"/>
      <c r="J1960" s="1153"/>
      <c r="K1960" s="1152"/>
      <c r="L1960" s="1153"/>
      <c r="M1960" s="1152"/>
      <c r="N1960" s="1152"/>
      <c r="O1960" s="732">
        <f t="shared" si="245"/>
        <v>0</v>
      </c>
      <c r="P1960" s="1159"/>
      <c r="Q1960" s="1153"/>
      <c r="R1960" s="733">
        <f t="shared" si="248"/>
        <v>0</v>
      </c>
      <c r="S1960" s="732">
        <f t="shared" si="249"/>
        <v>0</v>
      </c>
      <c r="T1960" s="733">
        <f t="shared" si="250"/>
        <v>0</v>
      </c>
      <c r="U1960" s="1152"/>
      <c r="V1960" s="1153"/>
      <c r="W1960" s="1152"/>
      <c r="X1960" s="1152"/>
      <c r="Y1960" s="732">
        <f t="shared" si="246"/>
        <v>0</v>
      </c>
      <c r="Z1960" s="1153"/>
      <c r="AA1960" s="1153"/>
      <c r="AB1960" s="733">
        <f t="shared" si="247"/>
        <v>0</v>
      </c>
      <c r="AC1960" s="1152"/>
      <c r="AD1960" s="1153"/>
      <c r="AE1960" s="1152"/>
      <c r="AF1960" s="1152"/>
      <c r="AG1960" s="1153"/>
      <c r="AH1960" s="1153"/>
      <c r="AI1960" s="732">
        <f t="shared" si="251"/>
        <v>0</v>
      </c>
      <c r="AJ1960" s="733">
        <f t="shared" si="252"/>
        <v>0</v>
      </c>
    </row>
    <row r="1961" spans="1:36">
      <c r="A1961" s="1075" t="s">
        <v>746</v>
      </c>
      <c r="B1961" s="1017" t="s">
        <v>99</v>
      </c>
      <c r="C1961" s="1076" t="s">
        <v>1563</v>
      </c>
      <c r="D1961" s="1010"/>
      <c r="E1961" s="987">
        <v>218885</v>
      </c>
      <c r="F1961" s="988">
        <v>9</v>
      </c>
      <c r="G1961" s="1152"/>
      <c r="H1961" s="1153"/>
      <c r="I1961" s="1152">
        <v>195959</v>
      </c>
      <c r="J1961" s="1153">
        <v>198787</v>
      </c>
      <c r="K1961" s="1152"/>
      <c r="L1961" s="1153"/>
      <c r="M1961" s="1152"/>
      <c r="N1961" s="1152"/>
      <c r="O1961" s="732">
        <f t="shared" si="245"/>
        <v>0</v>
      </c>
      <c r="P1961" s="1159"/>
      <c r="Q1961" s="1153"/>
      <c r="R1961" s="733">
        <f t="shared" si="248"/>
        <v>0</v>
      </c>
      <c r="S1961" s="732">
        <f t="shared" si="249"/>
        <v>195959</v>
      </c>
      <c r="T1961" s="733">
        <f t="shared" si="250"/>
        <v>198787</v>
      </c>
      <c r="U1961" s="1152"/>
      <c r="V1961" s="1153"/>
      <c r="W1961" s="1152"/>
      <c r="X1961" s="1152"/>
      <c r="Y1961" s="732">
        <f t="shared" si="246"/>
        <v>0</v>
      </c>
      <c r="Z1961" s="1153"/>
      <c r="AA1961" s="1153"/>
      <c r="AB1961" s="733">
        <f t="shared" si="247"/>
        <v>0</v>
      </c>
      <c r="AC1961" s="1152"/>
      <c r="AD1961" s="1153"/>
      <c r="AE1961" s="1152"/>
      <c r="AF1961" s="1152"/>
      <c r="AG1961" s="1153"/>
      <c r="AH1961" s="1153"/>
      <c r="AI1961" s="732">
        <f t="shared" si="251"/>
        <v>195959</v>
      </c>
      <c r="AJ1961" s="733">
        <f t="shared" si="252"/>
        <v>198787</v>
      </c>
    </row>
    <row r="1962" spans="1:36">
      <c r="A1962" s="1075" t="s">
        <v>746</v>
      </c>
      <c r="B1962" s="1017" t="s">
        <v>99</v>
      </c>
      <c r="C1962" s="1076" t="s">
        <v>1564</v>
      </c>
      <c r="D1962" s="1010"/>
      <c r="E1962" s="987">
        <v>218885</v>
      </c>
      <c r="F1962" s="988">
        <v>9</v>
      </c>
      <c r="G1962" s="1152"/>
      <c r="H1962" s="1153"/>
      <c r="I1962" s="1152">
        <v>23430</v>
      </c>
      <c r="J1962" s="1153">
        <v>24809</v>
      </c>
      <c r="K1962" s="1152"/>
      <c r="L1962" s="1153"/>
      <c r="M1962" s="1152"/>
      <c r="N1962" s="1152"/>
      <c r="O1962" s="732">
        <f t="shared" si="245"/>
        <v>0</v>
      </c>
      <c r="P1962" s="1159"/>
      <c r="Q1962" s="1153"/>
      <c r="R1962" s="733">
        <f t="shared" si="248"/>
        <v>0</v>
      </c>
      <c r="S1962" s="732">
        <f t="shared" si="249"/>
        <v>23430</v>
      </c>
      <c r="T1962" s="733">
        <f t="shared" si="250"/>
        <v>24809</v>
      </c>
      <c r="U1962" s="1152"/>
      <c r="V1962" s="1153"/>
      <c r="W1962" s="1152"/>
      <c r="X1962" s="1152"/>
      <c r="Y1962" s="732">
        <f t="shared" si="246"/>
        <v>0</v>
      </c>
      <c r="Z1962" s="1153"/>
      <c r="AA1962" s="1153"/>
      <c r="AB1962" s="733">
        <f t="shared" si="247"/>
        <v>0</v>
      </c>
      <c r="AC1962" s="1152"/>
      <c r="AD1962" s="1153"/>
      <c r="AE1962" s="1152"/>
      <c r="AF1962" s="1152"/>
      <c r="AG1962" s="1153"/>
      <c r="AH1962" s="1153"/>
      <c r="AI1962" s="732">
        <f t="shared" si="251"/>
        <v>23430</v>
      </c>
      <c r="AJ1962" s="733">
        <f t="shared" si="252"/>
        <v>24809</v>
      </c>
    </row>
    <row r="1963" spans="1:36">
      <c r="A1963" s="1075" t="s">
        <v>746</v>
      </c>
      <c r="B1963" s="1017" t="s">
        <v>99</v>
      </c>
      <c r="C1963" s="1076" t="s">
        <v>1566</v>
      </c>
      <c r="D1963" s="1010"/>
      <c r="E1963" s="987">
        <v>218885</v>
      </c>
      <c r="F1963" s="988">
        <v>9</v>
      </c>
      <c r="G1963" s="1152"/>
      <c r="H1963" s="1153"/>
      <c r="I1963" s="1152">
        <f>216846+881656</f>
        <v>1098502</v>
      </c>
      <c r="J1963" s="1153">
        <f>220354+919181</f>
        <v>1139535</v>
      </c>
      <c r="K1963" s="1152"/>
      <c r="L1963" s="1153"/>
      <c r="M1963" s="1152"/>
      <c r="N1963" s="1152"/>
      <c r="O1963" s="732">
        <f t="shared" si="245"/>
        <v>0</v>
      </c>
      <c r="P1963" s="1159"/>
      <c r="Q1963" s="1153"/>
      <c r="R1963" s="733">
        <f t="shared" si="248"/>
        <v>0</v>
      </c>
      <c r="S1963" s="732">
        <f t="shared" si="249"/>
        <v>1098502</v>
      </c>
      <c r="T1963" s="733">
        <f t="shared" si="250"/>
        <v>1139535</v>
      </c>
      <c r="U1963" s="1152"/>
      <c r="V1963" s="1153"/>
      <c r="W1963" s="1152"/>
      <c r="X1963" s="1152"/>
      <c r="Y1963" s="732">
        <f t="shared" si="246"/>
        <v>0</v>
      </c>
      <c r="Z1963" s="1153"/>
      <c r="AA1963" s="1153"/>
      <c r="AB1963" s="733">
        <f t="shared" si="247"/>
        <v>0</v>
      </c>
      <c r="AC1963" s="1152"/>
      <c r="AD1963" s="1153"/>
      <c r="AE1963" s="1152"/>
      <c r="AF1963" s="1152"/>
      <c r="AG1963" s="1153"/>
      <c r="AH1963" s="1153"/>
      <c r="AI1963" s="732">
        <f t="shared" si="251"/>
        <v>1098502</v>
      </c>
      <c r="AJ1963" s="733">
        <f t="shared" si="252"/>
        <v>1139535</v>
      </c>
    </row>
    <row r="1964" spans="1:36">
      <c r="A1964" s="1075" t="s">
        <v>746</v>
      </c>
      <c r="B1964" s="1017" t="s">
        <v>99</v>
      </c>
      <c r="C1964" s="1076" t="s">
        <v>1567</v>
      </c>
      <c r="D1964" s="1010"/>
      <c r="E1964" s="987">
        <v>218885</v>
      </c>
      <c r="F1964" s="988">
        <v>9</v>
      </c>
      <c r="G1964" s="1152"/>
      <c r="H1964" s="1153"/>
      <c r="I1964" s="1152"/>
      <c r="J1964" s="1153"/>
      <c r="K1964" s="1152"/>
      <c r="L1964" s="1153"/>
      <c r="M1964" s="1152"/>
      <c r="N1964" s="1152"/>
      <c r="O1964" s="732">
        <f t="shared" si="245"/>
        <v>0</v>
      </c>
      <c r="P1964" s="1159"/>
      <c r="Q1964" s="1153"/>
      <c r="R1964" s="733">
        <f t="shared" si="248"/>
        <v>0</v>
      </c>
      <c r="S1964" s="732">
        <f t="shared" si="249"/>
        <v>0</v>
      </c>
      <c r="T1964" s="733">
        <f t="shared" si="250"/>
        <v>0</v>
      </c>
      <c r="U1964" s="1152"/>
      <c r="V1964" s="1153"/>
      <c r="W1964" s="1152"/>
      <c r="X1964" s="1152"/>
      <c r="Y1964" s="732">
        <f t="shared" si="246"/>
        <v>0</v>
      </c>
      <c r="Z1964" s="1153"/>
      <c r="AA1964" s="1153"/>
      <c r="AB1964" s="733">
        <f t="shared" si="247"/>
        <v>0</v>
      </c>
      <c r="AC1964" s="1152"/>
      <c r="AD1964" s="1153"/>
      <c r="AE1964" s="1152"/>
      <c r="AF1964" s="1152"/>
      <c r="AG1964" s="1153"/>
      <c r="AH1964" s="1153"/>
      <c r="AI1964" s="732">
        <f t="shared" si="251"/>
        <v>0</v>
      </c>
      <c r="AJ1964" s="733">
        <f t="shared" si="252"/>
        <v>0</v>
      </c>
    </row>
    <row r="1965" spans="1:36">
      <c r="A1965" s="1075" t="s">
        <v>746</v>
      </c>
      <c r="B1965" s="1017" t="s">
        <v>99</v>
      </c>
      <c r="C1965" s="1076" t="s">
        <v>1565</v>
      </c>
      <c r="D1965" s="1010"/>
      <c r="E1965" s="987">
        <v>218885</v>
      </c>
      <c r="F1965" s="988">
        <v>9</v>
      </c>
      <c r="G1965" s="1152"/>
      <c r="H1965" s="1153"/>
      <c r="I1965" s="1152">
        <v>37784</v>
      </c>
      <c r="J1965" s="1153">
        <v>37784</v>
      </c>
      <c r="K1965" s="1152"/>
      <c r="L1965" s="1153"/>
      <c r="M1965" s="1152"/>
      <c r="N1965" s="1152"/>
      <c r="O1965" s="732">
        <f t="shared" si="245"/>
        <v>0</v>
      </c>
      <c r="P1965" s="1159"/>
      <c r="Q1965" s="1153"/>
      <c r="R1965" s="733">
        <f t="shared" si="248"/>
        <v>0</v>
      </c>
      <c r="S1965" s="732">
        <f t="shared" si="249"/>
        <v>37784</v>
      </c>
      <c r="T1965" s="733">
        <f t="shared" si="250"/>
        <v>37784</v>
      </c>
      <c r="U1965" s="1152"/>
      <c r="V1965" s="1153"/>
      <c r="W1965" s="1152"/>
      <c r="X1965" s="1152"/>
      <c r="Y1965" s="732">
        <f t="shared" si="246"/>
        <v>0</v>
      </c>
      <c r="Z1965" s="1153"/>
      <c r="AA1965" s="1153"/>
      <c r="AB1965" s="733">
        <f t="shared" si="247"/>
        <v>0</v>
      </c>
      <c r="AC1965" s="1152"/>
      <c r="AD1965" s="1153"/>
      <c r="AE1965" s="1152"/>
      <c r="AF1965" s="1152"/>
      <c r="AG1965" s="1153"/>
      <c r="AH1965" s="1153"/>
      <c r="AI1965" s="732">
        <f t="shared" si="251"/>
        <v>37784</v>
      </c>
      <c r="AJ1965" s="733">
        <f t="shared" si="252"/>
        <v>37784</v>
      </c>
    </row>
    <row r="1966" spans="1:36">
      <c r="A1966" s="1075" t="s">
        <v>746</v>
      </c>
      <c r="B1966" s="1017" t="s">
        <v>99</v>
      </c>
      <c r="C1966" s="1076" t="s">
        <v>1539</v>
      </c>
      <c r="D1966" s="1010"/>
      <c r="E1966" s="987">
        <v>218885</v>
      </c>
      <c r="F1966" s="988">
        <v>9</v>
      </c>
      <c r="G1966" s="1152"/>
      <c r="H1966" s="1153"/>
      <c r="I1966" s="1152">
        <v>293879</v>
      </c>
      <c r="J1966" s="1153">
        <v>301071</v>
      </c>
      <c r="K1966" s="1152"/>
      <c r="L1966" s="1153"/>
      <c r="M1966" s="1152"/>
      <c r="N1966" s="1152"/>
      <c r="O1966" s="732">
        <f t="shared" si="245"/>
        <v>0</v>
      </c>
      <c r="P1966" s="1159"/>
      <c r="Q1966" s="1153"/>
      <c r="R1966" s="733">
        <f t="shared" si="248"/>
        <v>0</v>
      </c>
      <c r="S1966" s="732">
        <f t="shared" si="249"/>
        <v>293879</v>
      </c>
      <c r="T1966" s="733">
        <f t="shared" si="250"/>
        <v>301071</v>
      </c>
      <c r="U1966" s="1152"/>
      <c r="V1966" s="1153"/>
      <c r="W1966" s="1152"/>
      <c r="X1966" s="1152"/>
      <c r="Y1966" s="732">
        <f t="shared" si="246"/>
        <v>0</v>
      </c>
      <c r="Z1966" s="1153"/>
      <c r="AA1966" s="1153"/>
      <c r="AB1966" s="733">
        <f t="shared" si="247"/>
        <v>0</v>
      </c>
      <c r="AC1966" s="1152"/>
      <c r="AD1966" s="1153"/>
      <c r="AE1966" s="1152"/>
      <c r="AF1966" s="1152"/>
      <c r="AG1966" s="1153"/>
      <c r="AH1966" s="1153"/>
      <c r="AI1966" s="732">
        <f t="shared" si="251"/>
        <v>293879</v>
      </c>
      <c r="AJ1966" s="733">
        <f t="shared" si="252"/>
        <v>301071</v>
      </c>
    </row>
    <row r="1967" spans="1:36">
      <c r="A1967" s="1075" t="s">
        <v>746</v>
      </c>
      <c r="B1967" s="1017" t="s">
        <v>99</v>
      </c>
      <c r="C1967" s="1076" t="s">
        <v>1570</v>
      </c>
      <c r="D1967" s="1016" t="s">
        <v>1571</v>
      </c>
      <c r="E1967" s="987">
        <v>218885</v>
      </c>
      <c r="F1967" s="988">
        <v>9</v>
      </c>
      <c r="G1967" s="1152"/>
      <c r="H1967" s="1153"/>
      <c r="I1967" s="1152"/>
      <c r="J1967" s="1153"/>
      <c r="K1967" s="1152"/>
      <c r="L1967" s="1153"/>
      <c r="M1967" s="1152"/>
      <c r="N1967" s="1152"/>
      <c r="O1967" s="732">
        <f t="shared" si="245"/>
        <v>0</v>
      </c>
      <c r="P1967" s="1159"/>
      <c r="Q1967" s="1153"/>
      <c r="R1967" s="733">
        <f t="shared" si="248"/>
        <v>0</v>
      </c>
      <c r="S1967" s="732">
        <f t="shared" si="249"/>
        <v>0</v>
      </c>
      <c r="T1967" s="733">
        <f t="shared" si="250"/>
        <v>0</v>
      </c>
      <c r="U1967" s="1152"/>
      <c r="V1967" s="1153"/>
      <c r="W1967" s="1152"/>
      <c r="X1967" s="1152"/>
      <c r="Y1967" s="732">
        <f t="shared" si="246"/>
        <v>0</v>
      </c>
      <c r="Z1967" s="1153"/>
      <c r="AA1967" s="1153"/>
      <c r="AB1967" s="733">
        <f t="shared" si="247"/>
        <v>0</v>
      </c>
      <c r="AC1967" s="1152"/>
      <c r="AD1967" s="1153"/>
      <c r="AE1967" s="1152"/>
      <c r="AF1967" s="1152"/>
      <c r="AG1967" s="1153"/>
      <c r="AH1967" s="1153"/>
      <c r="AI1967" s="732">
        <f t="shared" si="251"/>
        <v>0</v>
      </c>
      <c r="AJ1967" s="733">
        <f t="shared" si="252"/>
        <v>0</v>
      </c>
    </row>
    <row r="1968" spans="1:36">
      <c r="A1968" s="1075" t="s">
        <v>746</v>
      </c>
      <c r="B1968" s="1017" t="s">
        <v>99</v>
      </c>
      <c r="C1968" s="1076" t="s">
        <v>1585</v>
      </c>
      <c r="D1968" s="1016" t="s">
        <v>1571</v>
      </c>
      <c r="E1968" s="987">
        <v>218885</v>
      </c>
      <c r="F1968" s="988">
        <v>9</v>
      </c>
      <c r="G1968" s="1152"/>
      <c r="H1968" s="1153"/>
      <c r="I1968" s="1152"/>
      <c r="J1968" s="1153"/>
      <c r="K1968" s="1152"/>
      <c r="L1968" s="1153"/>
      <c r="M1968" s="1152"/>
      <c r="N1968" s="1152"/>
      <c r="O1968" s="732">
        <f t="shared" si="245"/>
        <v>0</v>
      </c>
      <c r="P1968" s="1159"/>
      <c r="Q1968" s="1153"/>
      <c r="R1968" s="733">
        <f t="shared" si="248"/>
        <v>0</v>
      </c>
      <c r="S1968" s="732">
        <f t="shared" si="249"/>
        <v>0</v>
      </c>
      <c r="T1968" s="733">
        <f t="shared" si="250"/>
        <v>0</v>
      </c>
      <c r="U1968" s="1152"/>
      <c r="V1968" s="1153"/>
      <c r="W1968" s="1152"/>
      <c r="X1968" s="1152"/>
      <c r="Y1968" s="732">
        <f t="shared" si="246"/>
        <v>0</v>
      </c>
      <c r="Z1968" s="1153"/>
      <c r="AA1968" s="1153"/>
      <c r="AB1968" s="733">
        <f t="shared" si="247"/>
        <v>0</v>
      </c>
      <c r="AC1968" s="1152"/>
      <c r="AD1968" s="1153"/>
      <c r="AE1968" s="1152"/>
      <c r="AF1968" s="1152"/>
      <c r="AG1968" s="1153"/>
      <c r="AH1968" s="1153"/>
      <c r="AI1968" s="732">
        <f t="shared" si="251"/>
        <v>0</v>
      </c>
      <c r="AJ1968" s="733">
        <f t="shared" si="252"/>
        <v>0</v>
      </c>
    </row>
    <row r="1969" spans="1:36">
      <c r="A1969" s="1075" t="s">
        <v>746</v>
      </c>
      <c r="B1969" s="1017" t="s">
        <v>62</v>
      </c>
      <c r="C1969" s="1080" t="s">
        <v>1586</v>
      </c>
      <c r="D1969" s="1010"/>
      <c r="E1969" s="987">
        <v>218991</v>
      </c>
      <c r="F1969" s="988">
        <v>9</v>
      </c>
      <c r="G1969" s="1152">
        <v>7922873</v>
      </c>
      <c r="H1969" s="1153">
        <v>8361032</v>
      </c>
      <c r="I1969" s="1152"/>
      <c r="J1969" s="1153"/>
      <c r="K1969" s="1152">
        <v>4468023</v>
      </c>
      <c r="L1969" s="1153">
        <v>4645450</v>
      </c>
      <c r="M1969" s="1152">
        <v>22499278</v>
      </c>
      <c r="N1969" s="1152"/>
      <c r="O1969" s="732">
        <f t="shared" si="245"/>
        <v>22499278</v>
      </c>
      <c r="P1969" s="1159">
        <v>20272861</v>
      </c>
      <c r="Q1969" s="1153"/>
      <c r="R1969" s="733">
        <f t="shared" si="248"/>
        <v>20272861</v>
      </c>
      <c r="S1969" s="732">
        <f t="shared" si="249"/>
        <v>34890174</v>
      </c>
      <c r="T1969" s="733">
        <f t="shared" si="250"/>
        <v>33279343</v>
      </c>
      <c r="U1969" s="1152"/>
      <c r="V1969" s="1153"/>
      <c r="W1969" s="1152"/>
      <c r="X1969" s="1152"/>
      <c r="Y1969" s="732">
        <f t="shared" si="246"/>
        <v>0</v>
      </c>
      <c r="Z1969" s="1153"/>
      <c r="AA1969" s="1153"/>
      <c r="AB1969" s="733">
        <f t="shared" si="247"/>
        <v>0</v>
      </c>
      <c r="AC1969" s="1152"/>
      <c r="AD1969" s="1153"/>
      <c r="AE1969" s="1152"/>
      <c r="AF1969" s="1152"/>
      <c r="AG1969" s="1153"/>
      <c r="AH1969" s="1153"/>
      <c r="AI1969" s="732">
        <f t="shared" si="251"/>
        <v>34890174</v>
      </c>
      <c r="AJ1969" s="733">
        <f t="shared" si="252"/>
        <v>33279343</v>
      </c>
    </row>
    <row r="1970" spans="1:36">
      <c r="A1970" s="1075" t="s">
        <v>746</v>
      </c>
      <c r="B1970" s="1017" t="s">
        <v>62</v>
      </c>
      <c r="C1970" s="1087" t="s">
        <v>1561</v>
      </c>
      <c r="D1970" s="1010"/>
      <c r="E1970" s="987">
        <v>218991</v>
      </c>
      <c r="F1970" s="988">
        <v>9</v>
      </c>
      <c r="G1970" s="1152">
        <v>194256</v>
      </c>
      <c r="H1970" s="1153"/>
      <c r="I1970" s="1152"/>
      <c r="J1970" s="1153"/>
      <c r="K1970" s="1152"/>
      <c r="L1970" s="1153"/>
      <c r="M1970" s="1152"/>
      <c r="N1970" s="1152"/>
      <c r="O1970" s="732">
        <f t="shared" si="245"/>
        <v>0</v>
      </c>
      <c r="P1970" s="1159"/>
      <c r="Q1970" s="1153"/>
      <c r="R1970" s="733">
        <f t="shared" si="248"/>
        <v>0</v>
      </c>
      <c r="S1970" s="732">
        <f t="shared" si="249"/>
        <v>194256</v>
      </c>
      <c r="T1970" s="733">
        <f t="shared" si="250"/>
        <v>0</v>
      </c>
      <c r="U1970" s="1152"/>
      <c r="V1970" s="1153"/>
      <c r="W1970" s="1152"/>
      <c r="X1970" s="1152"/>
      <c r="Y1970" s="732">
        <f t="shared" si="246"/>
        <v>0</v>
      </c>
      <c r="Z1970" s="1153"/>
      <c r="AA1970" s="1153"/>
      <c r="AB1970" s="733">
        <f t="shared" si="247"/>
        <v>0</v>
      </c>
      <c r="AC1970" s="1152"/>
      <c r="AD1970" s="1153"/>
      <c r="AE1970" s="1152"/>
      <c r="AF1970" s="1152"/>
      <c r="AG1970" s="1153"/>
      <c r="AH1970" s="1153"/>
      <c r="AI1970" s="732">
        <f t="shared" si="251"/>
        <v>194256</v>
      </c>
      <c r="AJ1970" s="733">
        <f t="shared" si="252"/>
        <v>0</v>
      </c>
    </row>
    <row r="1971" spans="1:36">
      <c r="A1971" s="1075" t="s">
        <v>746</v>
      </c>
      <c r="B1971" s="1017" t="s">
        <v>62</v>
      </c>
      <c r="C1971" s="1087" t="s">
        <v>1562</v>
      </c>
      <c r="D1971" s="1010"/>
      <c r="E1971" s="987">
        <v>218991</v>
      </c>
      <c r="F1971" s="988">
        <v>9</v>
      </c>
      <c r="G1971" s="1152">
        <v>122444</v>
      </c>
      <c r="H1971" s="1153"/>
      <c r="I1971" s="1152"/>
      <c r="J1971" s="1153"/>
      <c r="K1971" s="1152"/>
      <c r="L1971" s="1153"/>
      <c r="M1971" s="1152"/>
      <c r="N1971" s="1152"/>
      <c r="O1971" s="732">
        <f t="shared" si="245"/>
        <v>0</v>
      </c>
      <c r="P1971" s="1159"/>
      <c r="Q1971" s="1153"/>
      <c r="R1971" s="733">
        <f t="shared" si="248"/>
        <v>0</v>
      </c>
      <c r="S1971" s="732">
        <f t="shared" si="249"/>
        <v>122444</v>
      </c>
      <c r="T1971" s="733">
        <f t="shared" si="250"/>
        <v>0</v>
      </c>
      <c r="U1971" s="1152"/>
      <c r="V1971" s="1153"/>
      <c r="W1971" s="1152"/>
      <c r="X1971" s="1152"/>
      <c r="Y1971" s="732">
        <f t="shared" si="246"/>
        <v>0</v>
      </c>
      <c r="Z1971" s="1153"/>
      <c r="AA1971" s="1153"/>
      <c r="AB1971" s="733">
        <f t="shared" si="247"/>
        <v>0</v>
      </c>
      <c r="AC1971" s="1152"/>
      <c r="AD1971" s="1153"/>
      <c r="AE1971" s="1152"/>
      <c r="AF1971" s="1152"/>
      <c r="AG1971" s="1153"/>
      <c r="AH1971" s="1153"/>
      <c r="AI1971" s="732">
        <f t="shared" si="251"/>
        <v>122444</v>
      </c>
      <c r="AJ1971" s="733">
        <f t="shared" si="252"/>
        <v>0</v>
      </c>
    </row>
    <row r="1972" spans="1:36">
      <c r="A1972" s="1075" t="s">
        <v>746</v>
      </c>
      <c r="B1972" s="1017" t="s">
        <v>62</v>
      </c>
      <c r="C1972" s="1076" t="s">
        <v>1538</v>
      </c>
      <c r="D1972" s="1010"/>
      <c r="E1972" s="987">
        <v>218991</v>
      </c>
      <c r="F1972" s="988">
        <v>9</v>
      </c>
      <c r="G1972" s="1152"/>
      <c r="H1972" s="1153"/>
      <c r="I1972" s="1152"/>
      <c r="J1972" s="1153"/>
      <c r="K1972" s="1152"/>
      <c r="L1972" s="1153"/>
      <c r="M1972" s="1152"/>
      <c r="N1972" s="1152"/>
      <c r="O1972" s="732">
        <f t="shared" si="245"/>
        <v>0</v>
      </c>
      <c r="P1972" s="1159"/>
      <c r="Q1972" s="1153"/>
      <c r="R1972" s="733">
        <f t="shared" si="248"/>
        <v>0</v>
      </c>
      <c r="S1972" s="732">
        <f t="shared" si="249"/>
        <v>0</v>
      </c>
      <c r="T1972" s="733">
        <f t="shared" si="250"/>
        <v>0</v>
      </c>
      <c r="U1972" s="1152"/>
      <c r="V1972" s="1153"/>
      <c r="W1972" s="1152"/>
      <c r="X1972" s="1152"/>
      <c r="Y1972" s="732">
        <f t="shared" si="246"/>
        <v>0</v>
      </c>
      <c r="Z1972" s="1153"/>
      <c r="AA1972" s="1153"/>
      <c r="AB1972" s="733">
        <f t="shared" si="247"/>
        <v>0</v>
      </c>
      <c r="AC1972" s="1152"/>
      <c r="AD1972" s="1153"/>
      <c r="AE1972" s="1152"/>
      <c r="AF1972" s="1152"/>
      <c r="AG1972" s="1153"/>
      <c r="AH1972" s="1153"/>
      <c r="AI1972" s="732">
        <f t="shared" si="251"/>
        <v>0</v>
      </c>
      <c r="AJ1972" s="733">
        <f t="shared" si="252"/>
        <v>0</v>
      </c>
    </row>
    <row r="1973" spans="1:36">
      <c r="A1973" s="1075" t="s">
        <v>746</v>
      </c>
      <c r="B1973" s="1017" t="s">
        <v>99</v>
      </c>
      <c r="C1973" s="1077" t="s">
        <v>1070</v>
      </c>
      <c r="D1973" s="1010"/>
      <c r="E1973" s="987">
        <v>218991</v>
      </c>
      <c r="F1973" s="988">
        <v>9</v>
      </c>
      <c r="G1973" s="1152"/>
      <c r="H1973" s="1153"/>
      <c r="I1973" s="1152"/>
      <c r="J1973" s="1153"/>
      <c r="K1973" s="1152"/>
      <c r="L1973" s="1153"/>
      <c r="M1973" s="1152"/>
      <c r="N1973" s="1152"/>
      <c r="O1973" s="732">
        <f t="shared" si="245"/>
        <v>0</v>
      </c>
      <c r="P1973" s="1159"/>
      <c r="Q1973" s="1153"/>
      <c r="R1973" s="733">
        <f t="shared" si="248"/>
        <v>0</v>
      </c>
      <c r="S1973" s="732">
        <f t="shared" si="249"/>
        <v>0</v>
      </c>
      <c r="T1973" s="733">
        <f t="shared" si="250"/>
        <v>0</v>
      </c>
      <c r="U1973" s="1152"/>
      <c r="V1973" s="1153"/>
      <c r="W1973" s="1152"/>
      <c r="X1973" s="1152"/>
      <c r="Y1973" s="732">
        <f t="shared" si="246"/>
        <v>0</v>
      </c>
      <c r="Z1973" s="1153"/>
      <c r="AA1973" s="1153"/>
      <c r="AB1973" s="733">
        <f t="shared" si="247"/>
        <v>0</v>
      </c>
      <c r="AC1973" s="1152"/>
      <c r="AD1973" s="1153"/>
      <c r="AE1973" s="1152"/>
      <c r="AF1973" s="1152"/>
      <c r="AG1973" s="1153"/>
      <c r="AH1973" s="1153"/>
      <c r="AI1973" s="732">
        <f t="shared" si="251"/>
        <v>0</v>
      </c>
      <c r="AJ1973" s="733">
        <f t="shared" si="252"/>
        <v>0</v>
      </c>
    </row>
    <row r="1974" spans="1:36">
      <c r="A1974" s="1075" t="s">
        <v>746</v>
      </c>
      <c r="B1974" s="1017" t="s">
        <v>99</v>
      </c>
      <c r="C1974" s="1076" t="s">
        <v>1563</v>
      </c>
      <c r="D1974" s="1010"/>
      <c r="E1974" s="987">
        <v>218991</v>
      </c>
      <c r="F1974" s="988">
        <v>9</v>
      </c>
      <c r="G1974" s="1152"/>
      <c r="H1974" s="1153"/>
      <c r="I1974" s="1152">
        <v>137799</v>
      </c>
      <c r="J1974" s="1153">
        <v>147040</v>
      </c>
      <c r="K1974" s="1152"/>
      <c r="L1974" s="1153"/>
      <c r="M1974" s="1152"/>
      <c r="N1974" s="1152"/>
      <c r="O1974" s="732">
        <f t="shared" si="245"/>
        <v>0</v>
      </c>
      <c r="P1974" s="1159"/>
      <c r="Q1974" s="1153"/>
      <c r="R1974" s="733">
        <f t="shared" si="248"/>
        <v>0</v>
      </c>
      <c r="S1974" s="732">
        <f t="shared" si="249"/>
        <v>137799</v>
      </c>
      <c r="T1974" s="733">
        <f t="shared" si="250"/>
        <v>147040</v>
      </c>
      <c r="U1974" s="1152"/>
      <c r="V1974" s="1153"/>
      <c r="W1974" s="1152"/>
      <c r="X1974" s="1152"/>
      <c r="Y1974" s="732">
        <f t="shared" si="246"/>
        <v>0</v>
      </c>
      <c r="Z1974" s="1153"/>
      <c r="AA1974" s="1153"/>
      <c r="AB1974" s="733">
        <f t="shared" si="247"/>
        <v>0</v>
      </c>
      <c r="AC1974" s="1152"/>
      <c r="AD1974" s="1153"/>
      <c r="AE1974" s="1152"/>
      <c r="AF1974" s="1152"/>
      <c r="AG1974" s="1153"/>
      <c r="AH1974" s="1153"/>
      <c r="AI1974" s="732">
        <f t="shared" si="251"/>
        <v>137799</v>
      </c>
      <c r="AJ1974" s="733">
        <f t="shared" si="252"/>
        <v>147040</v>
      </c>
    </row>
    <row r="1975" spans="1:36">
      <c r="A1975" s="1075" t="s">
        <v>746</v>
      </c>
      <c r="B1975" s="1017" t="s">
        <v>99</v>
      </c>
      <c r="C1975" s="1076" t="s">
        <v>1564</v>
      </c>
      <c r="D1975" s="1010"/>
      <c r="E1975" s="987">
        <v>218991</v>
      </c>
      <c r="F1975" s="988">
        <v>9</v>
      </c>
      <c r="G1975" s="1152"/>
      <c r="H1975" s="1153"/>
      <c r="I1975" s="1152">
        <v>12404</v>
      </c>
      <c r="J1975" s="1153">
        <v>13783</v>
      </c>
      <c r="K1975" s="1152"/>
      <c r="L1975" s="1153"/>
      <c r="M1975" s="1152"/>
      <c r="N1975" s="1152"/>
      <c r="O1975" s="732">
        <f t="shared" si="245"/>
        <v>0</v>
      </c>
      <c r="P1975" s="1159"/>
      <c r="Q1975" s="1153"/>
      <c r="R1975" s="733">
        <f t="shared" si="248"/>
        <v>0</v>
      </c>
      <c r="S1975" s="732">
        <f t="shared" si="249"/>
        <v>12404</v>
      </c>
      <c r="T1975" s="733">
        <f t="shared" si="250"/>
        <v>13783</v>
      </c>
      <c r="U1975" s="1152"/>
      <c r="V1975" s="1153"/>
      <c r="W1975" s="1152"/>
      <c r="X1975" s="1152"/>
      <c r="Y1975" s="732">
        <f t="shared" si="246"/>
        <v>0</v>
      </c>
      <c r="Z1975" s="1153"/>
      <c r="AA1975" s="1153"/>
      <c r="AB1975" s="733">
        <f t="shared" si="247"/>
        <v>0</v>
      </c>
      <c r="AC1975" s="1152"/>
      <c r="AD1975" s="1153"/>
      <c r="AE1975" s="1152"/>
      <c r="AF1975" s="1152"/>
      <c r="AG1975" s="1153"/>
      <c r="AH1975" s="1153"/>
      <c r="AI1975" s="732">
        <f t="shared" si="251"/>
        <v>12404</v>
      </c>
      <c r="AJ1975" s="733">
        <f t="shared" si="252"/>
        <v>13783</v>
      </c>
    </row>
    <row r="1976" spans="1:36">
      <c r="A1976" s="1075" t="s">
        <v>746</v>
      </c>
      <c r="B1976" s="1017" t="s">
        <v>99</v>
      </c>
      <c r="C1976" s="1076" t="s">
        <v>1566</v>
      </c>
      <c r="D1976" s="1010"/>
      <c r="E1976" s="987">
        <v>218991</v>
      </c>
      <c r="F1976" s="988">
        <v>9</v>
      </c>
      <c r="G1976" s="1152"/>
      <c r="H1976" s="1153"/>
      <c r="I1976" s="1152">
        <f>157339+651546</f>
        <v>808885</v>
      </c>
      <c r="J1976" s="1153">
        <f>158569+657700</f>
        <v>816269</v>
      </c>
      <c r="K1976" s="1152"/>
      <c r="L1976" s="1153"/>
      <c r="M1976" s="1152"/>
      <c r="N1976" s="1152"/>
      <c r="O1976" s="732">
        <f t="shared" si="245"/>
        <v>0</v>
      </c>
      <c r="P1976" s="1159"/>
      <c r="Q1976" s="1153"/>
      <c r="R1976" s="733">
        <f t="shared" si="248"/>
        <v>0</v>
      </c>
      <c r="S1976" s="732">
        <f t="shared" si="249"/>
        <v>808885</v>
      </c>
      <c r="T1976" s="733">
        <f t="shared" si="250"/>
        <v>816269</v>
      </c>
      <c r="U1976" s="1152"/>
      <c r="V1976" s="1153"/>
      <c r="W1976" s="1152"/>
      <c r="X1976" s="1152"/>
      <c r="Y1976" s="732">
        <f t="shared" si="246"/>
        <v>0</v>
      </c>
      <c r="Z1976" s="1153"/>
      <c r="AA1976" s="1153"/>
      <c r="AB1976" s="733">
        <f t="shared" si="247"/>
        <v>0</v>
      </c>
      <c r="AC1976" s="1152"/>
      <c r="AD1976" s="1153"/>
      <c r="AE1976" s="1152"/>
      <c r="AF1976" s="1152"/>
      <c r="AG1976" s="1153"/>
      <c r="AH1976" s="1153"/>
      <c r="AI1976" s="732">
        <f t="shared" si="251"/>
        <v>808885</v>
      </c>
      <c r="AJ1976" s="733">
        <f t="shared" si="252"/>
        <v>816269</v>
      </c>
    </row>
    <row r="1977" spans="1:36">
      <c r="A1977" s="1075" t="s">
        <v>746</v>
      </c>
      <c r="B1977" s="1017" t="s">
        <v>99</v>
      </c>
      <c r="C1977" s="1076" t="s">
        <v>1565</v>
      </c>
      <c r="D1977" s="1010"/>
      <c r="E1977" s="987">
        <v>218991</v>
      </c>
      <c r="F1977" s="988">
        <v>9</v>
      </c>
      <c r="G1977" s="1152"/>
      <c r="H1977" s="1153"/>
      <c r="I1977" s="1152">
        <v>37784</v>
      </c>
      <c r="J1977" s="1153">
        <v>37784</v>
      </c>
      <c r="K1977" s="1152"/>
      <c r="L1977" s="1153"/>
      <c r="M1977" s="1152"/>
      <c r="N1977" s="1152"/>
      <c r="O1977" s="732">
        <f t="shared" si="245"/>
        <v>0</v>
      </c>
      <c r="P1977" s="1159"/>
      <c r="Q1977" s="1153"/>
      <c r="R1977" s="733">
        <f t="shared" si="248"/>
        <v>0</v>
      </c>
      <c r="S1977" s="732">
        <f t="shared" si="249"/>
        <v>37784</v>
      </c>
      <c r="T1977" s="733">
        <f t="shared" si="250"/>
        <v>37784</v>
      </c>
      <c r="U1977" s="1152"/>
      <c r="V1977" s="1153"/>
      <c r="W1977" s="1152"/>
      <c r="X1977" s="1152"/>
      <c r="Y1977" s="732">
        <f t="shared" si="246"/>
        <v>0</v>
      </c>
      <c r="Z1977" s="1153"/>
      <c r="AA1977" s="1153"/>
      <c r="AB1977" s="733">
        <f t="shared" si="247"/>
        <v>0</v>
      </c>
      <c r="AC1977" s="1152"/>
      <c r="AD1977" s="1153"/>
      <c r="AE1977" s="1152"/>
      <c r="AF1977" s="1152"/>
      <c r="AG1977" s="1153"/>
      <c r="AH1977" s="1153"/>
      <c r="AI1977" s="732">
        <f t="shared" si="251"/>
        <v>37784</v>
      </c>
      <c r="AJ1977" s="733">
        <f t="shared" si="252"/>
        <v>37784</v>
      </c>
    </row>
    <row r="1978" spans="1:36">
      <c r="A1978" s="1075" t="s">
        <v>746</v>
      </c>
      <c r="B1978" s="1017" t="s">
        <v>99</v>
      </c>
      <c r="C1978" s="1076" t="s">
        <v>1539</v>
      </c>
      <c r="D1978" s="1010"/>
      <c r="E1978" s="987">
        <v>218991</v>
      </c>
      <c r="F1978" s="988">
        <v>9</v>
      </c>
      <c r="G1978" s="1152"/>
      <c r="H1978" s="1153"/>
      <c r="I1978" s="1152">
        <v>221458</v>
      </c>
      <c r="J1978" s="1153">
        <v>223822</v>
      </c>
      <c r="K1978" s="1152"/>
      <c r="L1978" s="1153"/>
      <c r="M1978" s="1152"/>
      <c r="N1978" s="1152"/>
      <c r="O1978" s="732">
        <f t="shared" si="245"/>
        <v>0</v>
      </c>
      <c r="P1978" s="1159"/>
      <c r="Q1978" s="1153"/>
      <c r="R1978" s="733">
        <f t="shared" si="248"/>
        <v>0</v>
      </c>
      <c r="S1978" s="732">
        <f t="shared" si="249"/>
        <v>221458</v>
      </c>
      <c r="T1978" s="733">
        <f t="shared" si="250"/>
        <v>223822</v>
      </c>
      <c r="U1978" s="1152"/>
      <c r="V1978" s="1153"/>
      <c r="W1978" s="1152"/>
      <c r="X1978" s="1152"/>
      <c r="Y1978" s="732">
        <f t="shared" si="246"/>
        <v>0</v>
      </c>
      <c r="Z1978" s="1153"/>
      <c r="AA1978" s="1153"/>
      <c r="AB1978" s="733">
        <f t="shared" si="247"/>
        <v>0</v>
      </c>
      <c r="AC1978" s="1152"/>
      <c r="AD1978" s="1153"/>
      <c r="AE1978" s="1152"/>
      <c r="AF1978" s="1152"/>
      <c r="AG1978" s="1153"/>
      <c r="AH1978" s="1153"/>
      <c r="AI1978" s="732">
        <f t="shared" si="251"/>
        <v>221458</v>
      </c>
      <c r="AJ1978" s="733">
        <f t="shared" si="252"/>
        <v>223822</v>
      </c>
    </row>
    <row r="1979" spans="1:36">
      <c r="A1979" s="1075" t="s">
        <v>746</v>
      </c>
      <c r="B1979" s="1017" t="s">
        <v>99</v>
      </c>
      <c r="C1979" s="1076" t="s">
        <v>1570</v>
      </c>
      <c r="D1979" s="1016" t="s">
        <v>1571</v>
      </c>
      <c r="E1979" s="987">
        <v>218991</v>
      </c>
      <c r="F1979" s="988">
        <v>9</v>
      </c>
      <c r="G1979" s="1152"/>
      <c r="H1979" s="1153"/>
      <c r="I1979" s="1152"/>
      <c r="J1979" s="1153"/>
      <c r="K1979" s="1152"/>
      <c r="L1979" s="1153"/>
      <c r="M1979" s="1152"/>
      <c r="N1979" s="1152"/>
      <c r="O1979" s="732">
        <f t="shared" si="245"/>
        <v>0</v>
      </c>
      <c r="P1979" s="1159"/>
      <c r="Q1979" s="1153"/>
      <c r="R1979" s="733">
        <f t="shared" si="248"/>
        <v>0</v>
      </c>
      <c r="S1979" s="732">
        <f t="shared" si="249"/>
        <v>0</v>
      </c>
      <c r="T1979" s="733">
        <f t="shared" si="250"/>
        <v>0</v>
      </c>
      <c r="U1979" s="1152"/>
      <c r="V1979" s="1153"/>
      <c r="W1979" s="1152"/>
      <c r="X1979" s="1152"/>
      <c r="Y1979" s="732">
        <f t="shared" si="246"/>
        <v>0</v>
      </c>
      <c r="Z1979" s="1153"/>
      <c r="AA1979" s="1153"/>
      <c r="AB1979" s="733">
        <f t="shared" si="247"/>
        <v>0</v>
      </c>
      <c r="AC1979" s="1152"/>
      <c r="AD1979" s="1153"/>
      <c r="AE1979" s="1152"/>
      <c r="AF1979" s="1152"/>
      <c r="AG1979" s="1153"/>
      <c r="AH1979" s="1153"/>
      <c r="AI1979" s="732">
        <f t="shared" si="251"/>
        <v>0</v>
      </c>
      <c r="AJ1979" s="733">
        <f t="shared" si="252"/>
        <v>0</v>
      </c>
    </row>
    <row r="1980" spans="1:36" s="13" customFormat="1" ht="15" customHeight="1">
      <c r="A1980" s="1075" t="s">
        <v>746</v>
      </c>
      <c r="B1980" s="1017" t="s">
        <v>62</v>
      </c>
      <c r="C1980" s="1082" t="s">
        <v>1587</v>
      </c>
      <c r="D1980" s="1088"/>
      <c r="E1980" s="987">
        <v>217615</v>
      </c>
      <c r="F1980" s="988">
        <v>10</v>
      </c>
      <c r="G1980" s="1152">
        <v>4604724</v>
      </c>
      <c r="H1980" s="1153">
        <v>4834384</v>
      </c>
      <c r="I1980" s="1152"/>
      <c r="J1980" s="1153"/>
      <c r="K1980" s="1152">
        <v>2095167</v>
      </c>
      <c r="L1980" s="1153">
        <v>2145888</v>
      </c>
      <c r="M1980" s="1152">
        <v>10217112</v>
      </c>
      <c r="N1980" s="1152"/>
      <c r="O1980" s="732">
        <f t="shared" si="245"/>
        <v>10217112</v>
      </c>
      <c r="P1980" s="1159">
        <v>9659961</v>
      </c>
      <c r="Q1980" s="1153"/>
      <c r="R1980" s="733">
        <f t="shared" si="248"/>
        <v>9659961</v>
      </c>
      <c r="S1980" s="732">
        <f t="shared" si="249"/>
        <v>16917003</v>
      </c>
      <c r="T1980" s="733">
        <f t="shared" si="250"/>
        <v>16640233</v>
      </c>
      <c r="U1980" s="1152"/>
      <c r="V1980" s="1153"/>
      <c r="W1980" s="1152"/>
      <c r="X1980" s="1152"/>
      <c r="Y1980" s="732">
        <f t="shared" si="246"/>
        <v>0</v>
      </c>
      <c r="Z1980" s="1153"/>
      <c r="AA1980" s="1153"/>
      <c r="AB1980" s="733">
        <f t="shared" si="247"/>
        <v>0</v>
      </c>
      <c r="AC1980" s="1152"/>
      <c r="AD1980" s="1153"/>
      <c r="AE1980" s="1152"/>
      <c r="AF1980" s="1152"/>
      <c r="AG1980" s="1153"/>
      <c r="AH1980" s="1153"/>
      <c r="AI1980" s="732">
        <f t="shared" si="251"/>
        <v>16917003</v>
      </c>
      <c r="AJ1980" s="733">
        <f t="shared" si="252"/>
        <v>16640233</v>
      </c>
    </row>
    <row r="1981" spans="1:36">
      <c r="A1981" s="1075" t="s">
        <v>746</v>
      </c>
      <c r="B1981" s="1017" t="s">
        <v>62</v>
      </c>
      <c r="C1981" s="1087" t="s">
        <v>1561</v>
      </c>
      <c r="D1981" s="1010"/>
      <c r="E1981" s="987">
        <v>217615</v>
      </c>
      <c r="F1981" s="988">
        <v>10</v>
      </c>
      <c r="G1981" s="1152">
        <v>110267</v>
      </c>
      <c r="H1981" s="1153"/>
      <c r="I1981" s="1152"/>
      <c r="J1981" s="1153"/>
      <c r="K1981" s="1152"/>
      <c r="L1981" s="1153"/>
      <c r="M1981" s="1152"/>
      <c r="N1981" s="1152"/>
      <c r="O1981" s="732">
        <f t="shared" si="245"/>
        <v>0</v>
      </c>
      <c r="P1981" s="1159"/>
      <c r="Q1981" s="1153"/>
      <c r="R1981" s="733">
        <f t="shared" si="248"/>
        <v>0</v>
      </c>
      <c r="S1981" s="732">
        <f t="shared" si="249"/>
        <v>110267</v>
      </c>
      <c r="T1981" s="733">
        <f t="shared" si="250"/>
        <v>0</v>
      </c>
      <c r="U1981" s="1152"/>
      <c r="V1981" s="1153"/>
      <c r="W1981" s="1152"/>
      <c r="X1981" s="1152"/>
      <c r="Y1981" s="732">
        <f t="shared" si="246"/>
        <v>0</v>
      </c>
      <c r="Z1981" s="1153"/>
      <c r="AA1981" s="1153"/>
      <c r="AB1981" s="733">
        <f t="shared" si="247"/>
        <v>0</v>
      </c>
      <c r="AC1981" s="1152"/>
      <c r="AD1981" s="1153"/>
      <c r="AE1981" s="1152"/>
      <c r="AF1981" s="1152"/>
      <c r="AG1981" s="1153"/>
      <c r="AH1981" s="1153"/>
      <c r="AI1981" s="732">
        <f t="shared" si="251"/>
        <v>110267</v>
      </c>
      <c r="AJ1981" s="733">
        <f t="shared" si="252"/>
        <v>0</v>
      </c>
    </row>
    <row r="1982" spans="1:36">
      <c r="A1982" s="1075" t="s">
        <v>746</v>
      </c>
      <c r="B1982" s="1017" t="s">
        <v>62</v>
      </c>
      <c r="C1982" s="1087" t="s">
        <v>1562</v>
      </c>
      <c r="D1982" s="1010"/>
      <c r="E1982" s="987">
        <v>217615</v>
      </c>
      <c r="F1982" s="988">
        <v>10</v>
      </c>
      <c r="G1982" s="1152">
        <v>67413</v>
      </c>
      <c r="H1982" s="1153"/>
      <c r="I1982" s="1152"/>
      <c r="J1982" s="1153"/>
      <c r="K1982" s="1152"/>
      <c r="L1982" s="1153"/>
      <c r="M1982" s="1152"/>
      <c r="N1982" s="1152"/>
      <c r="O1982" s="732">
        <f t="shared" si="245"/>
        <v>0</v>
      </c>
      <c r="P1982" s="1159"/>
      <c r="Q1982" s="1153"/>
      <c r="R1982" s="733">
        <f t="shared" si="248"/>
        <v>0</v>
      </c>
      <c r="S1982" s="732">
        <f t="shared" si="249"/>
        <v>67413</v>
      </c>
      <c r="T1982" s="733">
        <f t="shared" si="250"/>
        <v>0</v>
      </c>
      <c r="U1982" s="1152"/>
      <c r="V1982" s="1153"/>
      <c r="W1982" s="1152"/>
      <c r="X1982" s="1152"/>
      <c r="Y1982" s="732">
        <f t="shared" si="246"/>
        <v>0</v>
      </c>
      <c r="Z1982" s="1153"/>
      <c r="AA1982" s="1153"/>
      <c r="AB1982" s="733">
        <f t="shared" si="247"/>
        <v>0</v>
      </c>
      <c r="AC1982" s="1152"/>
      <c r="AD1982" s="1153"/>
      <c r="AE1982" s="1152"/>
      <c r="AF1982" s="1152"/>
      <c r="AG1982" s="1153"/>
      <c r="AH1982" s="1153"/>
      <c r="AI1982" s="732">
        <f t="shared" si="251"/>
        <v>67413</v>
      </c>
      <c r="AJ1982" s="733">
        <f t="shared" si="252"/>
        <v>0</v>
      </c>
    </row>
    <row r="1983" spans="1:36">
      <c r="A1983" s="1075" t="s">
        <v>746</v>
      </c>
      <c r="B1983" s="1017" t="s">
        <v>62</v>
      </c>
      <c r="C1983" s="1076" t="s">
        <v>1538</v>
      </c>
      <c r="D1983" s="1010"/>
      <c r="E1983" s="987">
        <v>217615</v>
      </c>
      <c r="F1983" s="988">
        <v>10</v>
      </c>
      <c r="G1983" s="1152"/>
      <c r="H1983" s="1153"/>
      <c r="I1983" s="1152"/>
      <c r="J1983" s="1153"/>
      <c r="K1983" s="1152"/>
      <c r="L1983" s="1153"/>
      <c r="M1983" s="1152"/>
      <c r="N1983" s="1152"/>
      <c r="O1983" s="732">
        <f t="shared" si="245"/>
        <v>0</v>
      </c>
      <c r="P1983" s="1159"/>
      <c r="Q1983" s="1153"/>
      <c r="R1983" s="733">
        <f t="shared" si="248"/>
        <v>0</v>
      </c>
      <c r="S1983" s="732">
        <f t="shared" si="249"/>
        <v>0</v>
      </c>
      <c r="T1983" s="733">
        <f t="shared" si="250"/>
        <v>0</v>
      </c>
      <c r="U1983" s="1152"/>
      <c r="V1983" s="1153"/>
      <c r="W1983" s="1152"/>
      <c r="X1983" s="1152"/>
      <c r="Y1983" s="732">
        <f t="shared" si="246"/>
        <v>0</v>
      </c>
      <c r="Z1983" s="1153"/>
      <c r="AA1983" s="1153"/>
      <c r="AB1983" s="733">
        <f t="shared" si="247"/>
        <v>0</v>
      </c>
      <c r="AC1983" s="1152"/>
      <c r="AD1983" s="1153"/>
      <c r="AE1983" s="1152"/>
      <c r="AF1983" s="1152"/>
      <c r="AG1983" s="1153"/>
      <c r="AH1983" s="1153"/>
      <c r="AI1983" s="732">
        <f t="shared" si="251"/>
        <v>0</v>
      </c>
      <c r="AJ1983" s="733">
        <f t="shared" si="252"/>
        <v>0</v>
      </c>
    </row>
    <row r="1984" spans="1:36">
      <c r="A1984" s="1075" t="s">
        <v>746</v>
      </c>
      <c r="B1984" s="1017" t="s">
        <v>99</v>
      </c>
      <c r="C1984" s="1077" t="s">
        <v>1070</v>
      </c>
      <c r="D1984" s="1010"/>
      <c r="E1984" s="987">
        <v>217615</v>
      </c>
      <c r="F1984" s="988">
        <v>10</v>
      </c>
      <c r="G1984" s="1152"/>
      <c r="H1984" s="1153"/>
      <c r="I1984" s="1152"/>
      <c r="J1984" s="1153"/>
      <c r="K1984" s="1152"/>
      <c r="L1984" s="1153"/>
      <c r="M1984" s="1152"/>
      <c r="N1984" s="1152"/>
      <c r="O1984" s="732">
        <f t="shared" si="245"/>
        <v>0</v>
      </c>
      <c r="P1984" s="1159"/>
      <c r="Q1984" s="1153"/>
      <c r="R1984" s="733">
        <f t="shared" si="248"/>
        <v>0</v>
      </c>
      <c r="S1984" s="732">
        <f t="shared" si="249"/>
        <v>0</v>
      </c>
      <c r="T1984" s="733">
        <f t="shared" si="250"/>
        <v>0</v>
      </c>
      <c r="U1984" s="1152"/>
      <c r="V1984" s="1153"/>
      <c r="W1984" s="1152"/>
      <c r="X1984" s="1152"/>
      <c r="Y1984" s="732">
        <f t="shared" si="246"/>
        <v>0</v>
      </c>
      <c r="Z1984" s="1153"/>
      <c r="AA1984" s="1153"/>
      <c r="AB1984" s="733">
        <f t="shared" si="247"/>
        <v>0</v>
      </c>
      <c r="AC1984" s="1152"/>
      <c r="AD1984" s="1153"/>
      <c r="AE1984" s="1152"/>
      <c r="AF1984" s="1152"/>
      <c r="AG1984" s="1153"/>
      <c r="AH1984" s="1153"/>
      <c r="AI1984" s="732">
        <f t="shared" si="251"/>
        <v>0</v>
      </c>
      <c r="AJ1984" s="733">
        <f t="shared" si="252"/>
        <v>0</v>
      </c>
    </row>
    <row r="1985" spans="1:36">
      <c r="A1985" s="1075" t="s">
        <v>746</v>
      </c>
      <c r="B1985" s="1017" t="s">
        <v>99</v>
      </c>
      <c r="C1985" s="1076" t="s">
        <v>1563</v>
      </c>
      <c r="D1985" s="1010"/>
      <c r="E1985" s="987">
        <v>217615</v>
      </c>
      <c r="F1985" s="988">
        <v>10</v>
      </c>
      <c r="G1985" s="1152"/>
      <c r="H1985" s="1153"/>
      <c r="I1985" s="1152">
        <v>57171</v>
      </c>
      <c r="J1985" s="1153">
        <v>55345</v>
      </c>
      <c r="K1985" s="1152"/>
      <c r="L1985" s="1153"/>
      <c r="M1985" s="1152"/>
      <c r="N1985" s="1152"/>
      <c r="O1985" s="732">
        <f t="shared" si="245"/>
        <v>0</v>
      </c>
      <c r="P1985" s="1159"/>
      <c r="Q1985" s="1153"/>
      <c r="R1985" s="733">
        <f t="shared" si="248"/>
        <v>0</v>
      </c>
      <c r="S1985" s="732">
        <f t="shared" si="249"/>
        <v>57171</v>
      </c>
      <c r="T1985" s="733">
        <f t="shared" si="250"/>
        <v>55345</v>
      </c>
      <c r="U1985" s="1152"/>
      <c r="V1985" s="1153"/>
      <c r="W1985" s="1152"/>
      <c r="X1985" s="1152"/>
      <c r="Y1985" s="732">
        <f t="shared" si="246"/>
        <v>0</v>
      </c>
      <c r="Z1985" s="1153"/>
      <c r="AA1985" s="1153"/>
      <c r="AB1985" s="733">
        <f t="shared" si="247"/>
        <v>0</v>
      </c>
      <c r="AC1985" s="1152"/>
      <c r="AD1985" s="1153"/>
      <c r="AE1985" s="1152"/>
      <c r="AF1985" s="1152"/>
      <c r="AG1985" s="1153"/>
      <c r="AH1985" s="1153"/>
      <c r="AI1985" s="732">
        <f t="shared" si="251"/>
        <v>57171</v>
      </c>
      <c r="AJ1985" s="733">
        <f t="shared" si="252"/>
        <v>55345</v>
      </c>
    </row>
    <row r="1986" spans="1:36">
      <c r="A1986" s="1075" t="s">
        <v>746</v>
      </c>
      <c r="B1986" s="1017" t="s">
        <v>99</v>
      </c>
      <c r="C1986" s="1076" t="s">
        <v>1564</v>
      </c>
      <c r="D1986" s="1010"/>
      <c r="E1986" s="987">
        <v>217615</v>
      </c>
      <c r="F1986" s="988">
        <v>10</v>
      </c>
      <c r="G1986" s="1152"/>
      <c r="H1986" s="1153"/>
      <c r="I1986" s="1152">
        <v>15161</v>
      </c>
      <c r="J1986" s="1153">
        <v>15160</v>
      </c>
      <c r="K1986" s="1152"/>
      <c r="L1986" s="1153"/>
      <c r="M1986" s="1152"/>
      <c r="N1986" s="1152"/>
      <c r="O1986" s="732">
        <f t="shared" si="245"/>
        <v>0</v>
      </c>
      <c r="P1986" s="1159"/>
      <c r="Q1986" s="1153"/>
      <c r="R1986" s="733">
        <f t="shared" si="248"/>
        <v>0</v>
      </c>
      <c r="S1986" s="732">
        <f t="shared" si="249"/>
        <v>15161</v>
      </c>
      <c r="T1986" s="733">
        <f t="shared" si="250"/>
        <v>15160</v>
      </c>
      <c r="U1986" s="1152"/>
      <c r="V1986" s="1153"/>
      <c r="W1986" s="1152"/>
      <c r="X1986" s="1152"/>
      <c r="Y1986" s="732">
        <f t="shared" si="246"/>
        <v>0</v>
      </c>
      <c r="Z1986" s="1153"/>
      <c r="AA1986" s="1153"/>
      <c r="AB1986" s="733">
        <f t="shared" si="247"/>
        <v>0</v>
      </c>
      <c r="AC1986" s="1152"/>
      <c r="AD1986" s="1153"/>
      <c r="AE1986" s="1152"/>
      <c r="AF1986" s="1152"/>
      <c r="AG1986" s="1153"/>
      <c r="AH1986" s="1153"/>
      <c r="AI1986" s="732">
        <f t="shared" si="251"/>
        <v>15161</v>
      </c>
      <c r="AJ1986" s="733">
        <f t="shared" si="252"/>
        <v>15160</v>
      </c>
    </row>
    <row r="1987" spans="1:36">
      <c r="A1987" s="1075" t="s">
        <v>746</v>
      </c>
      <c r="B1987" s="1017" t="s">
        <v>99</v>
      </c>
      <c r="C1987" s="1076" t="s">
        <v>1566</v>
      </c>
      <c r="D1987" s="1010"/>
      <c r="E1987" s="987">
        <v>217615</v>
      </c>
      <c r="F1987" s="988">
        <v>10</v>
      </c>
      <c r="G1987" s="1152"/>
      <c r="H1987" s="1153"/>
      <c r="I1987" s="1152">
        <f>88298+361206</f>
        <v>449504</v>
      </c>
      <c r="J1987" s="1153">
        <f>87635+364372</f>
        <v>452007</v>
      </c>
      <c r="K1987" s="1152"/>
      <c r="L1987" s="1153"/>
      <c r="M1987" s="1152"/>
      <c r="N1987" s="1152"/>
      <c r="O1987" s="732">
        <f t="shared" si="245"/>
        <v>0</v>
      </c>
      <c r="P1987" s="1159"/>
      <c r="Q1987" s="1153"/>
      <c r="R1987" s="733">
        <f t="shared" si="248"/>
        <v>0</v>
      </c>
      <c r="S1987" s="732">
        <f t="shared" si="249"/>
        <v>449504</v>
      </c>
      <c r="T1987" s="733">
        <f t="shared" si="250"/>
        <v>452007</v>
      </c>
      <c r="U1987" s="1152"/>
      <c r="V1987" s="1153"/>
      <c r="W1987" s="1152"/>
      <c r="X1987" s="1152"/>
      <c r="Y1987" s="732">
        <f t="shared" si="246"/>
        <v>0</v>
      </c>
      <c r="Z1987" s="1153"/>
      <c r="AA1987" s="1153"/>
      <c r="AB1987" s="733">
        <f t="shared" si="247"/>
        <v>0</v>
      </c>
      <c r="AC1987" s="1152"/>
      <c r="AD1987" s="1153"/>
      <c r="AE1987" s="1152"/>
      <c r="AF1987" s="1152"/>
      <c r="AG1987" s="1153"/>
      <c r="AH1987" s="1153"/>
      <c r="AI1987" s="732">
        <f t="shared" si="251"/>
        <v>449504</v>
      </c>
      <c r="AJ1987" s="733">
        <f t="shared" si="252"/>
        <v>452007</v>
      </c>
    </row>
    <row r="1988" spans="1:36">
      <c r="A1988" s="1075" t="s">
        <v>746</v>
      </c>
      <c r="B1988" s="1017" t="s">
        <v>99</v>
      </c>
      <c r="C1988" s="1076" t="s">
        <v>1565</v>
      </c>
      <c r="D1988" s="1010"/>
      <c r="E1988" s="987">
        <v>217615</v>
      </c>
      <c r="F1988" s="988">
        <v>10</v>
      </c>
      <c r="G1988" s="1152"/>
      <c r="H1988" s="1153"/>
      <c r="I1988" s="1152">
        <v>37784</v>
      </c>
      <c r="J1988" s="1153">
        <v>37784</v>
      </c>
      <c r="K1988" s="1152"/>
      <c r="L1988" s="1153"/>
      <c r="M1988" s="1152"/>
      <c r="N1988" s="1152"/>
      <c r="O1988" s="732">
        <f t="shared" si="245"/>
        <v>0</v>
      </c>
      <c r="P1988" s="1159"/>
      <c r="Q1988" s="1153"/>
      <c r="R1988" s="733">
        <f t="shared" si="248"/>
        <v>0</v>
      </c>
      <c r="S1988" s="732">
        <f t="shared" si="249"/>
        <v>37784</v>
      </c>
      <c r="T1988" s="733">
        <f t="shared" si="250"/>
        <v>37784</v>
      </c>
      <c r="U1988" s="1152"/>
      <c r="V1988" s="1153"/>
      <c r="W1988" s="1152"/>
      <c r="X1988" s="1152"/>
      <c r="Y1988" s="732">
        <f t="shared" si="246"/>
        <v>0</v>
      </c>
      <c r="Z1988" s="1153"/>
      <c r="AA1988" s="1153"/>
      <c r="AB1988" s="733">
        <f t="shared" si="247"/>
        <v>0</v>
      </c>
      <c r="AC1988" s="1152"/>
      <c r="AD1988" s="1153"/>
      <c r="AE1988" s="1152"/>
      <c r="AF1988" s="1152"/>
      <c r="AG1988" s="1153"/>
      <c r="AH1988" s="1153"/>
      <c r="AI1988" s="732">
        <f t="shared" si="251"/>
        <v>37784</v>
      </c>
      <c r="AJ1988" s="733">
        <f t="shared" si="252"/>
        <v>37784</v>
      </c>
    </row>
    <row r="1989" spans="1:36">
      <c r="A1989" s="1075" t="s">
        <v>746</v>
      </c>
      <c r="B1989" s="1017" t="s">
        <v>99</v>
      </c>
      <c r="C1989" s="1076" t="s">
        <v>1539</v>
      </c>
      <c r="D1989" s="1010"/>
      <c r="E1989" s="987">
        <v>217615</v>
      </c>
      <c r="F1989" s="988">
        <v>10</v>
      </c>
      <c r="G1989" s="1152"/>
      <c r="H1989" s="1153"/>
      <c r="I1989" s="1152">
        <v>128736</v>
      </c>
      <c r="J1989" s="1153">
        <v>129414</v>
      </c>
      <c r="K1989" s="1152"/>
      <c r="L1989" s="1153"/>
      <c r="M1989" s="1152"/>
      <c r="N1989" s="1152"/>
      <c r="O1989" s="732">
        <f t="shared" si="245"/>
        <v>0</v>
      </c>
      <c r="P1989" s="1159"/>
      <c r="Q1989" s="1153"/>
      <c r="R1989" s="733">
        <f t="shared" si="248"/>
        <v>0</v>
      </c>
      <c r="S1989" s="732">
        <f t="shared" si="249"/>
        <v>128736</v>
      </c>
      <c r="T1989" s="733">
        <f t="shared" si="250"/>
        <v>129414</v>
      </c>
      <c r="U1989" s="1152"/>
      <c r="V1989" s="1153"/>
      <c r="W1989" s="1152"/>
      <c r="X1989" s="1152"/>
      <c r="Y1989" s="732">
        <f t="shared" si="246"/>
        <v>0</v>
      </c>
      <c r="Z1989" s="1153"/>
      <c r="AA1989" s="1153"/>
      <c r="AB1989" s="733">
        <f t="shared" si="247"/>
        <v>0</v>
      </c>
      <c r="AC1989" s="1152"/>
      <c r="AD1989" s="1153"/>
      <c r="AE1989" s="1152"/>
      <c r="AF1989" s="1152"/>
      <c r="AG1989" s="1153"/>
      <c r="AH1989" s="1153"/>
      <c r="AI1989" s="732">
        <f t="shared" si="251"/>
        <v>128736</v>
      </c>
      <c r="AJ1989" s="733">
        <f t="shared" si="252"/>
        <v>129414</v>
      </c>
    </row>
    <row r="1990" spans="1:36">
      <c r="A1990" s="1075" t="s">
        <v>746</v>
      </c>
      <c r="B1990" s="1017" t="s">
        <v>62</v>
      </c>
      <c r="C1990" s="1082" t="s">
        <v>1588</v>
      </c>
      <c r="D1990" s="1010"/>
      <c r="E1990" s="987">
        <v>217989</v>
      </c>
      <c r="F1990" s="988">
        <v>10</v>
      </c>
      <c r="G1990" s="1152">
        <v>2152690</v>
      </c>
      <c r="H1990" s="1153">
        <v>1993358</v>
      </c>
      <c r="I1990" s="1152"/>
      <c r="J1990" s="1153"/>
      <c r="K1990" s="1152">
        <v>61715</v>
      </c>
      <c r="L1990" s="1153">
        <v>5000</v>
      </c>
      <c r="M1990" s="1152">
        <v>2251642</v>
      </c>
      <c r="N1990" s="1152"/>
      <c r="O1990" s="732">
        <f t="shared" si="245"/>
        <v>2251642</v>
      </c>
      <c r="P1990" s="1159">
        <v>2453923</v>
      </c>
      <c r="Q1990" s="1153"/>
      <c r="R1990" s="733">
        <f t="shared" si="248"/>
        <v>2453923</v>
      </c>
      <c r="S1990" s="732">
        <f t="shared" si="249"/>
        <v>4466047</v>
      </c>
      <c r="T1990" s="733">
        <f t="shared" si="250"/>
        <v>4452281</v>
      </c>
      <c r="U1990" s="1152"/>
      <c r="V1990" s="1153"/>
      <c r="W1990" s="1152"/>
      <c r="X1990" s="1152"/>
      <c r="Y1990" s="732">
        <f t="shared" si="246"/>
        <v>0</v>
      </c>
      <c r="Z1990" s="1153"/>
      <c r="AA1990" s="1153"/>
      <c r="AB1990" s="733">
        <f t="shared" si="247"/>
        <v>0</v>
      </c>
      <c r="AC1990" s="1152"/>
      <c r="AD1990" s="1153"/>
      <c r="AE1990" s="1152"/>
      <c r="AF1990" s="1152"/>
      <c r="AG1990" s="1153"/>
      <c r="AH1990" s="1153"/>
      <c r="AI1990" s="732">
        <f t="shared" si="251"/>
        <v>4466047</v>
      </c>
      <c r="AJ1990" s="733">
        <f t="shared" si="252"/>
        <v>4452281</v>
      </c>
    </row>
    <row r="1991" spans="1:36">
      <c r="A1991" s="1075" t="s">
        <v>746</v>
      </c>
      <c r="B1991" s="1017" t="s">
        <v>62</v>
      </c>
      <c r="C1991" s="1087" t="s">
        <v>1561</v>
      </c>
      <c r="D1991" s="1010"/>
      <c r="E1991" s="987">
        <v>217989</v>
      </c>
      <c r="F1991" s="988">
        <v>10</v>
      </c>
      <c r="G1991" s="1152">
        <v>47310</v>
      </c>
      <c r="H1991" s="1153"/>
      <c r="I1991" s="1152"/>
      <c r="J1991" s="1153"/>
      <c r="K1991" s="1152"/>
      <c r="L1991" s="1153"/>
      <c r="M1991" s="1152"/>
      <c r="N1991" s="1152"/>
      <c r="O1991" s="732">
        <f t="shared" si="245"/>
        <v>0</v>
      </c>
      <c r="P1991" s="1159"/>
      <c r="Q1991" s="1153"/>
      <c r="R1991" s="733">
        <f t="shared" si="248"/>
        <v>0</v>
      </c>
      <c r="S1991" s="732">
        <f t="shared" si="249"/>
        <v>47310</v>
      </c>
      <c r="T1991" s="733">
        <f t="shared" si="250"/>
        <v>0</v>
      </c>
      <c r="U1991" s="1152"/>
      <c r="V1991" s="1153"/>
      <c r="W1991" s="1152"/>
      <c r="X1991" s="1152"/>
      <c r="Y1991" s="732">
        <f t="shared" si="246"/>
        <v>0</v>
      </c>
      <c r="Z1991" s="1153"/>
      <c r="AA1991" s="1153"/>
      <c r="AB1991" s="733">
        <f t="shared" si="247"/>
        <v>0</v>
      </c>
      <c r="AC1991" s="1152"/>
      <c r="AD1991" s="1153"/>
      <c r="AE1991" s="1152"/>
      <c r="AF1991" s="1152"/>
      <c r="AG1991" s="1153"/>
      <c r="AH1991" s="1153"/>
      <c r="AI1991" s="732">
        <f t="shared" si="251"/>
        <v>47310</v>
      </c>
      <c r="AJ1991" s="733">
        <f t="shared" si="252"/>
        <v>0</v>
      </c>
    </row>
    <row r="1992" spans="1:36">
      <c r="A1992" s="1075" t="s">
        <v>746</v>
      </c>
      <c r="B1992" s="1017" t="s">
        <v>62</v>
      </c>
      <c r="C1992" s="1087" t="s">
        <v>1562</v>
      </c>
      <c r="D1992" s="1010"/>
      <c r="E1992" s="987">
        <v>217989</v>
      </c>
      <c r="F1992" s="988">
        <v>10</v>
      </c>
      <c r="G1992" s="1152">
        <v>29656</v>
      </c>
      <c r="H1992" s="1153"/>
      <c r="I1992" s="1152"/>
      <c r="J1992" s="1153"/>
      <c r="K1992" s="1152"/>
      <c r="L1992" s="1153"/>
      <c r="M1992" s="1152"/>
      <c r="N1992" s="1152"/>
      <c r="O1992" s="732">
        <f t="shared" si="245"/>
        <v>0</v>
      </c>
      <c r="P1992" s="1159"/>
      <c r="Q1992" s="1153"/>
      <c r="R1992" s="733">
        <f t="shared" si="248"/>
        <v>0</v>
      </c>
      <c r="S1992" s="732">
        <f t="shared" si="249"/>
        <v>29656</v>
      </c>
      <c r="T1992" s="733">
        <f t="shared" si="250"/>
        <v>0</v>
      </c>
      <c r="U1992" s="1152"/>
      <c r="V1992" s="1153"/>
      <c r="W1992" s="1152"/>
      <c r="X1992" s="1152"/>
      <c r="Y1992" s="732">
        <f t="shared" si="246"/>
        <v>0</v>
      </c>
      <c r="Z1992" s="1153"/>
      <c r="AA1992" s="1153"/>
      <c r="AB1992" s="733">
        <f t="shared" si="247"/>
        <v>0</v>
      </c>
      <c r="AC1992" s="1152"/>
      <c r="AD1992" s="1153"/>
      <c r="AE1992" s="1152"/>
      <c r="AF1992" s="1152"/>
      <c r="AG1992" s="1153"/>
      <c r="AH1992" s="1153"/>
      <c r="AI1992" s="732">
        <f t="shared" si="251"/>
        <v>29656</v>
      </c>
      <c r="AJ1992" s="733">
        <f t="shared" si="252"/>
        <v>0</v>
      </c>
    </row>
    <row r="1993" spans="1:36">
      <c r="A1993" s="1075" t="s">
        <v>746</v>
      </c>
      <c r="B1993" s="1017" t="s">
        <v>62</v>
      </c>
      <c r="C1993" s="1076" t="s">
        <v>1538</v>
      </c>
      <c r="D1993" s="1010"/>
      <c r="E1993" s="987">
        <v>217989</v>
      </c>
      <c r="F1993" s="988">
        <v>10</v>
      </c>
      <c r="G1993" s="1152"/>
      <c r="H1993" s="1153"/>
      <c r="I1993" s="1152"/>
      <c r="J1993" s="1153"/>
      <c r="K1993" s="1152"/>
      <c r="L1993" s="1153"/>
      <c r="M1993" s="1152"/>
      <c r="N1993" s="1152"/>
      <c r="O1993" s="732">
        <f t="shared" si="245"/>
        <v>0</v>
      </c>
      <c r="P1993" s="1159"/>
      <c r="Q1993" s="1153"/>
      <c r="R1993" s="733">
        <f t="shared" si="248"/>
        <v>0</v>
      </c>
      <c r="S1993" s="732">
        <f t="shared" si="249"/>
        <v>0</v>
      </c>
      <c r="T1993" s="733">
        <f t="shared" si="250"/>
        <v>0</v>
      </c>
      <c r="U1993" s="1152"/>
      <c r="V1993" s="1153"/>
      <c r="W1993" s="1152"/>
      <c r="X1993" s="1152"/>
      <c r="Y1993" s="732">
        <f t="shared" si="246"/>
        <v>0</v>
      </c>
      <c r="Z1993" s="1153"/>
      <c r="AA1993" s="1153"/>
      <c r="AB1993" s="733">
        <f t="shared" si="247"/>
        <v>0</v>
      </c>
      <c r="AC1993" s="1152"/>
      <c r="AD1993" s="1153"/>
      <c r="AE1993" s="1152"/>
      <c r="AF1993" s="1152"/>
      <c r="AG1993" s="1153"/>
      <c r="AH1993" s="1153"/>
      <c r="AI1993" s="732">
        <f t="shared" si="251"/>
        <v>0</v>
      </c>
      <c r="AJ1993" s="733">
        <f t="shared" si="252"/>
        <v>0</v>
      </c>
    </row>
    <row r="1994" spans="1:36">
      <c r="A1994" s="1075" t="s">
        <v>746</v>
      </c>
      <c r="B1994" s="1017" t="s">
        <v>99</v>
      </c>
      <c r="C1994" s="1077" t="s">
        <v>1070</v>
      </c>
      <c r="D1994" s="1010"/>
      <c r="E1994" s="987">
        <v>217989</v>
      </c>
      <c r="F1994" s="988">
        <v>10</v>
      </c>
      <c r="G1994" s="1152"/>
      <c r="H1994" s="1153"/>
      <c r="I1994" s="1152"/>
      <c r="J1994" s="1153"/>
      <c r="K1994" s="1152"/>
      <c r="L1994" s="1153"/>
      <c r="M1994" s="1152"/>
      <c r="N1994" s="1152"/>
      <c r="O1994" s="732">
        <f t="shared" ref="O1994:O2057" si="253">SUM(M1994:N1994)</f>
        <v>0</v>
      </c>
      <c r="P1994" s="1159"/>
      <c r="Q1994" s="1153"/>
      <c r="R1994" s="733">
        <f t="shared" si="248"/>
        <v>0</v>
      </c>
      <c r="S1994" s="732">
        <f t="shared" si="249"/>
        <v>0</v>
      </c>
      <c r="T1994" s="733">
        <f t="shared" si="250"/>
        <v>0</v>
      </c>
      <c r="U1994" s="1152"/>
      <c r="V1994" s="1153"/>
      <c r="W1994" s="1152"/>
      <c r="X1994" s="1152"/>
      <c r="Y1994" s="732">
        <f t="shared" ref="Y1994:Y2057" si="254">SUM(W1994:X1994)</f>
        <v>0</v>
      </c>
      <c r="Z1994" s="1153"/>
      <c r="AA1994" s="1153"/>
      <c r="AB1994" s="733">
        <f t="shared" ref="AB1994:AB2057" si="255">SUM(Z1994:AA1994)</f>
        <v>0</v>
      </c>
      <c r="AC1994" s="1152"/>
      <c r="AD1994" s="1153"/>
      <c r="AE1994" s="1152"/>
      <c r="AF1994" s="1152"/>
      <c r="AG1994" s="1153"/>
      <c r="AH1994" s="1153"/>
      <c r="AI1994" s="732">
        <f t="shared" si="251"/>
        <v>0</v>
      </c>
      <c r="AJ1994" s="733">
        <f t="shared" si="252"/>
        <v>0</v>
      </c>
    </row>
    <row r="1995" spans="1:36">
      <c r="A1995" s="1075" t="s">
        <v>746</v>
      </c>
      <c r="B1995" s="1017" t="s">
        <v>99</v>
      </c>
      <c r="C1995" s="1076" t="s">
        <v>1563</v>
      </c>
      <c r="D1995" s="1010"/>
      <c r="E1995" s="987">
        <v>217989</v>
      </c>
      <c r="F1995" s="988">
        <v>10</v>
      </c>
      <c r="G1995" s="1152"/>
      <c r="H1995" s="1153"/>
      <c r="I1995" s="1152">
        <v>27503</v>
      </c>
      <c r="J1995" s="1153">
        <v>29425</v>
      </c>
      <c r="K1995" s="1152"/>
      <c r="L1995" s="1153"/>
      <c r="M1995" s="1152"/>
      <c r="N1995" s="1152"/>
      <c r="O1995" s="732">
        <f t="shared" si="253"/>
        <v>0</v>
      </c>
      <c r="P1995" s="1159"/>
      <c r="Q1995" s="1153"/>
      <c r="R1995" s="733">
        <f t="shared" ref="R1995:R2058" si="256">SUM(P1995:Q1995)</f>
        <v>0</v>
      </c>
      <c r="S1995" s="732">
        <f t="shared" ref="S1995:S2058" si="257">SUM(G1995,I1995,K1995,M1995)</f>
        <v>27503</v>
      </c>
      <c r="T1995" s="733">
        <f t="shared" ref="T1995:T2058" si="258">SUM(H1995,J1995,L1995,P1995)</f>
        <v>29425</v>
      </c>
      <c r="U1995" s="1152"/>
      <c r="V1995" s="1153"/>
      <c r="W1995" s="1152"/>
      <c r="X1995" s="1152"/>
      <c r="Y1995" s="732">
        <f t="shared" si="254"/>
        <v>0</v>
      </c>
      <c r="Z1995" s="1153"/>
      <c r="AA1995" s="1153"/>
      <c r="AB1995" s="733">
        <f t="shared" si="255"/>
        <v>0</v>
      </c>
      <c r="AC1995" s="1152"/>
      <c r="AD1995" s="1153"/>
      <c r="AE1995" s="1152"/>
      <c r="AF1995" s="1152"/>
      <c r="AG1995" s="1153"/>
      <c r="AH1995" s="1153"/>
      <c r="AI1995" s="732">
        <f t="shared" ref="AI1995:AI2058" si="259">SUM(S1995,U1995,W1995,AC1995,AE1995)</f>
        <v>27503</v>
      </c>
      <c r="AJ1995" s="733">
        <f t="shared" ref="AJ1995:AJ2058" si="260">SUM(T1995,V1995,Z1995,AD1995,AG1995)</f>
        <v>29425</v>
      </c>
    </row>
    <row r="1996" spans="1:36">
      <c r="A1996" s="1075" t="s">
        <v>746</v>
      </c>
      <c r="B1996" s="1017" t="s">
        <v>99</v>
      </c>
      <c r="C1996" s="1076" t="s">
        <v>1566</v>
      </c>
      <c r="D1996" s="1010"/>
      <c r="E1996" s="987">
        <v>217989</v>
      </c>
      <c r="F1996" s="988">
        <v>10</v>
      </c>
      <c r="G1996" s="1152"/>
      <c r="H1996" s="1153"/>
      <c r="I1996" s="1152">
        <f>30105+148515</f>
        <v>178620</v>
      </c>
      <c r="J1996" s="1153">
        <f>27002+113121</f>
        <v>140123</v>
      </c>
      <c r="K1996" s="1152"/>
      <c r="L1996" s="1153"/>
      <c r="M1996" s="1152"/>
      <c r="N1996" s="1152"/>
      <c r="O1996" s="732">
        <f t="shared" si="253"/>
        <v>0</v>
      </c>
      <c r="P1996" s="1159"/>
      <c r="Q1996" s="1153"/>
      <c r="R1996" s="733">
        <f t="shared" si="256"/>
        <v>0</v>
      </c>
      <c r="S1996" s="732">
        <f t="shared" si="257"/>
        <v>178620</v>
      </c>
      <c r="T1996" s="733">
        <f t="shared" si="258"/>
        <v>140123</v>
      </c>
      <c r="U1996" s="1152"/>
      <c r="V1996" s="1153"/>
      <c r="W1996" s="1152"/>
      <c r="X1996" s="1152"/>
      <c r="Y1996" s="732">
        <f t="shared" si="254"/>
        <v>0</v>
      </c>
      <c r="Z1996" s="1153"/>
      <c r="AA1996" s="1153"/>
      <c r="AB1996" s="733">
        <f t="shared" si="255"/>
        <v>0</v>
      </c>
      <c r="AC1996" s="1152"/>
      <c r="AD1996" s="1153"/>
      <c r="AE1996" s="1152"/>
      <c r="AF1996" s="1152"/>
      <c r="AG1996" s="1153"/>
      <c r="AH1996" s="1153"/>
      <c r="AI1996" s="732">
        <f t="shared" si="259"/>
        <v>178620</v>
      </c>
      <c r="AJ1996" s="733">
        <f t="shared" si="260"/>
        <v>140123</v>
      </c>
    </row>
    <row r="1997" spans="1:36">
      <c r="A1997" s="1075" t="s">
        <v>746</v>
      </c>
      <c r="B1997" s="1017" t="s">
        <v>99</v>
      </c>
      <c r="C1997" s="1076" t="s">
        <v>1567</v>
      </c>
      <c r="D1997" s="1010"/>
      <c r="E1997" s="987">
        <v>217989</v>
      </c>
      <c r="F1997" s="988">
        <v>10</v>
      </c>
      <c r="G1997" s="1152"/>
      <c r="H1997" s="1153"/>
      <c r="I1997" s="1152"/>
      <c r="J1997" s="1153"/>
      <c r="K1997" s="1152"/>
      <c r="L1997" s="1153"/>
      <c r="M1997" s="1152"/>
      <c r="N1997" s="1152"/>
      <c r="O1997" s="732">
        <f t="shared" si="253"/>
        <v>0</v>
      </c>
      <c r="P1997" s="1159"/>
      <c r="Q1997" s="1153"/>
      <c r="R1997" s="733">
        <f t="shared" si="256"/>
        <v>0</v>
      </c>
      <c r="S1997" s="732">
        <f t="shared" si="257"/>
        <v>0</v>
      </c>
      <c r="T1997" s="733">
        <f t="shared" si="258"/>
        <v>0</v>
      </c>
      <c r="U1997" s="1152"/>
      <c r="V1997" s="1153"/>
      <c r="W1997" s="1152"/>
      <c r="X1997" s="1152"/>
      <c r="Y1997" s="732">
        <f t="shared" si="254"/>
        <v>0</v>
      </c>
      <c r="Z1997" s="1153"/>
      <c r="AA1997" s="1153"/>
      <c r="AB1997" s="733">
        <f t="shared" si="255"/>
        <v>0</v>
      </c>
      <c r="AC1997" s="1152"/>
      <c r="AD1997" s="1153"/>
      <c r="AE1997" s="1152"/>
      <c r="AF1997" s="1152"/>
      <c r="AG1997" s="1153"/>
      <c r="AH1997" s="1153"/>
      <c r="AI1997" s="732">
        <f t="shared" si="259"/>
        <v>0</v>
      </c>
      <c r="AJ1997" s="733">
        <f t="shared" si="260"/>
        <v>0</v>
      </c>
    </row>
    <row r="1998" spans="1:36">
      <c r="A1998" s="1075" t="s">
        <v>746</v>
      </c>
      <c r="B1998" s="1017" t="s">
        <v>99</v>
      </c>
      <c r="C1998" s="1076" t="s">
        <v>1565</v>
      </c>
      <c r="D1998" s="1010"/>
      <c r="E1998" s="987">
        <v>217989</v>
      </c>
      <c r="F1998" s="988">
        <v>10</v>
      </c>
      <c r="G1998" s="1152"/>
      <c r="H1998" s="1153"/>
      <c r="I1998" s="1152">
        <v>37784</v>
      </c>
      <c r="J1998" s="1153">
        <v>37784</v>
      </c>
      <c r="K1998" s="1152"/>
      <c r="L1998" s="1153"/>
      <c r="M1998" s="1152"/>
      <c r="N1998" s="1152"/>
      <c r="O1998" s="732">
        <f t="shared" si="253"/>
        <v>0</v>
      </c>
      <c r="P1998" s="1159"/>
      <c r="Q1998" s="1153"/>
      <c r="R1998" s="733">
        <f t="shared" si="256"/>
        <v>0</v>
      </c>
      <c r="S1998" s="732">
        <f t="shared" si="257"/>
        <v>37784</v>
      </c>
      <c r="T1998" s="733">
        <f t="shared" si="258"/>
        <v>37784</v>
      </c>
      <c r="U1998" s="1152"/>
      <c r="V1998" s="1153"/>
      <c r="W1998" s="1152"/>
      <c r="X1998" s="1152"/>
      <c r="Y1998" s="732">
        <f t="shared" si="254"/>
        <v>0</v>
      </c>
      <c r="Z1998" s="1153"/>
      <c r="AA1998" s="1153"/>
      <c r="AB1998" s="733">
        <f t="shared" si="255"/>
        <v>0</v>
      </c>
      <c r="AC1998" s="1152"/>
      <c r="AD1998" s="1153"/>
      <c r="AE1998" s="1152"/>
      <c r="AF1998" s="1152"/>
      <c r="AG1998" s="1153"/>
      <c r="AH1998" s="1153"/>
      <c r="AI1998" s="732">
        <f t="shared" si="259"/>
        <v>37784</v>
      </c>
      <c r="AJ1998" s="733">
        <f t="shared" si="260"/>
        <v>37784</v>
      </c>
    </row>
    <row r="1999" spans="1:36">
      <c r="A1999" s="1075" t="s">
        <v>746</v>
      </c>
      <c r="B1999" s="1017" t="s">
        <v>99</v>
      </c>
      <c r="C1999" s="1076" t="s">
        <v>1539</v>
      </c>
      <c r="D1999" s="1010"/>
      <c r="E1999" s="987">
        <v>217989</v>
      </c>
      <c r="F1999" s="988">
        <v>10</v>
      </c>
      <c r="G1999" s="1152"/>
      <c r="H1999" s="1153"/>
      <c r="I1999" s="1152">
        <v>77319</v>
      </c>
      <c r="J1999" s="1153">
        <v>77319</v>
      </c>
      <c r="K1999" s="1152"/>
      <c r="L1999" s="1153"/>
      <c r="M1999" s="1152"/>
      <c r="N1999" s="1152"/>
      <c r="O1999" s="732">
        <f t="shared" si="253"/>
        <v>0</v>
      </c>
      <c r="P1999" s="1159"/>
      <c r="Q1999" s="1153"/>
      <c r="R1999" s="733">
        <f t="shared" si="256"/>
        <v>0</v>
      </c>
      <c r="S1999" s="732">
        <f t="shared" si="257"/>
        <v>77319</v>
      </c>
      <c r="T1999" s="733">
        <f t="shared" si="258"/>
        <v>77319</v>
      </c>
      <c r="U1999" s="1152"/>
      <c r="V1999" s="1153"/>
      <c r="W1999" s="1152"/>
      <c r="X1999" s="1152"/>
      <c r="Y1999" s="732">
        <f t="shared" si="254"/>
        <v>0</v>
      </c>
      <c r="Z1999" s="1153"/>
      <c r="AA1999" s="1153"/>
      <c r="AB1999" s="733">
        <f t="shared" si="255"/>
        <v>0</v>
      </c>
      <c r="AC1999" s="1152"/>
      <c r="AD1999" s="1153"/>
      <c r="AE1999" s="1152"/>
      <c r="AF1999" s="1152"/>
      <c r="AG1999" s="1153"/>
      <c r="AH1999" s="1153"/>
      <c r="AI1999" s="732">
        <f t="shared" si="259"/>
        <v>77319</v>
      </c>
      <c r="AJ1999" s="733">
        <f t="shared" si="260"/>
        <v>77319</v>
      </c>
    </row>
    <row r="2000" spans="1:36">
      <c r="A2000" s="1075" t="s">
        <v>746</v>
      </c>
      <c r="B2000" s="1017" t="s">
        <v>62</v>
      </c>
      <c r="C2000" s="1082" t="s">
        <v>1589</v>
      </c>
      <c r="D2000" s="1010"/>
      <c r="E2000" s="987">
        <v>217837</v>
      </c>
      <c r="F2000" s="988">
        <v>10</v>
      </c>
      <c r="G2000" s="1152">
        <v>2972665</v>
      </c>
      <c r="H2000" s="1153">
        <v>3032855</v>
      </c>
      <c r="I2000" s="1152"/>
      <c r="J2000" s="1153"/>
      <c r="K2000" s="1152">
        <v>825453</v>
      </c>
      <c r="L2000" s="1153">
        <v>866713</v>
      </c>
      <c r="M2000" s="1152">
        <v>5022175</v>
      </c>
      <c r="N2000" s="1152"/>
      <c r="O2000" s="732">
        <f t="shared" si="253"/>
        <v>5022175</v>
      </c>
      <c r="P2000" s="1159">
        <v>5669856</v>
      </c>
      <c r="Q2000" s="1153"/>
      <c r="R2000" s="733">
        <f t="shared" si="256"/>
        <v>5669856</v>
      </c>
      <c r="S2000" s="732">
        <f t="shared" si="257"/>
        <v>8820293</v>
      </c>
      <c r="T2000" s="733">
        <f t="shared" si="258"/>
        <v>9569424</v>
      </c>
      <c r="U2000" s="1152"/>
      <c r="V2000" s="1153"/>
      <c r="W2000" s="1152"/>
      <c r="X2000" s="1152"/>
      <c r="Y2000" s="732">
        <f t="shared" si="254"/>
        <v>0</v>
      </c>
      <c r="Z2000" s="1153"/>
      <c r="AA2000" s="1153"/>
      <c r="AB2000" s="733">
        <f t="shared" si="255"/>
        <v>0</v>
      </c>
      <c r="AC2000" s="1152"/>
      <c r="AD2000" s="1153"/>
      <c r="AE2000" s="1152"/>
      <c r="AF2000" s="1152"/>
      <c r="AG2000" s="1153"/>
      <c r="AH2000" s="1153"/>
      <c r="AI2000" s="732">
        <f t="shared" si="259"/>
        <v>8820293</v>
      </c>
      <c r="AJ2000" s="733">
        <f t="shared" si="260"/>
        <v>9569424</v>
      </c>
    </row>
    <row r="2001" spans="1:36">
      <c r="A2001" s="1075" t="s">
        <v>746</v>
      </c>
      <c r="B2001" s="1017" t="s">
        <v>62</v>
      </c>
      <c r="C2001" s="1087" t="s">
        <v>1561</v>
      </c>
      <c r="D2001" s="1010"/>
      <c r="E2001" s="987">
        <v>217837</v>
      </c>
      <c r="F2001" s="988">
        <v>10</v>
      </c>
      <c r="G2001" s="1152">
        <v>66652</v>
      </c>
      <c r="H2001" s="1153"/>
      <c r="I2001" s="1152"/>
      <c r="J2001" s="1153"/>
      <c r="K2001" s="1152"/>
      <c r="L2001" s="1153"/>
      <c r="M2001" s="1152"/>
      <c r="N2001" s="1152"/>
      <c r="O2001" s="732">
        <f t="shared" si="253"/>
        <v>0</v>
      </c>
      <c r="P2001" s="1159"/>
      <c r="Q2001" s="1153"/>
      <c r="R2001" s="733">
        <f t="shared" si="256"/>
        <v>0</v>
      </c>
      <c r="S2001" s="732">
        <f t="shared" si="257"/>
        <v>66652</v>
      </c>
      <c r="T2001" s="733">
        <f t="shared" si="258"/>
        <v>0</v>
      </c>
      <c r="U2001" s="1152"/>
      <c r="V2001" s="1153"/>
      <c r="W2001" s="1152"/>
      <c r="X2001" s="1152"/>
      <c r="Y2001" s="732">
        <f t="shared" si="254"/>
        <v>0</v>
      </c>
      <c r="Z2001" s="1153"/>
      <c r="AA2001" s="1153"/>
      <c r="AB2001" s="733">
        <f t="shared" si="255"/>
        <v>0</v>
      </c>
      <c r="AC2001" s="1152"/>
      <c r="AD2001" s="1153"/>
      <c r="AE2001" s="1152"/>
      <c r="AF2001" s="1152"/>
      <c r="AG2001" s="1153"/>
      <c r="AH2001" s="1153"/>
      <c r="AI2001" s="732">
        <f t="shared" si="259"/>
        <v>66652</v>
      </c>
      <c r="AJ2001" s="733">
        <f t="shared" si="260"/>
        <v>0</v>
      </c>
    </row>
    <row r="2002" spans="1:36">
      <c r="A2002" s="1075" t="s">
        <v>746</v>
      </c>
      <c r="B2002" s="1017" t="s">
        <v>62</v>
      </c>
      <c r="C2002" s="1087" t="s">
        <v>1562</v>
      </c>
      <c r="D2002" s="1010"/>
      <c r="E2002" s="987">
        <v>217837</v>
      </c>
      <c r="F2002" s="988">
        <v>10</v>
      </c>
      <c r="G2002" s="1152">
        <v>41549</v>
      </c>
      <c r="H2002" s="1153"/>
      <c r="I2002" s="1152"/>
      <c r="J2002" s="1153"/>
      <c r="K2002" s="1152"/>
      <c r="L2002" s="1153"/>
      <c r="M2002" s="1152"/>
      <c r="N2002" s="1152"/>
      <c r="O2002" s="732">
        <f t="shared" si="253"/>
        <v>0</v>
      </c>
      <c r="P2002" s="1159"/>
      <c r="Q2002" s="1153"/>
      <c r="R2002" s="733">
        <f t="shared" si="256"/>
        <v>0</v>
      </c>
      <c r="S2002" s="732">
        <f t="shared" si="257"/>
        <v>41549</v>
      </c>
      <c r="T2002" s="733">
        <f t="shared" si="258"/>
        <v>0</v>
      </c>
      <c r="U2002" s="1152"/>
      <c r="V2002" s="1153"/>
      <c r="W2002" s="1152"/>
      <c r="X2002" s="1152"/>
      <c r="Y2002" s="732">
        <f t="shared" si="254"/>
        <v>0</v>
      </c>
      <c r="Z2002" s="1153"/>
      <c r="AA2002" s="1153"/>
      <c r="AB2002" s="733">
        <f t="shared" si="255"/>
        <v>0</v>
      </c>
      <c r="AC2002" s="1152"/>
      <c r="AD2002" s="1153"/>
      <c r="AE2002" s="1152"/>
      <c r="AF2002" s="1152"/>
      <c r="AG2002" s="1153"/>
      <c r="AH2002" s="1153"/>
      <c r="AI2002" s="732">
        <f t="shared" si="259"/>
        <v>41549</v>
      </c>
      <c r="AJ2002" s="733">
        <f t="shared" si="260"/>
        <v>0</v>
      </c>
    </row>
    <row r="2003" spans="1:36">
      <c r="A2003" s="1075" t="s">
        <v>746</v>
      </c>
      <c r="B2003" s="1017" t="s">
        <v>62</v>
      </c>
      <c r="C2003" s="1076" t="s">
        <v>1538</v>
      </c>
      <c r="D2003" s="1010"/>
      <c r="E2003" s="987">
        <v>217837</v>
      </c>
      <c r="F2003" s="988">
        <v>10</v>
      </c>
      <c r="G2003" s="1152"/>
      <c r="H2003" s="1153"/>
      <c r="I2003" s="1152"/>
      <c r="J2003" s="1153"/>
      <c r="K2003" s="1152"/>
      <c r="L2003" s="1153"/>
      <c r="M2003" s="1152"/>
      <c r="N2003" s="1152"/>
      <c r="O2003" s="732">
        <f t="shared" si="253"/>
        <v>0</v>
      </c>
      <c r="P2003" s="1159"/>
      <c r="Q2003" s="1153"/>
      <c r="R2003" s="733">
        <f t="shared" si="256"/>
        <v>0</v>
      </c>
      <c r="S2003" s="732">
        <f t="shared" si="257"/>
        <v>0</v>
      </c>
      <c r="T2003" s="733">
        <f t="shared" si="258"/>
        <v>0</v>
      </c>
      <c r="U2003" s="1152"/>
      <c r="V2003" s="1153"/>
      <c r="W2003" s="1152"/>
      <c r="X2003" s="1152"/>
      <c r="Y2003" s="732">
        <f t="shared" si="254"/>
        <v>0</v>
      </c>
      <c r="Z2003" s="1153"/>
      <c r="AA2003" s="1153"/>
      <c r="AB2003" s="733">
        <f t="shared" si="255"/>
        <v>0</v>
      </c>
      <c r="AC2003" s="1152"/>
      <c r="AD2003" s="1153"/>
      <c r="AE2003" s="1152"/>
      <c r="AF2003" s="1152"/>
      <c r="AG2003" s="1153"/>
      <c r="AH2003" s="1153"/>
      <c r="AI2003" s="732">
        <f t="shared" si="259"/>
        <v>0</v>
      </c>
      <c r="AJ2003" s="733">
        <f t="shared" si="260"/>
        <v>0</v>
      </c>
    </row>
    <row r="2004" spans="1:36">
      <c r="A2004" s="1075" t="s">
        <v>746</v>
      </c>
      <c r="B2004" s="1090" t="s">
        <v>99</v>
      </c>
      <c r="C2004" s="1091" t="s">
        <v>1070</v>
      </c>
      <c r="D2004" s="1092"/>
      <c r="E2004" s="987">
        <v>217837</v>
      </c>
      <c r="F2004" s="988">
        <v>10</v>
      </c>
      <c r="G2004" s="1152"/>
      <c r="H2004" s="1153"/>
      <c r="I2004" s="1152"/>
      <c r="J2004" s="1153"/>
      <c r="K2004" s="1152"/>
      <c r="L2004" s="1153"/>
      <c r="M2004" s="1152"/>
      <c r="N2004" s="1152"/>
      <c r="O2004" s="732">
        <f t="shared" si="253"/>
        <v>0</v>
      </c>
      <c r="P2004" s="1159"/>
      <c r="Q2004" s="1153"/>
      <c r="R2004" s="733">
        <f t="shared" si="256"/>
        <v>0</v>
      </c>
      <c r="S2004" s="732">
        <f t="shared" si="257"/>
        <v>0</v>
      </c>
      <c r="T2004" s="733">
        <f t="shared" si="258"/>
        <v>0</v>
      </c>
      <c r="U2004" s="1152"/>
      <c r="V2004" s="1153"/>
      <c r="W2004" s="1152"/>
      <c r="X2004" s="1152"/>
      <c r="Y2004" s="732">
        <f t="shared" si="254"/>
        <v>0</v>
      </c>
      <c r="Z2004" s="1153"/>
      <c r="AA2004" s="1153"/>
      <c r="AB2004" s="733">
        <f t="shared" si="255"/>
        <v>0</v>
      </c>
      <c r="AC2004" s="1152"/>
      <c r="AD2004" s="1153"/>
      <c r="AE2004" s="1152"/>
      <c r="AF2004" s="1152"/>
      <c r="AG2004" s="1153"/>
      <c r="AH2004" s="1153"/>
      <c r="AI2004" s="732">
        <f t="shared" si="259"/>
        <v>0</v>
      </c>
      <c r="AJ2004" s="733">
        <f t="shared" si="260"/>
        <v>0</v>
      </c>
    </row>
    <row r="2005" spans="1:36">
      <c r="A2005" s="1075" t="s">
        <v>746</v>
      </c>
      <c r="B2005" s="1017" t="s">
        <v>99</v>
      </c>
      <c r="C2005" s="1076" t="s">
        <v>1563</v>
      </c>
      <c r="D2005" s="1010"/>
      <c r="E2005" s="987">
        <v>217837</v>
      </c>
      <c r="F2005" s="988">
        <v>10</v>
      </c>
      <c r="G2005" s="1152"/>
      <c r="H2005" s="1153"/>
      <c r="I2005" s="1152">
        <v>66259</v>
      </c>
      <c r="J2005" s="1153">
        <v>68353</v>
      </c>
      <c r="K2005" s="1152"/>
      <c r="L2005" s="1153"/>
      <c r="M2005" s="1152"/>
      <c r="N2005" s="1152"/>
      <c r="O2005" s="732">
        <f t="shared" si="253"/>
        <v>0</v>
      </c>
      <c r="P2005" s="1159"/>
      <c r="Q2005" s="1153"/>
      <c r="R2005" s="733">
        <f t="shared" si="256"/>
        <v>0</v>
      </c>
      <c r="S2005" s="732">
        <f t="shared" si="257"/>
        <v>66259</v>
      </c>
      <c r="T2005" s="733">
        <f t="shared" si="258"/>
        <v>68353</v>
      </c>
      <c r="U2005" s="1152"/>
      <c r="V2005" s="1153"/>
      <c r="W2005" s="1152"/>
      <c r="X2005" s="1152"/>
      <c r="Y2005" s="732">
        <f t="shared" si="254"/>
        <v>0</v>
      </c>
      <c r="Z2005" s="1153"/>
      <c r="AA2005" s="1153"/>
      <c r="AB2005" s="733">
        <f t="shared" si="255"/>
        <v>0</v>
      </c>
      <c r="AC2005" s="1152"/>
      <c r="AD2005" s="1153"/>
      <c r="AE2005" s="1152"/>
      <c r="AF2005" s="1152"/>
      <c r="AG2005" s="1153"/>
      <c r="AH2005" s="1153"/>
      <c r="AI2005" s="732">
        <f t="shared" si="259"/>
        <v>66259</v>
      </c>
      <c r="AJ2005" s="733">
        <f t="shared" si="260"/>
        <v>68353</v>
      </c>
    </row>
    <row r="2006" spans="1:36">
      <c r="A2006" s="1075" t="s">
        <v>746</v>
      </c>
      <c r="B2006" s="1017" t="s">
        <v>99</v>
      </c>
      <c r="C2006" s="1076" t="s">
        <v>1564</v>
      </c>
      <c r="D2006" s="1010"/>
      <c r="E2006" s="987">
        <v>217837</v>
      </c>
      <c r="F2006" s="988">
        <v>10</v>
      </c>
      <c r="G2006" s="1152"/>
      <c r="H2006" s="1153"/>
      <c r="I2006" s="1152">
        <v>5513</v>
      </c>
      <c r="J2006" s="1153">
        <v>2757</v>
      </c>
      <c r="K2006" s="1152"/>
      <c r="L2006" s="1153"/>
      <c r="M2006" s="1152"/>
      <c r="N2006" s="1152"/>
      <c r="O2006" s="732">
        <f t="shared" si="253"/>
        <v>0</v>
      </c>
      <c r="P2006" s="1159"/>
      <c r="Q2006" s="1153"/>
      <c r="R2006" s="733">
        <f t="shared" si="256"/>
        <v>0</v>
      </c>
      <c r="S2006" s="732">
        <f t="shared" si="257"/>
        <v>5513</v>
      </c>
      <c r="T2006" s="733">
        <f t="shared" si="258"/>
        <v>2757</v>
      </c>
      <c r="U2006" s="1152"/>
      <c r="V2006" s="1153"/>
      <c r="W2006" s="1152"/>
      <c r="X2006" s="1152"/>
      <c r="Y2006" s="732">
        <f t="shared" si="254"/>
        <v>0</v>
      </c>
      <c r="Z2006" s="1153"/>
      <c r="AA2006" s="1153"/>
      <c r="AB2006" s="733">
        <f t="shared" si="255"/>
        <v>0</v>
      </c>
      <c r="AC2006" s="1152"/>
      <c r="AD2006" s="1153"/>
      <c r="AE2006" s="1152"/>
      <c r="AF2006" s="1152"/>
      <c r="AG2006" s="1153"/>
      <c r="AH2006" s="1153"/>
      <c r="AI2006" s="732">
        <f t="shared" si="259"/>
        <v>5513</v>
      </c>
      <c r="AJ2006" s="733">
        <f t="shared" si="260"/>
        <v>2757</v>
      </c>
    </row>
    <row r="2007" spans="1:36">
      <c r="A2007" s="1075" t="s">
        <v>746</v>
      </c>
      <c r="B2007" s="1017" t="s">
        <v>99</v>
      </c>
      <c r="C2007" s="1076" t="s">
        <v>1566</v>
      </c>
      <c r="D2007" s="1010"/>
      <c r="E2007" s="987">
        <v>217837</v>
      </c>
      <c r="F2007" s="988">
        <v>10</v>
      </c>
      <c r="G2007" s="1152"/>
      <c r="H2007" s="1153"/>
      <c r="I2007" s="1152">
        <f>52002+210696</f>
        <v>262698</v>
      </c>
      <c r="J2007" s="1153">
        <f>54198+225653</f>
        <v>279851</v>
      </c>
      <c r="K2007" s="1152"/>
      <c r="L2007" s="1153"/>
      <c r="M2007" s="1152"/>
      <c r="N2007" s="1152"/>
      <c r="O2007" s="732">
        <f t="shared" si="253"/>
        <v>0</v>
      </c>
      <c r="P2007" s="1159"/>
      <c r="Q2007" s="1153"/>
      <c r="R2007" s="733">
        <f t="shared" si="256"/>
        <v>0</v>
      </c>
      <c r="S2007" s="732">
        <f t="shared" si="257"/>
        <v>262698</v>
      </c>
      <c r="T2007" s="733">
        <f t="shared" si="258"/>
        <v>279851</v>
      </c>
      <c r="U2007" s="1152"/>
      <c r="V2007" s="1153"/>
      <c r="W2007" s="1152"/>
      <c r="X2007" s="1152"/>
      <c r="Y2007" s="732">
        <f t="shared" si="254"/>
        <v>0</v>
      </c>
      <c r="Z2007" s="1153"/>
      <c r="AA2007" s="1153"/>
      <c r="AB2007" s="733">
        <f t="shared" si="255"/>
        <v>0</v>
      </c>
      <c r="AC2007" s="1152"/>
      <c r="AD2007" s="1153"/>
      <c r="AE2007" s="1152"/>
      <c r="AF2007" s="1152"/>
      <c r="AG2007" s="1153"/>
      <c r="AH2007" s="1153"/>
      <c r="AI2007" s="732">
        <f t="shared" si="259"/>
        <v>262698</v>
      </c>
      <c r="AJ2007" s="733">
        <f t="shared" si="260"/>
        <v>279851</v>
      </c>
    </row>
    <row r="2008" spans="1:36">
      <c r="A2008" s="1075" t="s">
        <v>746</v>
      </c>
      <c r="B2008" s="1017" t="s">
        <v>99</v>
      </c>
      <c r="C2008" s="1076" t="s">
        <v>1567</v>
      </c>
      <c r="D2008" s="1010"/>
      <c r="E2008" s="987">
        <v>217837</v>
      </c>
      <c r="F2008" s="988">
        <v>10</v>
      </c>
      <c r="G2008" s="1152"/>
      <c r="H2008" s="1153"/>
      <c r="I2008" s="1152"/>
      <c r="J2008" s="1153"/>
      <c r="K2008" s="1152"/>
      <c r="L2008" s="1153"/>
      <c r="M2008" s="1152"/>
      <c r="N2008" s="1152"/>
      <c r="O2008" s="732">
        <f t="shared" si="253"/>
        <v>0</v>
      </c>
      <c r="P2008" s="1159"/>
      <c r="Q2008" s="1153"/>
      <c r="R2008" s="733">
        <f t="shared" si="256"/>
        <v>0</v>
      </c>
      <c r="S2008" s="732">
        <f t="shared" si="257"/>
        <v>0</v>
      </c>
      <c r="T2008" s="733">
        <f t="shared" si="258"/>
        <v>0</v>
      </c>
      <c r="U2008" s="1152"/>
      <c r="V2008" s="1153"/>
      <c r="W2008" s="1152"/>
      <c r="X2008" s="1152"/>
      <c r="Y2008" s="732">
        <f t="shared" si="254"/>
        <v>0</v>
      </c>
      <c r="Z2008" s="1153"/>
      <c r="AA2008" s="1153"/>
      <c r="AB2008" s="733">
        <f t="shared" si="255"/>
        <v>0</v>
      </c>
      <c r="AC2008" s="1152"/>
      <c r="AD2008" s="1153"/>
      <c r="AE2008" s="1152"/>
      <c r="AF2008" s="1152"/>
      <c r="AG2008" s="1153"/>
      <c r="AH2008" s="1153"/>
      <c r="AI2008" s="732">
        <f t="shared" si="259"/>
        <v>0</v>
      </c>
      <c r="AJ2008" s="733">
        <f t="shared" si="260"/>
        <v>0</v>
      </c>
    </row>
    <row r="2009" spans="1:36">
      <c r="A2009" s="1075" t="s">
        <v>746</v>
      </c>
      <c r="B2009" s="1017" t="s">
        <v>99</v>
      </c>
      <c r="C2009" s="1076" t="s">
        <v>1565</v>
      </c>
      <c r="D2009" s="1010"/>
      <c r="E2009" s="987">
        <v>217837</v>
      </c>
      <c r="F2009" s="988">
        <v>10</v>
      </c>
      <c r="G2009" s="1152"/>
      <c r="H2009" s="1153"/>
      <c r="I2009" s="1152">
        <v>37784</v>
      </c>
      <c r="J2009" s="1153">
        <v>37784</v>
      </c>
      <c r="K2009" s="1152"/>
      <c r="L2009" s="1153"/>
      <c r="M2009" s="1152"/>
      <c r="N2009" s="1152"/>
      <c r="O2009" s="732">
        <f t="shared" si="253"/>
        <v>0</v>
      </c>
      <c r="P2009" s="1159"/>
      <c r="Q2009" s="1153"/>
      <c r="R2009" s="733">
        <f t="shared" si="256"/>
        <v>0</v>
      </c>
      <c r="S2009" s="732">
        <f t="shared" si="257"/>
        <v>37784</v>
      </c>
      <c r="T2009" s="733">
        <f t="shared" si="258"/>
        <v>37784</v>
      </c>
      <c r="U2009" s="1152"/>
      <c r="V2009" s="1153"/>
      <c r="W2009" s="1152"/>
      <c r="X2009" s="1152"/>
      <c r="Y2009" s="732">
        <f t="shared" si="254"/>
        <v>0</v>
      </c>
      <c r="Z2009" s="1153"/>
      <c r="AA2009" s="1153"/>
      <c r="AB2009" s="733">
        <f t="shared" si="255"/>
        <v>0</v>
      </c>
      <c r="AC2009" s="1152"/>
      <c r="AD2009" s="1153"/>
      <c r="AE2009" s="1152"/>
      <c r="AF2009" s="1152"/>
      <c r="AG2009" s="1153"/>
      <c r="AH2009" s="1153"/>
      <c r="AI2009" s="732">
        <f t="shared" si="259"/>
        <v>37784</v>
      </c>
      <c r="AJ2009" s="733">
        <f t="shared" si="260"/>
        <v>37784</v>
      </c>
    </row>
    <row r="2010" spans="1:36">
      <c r="A2010" s="1075" t="s">
        <v>746</v>
      </c>
      <c r="B2010" s="1017" t="s">
        <v>99</v>
      </c>
      <c r="C2010" s="1076" t="s">
        <v>1539</v>
      </c>
      <c r="D2010" s="1010"/>
      <c r="E2010" s="987">
        <v>217837</v>
      </c>
      <c r="F2010" s="988">
        <v>10</v>
      </c>
      <c r="G2010" s="1152"/>
      <c r="H2010" s="1153"/>
      <c r="I2010" s="1152">
        <v>83147</v>
      </c>
      <c r="J2010" s="1153">
        <v>81188</v>
      </c>
      <c r="K2010" s="1152"/>
      <c r="L2010" s="1153"/>
      <c r="M2010" s="1152"/>
      <c r="N2010" s="1152"/>
      <c r="O2010" s="732">
        <f t="shared" si="253"/>
        <v>0</v>
      </c>
      <c r="P2010" s="1159"/>
      <c r="Q2010" s="1153"/>
      <c r="R2010" s="733">
        <f t="shared" si="256"/>
        <v>0</v>
      </c>
      <c r="S2010" s="732">
        <f t="shared" si="257"/>
        <v>83147</v>
      </c>
      <c r="T2010" s="733">
        <f t="shared" si="258"/>
        <v>81188</v>
      </c>
      <c r="U2010" s="1152"/>
      <c r="V2010" s="1153"/>
      <c r="W2010" s="1152"/>
      <c r="X2010" s="1152"/>
      <c r="Y2010" s="732">
        <f t="shared" si="254"/>
        <v>0</v>
      </c>
      <c r="Z2010" s="1153"/>
      <c r="AA2010" s="1153"/>
      <c r="AB2010" s="733">
        <f t="shared" si="255"/>
        <v>0</v>
      </c>
      <c r="AC2010" s="1152"/>
      <c r="AD2010" s="1153"/>
      <c r="AE2010" s="1152"/>
      <c r="AF2010" s="1152"/>
      <c r="AG2010" s="1153"/>
      <c r="AH2010" s="1153"/>
      <c r="AI2010" s="732">
        <f t="shared" si="259"/>
        <v>83147</v>
      </c>
      <c r="AJ2010" s="733">
        <f t="shared" si="260"/>
        <v>81188</v>
      </c>
    </row>
    <row r="2011" spans="1:36" s="13" customFormat="1" ht="15" customHeight="1">
      <c r="A2011" s="1075" t="s">
        <v>746</v>
      </c>
      <c r="B2011" s="1017" t="s">
        <v>62</v>
      </c>
      <c r="C2011" s="1082" t="s">
        <v>1590</v>
      </c>
      <c r="D2011" s="1083"/>
      <c r="E2011" s="987">
        <v>218487</v>
      </c>
      <c r="F2011" s="988">
        <v>10</v>
      </c>
      <c r="G2011" s="1152">
        <v>4917139</v>
      </c>
      <c r="H2011" s="1153">
        <v>5014688</v>
      </c>
      <c r="I2011" s="1152"/>
      <c r="J2011" s="1153"/>
      <c r="K2011" s="1152">
        <v>1483740</v>
      </c>
      <c r="L2011" s="1153">
        <v>1484219</v>
      </c>
      <c r="M2011" s="1152">
        <v>11147454</v>
      </c>
      <c r="N2011" s="1152"/>
      <c r="O2011" s="732">
        <f t="shared" si="253"/>
        <v>11147454</v>
      </c>
      <c r="P2011" s="1159">
        <v>11299542</v>
      </c>
      <c r="Q2011" s="1153"/>
      <c r="R2011" s="733">
        <f t="shared" si="256"/>
        <v>11299542</v>
      </c>
      <c r="S2011" s="732">
        <f t="shared" si="257"/>
        <v>17548333</v>
      </c>
      <c r="T2011" s="733">
        <f t="shared" si="258"/>
        <v>17798449</v>
      </c>
      <c r="U2011" s="1152"/>
      <c r="V2011" s="1153"/>
      <c r="W2011" s="1152"/>
      <c r="X2011" s="1152"/>
      <c r="Y2011" s="732">
        <f t="shared" si="254"/>
        <v>0</v>
      </c>
      <c r="Z2011" s="1153"/>
      <c r="AA2011" s="1153"/>
      <c r="AB2011" s="733">
        <f t="shared" si="255"/>
        <v>0</v>
      </c>
      <c r="AC2011" s="1152"/>
      <c r="AD2011" s="1153"/>
      <c r="AE2011" s="1152"/>
      <c r="AF2011" s="1152"/>
      <c r="AG2011" s="1153"/>
      <c r="AH2011" s="1153"/>
      <c r="AI2011" s="732">
        <f t="shared" si="259"/>
        <v>17548333</v>
      </c>
      <c r="AJ2011" s="733">
        <f t="shared" si="260"/>
        <v>17798449</v>
      </c>
    </row>
    <row r="2012" spans="1:36">
      <c r="A2012" s="1075" t="s">
        <v>746</v>
      </c>
      <c r="B2012" s="1017" t="s">
        <v>62</v>
      </c>
      <c r="C2012" s="1087" t="s">
        <v>1561</v>
      </c>
      <c r="D2012" s="1010"/>
      <c r="E2012" s="987">
        <v>218487</v>
      </c>
      <c r="F2012" s="988">
        <v>10</v>
      </c>
      <c r="G2012" s="1152">
        <v>120867</v>
      </c>
      <c r="H2012" s="1153"/>
      <c r="I2012" s="1152"/>
      <c r="J2012" s="1153"/>
      <c r="K2012" s="1152"/>
      <c r="L2012" s="1153"/>
      <c r="M2012" s="1152"/>
      <c r="N2012" s="1152"/>
      <c r="O2012" s="732">
        <f t="shared" si="253"/>
        <v>0</v>
      </c>
      <c r="P2012" s="1159"/>
      <c r="Q2012" s="1153"/>
      <c r="R2012" s="733">
        <f t="shared" si="256"/>
        <v>0</v>
      </c>
      <c r="S2012" s="732">
        <f t="shared" si="257"/>
        <v>120867</v>
      </c>
      <c r="T2012" s="733">
        <f t="shared" si="258"/>
        <v>0</v>
      </c>
      <c r="U2012" s="1152"/>
      <c r="V2012" s="1153"/>
      <c r="W2012" s="1152"/>
      <c r="X2012" s="1152"/>
      <c r="Y2012" s="732">
        <f t="shared" si="254"/>
        <v>0</v>
      </c>
      <c r="Z2012" s="1153"/>
      <c r="AA2012" s="1153"/>
      <c r="AB2012" s="733">
        <f t="shared" si="255"/>
        <v>0</v>
      </c>
      <c r="AC2012" s="1152"/>
      <c r="AD2012" s="1153"/>
      <c r="AE2012" s="1152"/>
      <c r="AF2012" s="1152"/>
      <c r="AG2012" s="1153"/>
      <c r="AH2012" s="1153"/>
      <c r="AI2012" s="732">
        <f t="shared" si="259"/>
        <v>120867</v>
      </c>
      <c r="AJ2012" s="733">
        <f t="shared" si="260"/>
        <v>0</v>
      </c>
    </row>
    <row r="2013" spans="1:36">
      <c r="A2013" s="1075" t="s">
        <v>746</v>
      </c>
      <c r="B2013" s="1017" t="s">
        <v>62</v>
      </c>
      <c r="C2013" s="1087" t="s">
        <v>1562</v>
      </c>
      <c r="D2013" s="1010"/>
      <c r="E2013" s="987">
        <v>218487</v>
      </c>
      <c r="F2013" s="988">
        <v>10</v>
      </c>
      <c r="G2013" s="1152">
        <v>71663</v>
      </c>
      <c r="H2013" s="1153"/>
      <c r="I2013" s="1152"/>
      <c r="J2013" s="1153"/>
      <c r="K2013" s="1152"/>
      <c r="L2013" s="1153"/>
      <c r="M2013" s="1152"/>
      <c r="N2013" s="1152"/>
      <c r="O2013" s="732">
        <f t="shared" si="253"/>
        <v>0</v>
      </c>
      <c r="P2013" s="1159"/>
      <c r="Q2013" s="1153"/>
      <c r="R2013" s="733">
        <f t="shared" si="256"/>
        <v>0</v>
      </c>
      <c r="S2013" s="732">
        <f t="shared" si="257"/>
        <v>71663</v>
      </c>
      <c r="T2013" s="733">
        <f t="shared" si="258"/>
        <v>0</v>
      </c>
      <c r="U2013" s="1152"/>
      <c r="V2013" s="1153"/>
      <c r="W2013" s="1152"/>
      <c r="X2013" s="1152"/>
      <c r="Y2013" s="732">
        <f t="shared" si="254"/>
        <v>0</v>
      </c>
      <c r="Z2013" s="1153"/>
      <c r="AA2013" s="1153"/>
      <c r="AB2013" s="733">
        <f t="shared" si="255"/>
        <v>0</v>
      </c>
      <c r="AC2013" s="1152"/>
      <c r="AD2013" s="1153"/>
      <c r="AE2013" s="1152"/>
      <c r="AF2013" s="1152"/>
      <c r="AG2013" s="1153"/>
      <c r="AH2013" s="1153"/>
      <c r="AI2013" s="732">
        <f t="shared" si="259"/>
        <v>71663</v>
      </c>
      <c r="AJ2013" s="733">
        <f t="shared" si="260"/>
        <v>0</v>
      </c>
    </row>
    <row r="2014" spans="1:36">
      <c r="A2014" s="1075" t="s">
        <v>746</v>
      </c>
      <c r="B2014" s="1017" t="s">
        <v>62</v>
      </c>
      <c r="C2014" s="1076" t="s">
        <v>1538</v>
      </c>
      <c r="D2014" s="1010"/>
      <c r="E2014" s="987">
        <v>218487</v>
      </c>
      <c r="F2014" s="988">
        <v>10</v>
      </c>
      <c r="G2014" s="1152"/>
      <c r="H2014" s="1153"/>
      <c r="I2014" s="1152"/>
      <c r="J2014" s="1153"/>
      <c r="K2014" s="1152"/>
      <c r="L2014" s="1153"/>
      <c r="M2014" s="1152"/>
      <c r="N2014" s="1152"/>
      <c r="O2014" s="732">
        <f t="shared" si="253"/>
        <v>0</v>
      </c>
      <c r="P2014" s="1159"/>
      <c r="Q2014" s="1153"/>
      <c r="R2014" s="733">
        <f t="shared" si="256"/>
        <v>0</v>
      </c>
      <c r="S2014" s="732">
        <f t="shared" si="257"/>
        <v>0</v>
      </c>
      <c r="T2014" s="733">
        <f t="shared" si="258"/>
        <v>0</v>
      </c>
      <c r="U2014" s="1152"/>
      <c r="V2014" s="1153"/>
      <c r="W2014" s="1152"/>
      <c r="X2014" s="1152"/>
      <c r="Y2014" s="732">
        <f t="shared" si="254"/>
        <v>0</v>
      </c>
      <c r="Z2014" s="1153"/>
      <c r="AA2014" s="1153"/>
      <c r="AB2014" s="733">
        <f t="shared" si="255"/>
        <v>0</v>
      </c>
      <c r="AC2014" s="1152"/>
      <c r="AD2014" s="1153"/>
      <c r="AE2014" s="1152"/>
      <c r="AF2014" s="1152"/>
      <c r="AG2014" s="1153"/>
      <c r="AH2014" s="1153"/>
      <c r="AI2014" s="732">
        <f t="shared" si="259"/>
        <v>0</v>
      </c>
      <c r="AJ2014" s="733">
        <f t="shared" si="260"/>
        <v>0</v>
      </c>
    </row>
    <row r="2015" spans="1:36">
      <c r="A2015" s="1075" t="s">
        <v>746</v>
      </c>
      <c r="B2015" s="1017" t="s">
        <v>99</v>
      </c>
      <c r="C2015" s="1077" t="s">
        <v>1070</v>
      </c>
      <c r="D2015" s="1010"/>
      <c r="E2015" s="987">
        <v>218487</v>
      </c>
      <c r="F2015" s="988">
        <v>10</v>
      </c>
      <c r="G2015" s="1152"/>
      <c r="H2015" s="1153"/>
      <c r="I2015" s="1152"/>
      <c r="J2015" s="1153"/>
      <c r="K2015" s="1152"/>
      <c r="L2015" s="1153"/>
      <c r="M2015" s="1152"/>
      <c r="N2015" s="1152"/>
      <c r="O2015" s="732">
        <f t="shared" si="253"/>
        <v>0</v>
      </c>
      <c r="P2015" s="1159"/>
      <c r="Q2015" s="1153"/>
      <c r="R2015" s="733">
        <f t="shared" si="256"/>
        <v>0</v>
      </c>
      <c r="S2015" s="732">
        <f t="shared" si="257"/>
        <v>0</v>
      </c>
      <c r="T2015" s="733">
        <f t="shared" si="258"/>
        <v>0</v>
      </c>
      <c r="U2015" s="1152"/>
      <c r="V2015" s="1153"/>
      <c r="W2015" s="1152"/>
      <c r="X2015" s="1152"/>
      <c r="Y2015" s="732">
        <f t="shared" si="254"/>
        <v>0</v>
      </c>
      <c r="Z2015" s="1153"/>
      <c r="AA2015" s="1153"/>
      <c r="AB2015" s="733">
        <f t="shared" si="255"/>
        <v>0</v>
      </c>
      <c r="AC2015" s="1152"/>
      <c r="AD2015" s="1153"/>
      <c r="AE2015" s="1152"/>
      <c r="AF2015" s="1152"/>
      <c r="AG2015" s="1153"/>
      <c r="AH2015" s="1153"/>
      <c r="AI2015" s="732">
        <f t="shared" si="259"/>
        <v>0</v>
      </c>
      <c r="AJ2015" s="733">
        <f t="shared" si="260"/>
        <v>0</v>
      </c>
    </row>
    <row r="2016" spans="1:36">
      <c r="A2016" s="1075" t="s">
        <v>746</v>
      </c>
      <c r="B2016" s="1017" t="s">
        <v>99</v>
      </c>
      <c r="C2016" s="1076" t="s">
        <v>1563</v>
      </c>
      <c r="D2016" s="1010"/>
      <c r="E2016" s="987">
        <v>218487</v>
      </c>
      <c r="F2016" s="988">
        <v>10</v>
      </c>
      <c r="G2016" s="1152"/>
      <c r="H2016" s="1153"/>
      <c r="I2016" s="1152">
        <v>78911</v>
      </c>
      <c r="J2016" s="1153">
        <v>85516</v>
      </c>
      <c r="K2016" s="1152"/>
      <c r="L2016" s="1153"/>
      <c r="M2016" s="1152"/>
      <c r="N2016" s="1152"/>
      <c r="O2016" s="732">
        <f t="shared" si="253"/>
        <v>0</v>
      </c>
      <c r="P2016" s="1159"/>
      <c r="Q2016" s="1153"/>
      <c r="R2016" s="733">
        <f t="shared" si="256"/>
        <v>0</v>
      </c>
      <c r="S2016" s="732">
        <f t="shared" si="257"/>
        <v>78911</v>
      </c>
      <c r="T2016" s="733">
        <f t="shared" si="258"/>
        <v>85516</v>
      </c>
      <c r="U2016" s="1152"/>
      <c r="V2016" s="1153"/>
      <c r="W2016" s="1152"/>
      <c r="X2016" s="1152"/>
      <c r="Y2016" s="732">
        <f t="shared" si="254"/>
        <v>0</v>
      </c>
      <c r="Z2016" s="1153"/>
      <c r="AA2016" s="1153"/>
      <c r="AB2016" s="733">
        <f t="shared" si="255"/>
        <v>0</v>
      </c>
      <c r="AC2016" s="1152"/>
      <c r="AD2016" s="1153"/>
      <c r="AE2016" s="1152"/>
      <c r="AF2016" s="1152"/>
      <c r="AG2016" s="1153"/>
      <c r="AH2016" s="1153"/>
      <c r="AI2016" s="732">
        <f t="shared" si="259"/>
        <v>78911</v>
      </c>
      <c r="AJ2016" s="733">
        <f t="shared" si="260"/>
        <v>85516</v>
      </c>
    </row>
    <row r="2017" spans="1:36">
      <c r="A2017" s="1075" t="s">
        <v>746</v>
      </c>
      <c r="B2017" s="1017" t="s">
        <v>99</v>
      </c>
      <c r="C2017" s="1076" t="s">
        <v>1564</v>
      </c>
      <c r="D2017" s="1010"/>
      <c r="E2017" s="987">
        <v>218487</v>
      </c>
      <c r="F2017" s="988">
        <v>10</v>
      </c>
      <c r="G2017" s="1152"/>
      <c r="H2017" s="1153"/>
      <c r="I2017" s="1152">
        <v>22052</v>
      </c>
      <c r="J2017" s="1153">
        <v>22052</v>
      </c>
      <c r="K2017" s="1152"/>
      <c r="L2017" s="1153"/>
      <c r="M2017" s="1152"/>
      <c r="N2017" s="1152"/>
      <c r="O2017" s="732">
        <f t="shared" si="253"/>
        <v>0</v>
      </c>
      <c r="P2017" s="1159"/>
      <c r="Q2017" s="1153"/>
      <c r="R2017" s="733">
        <f t="shared" si="256"/>
        <v>0</v>
      </c>
      <c r="S2017" s="732">
        <f t="shared" si="257"/>
        <v>22052</v>
      </c>
      <c r="T2017" s="733">
        <f t="shared" si="258"/>
        <v>22052</v>
      </c>
      <c r="U2017" s="1152"/>
      <c r="V2017" s="1153"/>
      <c r="W2017" s="1152"/>
      <c r="X2017" s="1152"/>
      <c r="Y2017" s="732">
        <f t="shared" si="254"/>
        <v>0</v>
      </c>
      <c r="Z2017" s="1153"/>
      <c r="AA2017" s="1153"/>
      <c r="AB2017" s="733">
        <f t="shared" si="255"/>
        <v>0</v>
      </c>
      <c r="AC2017" s="1152"/>
      <c r="AD2017" s="1153"/>
      <c r="AE2017" s="1152"/>
      <c r="AF2017" s="1152"/>
      <c r="AG2017" s="1153"/>
      <c r="AH2017" s="1153"/>
      <c r="AI2017" s="732">
        <f t="shared" si="259"/>
        <v>22052</v>
      </c>
      <c r="AJ2017" s="733">
        <f t="shared" si="260"/>
        <v>22052</v>
      </c>
    </row>
    <row r="2018" spans="1:36">
      <c r="A2018" s="1075" t="s">
        <v>746</v>
      </c>
      <c r="B2018" s="1017" t="s">
        <v>99</v>
      </c>
      <c r="C2018" s="1076" t="s">
        <v>1566</v>
      </c>
      <c r="D2018" s="1010"/>
      <c r="E2018" s="987">
        <v>218487</v>
      </c>
      <c r="F2018" s="988">
        <v>10</v>
      </c>
      <c r="G2018" s="1152"/>
      <c r="H2018" s="1153"/>
      <c r="I2018" s="1152">
        <f>90471+380740</f>
        <v>471211</v>
      </c>
      <c r="J2018" s="1153">
        <f>91626+378543</f>
        <v>470169</v>
      </c>
      <c r="K2018" s="1152"/>
      <c r="L2018" s="1153"/>
      <c r="M2018" s="1152"/>
      <c r="N2018" s="1152"/>
      <c r="O2018" s="732">
        <f t="shared" si="253"/>
        <v>0</v>
      </c>
      <c r="P2018" s="1159"/>
      <c r="Q2018" s="1153"/>
      <c r="R2018" s="733">
        <f t="shared" si="256"/>
        <v>0</v>
      </c>
      <c r="S2018" s="732">
        <f t="shared" si="257"/>
        <v>471211</v>
      </c>
      <c r="T2018" s="733">
        <f t="shared" si="258"/>
        <v>470169</v>
      </c>
      <c r="U2018" s="1152"/>
      <c r="V2018" s="1153"/>
      <c r="W2018" s="1152"/>
      <c r="X2018" s="1152"/>
      <c r="Y2018" s="732">
        <f t="shared" si="254"/>
        <v>0</v>
      </c>
      <c r="Z2018" s="1153"/>
      <c r="AA2018" s="1153"/>
      <c r="AB2018" s="733">
        <f t="shared" si="255"/>
        <v>0</v>
      </c>
      <c r="AC2018" s="1152"/>
      <c r="AD2018" s="1153"/>
      <c r="AE2018" s="1152"/>
      <c r="AF2018" s="1152"/>
      <c r="AG2018" s="1153"/>
      <c r="AH2018" s="1153"/>
      <c r="AI2018" s="732">
        <f t="shared" si="259"/>
        <v>471211</v>
      </c>
      <c r="AJ2018" s="733">
        <f t="shared" si="260"/>
        <v>470169</v>
      </c>
    </row>
    <row r="2019" spans="1:36">
      <c r="A2019" s="1075" t="s">
        <v>746</v>
      </c>
      <c r="B2019" s="1017" t="s">
        <v>99</v>
      </c>
      <c r="C2019" s="1076" t="s">
        <v>1567</v>
      </c>
      <c r="D2019" s="1010"/>
      <c r="E2019" s="987">
        <v>218487</v>
      </c>
      <c r="F2019" s="988">
        <v>10</v>
      </c>
      <c r="G2019" s="1152"/>
      <c r="H2019" s="1153"/>
      <c r="I2019" s="1152"/>
      <c r="J2019" s="1153"/>
      <c r="K2019" s="1152"/>
      <c r="L2019" s="1153"/>
      <c r="M2019" s="1152"/>
      <c r="N2019" s="1152"/>
      <c r="O2019" s="732">
        <f t="shared" si="253"/>
        <v>0</v>
      </c>
      <c r="P2019" s="1159"/>
      <c r="Q2019" s="1153"/>
      <c r="R2019" s="733">
        <f t="shared" si="256"/>
        <v>0</v>
      </c>
      <c r="S2019" s="732">
        <f t="shared" si="257"/>
        <v>0</v>
      </c>
      <c r="T2019" s="733">
        <f t="shared" si="258"/>
        <v>0</v>
      </c>
      <c r="U2019" s="1152"/>
      <c r="V2019" s="1153"/>
      <c r="W2019" s="1152"/>
      <c r="X2019" s="1152"/>
      <c r="Y2019" s="732">
        <f t="shared" si="254"/>
        <v>0</v>
      </c>
      <c r="Z2019" s="1153"/>
      <c r="AA2019" s="1153"/>
      <c r="AB2019" s="733">
        <f t="shared" si="255"/>
        <v>0</v>
      </c>
      <c r="AC2019" s="1152"/>
      <c r="AD2019" s="1153"/>
      <c r="AE2019" s="1152"/>
      <c r="AF2019" s="1152"/>
      <c r="AG2019" s="1153"/>
      <c r="AH2019" s="1153"/>
      <c r="AI2019" s="732">
        <f t="shared" si="259"/>
        <v>0</v>
      </c>
      <c r="AJ2019" s="733">
        <f t="shared" si="260"/>
        <v>0</v>
      </c>
    </row>
    <row r="2020" spans="1:36">
      <c r="A2020" s="1075" t="s">
        <v>746</v>
      </c>
      <c r="B2020" s="1017" t="s">
        <v>99</v>
      </c>
      <c r="C2020" s="1076" t="s">
        <v>1565</v>
      </c>
      <c r="D2020" s="1010"/>
      <c r="E2020" s="987">
        <v>218487</v>
      </c>
      <c r="F2020" s="988">
        <v>10</v>
      </c>
      <c r="G2020" s="1152"/>
      <c r="H2020" s="1153"/>
      <c r="I2020" s="1152">
        <v>37784</v>
      </c>
      <c r="J2020" s="1153">
        <v>37784</v>
      </c>
      <c r="K2020" s="1152"/>
      <c r="L2020" s="1153"/>
      <c r="M2020" s="1152"/>
      <c r="N2020" s="1152"/>
      <c r="O2020" s="732">
        <f t="shared" si="253"/>
        <v>0</v>
      </c>
      <c r="P2020" s="1159"/>
      <c r="Q2020" s="1153"/>
      <c r="R2020" s="733">
        <f t="shared" si="256"/>
        <v>0</v>
      </c>
      <c r="S2020" s="732">
        <f t="shared" si="257"/>
        <v>37784</v>
      </c>
      <c r="T2020" s="733">
        <f t="shared" si="258"/>
        <v>37784</v>
      </c>
      <c r="U2020" s="1152"/>
      <c r="V2020" s="1153"/>
      <c r="W2020" s="1152"/>
      <c r="X2020" s="1152"/>
      <c r="Y2020" s="732">
        <f t="shared" si="254"/>
        <v>0</v>
      </c>
      <c r="Z2020" s="1153"/>
      <c r="AA2020" s="1153"/>
      <c r="AB2020" s="733">
        <f t="shared" si="255"/>
        <v>0</v>
      </c>
      <c r="AC2020" s="1152"/>
      <c r="AD2020" s="1153"/>
      <c r="AE2020" s="1152"/>
      <c r="AF2020" s="1152"/>
      <c r="AG2020" s="1153"/>
      <c r="AH2020" s="1153"/>
      <c r="AI2020" s="732">
        <f t="shared" si="259"/>
        <v>37784</v>
      </c>
      <c r="AJ2020" s="733">
        <f t="shared" si="260"/>
        <v>37784</v>
      </c>
    </row>
    <row r="2021" spans="1:36">
      <c r="A2021" s="1075" t="s">
        <v>746</v>
      </c>
      <c r="B2021" s="1017" t="s">
        <v>99</v>
      </c>
      <c r="C2021" s="1076" t="s">
        <v>1539</v>
      </c>
      <c r="D2021" s="1010"/>
      <c r="E2021" s="987">
        <v>218487</v>
      </c>
      <c r="F2021" s="988">
        <v>10</v>
      </c>
      <c r="G2021" s="1152"/>
      <c r="H2021" s="1153"/>
      <c r="I2021" s="1152">
        <v>137508</v>
      </c>
      <c r="J2021" s="1153">
        <v>134241</v>
      </c>
      <c r="K2021" s="1152"/>
      <c r="L2021" s="1153"/>
      <c r="M2021" s="1152"/>
      <c r="N2021" s="1152"/>
      <c r="O2021" s="732">
        <f t="shared" si="253"/>
        <v>0</v>
      </c>
      <c r="P2021" s="1159"/>
      <c r="Q2021" s="1153"/>
      <c r="R2021" s="733">
        <f t="shared" si="256"/>
        <v>0</v>
      </c>
      <c r="S2021" s="732">
        <f t="shared" si="257"/>
        <v>137508</v>
      </c>
      <c r="T2021" s="733">
        <f t="shared" si="258"/>
        <v>134241</v>
      </c>
      <c r="U2021" s="1152"/>
      <c r="V2021" s="1153"/>
      <c r="W2021" s="1152"/>
      <c r="X2021" s="1152"/>
      <c r="Y2021" s="732">
        <f t="shared" si="254"/>
        <v>0</v>
      </c>
      <c r="Z2021" s="1153"/>
      <c r="AA2021" s="1153"/>
      <c r="AB2021" s="733">
        <f t="shared" si="255"/>
        <v>0</v>
      </c>
      <c r="AC2021" s="1152"/>
      <c r="AD2021" s="1153"/>
      <c r="AE2021" s="1152"/>
      <c r="AF2021" s="1152"/>
      <c r="AG2021" s="1153"/>
      <c r="AH2021" s="1153"/>
      <c r="AI2021" s="732">
        <f t="shared" si="259"/>
        <v>137508</v>
      </c>
      <c r="AJ2021" s="733">
        <f t="shared" si="260"/>
        <v>134241</v>
      </c>
    </row>
    <row r="2022" spans="1:36">
      <c r="A2022" s="1075" t="s">
        <v>746</v>
      </c>
      <c r="B2022" s="1017" t="s">
        <v>99</v>
      </c>
      <c r="C2022" s="1076" t="s">
        <v>1591</v>
      </c>
      <c r="D2022" s="1010"/>
      <c r="E2022" s="987">
        <v>218487</v>
      </c>
      <c r="F2022" s="988">
        <v>10</v>
      </c>
      <c r="G2022" s="1152"/>
      <c r="H2022" s="1153"/>
      <c r="I2022" s="1152">
        <v>423129</v>
      </c>
      <c r="J2022" s="1153">
        <v>73129</v>
      </c>
      <c r="K2022" s="1152"/>
      <c r="L2022" s="1153"/>
      <c r="M2022" s="1152"/>
      <c r="N2022" s="1152"/>
      <c r="O2022" s="732">
        <f t="shared" si="253"/>
        <v>0</v>
      </c>
      <c r="P2022" s="1159"/>
      <c r="Q2022" s="1153"/>
      <c r="R2022" s="733">
        <f t="shared" si="256"/>
        <v>0</v>
      </c>
      <c r="S2022" s="732">
        <f t="shared" si="257"/>
        <v>423129</v>
      </c>
      <c r="T2022" s="733">
        <f t="shared" si="258"/>
        <v>73129</v>
      </c>
      <c r="U2022" s="1152"/>
      <c r="V2022" s="1153"/>
      <c r="W2022" s="1152"/>
      <c r="X2022" s="1152"/>
      <c r="Y2022" s="732">
        <f t="shared" si="254"/>
        <v>0</v>
      </c>
      <c r="Z2022" s="1153"/>
      <c r="AA2022" s="1153"/>
      <c r="AB2022" s="733">
        <f t="shared" si="255"/>
        <v>0</v>
      </c>
      <c r="AC2022" s="1152"/>
      <c r="AD2022" s="1153"/>
      <c r="AE2022" s="1152"/>
      <c r="AF2022" s="1152"/>
      <c r="AG2022" s="1153"/>
      <c r="AH2022" s="1153"/>
      <c r="AI2022" s="732">
        <f t="shared" si="259"/>
        <v>423129</v>
      </c>
      <c r="AJ2022" s="733">
        <f t="shared" si="260"/>
        <v>73129</v>
      </c>
    </row>
    <row r="2023" spans="1:36">
      <c r="A2023" s="1075" t="s">
        <v>746</v>
      </c>
      <c r="B2023" s="1017" t="s">
        <v>99</v>
      </c>
      <c r="C2023" s="1076" t="s">
        <v>1592</v>
      </c>
      <c r="D2023" s="1010"/>
      <c r="E2023" s="987">
        <v>218487</v>
      </c>
      <c r="F2023" s="988">
        <v>10</v>
      </c>
      <c r="G2023" s="1152"/>
      <c r="H2023" s="1153"/>
      <c r="I2023" s="1152"/>
      <c r="J2023" s="1153"/>
      <c r="K2023" s="1152"/>
      <c r="L2023" s="1153"/>
      <c r="M2023" s="1152"/>
      <c r="N2023" s="1152"/>
      <c r="O2023" s="732">
        <f t="shared" si="253"/>
        <v>0</v>
      </c>
      <c r="P2023" s="1159"/>
      <c r="Q2023" s="1153"/>
      <c r="R2023" s="733">
        <f t="shared" si="256"/>
        <v>0</v>
      </c>
      <c r="S2023" s="732">
        <f t="shared" si="257"/>
        <v>0</v>
      </c>
      <c r="T2023" s="733">
        <f t="shared" si="258"/>
        <v>0</v>
      </c>
      <c r="U2023" s="1152"/>
      <c r="V2023" s="1153"/>
      <c r="W2023" s="1152"/>
      <c r="X2023" s="1152"/>
      <c r="Y2023" s="732">
        <f t="shared" si="254"/>
        <v>0</v>
      </c>
      <c r="Z2023" s="1153"/>
      <c r="AA2023" s="1153"/>
      <c r="AB2023" s="733">
        <f t="shared" si="255"/>
        <v>0</v>
      </c>
      <c r="AC2023" s="1152"/>
      <c r="AD2023" s="1153"/>
      <c r="AE2023" s="1152"/>
      <c r="AF2023" s="1152"/>
      <c r="AG2023" s="1153"/>
      <c r="AH2023" s="1153"/>
      <c r="AI2023" s="732">
        <f t="shared" si="259"/>
        <v>0</v>
      </c>
      <c r="AJ2023" s="733">
        <f t="shared" si="260"/>
        <v>0</v>
      </c>
    </row>
    <row r="2024" spans="1:36">
      <c r="A2024" s="1075" t="s">
        <v>746</v>
      </c>
      <c r="B2024" s="1017" t="s">
        <v>62</v>
      </c>
      <c r="C2024" s="1082" t="s">
        <v>1593</v>
      </c>
      <c r="D2024" s="1010"/>
      <c r="E2024" s="987">
        <v>217712</v>
      </c>
      <c r="F2024" s="988">
        <v>10</v>
      </c>
      <c r="G2024" s="1152">
        <v>4337023</v>
      </c>
      <c r="H2024" s="1153">
        <v>4555293</v>
      </c>
      <c r="I2024" s="1152"/>
      <c r="J2024" s="1153"/>
      <c r="K2024" s="1152">
        <v>2353016</v>
      </c>
      <c r="L2024" s="1153">
        <v>2346766</v>
      </c>
      <c r="M2024" s="1152">
        <v>10405537</v>
      </c>
      <c r="N2024" s="1152"/>
      <c r="O2024" s="732">
        <f t="shared" si="253"/>
        <v>10405537</v>
      </c>
      <c r="P2024" s="1159">
        <v>9625028</v>
      </c>
      <c r="Q2024" s="1153"/>
      <c r="R2024" s="733">
        <f t="shared" si="256"/>
        <v>9625028</v>
      </c>
      <c r="S2024" s="732">
        <f t="shared" si="257"/>
        <v>17095576</v>
      </c>
      <c r="T2024" s="733">
        <f t="shared" si="258"/>
        <v>16527087</v>
      </c>
      <c r="U2024" s="1152"/>
      <c r="V2024" s="1153"/>
      <c r="W2024" s="1152"/>
      <c r="X2024" s="1152"/>
      <c r="Y2024" s="732">
        <f t="shared" si="254"/>
        <v>0</v>
      </c>
      <c r="Z2024" s="1153"/>
      <c r="AA2024" s="1153"/>
      <c r="AB2024" s="733">
        <f t="shared" si="255"/>
        <v>0</v>
      </c>
      <c r="AC2024" s="1152"/>
      <c r="AD2024" s="1153"/>
      <c r="AE2024" s="1152"/>
      <c r="AF2024" s="1152"/>
      <c r="AG2024" s="1153"/>
      <c r="AH2024" s="1153"/>
      <c r="AI2024" s="732">
        <f t="shared" si="259"/>
        <v>17095576</v>
      </c>
      <c r="AJ2024" s="733">
        <f t="shared" si="260"/>
        <v>16527087</v>
      </c>
    </row>
    <row r="2025" spans="1:36">
      <c r="A2025" s="1075" t="s">
        <v>746</v>
      </c>
      <c r="B2025" s="1017" t="s">
        <v>62</v>
      </c>
      <c r="C2025" s="1087" t="s">
        <v>1561</v>
      </c>
      <c r="D2025" s="1010"/>
      <c r="E2025" s="987">
        <v>217712</v>
      </c>
      <c r="F2025" s="988">
        <v>10</v>
      </c>
      <c r="G2025" s="1152">
        <v>103121</v>
      </c>
      <c r="H2025" s="1153"/>
      <c r="I2025" s="1152"/>
      <c r="J2025" s="1153"/>
      <c r="K2025" s="1152"/>
      <c r="L2025" s="1153"/>
      <c r="M2025" s="1152"/>
      <c r="N2025" s="1152"/>
      <c r="O2025" s="732">
        <f t="shared" si="253"/>
        <v>0</v>
      </c>
      <c r="P2025" s="1159"/>
      <c r="Q2025" s="1153"/>
      <c r="R2025" s="733">
        <f t="shared" si="256"/>
        <v>0</v>
      </c>
      <c r="S2025" s="732">
        <f t="shared" si="257"/>
        <v>103121</v>
      </c>
      <c r="T2025" s="733">
        <f t="shared" si="258"/>
        <v>0</v>
      </c>
      <c r="U2025" s="1152"/>
      <c r="V2025" s="1153"/>
      <c r="W2025" s="1152"/>
      <c r="X2025" s="1152"/>
      <c r="Y2025" s="732">
        <f t="shared" si="254"/>
        <v>0</v>
      </c>
      <c r="Z2025" s="1153"/>
      <c r="AA2025" s="1153"/>
      <c r="AB2025" s="733">
        <f t="shared" si="255"/>
        <v>0</v>
      </c>
      <c r="AC2025" s="1152"/>
      <c r="AD2025" s="1153"/>
      <c r="AE2025" s="1152"/>
      <c r="AF2025" s="1152"/>
      <c r="AG2025" s="1153"/>
      <c r="AH2025" s="1153"/>
      <c r="AI2025" s="732">
        <f t="shared" si="259"/>
        <v>103121</v>
      </c>
      <c r="AJ2025" s="733">
        <f t="shared" si="260"/>
        <v>0</v>
      </c>
    </row>
    <row r="2026" spans="1:36">
      <c r="A2026" s="1075" t="s">
        <v>746</v>
      </c>
      <c r="B2026" s="1017" t="s">
        <v>62</v>
      </c>
      <c r="C2026" s="1087" t="s">
        <v>1562</v>
      </c>
      <c r="D2026" s="1010"/>
      <c r="E2026" s="987">
        <v>217712</v>
      </c>
      <c r="F2026" s="988">
        <v>10</v>
      </c>
      <c r="G2026" s="1152">
        <v>61672</v>
      </c>
      <c r="H2026" s="1153"/>
      <c r="I2026" s="1152"/>
      <c r="J2026" s="1153"/>
      <c r="K2026" s="1152"/>
      <c r="L2026" s="1153"/>
      <c r="M2026" s="1152"/>
      <c r="N2026" s="1152"/>
      <c r="O2026" s="732">
        <f t="shared" si="253"/>
        <v>0</v>
      </c>
      <c r="P2026" s="1159"/>
      <c r="Q2026" s="1153"/>
      <c r="R2026" s="733">
        <f t="shared" si="256"/>
        <v>0</v>
      </c>
      <c r="S2026" s="732">
        <f t="shared" si="257"/>
        <v>61672</v>
      </c>
      <c r="T2026" s="733">
        <f t="shared" si="258"/>
        <v>0</v>
      </c>
      <c r="U2026" s="1152"/>
      <c r="V2026" s="1153"/>
      <c r="W2026" s="1152"/>
      <c r="X2026" s="1152"/>
      <c r="Y2026" s="732">
        <f t="shared" si="254"/>
        <v>0</v>
      </c>
      <c r="Z2026" s="1153"/>
      <c r="AA2026" s="1153"/>
      <c r="AB2026" s="733">
        <f t="shared" si="255"/>
        <v>0</v>
      </c>
      <c r="AC2026" s="1152"/>
      <c r="AD2026" s="1153"/>
      <c r="AE2026" s="1152"/>
      <c r="AF2026" s="1152"/>
      <c r="AG2026" s="1153"/>
      <c r="AH2026" s="1153"/>
      <c r="AI2026" s="732">
        <f t="shared" si="259"/>
        <v>61672</v>
      </c>
      <c r="AJ2026" s="733">
        <f t="shared" si="260"/>
        <v>0</v>
      </c>
    </row>
    <row r="2027" spans="1:36">
      <c r="A2027" s="1075" t="s">
        <v>746</v>
      </c>
      <c r="B2027" s="1017" t="s">
        <v>62</v>
      </c>
      <c r="C2027" s="1076" t="s">
        <v>1538</v>
      </c>
      <c r="D2027" s="1010"/>
      <c r="E2027" s="987">
        <v>217712</v>
      </c>
      <c r="F2027" s="988">
        <v>10</v>
      </c>
      <c r="G2027" s="1152"/>
      <c r="H2027" s="1153"/>
      <c r="I2027" s="1152"/>
      <c r="J2027" s="1153"/>
      <c r="K2027" s="1152"/>
      <c r="L2027" s="1153"/>
      <c r="M2027" s="1152"/>
      <c r="N2027" s="1152"/>
      <c r="O2027" s="732">
        <f t="shared" si="253"/>
        <v>0</v>
      </c>
      <c r="P2027" s="1159"/>
      <c r="Q2027" s="1153"/>
      <c r="R2027" s="733">
        <f t="shared" si="256"/>
        <v>0</v>
      </c>
      <c r="S2027" s="732">
        <f t="shared" si="257"/>
        <v>0</v>
      </c>
      <c r="T2027" s="733">
        <f t="shared" si="258"/>
        <v>0</v>
      </c>
      <c r="U2027" s="1152"/>
      <c r="V2027" s="1153"/>
      <c r="W2027" s="1152"/>
      <c r="X2027" s="1152"/>
      <c r="Y2027" s="732">
        <f t="shared" si="254"/>
        <v>0</v>
      </c>
      <c r="Z2027" s="1153"/>
      <c r="AA2027" s="1153"/>
      <c r="AB2027" s="733">
        <f t="shared" si="255"/>
        <v>0</v>
      </c>
      <c r="AC2027" s="1152"/>
      <c r="AD2027" s="1153"/>
      <c r="AE2027" s="1152"/>
      <c r="AF2027" s="1152"/>
      <c r="AG2027" s="1153"/>
      <c r="AH2027" s="1153"/>
      <c r="AI2027" s="732">
        <f t="shared" si="259"/>
        <v>0</v>
      </c>
      <c r="AJ2027" s="733">
        <f t="shared" si="260"/>
        <v>0</v>
      </c>
    </row>
    <row r="2028" spans="1:36">
      <c r="A2028" s="1075" t="s">
        <v>746</v>
      </c>
      <c r="B2028" s="1017" t="s">
        <v>99</v>
      </c>
      <c r="C2028" s="1077" t="s">
        <v>1070</v>
      </c>
      <c r="D2028" s="1010"/>
      <c r="E2028" s="987">
        <v>217712</v>
      </c>
      <c r="F2028" s="988">
        <v>10</v>
      </c>
      <c r="G2028" s="1152"/>
      <c r="H2028" s="1153"/>
      <c r="I2028" s="1152"/>
      <c r="J2028" s="1153"/>
      <c r="K2028" s="1152"/>
      <c r="L2028" s="1153"/>
      <c r="M2028" s="1152"/>
      <c r="N2028" s="1152"/>
      <c r="O2028" s="732">
        <f t="shared" si="253"/>
        <v>0</v>
      </c>
      <c r="P2028" s="1159"/>
      <c r="Q2028" s="1153"/>
      <c r="R2028" s="733">
        <f t="shared" si="256"/>
        <v>0</v>
      </c>
      <c r="S2028" s="732">
        <f t="shared" si="257"/>
        <v>0</v>
      </c>
      <c r="T2028" s="733">
        <f t="shared" si="258"/>
        <v>0</v>
      </c>
      <c r="U2028" s="1152"/>
      <c r="V2028" s="1153"/>
      <c r="W2028" s="1152"/>
      <c r="X2028" s="1152"/>
      <c r="Y2028" s="732">
        <f t="shared" si="254"/>
        <v>0</v>
      </c>
      <c r="Z2028" s="1153"/>
      <c r="AA2028" s="1153"/>
      <c r="AB2028" s="733">
        <f t="shared" si="255"/>
        <v>0</v>
      </c>
      <c r="AC2028" s="1152"/>
      <c r="AD2028" s="1153"/>
      <c r="AE2028" s="1152"/>
      <c r="AF2028" s="1152"/>
      <c r="AG2028" s="1153"/>
      <c r="AH2028" s="1153"/>
      <c r="AI2028" s="732">
        <f t="shared" si="259"/>
        <v>0</v>
      </c>
      <c r="AJ2028" s="733">
        <f t="shared" si="260"/>
        <v>0</v>
      </c>
    </row>
    <row r="2029" spans="1:36">
      <c r="A2029" s="1075" t="s">
        <v>746</v>
      </c>
      <c r="B2029" s="1017" t="s">
        <v>99</v>
      </c>
      <c r="C2029" s="1076" t="s">
        <v>1563</v>
      </c>
      <c r="D2029" s="1010"/>
      <c r="E2029" s="987">
        <v>217712</v>
      </c>
      <c r="F2029" s="988">
        <v>10</v>
      </c>
      <c r="G2029" s="1152"/>
      <c r="H2029" s="1153"/>
      <c r="I2029" s="1152">
        <v>96821</v>
      </c>
      <c r="J2029" s="1153">
        <v>86662</v>
      </c>
      <c r="K2029" s="1152"/>
      <c r="L2029" s="1153"/>
      <c r="M2029" s="1152"/>
      <c r="N2029" s="1152"/>
      <c r="O2029" s="732">
        <f t="shared" si="253"/>
        <v>0</v>
      </c>
      <c r="P2029" s="1159"/>
      <c r="Q2029" s="1153"/>
      <c r="R2029" s="733">
        <f t="shared" si="256"/>
        <v>0</v>
      </c>
      <c r="S2029" s="732">
        <f t="shared" si="257"/>
        <v>96821</v>
      </c>
      <c r="T2029" s="733">
        <f t="shared" si="258"/>
        <v>86662</v>
      </c>
      <c r="U2029" s="1152"/>
      <c r="V2029" s="1153"/>
      <c r="W2029" s="1152"/>
      <c r="X2029" s="1152"/>
      <c r="Y2029" s="732">
        <f t="shared" si="254"/>
        <v>0</v>
      </c>
      <c r="Z2029" s="1153"/>
      <c r="AA2029" s="1153"/>
      <c r="AB2029" s="733">
        <f t="shared" si="255"/>
        <v>0</v>
      </c>
      <c r="AC2029" s="1152"/>
      <c r="AD2029" s="1153"/>
      <c r="AE2029" s="1152"/>
      <c r="AF2029" s="1152"/>
      <c r="AG2029" s="1153"/>
      <c r="AH2029" s="1153"/>
      <c r="AI2029" s="732">
        <f t="shared" si="259"/>
        <v>96821</v>
      </c>
      <c r="AJ2029" s="733">
        <f t="shared" si="260"/>
        <v>86662</v>
      </c>
    </row>
    <row r="2030" spans="1:36">
      <c r="A2030" s="1075" t="s">
        <v>746</v>
      </c>
      <c r="B2030" s="1017" t="s">
        <v>99</v>
      </c>
      <c r="C2030" s="1076" t="s">
        <v>1564</v>
      </c>
      <c r="D2030" s="1010"/>
      <c r="E2030" s="987">
        <v>217712</v>
      </c>
      <c r="F2030" s="988">
        <v>10</v>
      </c>
      <c r="G2030" s="1152"/>
      <c r="H2030" s="1153"/>
      <c r="I2030" s="1152">
        <v>11026</v>
      </c>
      <c r="J2030" s="1153">
        <v>9648</v>
      </c>
      <c r="K2030" s="1152"/>
      <c r="L2030" s="1153"/>
      <c r="M2030" s="1152"/>
      <c r="N2030" s="1152"/>
      <c r="O2030" s="732">
        <f t="shared" si="253"/>
        <v>0</v>
      </c>
      <c r="P2030" s="1159"/>
      <c r="Q2030" s="1153"/>
      <c r="R2030" s="733">
        <f t="shared" si="256"/>
        <v>0</v>
      </c>
      <c r="S2030" s="732">
        <f t="shared" si="257"/>
        <v>11026</v>
      </c>
      <c r="T2030" s="733">
        <f t="shared" si="258"/>
        <v>9648</v>
      </c>
      <c r="U2030" s="1152"/>
      <c r="V2030" s="1153"/>
      <c r="W2030" s="1152"/>
      <c r="X2030" s="1152"/>
      <c r="Y2030" s="732">
        <f t="shared" si="254"/>
        <v>0</v>
      </c>
      <c r="Z2030" s="1153"/>
      <c r="AA2030" s="1153"/>
      <c r="AB2030" s="733">
        <f t="shared" si="255"/>
        <v>0</v>
      </c>
      <c r="AC2030" s="1152"/>
      <c r="AD2030" s="1153"/>
      <c r="AE2030" s="1152"/>
      <c r="AF2030" s="1152"/>
      <c r="AG2030" s="1153"/>
      <c r="AH2030" s="1153"/>
      <c r="AI2030" s="732">
        <f t="shared" si="259"/>
        <v>11026</v>
      </c>
      <c r="AJ2030" s="733">
        <f t="shared" si="260"/>
        <v>9648</v>
      </c>
    </row>
    <row r="2031" spans="1:36">
      <c r="A2031" s="1075" t="s">
        <v>746</v>
      </c>
      <c r="B2031" s="1017" t="s">
        <v>99</v>
      </c>
      <c r="C2031" s="1076" t="s">
        <v>1566</v>
      </c>
      <c r="D2031" s="1010"/>
      <c r="E2031" s="987">
        <v>217712</v>
      </c>
      <c r="F2031" s="988">
        <v>10</v>
      </c>
      <c r="G2031" s="1152"/>
      <c r="H2031" s="1153"/>
      <c r="I2031" s="1152">
        <f>81878+337487</f>
        <v>419365</v>
      </c>
      <c r="J2031" s="1153">
        <f>82540+345934</f>
        <v>428474</v>
      </c>
      <c r="K2031" s="1152"/>
      <c r="L2031" s="1153"/>
      <c r="M2031" s="1152"/>
      <c r="N2031" s="1152"/>
      <c r="O2031" s="732">
        <f t="shared" si="253"/>
        <v>0</v>
      </c>
      <c r="P2031" s="1159"/>
      <c r="Q2031" s="1153"/>
      <c r="R2031" s="733">
        <f t="shared" si="256"/>
        <v>0</v>
      </c>
      <c r="S2031" s="732">
        <f t="shared" si="257"/>
        <v>419365</v>
      </c>
      <c r="T2031" s="733">
        <f t="shared" si="258"/>
        <v>428474</v>
      </c>
      <c r="U2031" s="1152"/>
      <c r="V2031" s="1153"/>
      <c r="W2031" s="1152"/>
      <c r="X2031" s="1152"/>
      <c r="Y2031" s="732">
        <f t="shared" si="254"/>
        <v>0</v>
      </c>
      <c r="Z2031" s="1153"/>
      <c r="AA2031" s="1153"/>
      <c r="AB2031" s="733">
        <f t="shared" si="255"/>
        <v>0</v>
      </c>
      <c r="AC2031" s="1152"/>
      <c r="AD2031" s="1153"/>
      <c r="AE2031" s="1152"/>
      <c r="AF2031" s="1152"/>
      <c r="AG2031" s="1153"/>
      <c r="AH2031" s="1153"/>
      <c r="AI2031" s="732">
        <f t="shared" si="259"/>
        <v>419365</v>
      </c>
      <c r="AJ2031" s="733">
        <f t="shared" si="260"/>
        <v>428474</v>
      </c>
    </row>
    <row r="2032" spans="1:36">
      <c r="A2032" s="1075" t="s">
        <v>746</v>
      </c>
      <c r="B2032" s="1017" t="s">
        <v>99</v>
      </c>
      <c r="C2032" s="1076" t="s">
        <v>1567</v>
      </c>
      <c r="D2032" s="1010"/>
      <c r="E2032" s="987">
        <v>217712</v>
      </c>
      <c r="F2032" s="988">
        <v>10</v>
      </c>
      <c r="G2032" s="1152"/>
      <c r="H2032" s="1153"/>
      <c r="I2032" s="1152"/>
      <c r="J2032" s="1153"/>
      <c r="K2032" s="1152"/>
      <c r="L2032" s="1153"/>
      <c r="M2032" s="1152"/>
      <c r="N2032" s="1152"/>
      <c r="O2032" s="732">
        <f t="shared" si="253"/>
        <v>0</v>
      </c>
      <c r="P2032" s="1159"/>
      <c r="Q2032" s="1153"/>
      <c r="R2032" s="733">
        <f t="shared" si="256"/>
        <v>0</v>
      </c>
      <c r="S2032" s="732">
        <f t="shared" si="257"/>
        <v>0</v>
      </c>
      <c r="T2032" s="733">
        <f t="shared" si="258"/>
        <v>0</v>
      </c>
      <c r="U2032" s="1152"/>
      <c r="V2032" s="1153"/>
      <c r="W2032" s="1152"/>
      <c r="X2032" s="1152"/>
      <c r="Y2032" s="732">
        <f t="shared" si="254"/>
        <v>0</v>
      </c>
      <c r="Z2032" s="1153"/>
      <c r="AA2032" s="1153"/>
      <c r="AB2032" s="733">
        <f t="shared" si="255"/>
        <v>0</v>
      </c>
      <c r="AC2032" s="1152"/>
      <c r="AD2032" s="1153"/>
      <c r="AE2032" s="1152"/>
      <c r="AF2032" s="1152"/>
      <c r="AG2032" s="1153"/>
      <c r="AH2032" s="1153"/>
      <c r="AI2032" s="732">
        <f t="shared" si="259"/>
        <v>0</v>
      </c>
      <c r="AJ2032" s="733">
        <f t="shared" si="260"/>
        <v>0</v>
      </c>
    </row>
    <row r="2033" spans="1:36">
      <c r="A2033" s="1075" t="s">
        <v>746</v>
      </c>
      <c r="B2033" s="1017" t="s">
        <v>99</v>
      </c>
      <c r="C2033" s="1076" t="s">
        <v>1565</v>
      </c>
      <c r="D2033" s="1010"/>
      <c r="E2033" s="987">
        <v>217712</v>
      </c>
      <c r="F2033" s="988">
        <v>10</v>
      </c>
      <c r="G2033" s="1152"/>
      <c r="H2033" s="1153"/>
      <c r="I2033" s="1152">
        <v>37784</v>
      </c>
      <c r="J2033" s="1153">
        <v>37784</v>
      </c>
      <c r="K2033" s="1152"/>
      <c r="L2033" s="1153"/>
      <c r="M2033" s="1152"/>
      <c r="N2033" s="1152"/>
      <c r="O2033" s="732">
        <f t="shared" si="253"/>
        <v>0</v>
      </c>
      <c r="P2033" s="1159"/>
      <c r="Q2033" s="1153"/>
      <c r="R2033" s="733">
        <f t="shared" si="256"/>
        <v>0</v>
      </c>
      <c r="S2033" s="732">
        <f t="shared" si="257"/>
        <v>37784</v>
      </c>
      <c r="T2033" s="733">
        <f t="shared" si="258"/>
        <v>37784</v>
      </c>
      <c r="U2033" s="1152"/>
      <c r="V2033" s="1153"/>
      <c r="W2033" s="1152"/>
      <c r="X2033" s="1152"/>
      <c r="Y2033" s="732">
        <f t="shared" si="254"/>
        <v>0</v>
      </c>
      <c r="Z2033" s="1153"/>
      <c r="AA2033" s="1153"/>
      <c r="AB2033" s="733">
        <f t="shared" si="255"/>
        <v>0</v>
      </c>
      <c r="AC2033" s="1152"/>
      <c r="AD2033" s="1153"/>
      <c r="AE2033" s="1152"/>
      <c r="AF2033" s="1152"/>
      <c r="AG2033" s="1153"/>
      <c r="AH2033" s="1153"/>
      <c r="AI2033" s="732">
        <f t="shared" si="259"/>
        <v>37784</v>
      </c>
      <c r="AJ2033" s="733">
        <f t="shared" si="260"/>
        <v>37784</v>
      </c>
    </row>
    <row r="2034" spans="1:36">
      <c r="A2034" s="1075" t="s">
        <v>746</v>
      </c>
      <c r="B2034" s="1017" t="s">
        <v>99</v>
      </c>
      <c r="C2034" s="1076" t="s">
        <v>1539</v>
      </c>
      <c r="D2034" s="1010"/>
      <c r="E2034" s="987">
        <v>217712</v>
      </c>
      <c r="F2034" s="988">
        <v>10</v>
      </c>
      <c r="G2034" s="1152"/>
      <c r="H2034" s="1153"/>
      <c r="I2034" s="1152">
        <v>121365</v>
      </c>
      <c r="J2034" s="1153">
        <v>121943</v>
      </c>
      <c r="K2034" s="1152"/>
      <c r="L2034" s="1153"/>
      <c r="M2034" s="1152"/>
      <c r="N2034" s="1152"/>
      <c r="O2034" s="732">
        <f t="shared" si="253"/>
        <v>0</v>
      </c>
      <c r="P2034" s="1159"/>
      <c r="Q2034" s="1153"/>
      <c r="R2034" s="733">
        <f t="shared" si="256"/>
        <v>0</v>
      </c>
      <c r="S2034" s="732">
        <f t="shared" si="257"/>
        <v>121365</v>
      </c>
      <c r="T2034" s="733">
        <f t="shared" si="258"/>
        <v>121943</v>
      </c>
      <c r="U2034" s="1152"/>
      <c r="V2034" s="1153"/>
      <c r="W2034" s="1152"/>
      <c r="X2034" s="1152"/>
      <c r="Y2034" s="732">
        <f t="shared" si="254"/>
        <v>0</v>
      </c>
      <c r="Z2034" s="1153"/>
      <c r="AA2034" s="1153"/>
      <c r="AB2034" s="733">
        <f t="shared" si="255"/>
        <v>0</v>
      </c>
      <c r="AC2034" s="1152"/>
      <c r="AD2034" s="1153"/>
      <c r="AE2034" s="1152"/>
      <c r="AF2034" s="1152"/>
      <c r="AG2034" s="1153"/>
      <c r="AH2034" s="1153"/>
      <c r="AI2034" s="732">
        <f t="shared" si="259"/>
        <v>121365</v>
      </c>
      <c r="AJ2034" s="733">
        <f t="shared" si="260"/>
        <v>121943</v>
      </c>
    </row>
    <row r="2035" spans="1:36">
      <c r="A2035" s="1075" t="s">
        <v>746</v>
      </c>
      <c r="B2035" s="1017" t="s">
        <v>99</v>
      </c>
      <c r="C2035" s="1076" t="s">
        <v>1594</v>
      </c>
      <c r="D2035" s="1010"/>
      <c r="E2035" s="987">
        <v>217712</v>
      </c>
      <c r="F2035" s="988">
        <v>10</v>
      </c>
      <c r="G2035" s="1152"/>
      <c r="H2035" s="1153"/>
      <c r="I2035" s="1152">
        <v>500000</v>
      </c>
      <c r="J2035" s="1153">
        <v>500000</v>
      </c>
      <c r="K2035" s="1152"/>
      <c r="L2035" s="1153"/>
      <c r="M2035" s="1152"/>
      <c r="N2035" s="1152"/>
      <c r="O2035" s="732">
        <f t="shared" si="253"/>
        <v>0</v>
      </c>
      <c r="P2035" s="1159"/>
      <c r="Q2035" s="1153"/>
      <c r="R2035" s="733">
        <f t="shared" si="256"/>
        <v>0</v>
      </c>
      <c r="S2035" s="732">
        <f t="shared" si="257"/>
        <v>500000</v>
      </c>
      <c r="T2035" s="733">
        <f t="shared" si="258"/>
        <v>500000</v>
      </c>
      <c r="U2035" s="1152"/>
      <c r="V2035" s="1153"/>
      <c r="W2035" s="1152"/>
      <c r="X2035" s="1152"/>
      <c r="Y2035" s="732">
        <f t="shared" si="254"/>
        <v>0</v>
      </c>
      <c r="Z2035" s="1153"/>
      <c r="AA2035" s="1153"/>
      <c r="AB2035" s="733">
        <f t="shared" si="255"/>
        <v>0</v>
      </c>
      <c r="AC2035" s="1152"/>
      <c r="AD2035" s="1153"/>
      <c r="AE2035" s="1152"/>
      <c r="AF2035" s="1152"/>
      <c r="AG2035" s="1153"/>
      <c r="AH2035" s="1153"/>
      <c r="AI2035" s="732">
        <f t="shared" si="259"/>
        <v>500000</v>
      </c>
      <c r="AJ2035" s="733">
        <f t="shared" si="260"/>
        <v>500000</v>
      </c>
    </row>
    <row r="2036" spans="1:36">
      <c r="A2036" s="1075" t="s">
        <v>746</v>
      </c>
      <c r="B2036" s="1017" t="s">
        <v>62</v>
      </c>
      <c r="C2036" s="1082" t="s">
        <v>1595</v>
      </c>
      <c r="D2036" s="1010"/>
      <c r="E2036" s="987">
        <v>218672</v>
      </c>
      <c r="F2036" s="988">
        <v>10</v>
      </c>
      <c r="G2036" s="1152">
        <v>2884010</v>
      </c>
      <c r="H2036" s="1153">
        <v>2884010</v>
      </c>
      <c r="I2036" s="1152"/>
      <c r="J2036" s="1153"/>
      <c r="K2036" s="1152"/>
      <c r="L2036" s="1153"/>
      <c r="M2036" s="1152">
        <v>7513576</v>
      </c>
      <c r="N2036" s="1152"/>
      <c r="O2036" s="732">
        <f t="shared" si="253"/>
        <v>7513576</v>
      </c>
      <c r="P2036" s="1159">
        <v>7389049</v>
      </c>
      <c r="Q2036" s="1153"/>
      <c r="R2036" s="733">
        <f t="shared" si="256"/>
        <v>7389049</v>
      </c>
      <c r="S2036" s="732">
        <f t="shared" si="257"/>
        <v>10397586</v>
      </c>
      <c r="T2036" s="733">
        <f t="shared" si="258"/>
        <v>10273059</v>
      </c>
      <c r="U2036" s="1152"/>
      <c r="V2036" s="1153"/>
      <c r="W2036" s="1152"/>
      <c r="X2036" s="1152"/>
      <c r="Y2036" s="732">
        <f t="shared" si="254"/>
        <v>0</v>
      </c>
      <c r="Z2036" s="1153"/>
      <c r="AA2036" s="1153"/>
      <c r="AB2036" s="733">
        <f t="shared" si="255"/>
        <v>0</v>
      </c>
      <c r="AC2036" s="1152"/>
      <c r="AD2036" s="1153"/>
      <c r="AE2036" s="1152"/>
      <c r="AF2036" s="1152"/>
      <c r="AG2036" s="1153"/>
      <c r="AH2036" s="1153"/>
      <c r="AI2036" s="732">
        <f t="shared" si="259"/>
        <v>10397586</v>
      </c>
      <c r="AJ2036" s="733">
        <f t="shared" si="260"/>
        <v>10273059</v>
      </c>
    </row>
    <row r="2037" spans="1:36">
      <c r="A2037" s="1075" t="s">
        <v>746</v>
      </c>
      <c r="B2037" s="1017" t="s">
        <v>62</v>
      </c>
      <c r="C2037" s="1076" t="s">
        <v>1518</v>
      </c>
      <c r="D2037" s="1010"/>
      <c r="E2037" s="987">
        <v>218672</v>
      </c>
      <c r="F2037" s="988">
        <v>10</v>
      </c>
      <c r="G2037" s="1152">
        <v>693171</v>
      </c>
      <c r="H2037" s="1153">
        <v>685918</v>
      </c>
      <c r="I2037" s="1152"/>
      <c r="J2037" s="1153"/>
      <c r="K2037" s="1152"/>
      <c r="L2037" s="1153"/>
      <c r="M2037" s="1152"/>
      <c r="N2037" s="1152"/>
      <c r="O2037" s="732">
        <f t="shared" si="253"/>
        <v>0</v>
      </c>
      <c r="P2037" s="1159"/>
      <c r="Q2037" s="1153"/>
      <c r="R2037" s="733">
        <f t="shared" si="256"/>
        <v>0</v>
      </c>
      <c r="S2037" s="732">
        <f t="shared" si="257"/>
        <v>693171</v>
      </c>
      <c r="T2037" s="733">
        <f t="shared" si="258"/>
        <v>685918</v>
      </c>
      <c r="U2037" s="1152"/>
      <c r="V2037" s="1153"/>
      <c r="W2037" s="1152"/>
      <c r="X2037" s="1152"/>
      <c r="Y2037" s="732">
        <f t="shared" si="254"/>
        <v>0</v>
      </c>
      <c r="Z2037" s="1153"/>
      <c r="AA2037" s="1153"/>
      <c r="AB2037" s="733">
        <f t="shared" si="255"/>
        <v>0</v>
      </c>
      <c r="AC2037" s="1152"/>
      <c r="AD2037" s="1153"/>
      <c r="AE2037" s="1152"/>
      <c r="AF2037" s="1152"/>
      <c r="AG2037" s="1153"/>
      <c r="AH2037" s="1153"/>
      <c r="AI2037" s="732">
        <f t="shared" si="259"/>
        <v>693171</v>
      </c>
      <c r="AJ2037" s="733">
        <f t="shared" si="260"/>
        <v>685918</v>
      </c>
    </row>
    <row r="2038" spans="1:36">
      <c r="A2038" s="1075" t="s">
        <v>746</v>
      </c>
      <c r="B2038" s="1017" t="s">
        <v>62</v>
      </c>
      <c r="C2038" s="1076" t="s">
        <v>1538</v>
      </c>
      <c r="D2038" s="1010"/>
      <c r="E2038" s="987">
        <v>218672</v>
      </c>
      <c r="F2038" s="988">
        <v>10</v>
      </c>
      <c r="G2038" s="1152"/>
      <c r="H2038" s="1153"/>
      <c r="I2038" s="1152"/>
      <c r="J2038" s="1153"/>
      <c r="K2038" s="1152"/>
      <c r="L2038" s="1153"/>
      <c r="M2038" s="1152"/>
      <c r="N2038" s="1152"/>
      <c r="O2038" s="732">
        <f t="shared" si="253"/>
        <v>0</v>
      </c>
      <c r="P2038" s="1159"/>
      <c r="Q2038" s="1153"/>
      <c r="R2038" s="733">
        <f t="shared" si="256"/>
        <v>0</v>
      </c>
      <c r="S2038" s="732">
        <f t="shared" si="257"/>
        <v>0</v>
      </c>
      <c r="T2038" s="733">
        <f t="shared" si="258"/>
        <v>0</v>
      </c>
      <c r="U2038" s="1152"/>
      <c r="V2038" s="1153"/>
      <c r="W2038" s="1152"/>
      <c r="X2038" s="1152"/>
      <c r="Y2038" s="732">
        <f t="shared" si="254"/>
        <v>0</v>
      </c>
      <c r="Z2038" s="1153"/>
      <c r="AA2038" s="1153"/>
      <c r="AB2038" s="733">
        <f t="shared" si="255"/>
        <v>0</v>
      </c>
      <c r="AC2038" s="1152"/>
      <c r="AD2038" s="1153"/>
      <c r="AE2038" s="1152"/>
      <c r="AF2038" s="1152"/>
      <c r="AG2038" s="1153"/>
      <c r="AH2038" s="1153"/>
      <c r="AI2038" s="732">
        <f t="shared" si="259"/>
        <v>0</v>
      </c>
      <c r="AJ2038" s="733">
        <f t="shared" si="260"/>
        <v>0</v>
      </c>
    </row>
    <row r="2039" spans="1:36">
      <c r="A2039" s="1075" t="s">
        <v>746</v>
      </c>
      <c r="B2039" s="1017" t="s">
        <v>99</v>
      </c>
      <c r="C2039" s="1077" t="s">
        <v>1070</v>
      </c>
      <c r="D2039" s="1010"/>
      <c r="E2039" s="987">
        <v>218672</v>
      </c>
      <c r="F2039" s="988">
        <v>10</v>
      </c>
      <c r="G2039" s="1152"/>
      <c r="H2039" s="1153"/>
      <c r="I2039" s="1152"/>
      <c r="J2039" s="1153"/>
      <c r="K2039" s="1152"/>
      <c r="L2039" s="1153"/>
      <c r="M2039" s="1152"/>
      <c r="N2039" s="1152"/>
      <c r="O2039" s="732">
        <f t="shared" si="253"/>
        <v>0</v>
      </c>
      <c r="P2039" s="1159"/>
      <c r="Q2039" s="1153"/>
      <c r="R2039" s="733">
        <f t="shared" si="256"/>
        <v>0</v>
      </c>
      <c r="S2039" s="732">
        <f t="shared" si="257"/>
        <v>0</v>
      </c>
      <c r="T2039" s="733">
        <f t="shared" si="258"/>
        <v>0</v>
      </c>
      <c r="U2039" s="1152"/>
      <c r="V2039" s="1153"/>
      <c r="W2039" s="1152"/>
      <c r="X2039" s="1152"/>
      <c r="Y2039" s="732">
        <f t="shared" si="254"/>
        <v>0</v>
      </c>
      <c r="Z2039" s="1153"/>
      <c r="AA2039" s="1153"/>
      <c r="AB2039" s="733">
        <f t="shared" si="255"/>
        <v>0</v>
      </c>
      <c r="AC2039" s="1152"/>
      <c r="AD2039" s="1153"/>
      <c r="AE2039" s="1152"/>
      <c r="AF2039" s="1152"/>
      <c r="AG2039" s="1153"/>
      <c r="AH2039" s="1153"/>
      <c r="AI2039" s="732">
        <f t="shared" si="259"/>
        <v>0</v>
      </c>
      <c r="AJ2039" s="733">
        <f t="shared" si="260"/>
        <v>0</v>
      </c>
    </row>
    <row r="2040" spans="1:36">
      <c r="A2040" s="1075" t="s">
        <v>746</v>
      </c>
      <c r="B2040" s="1017" t="s">
        <v>99</v>
      </c>
      <c r="C2040" s="1076" t="s">
        <v>1523</v>
      </c>
      <c r="D2040" s="1010"/>
      <c r="E2040" s="987">
        <v>218672</v>
      </c>
      <c r="F2040" s="988">
        <v>10</v>
      </c>
      <c r="G2040" s="1152"/>
      <c r="H2040" s="1153"/>
      <c r="I2040" s="1152">
        <v>2811</v>
      </c>
      <c r="J2040" s="1153">
        <v>2811</v>
      </c>
      <c r="K2040" s="1152"/>
      <c r="L2040" s="1153"/>
      <c r="M2040" s="1152"/>
      <c r="N2040" s="1152"/>
      <c r="O2040" s="732">
        <f t="shared" si="253"/>
        <v>0</v>
      </c>
      <c r="P2040" s="1159"/>
      <c r="Q2040" s="1153"/>
      <c r="R2040" s="733">
        <f t="shared" si="256"/>
        <v>0</v>
      </c>
      <c r="S2040" s="732">
        <f t="shared" si="257"/>
        <v>2811</v>
      </c>
      <c r="T2040" s="733">
        <f t="shared" si="258"/>
        <v>2811</v>
      </c>
      <c r="U2040" s="1152"/>
      <c r="V2040" s="1153"/>
      <c r="W2040" s="1152"/>
      <c r="X2040" s="1152"/>
      <c r="Y2040" s="732">
        <f t="shared" si="254"/>
        <v>0</v>
      </c>
      <c r="Z2040" s="1153"/>
      <c r="AA2040" s="1153"/>
      <c r="AB2040" s="733">
        <f t="shared" si="255"/>
        <v>0</v>
      </c>
      <c r="AC2040" s="1152"/>
      <c r="AD2040" s="1153"/>
      <c r="AE2040" s="1152"/>
      <c r="AF2040" s="1152"/>
      <c r="AG2040" s="1153"/>
      <c r="AH2040" s="1153"/>
      <c r="AI2040" s="732">
        <f t="shared" si="259"/>
        <v>2811</v>
      </c>
      <c r="AJ2040" s="733">
        <f t="shared" si="260"/>
        <v>2811</v>
      </c>
    </row>
    <row r="2041" spans="1:36">
      <c r="A2041" s="1075" t="s">
        <v>746</v>
      </c>
      <c r="B2041" s="1017" t="s">
        <v>99</v>
      </c>
      <c r="C2041" s="1076" t="s">
        <v>1539</v>
      </c>
      <c r="D2041" s="1010"/>
      <c r="E2041" s="987">
        <v>218672</v>
      </c>
      <c r="F2041" s="988">
        <v>10</v>
      </c>
      <c r="G2041" s="1152"/>
      <c r="H2041" s="1153"/>
      <c r="I2041" s="1152">
        <v>145010</v>
      </c>
      <c r="J2041" s="1153">
        <v>145010</v>
      </c>
      <c r="K2041" s="1152"/>
      <c r="L2041" s="1153"/>
      <c r="M2041" s="1152"/>
      <c r="N2041" s="1152"/>
      <c r="O2041" s="732">
        <f t="shared" si="253"/>
        <v>0</v>
      </c>
      <c r="P2041" s="1159"/>
      <c r="Q2041" s="1153"/>
      <c r="R2041" s="733">
        <f t="shared" si="256"/>
        <v>0</v>
      </c>
      <c r="S2041" s="732">
        <f t="shared" si="257"/>
        <v>145010</v>
      </c>
      <c r="T2041" s="733">
        <f t="shared" si="258"/>
        <v>145010</v>
      </c>
      <c r="U2041" s="1152"/>
      <c r="V2041" s="1153"/>
      <c r="W2041" s="1152"/>
      <c r="X2041" s="1152"/>
      <c r="Y2041" s="732">
        <f t="shared" si="254"/>
        <v>0</v>
      </c>
      <c r="Z2041" s="1153"/>
      <c r="AA2041" s="1153"/>
      <c r="AB2041" s="733">
        <f t="shared" si="255"/>
        <v>0</v>
      </c>
      <c r="AC2041" s="1152"/>
      <c r="AD2041" s="1153"/>
      <c r="AE2041" s="1152"/>
      <c r="AF2041" s="1152"/>
      <c r="AG2041" s="1153"/>
      <c r="AH2041" s="1153"/>
      <c r="AI2041" s="732">
        <f t="shared" si="259"/>
        <v>145010</v>
      </c>
      <c r="AJ2041" s="733">
        <f t="shared" si="260"/>
        <v>145010</v>
      </c>
    </row>
    <row r="2042" spans="1:36">
      <c r="A2042" s="1075" t="s">
        <v>746</v>
      </c>
      <c r="B2042" s="1017" t="s">
        <v>62</v>
      </c>
      <c r="C2042" s="1082" t="s">
        <v>1596</v>
      </c>
      <c r="D2042" s="1010"/>
      <c r="E2042" s="987">
        <v>218681</v>
      </c>
      <c r="F2042" s="988">
        <v>10</v>
      </c>
      <c r="G2042" s="1152">
        <v>1898500</v>
      </c>
      <c r="H2042" s="1153">
        <v>1898500</v>
      </c>
      <c r="I2042" s="1152"/>
      <c r="J2042" s="1153"/>
      <c r="K2042" s="1152"/>
      <c r="L2042" s="1153"/>
      <c r="M2042" s="1152">
        <v>5223949</v>
      </c>
      <c r="N2042" s="1152"/>
      <c r="O2042" s="732">
        <f t="shared" si="253"/>
        <v>5223949</v>
      </c>
      <c r="P2042" s="1159">
        <v>4815873</v>
      </c>
      <c r="Q2042" s="1153"/>
      <c r="R2042" s="733">
        <f t="shared" si="256"/>
        <v>4815873</v>
      </c>
      <c r="S2042" s="732">
        <f t="shared" si="257"/>
        <v>7122449</v>
      </c>
      <c r="T2042" s="733">
        <f t="shared" si="258"/>
        <v>6714373</v>
      </c>
      <c r="U2042" s="1152"/>
      <c r="V2042" s="1153"/>
      <c r="W2042" s="1152"/>
      <c r="X2042" s="1152"/>
      <c r="Y2042" s="732">
        <f t="shared" si="254"/>
        <v>0</v>
      </c>
      <c r="Z2042" s="1153"/>
      <c r="AA2042" s="1153"/>
      <c r="AB2042" s="733">
        <f t="shared" si="255"/>
        <v>0</v>
      </c>
      <c r="AC2042" s="1152"/>
      <c r="AD2042" s="1153"/>
      <c r="AE2042" s="1152"/>
      <c r="AF2042" s="1152"/>
      <c r="AG2042" s="1153"/>
      <c r="AH2042" s="1153"/>
      <c r="AI2042" s="732">
        <f t="shared" si="259"/>
        <v>7122449</v>
      </c>
      <c r="AJ2042" s="733">
        <f t="shared" si="260"/>
        <v>6714373</v>
      </c>
    </row>
    <row r="2043" spans="1:36">
      <c r="A2043" s="1075" t="s">
        <v>746</v>
      </c>
      <c r="B2043" s="1017" t="s">
        <v>62</v>
      </c>
      <c r="C2043" s="1076" t="s">
        <v>1518</v>
      </c>
      <c r="D2043" s="1010"/>
      <c r="E2043" s="987">
        <v>218681</v>
      </c>
      <c r="F2043" s="988">
        <v>10</v>
      </c>
      <c r="G2043" s="1152">
        <v>486789</v>
      </c>
      <c r="H2043" s="1153">
        <v>480194</v>
      </c>
      <c r="I2043" s="1152"/>
      <c r="J2043" s="1153"/>
      <c r="K2043" s="1152"/>
      <c r="L2043" s="1153"/>
      <c r="M2043" s="1152"/>
      <c r="N2043" s="1152"/>
      <c r="O2043" s="732">
        <f t="shared" si="253"/>
        <v>0</v>
      </c>
      <c r="P2043" s="1159"/>
      <c r="Q2043" s="1153"/>
      <c r="R2043" s="733">
        <f t="shared" si="256"/>
        <v>0</v>
      </c>
      <c r="S2043" s="732">
        <f t="shared" si="257"/>
        <v>486789</v>
      </c>
      <c r="T2043" s="733">
        <f t="shared" si="258"/>
        <v>480194</v>
      </c>
      <c r="U2043" s="1152"/>
      <c r="V2043" s="1153"/>
      <c r="W2043" s="1152"/>
      <c r="X2043" s="1152"/>
      <c r="Y2043" s="732">
        <f t="shared" si="254"/>
        <v>0</v>
      </c>
      <c r="Z2043" s="1153"/>
      <c r="AA2043" s="1153"/>
      <c r="AB2043" s="733">
        <f t="shared" si="255"/>
        <v>0</v>
      </c>
      <c r="AC2043" s="1152"/>
      <c r="AD2043" s="1153"/>
      <c r="AE2043" s="1152"/>
      <c r="AF2043" s="1152"/>
      <c r="AG2043" s="1153"/>
      <c r="AH2043" s="1153"/>
      <c r="AI2043" s="732">
        <f t="shared" si="259"/>
        <v>486789</v>
      </c>
      <c r="AJ2043" s="733">
        <f t="shared" si="260"/>
        <v>480194</v>
      </c>
    </row>
    <row r="2044" spans="1:36">
      <c r="A2044" s="1075" t="s">
        <v>746</v>
      </c>
      <c r="B2044" s="1017" t="s">
        <v>62</v>
      </c>
      <c r="C2044" s="1076" t="s">
        <v>1538</v>
      </c>
      <c r="D2044" s="1010"/>
      <c r="E2044" s="987">
        <v>218681</v>
      </c>
      <c r="F2044" s="988">
        <v>10</v>
      </c>
      <c r="G2044" s="1152"/>
      <c r="H2044" s="1153"/>
      <c r="I2044" s="1152"/>
      <c r="J2044" s="1153"/>
      <c r="K2044" s="1152"/>
      <c r="L2044" s="1153"/>
      <c r="M2044" s="1152"/>
      <c r="N2044" s="1152"/>
      <c r="O2044" s="732">
        <f t="shared" si="253"/>
        <v>0</v>
      </c>
      <c r="P2044" s="1159"/>
      <c r="Q2044" s="1153"/>
      <c r="R2044" s="733">
        <f t="shared" si="256"/>
        <v>0</v>
      </c>
      <c r="S2044" s="732">
        <f t="shared" si="257"/>
        <v>0</v>
      </c>
      <c r="T2044" s="733">
        <f t="shared" si="258"/>
        <v>0</v>
      </c>
      <c r="U2044" s="1152"/>
      <c r="V2044" s="1153"/>
      <c r="W2044" s="1152"/>
      <c r="X2044" s="1152"/>
      <c r="Y2044" s="732">
        <f t="shared" si="254"/>
        <v>0</v>
      </c>
      <c r="Z2044" s="1153"/>
      <c r="AA2044" s="1153"/>
      <c r="AB2044" s="733">
        <f t="shared" si="255"/>
        <v>0</v>
      </c>
      <c r="AC2044" s="1152"/>
      <c r="AD2044" s="1153"/>
      <c r="AE2044" s="1152"/>
      <c r="AF2044" s="1152"/>
      <c r="AG2044" s="1153"/>
      <c r="AH2044" s="1153"/>
      <c r="AI2044" s="732">
        <f t="shared" si="259"/>
        <v>0</v>
      </c>
      <c r="AJ2044" s="733">
        <f t="shared" si="260"/>
        <v>0</v>
      </c>
    </row>
    <row r="2045" spans="1:36">
      <c r="A2045" s="1075" t="s">
        <v>746</v>
      </c>
      <c r="B2045" s="1017" t="s">
        <v>69</v>
      </c>
      <c r="C2045" s="1077" t="s">
        <v>70</v>
      </c>
      <c r="D2045" s="1010"/>
      <c r="E2045" s="987">
        <v>218681</v>
      </c>
      <c r="F2045" s="988">
        <v>10</v>
      </c>
      <c r="G2045" s="1152"/>
      <c r="H2045" s="1153"/>
      <c r="I2045" s="1152"/>
      <c r="J2045" s="1153"/>
      <c r="K2045" s="1152"/>
      <c r="L2045" s="1153"/>
      <c r="M2045" s="1152"/>
      <c r="N2045" s="1152"/>
      <c r="O2045" s="732">
        <f t="shared" si="253"/>
        <v>0</v>
      </c>
      <c r="P2045" s="1159"/>
      <c r="Q2045" s="1153"/>
      <c r="R2045" s="733">
        <f t="shared" si="256"/>
        <v>0</v>
      </c>
      <c r="S2045" s="732">
        <f t="shared" si="257"/>
        <v>0</v>
      </c>
      <c r="T2045" s="733">
        <f t="shared" si="258"/>
        <v>0</v>
      </c>
      <c r="U2045" s="1152"/>
      <c r="V2045" s="1153"/>
      <c r="W2045" s="1152"/>
      <c r="X2045" s="1152"/>
      <c r="Y2045" s="732">
        <f t="shared" si="254"/>
        <v>0</v>
      </c>
      <c r="Z2045" s="1153"/>
      <c r="AA2045" s="1153"/>
      <c r="AB2045" s="733">
        <f t="shared" si="255"/>
        <v>0</v>
      </c>
      <c r="AC2045" s="1152"/>
      <c r="AD2045" s="1153"/>
      <c r="AE2045" s="1152"/>
      <c r="AF2045" s="1152"/>
      <c r="AG2045" s="1153"/>
      <c r="AH2045" s="1153"/>
      <c r="AI2045" s="732">
        <f t="shared" si="259"/>
        <v>0</v>
      </c>
      <c r="AJ2045" s="733">
        <f t="shared" si="260"/>
        <v>0</v>
      </c>
    </row>
    <row r="2046" spans="1:36">
      <c r="A2046" s="1075" t="s">
        <v>746</v>
      </c>
      <c r="B2046" s="1017" t="s">
        <v>69</v>
      </c>
      <c r="C2046" s="1076" t="s">
        <v>1597</v>
      </c>
      <c r="D2046" s="1010"/>
      <c r="E2046" s="987">
        <v>218681</v>
      </c>
      <c r="F2046" s="988">
        <v>10</v>
      </c>
      <c r="G2046" s="1152"/>
      <c r="H2046" s="1153"/>
      <c r="I2046" s="1152">
        <v>100460</v>
      </c>
      <c r="J2046" s="1153">
        <v>100460</v>
      </c>
      <c r="K2046" s="1152"/>
      <c r="L2046" s="1153"/>
      <c r="M2046" s="1152"/>
      <c r="N2046" s="1152"/>
      <c r="O2046" s="732">
        <f t="shared" si="253"/>
        <v>0</v>
      </c>
      <c r="P2046" s="1159"/>
      <c r="Q2046" s="1153"/>
      <c r="R2046" s="733">
        <f t="shared" si="256"/>
        <v>0</v>
      </c>
      <c r="S2046" s="732">
        <f t="shared" si="257"/>
        <v>100460</v>
      </c>
      <c r="T2046" s="733">
        <f t="shared" si="258"/>
        <v>100460</v>
      </c>
      <c r="U2046" s="1152"/>
      <c r="V2046" s="1153"/>
      <c r="W2046" s="1152"/>
      <c r="X2046" s="1152"/>
      <c r="Y2046" s="732">
        <f t="shared" si="254"/>
        <v>0</v>
      </c>
      <c r="Z2046" s="1153"/>
      <c r="AA2046" s="1153"/>
      <c r="AB2046" s="733">
        <f t="shared" si="255"/>
        <v>0</v>
      </c>
      <c r="AC2046" s="1152"/>
      <c r="AD2046" s="1153"/>
      <c r="AE2046" s="1152"/>
      <c r="AF2046" s="1152"/>
      <c r="AG2046" s="1153"/>
      <c r="AH2046" s="1153"/>
      <c r="AI2046" s="732">
        <f t="shared" si="259"/>
        <v>100460</v>
      </c>
      <c r="AJ2046" s="733">
        <f t="shared" si="260"/>
        <v>100460</v>
      </c>
    </row>
    <row r="2047" spans="1:36">
      <c r="A2047" s="1075" t="s">
        <v>746</v>
      </c>
      <c r="B2047" s="1017" t="s">
        <v>99</v>
      </c>
      <c r="C2047" s="1077" t="s">
        <v>1070</v>
      </c>
      <c r="D2047" s="1010"/>
      <c r="E2047" s="987">
        <v>218681</v>
      </c>
      <c r="F2047" s="988">
        <v>10</v>
      </c>
      <c r="G2047" s="1152"/>
      <c r="H2047" s="1153"/>
      <c r="I2047" s="1152"/>
      <c r="J2047" s="1153"/>
      <c r="K2047" s="1152"/>
      <c r="L2047" s="1153"/>
      <c r="M2047" s="1152"/>
      <c r="N2047" s="1152"/>
      <c r="O2047" s="732">
        <f t="shared" si="253"/>
        <v>0</v>
      </c>
      <c r="P2047" s="1159"/>
      <c r="Q2047" s="1153"/>
      <c r="R2047" s="733">
        <f t="shared" si="256"/>
        <v>0</v>
      </c>
      <c r="S2047" s="732">
        <f t="shared" si="257"/>
        <v>0</v>
      </c>
      <c r="T2047" s="733">
        <f t="shared" si="258"/>
        <v>0</v>
      </c>
      <c r="U2047" s="1152"/>
      <c r="V2047" s="1153"/>
      <c r="W2047" s="1152"/>
      <c r="X2047" s="1152"/>
      <c r="Y2047" s="732">
        <f t="shared" si="254"/>
        <v>0</v>
      </c>
      <c r="Z2047" s="1153"/>
      <c r="AA2047" s="1153"/>
      <c r="AB2047" s="733">
        <f t="shared" si="255"/>
        <v>0</v>
      </c>
      <c r="AC2047" s="1152"/>
      <c r="AD2047" s="1153"/>
      <c r="AE2047" s="1152"/>
      <c r="AF2047" s="1152"/>
      <c r="AG2047" s="1153"/>
      <c r="AH2047" s="1153"/>
      <c r="AI2047" s="732">
        <f t="shared" si="259"/>
        <v>0</v>
      </c>
      <c r="AJ2047" s="733">
        <f t="shared" si="260"/>
        <v>0</v>
      </c>
    </row>
    <row r="2048" spans="1:36">
      <c r="A2048" s="1075" t="s">
        <v>746</v>
      </c>
      <c r="B2048" s="1017" t="s">
        <v>99</v>
      </c>
      <c r="C2048" s="1076" t="s">
        <v>1523</v>
      </c>
      <c r="D2048" s="1010"/>
      <c r="E2048" s="987">
        <v>218681</v>
      </c>
      <c r="F2048" s="988">
        <v>10</v>
      </c>
      <c r="G2048" s="1152"/>
      <c r="H2048" s="1153"/>
      <c r="I2048" s="1152">
        <v>206</v>
      </c>
      <c r="J2048" s="1153">
        <v>206</v>
      </c>
      <c r="K2048" s="1152"/>
      <c r="L2048" s="1153"/>
      <c r="M2048" s="1152"/>
      <c r="N2048" s="1152"/>
      <c r="O2048" s="732">
        <f t="shared" si="253"/>
        <v>0</v>
      </c>
      <c r="P2048" s="1159"/>
      <c r="Q2048" s="1153"/>
      <c r="R2048" s="733">
        <f t="shared" si="256"/>
        <v>0</v>
      </c>
      <c r="S2048" s="732">
        <f t="shared" si="257"/>
        <v>206</v>
      </c>
      <c r="T2048" s="733">
        <f t="shared" si="258"/>
        <v>206</v>
      </c>
      <c r="U2048" s="1152"/>
      <c r="V2048" s="1153"/>
      <c r="W2048" s="1152"/>
      <c r="X2048" s="1152"/>
      <c r="Y2048" s="732">
        <f t="shared" si="254"/>
        <v>0</v>
      </c>
      <c r="Z2048" s="1153"/>
      <c r="AA2048" s="1153"/>
      <c r="AB2048" s="733">
        <f t="shared" si="255"/>
        <v>0</v>
      </c>
      <c r="AC2048" s="1152"/>
      <c r="AD2048" s="1153"/>
      <c r="AE2048" s="1152"/>
      <c r="AF2048" s="1152"/>
      <c r="AG2048" s="1153"/>
      <c r="AH2048" s="1153"/>
      <c r="AI2048" s="732">
        <f t="shared" si="259"/>
        <v>206</v>
      </c>
      <c r="AJ2048" s="733">
        <f t="shared" si="260"/>
        <v>206</v>
      </c>
    </row>
    <row r="2049" spans="1:36">
      <c r="A2049" s="1075" t="s">
        <v>746</v>
      </c>
      <c r="B2049" s="1017" t="s">
        <v>99</v>
      </c>
      <c r="C2049" s="1076" t="s">
        <v>1539</v>
      </c>
      <c r="D2049" s="1010"/>
      <c r="E2049" s="987">
        <v>218681</v>
      </c>
      <c r="F2049" s="988">
        <v>10</v>
      </c>
      <c r="G2049" s="1152"/>
      <c r="H2049" s="1153"/>
      <c r="I2049" s="1152">
        <v>145010</v>
      </c>
      <c r="J2049" s="1153">
        <v>145010</v>
      </c>
      <c r="K2049" s="1152"/>
      <c r="L2049" s="1153"/>
      <c r="M2049" s="1152"/>
      <c r="N2049" s="1152"/>
      <c r="O2049" s="732">
        <f t="shared" si="253"/>
        <v>0</v>
      </c>
      <c r="P2049" s="1159"/>
      <c r="Q2049" s="1153"/>
      <c r="R2049" s="733">
        <f t="shared" si="256"/>
        <v>0</v>
      </c>
      <c r="S2049" s="732">
        <f t="shared" si="257"/>
        <v>145010</v>
      </c>
      <c r="T2049" s="733">
        <f t="shared" si="258"/>
        <v>145010</v>
      </c>
      <c r="U2049" s="1152"/>
      <c r="V2049" s="1153"/>
      <c r="W2049" s="1152"/>
      <c r="X2049" s="1152"/>
      <c r="Y2049" s="732">
        <f t="shared" si="254"/>
        <v>0</v>
      </c>
      <c r="Z2049" s="1153"/>
      <c r="AA2049" s="1153"/>
      <c r="AB2049" s="733">
        <f t="shared" si="255"/>
        <v>0</v>
      </c>
      <c r="AC2049" s="1152"/>
      <c r="AD2049" s="1153"/>
      <c r="AE2049" s="1152"/>
      <c r="AF2049" s="1152"/>
      <c r="AG2049" s="1153"/>
      <c r="AH2049" s="1153"/>
      <c r="AI2049" s="732">
        <f t="shared" si="259"/>
        <v>145010</v>
      </c>
      <c r="AJ2049" s="733">
        <f t="shared" si="260"/>
        <v>145010</v>
      </c>
    </row>
    <row r="2050" spans="1:36">
      <c r="A2050" s="1075" t="s">
        <v>746</v>
      </c>
      <c r="B2050" s="1017" t="s">
        <v>62</v>
      </c>
      <c r="C2050" s="1082" t="s">
        <v>1598</v>
      </c>
      <c r="D2050" s="1010"/>
      <c r="E2050" s="987">
        <v>218690</v>
      </c>
      <c r="F2050" s="988">
        <v>10</v>
      </c>
      <c r="G2050" s="1152">
        <v>3027859</v>
      </c>
      <c r="H2050" s="1153">
        <v>3027859</v>
      </c>
      <c r="I2050" s="1152"/>
      <c r="J2050" s="1153"/>
      <c r="K2050" s="1152"/>
      <c r="L2050" s="1153"/>
      <c r="M2050" s="1152">
        <v>6052969</v>
      </c>
      <c r="N2050" s="1152"/>
      <c r="O2050" s="732">
        <f t="shared" si="253"/>
        <v>6052969</v>
      </c>
      <c r="P2050" s="1159">
        <v>5347497</v>
      </c>
      <c r="Q2050" s="1153"/>
      <c r="R2050" s="733">
        <f t="shared" si="256"/>
        <v>5347497</v>
      </c>
      <c r="S2050" s="732">
        <f t="shared" si="257"/>
        <v>9080828</v>
      </c>
      <c r="T2050" s="733">
        <f t="shared" si="258"/>
        <v>8375356</v>
      </c>
      <c r="U2050" s="1152"/>
      <c r="V2050" s="1153"/>
      <c r="W2050" s="1152"/>
      <c r="X2050" s="1152"/>
      <c r="Y2050" s="732">
        <f t="shared" si="254"/>
        <v>0</v>
      </c>
      <c r="Z2050" s="1153"/>
      <c r="AA2050" s="1153"/>
      <c r="AB2050" s="733">
        <f t="shared" si="255"/>
        <v>0</v>
      </c>
      <c r="AC2050" s="1152"/>
      <c r="AD2050" s="1153"/>
      <c r="AE2050" s="1152"/>
      <c r="AF2050" s="1152"/>
      <c r="AG2050" s="1153"/>
      <c r="AH2050" s="1153"/>
      <c r="AI2050" s="732">
        <f t="shared" si="259"/>
        <v>9080828</v>
      </c>
      <c r="AJ2050" s="733">
        <f t="shared" si="260"/>
        <v>8375356</v>
      </c>
    </row>
    <row r="2051" spans="1:36">
      <c r="A2051" s="1075" t="s">
        <v>746</v>
      </c>
      <c r="B2051" s="1017" t="s">
        <v>62</v>
      </c>
      <c r="C2051" s="1076" t="s">
        <v>1518</v>
      </c>
      <c r="D2051" s="1010"/>
      <c r="E2051" s="987">
        <v>218690</v>
      </c>
      <c r="F2051" s="988">
        <v>10</v>
      </c>
      <c r="G2051" s="1152">
        <v>897641</v>
      </c>
      <c r="H2051" s="1153">
        <v>890459</v>
      </c>
      <c r="I2051" s="1152"/>
      <c r="J2051" s="1153"/>
      <c r="K2051" s="1152"/>
      <c r="L2051" s="1153"/>
      <c r="M2051" s="1152"/>
      <c r="N2051" s="1152"/>
      <c r="O2051" s="732">
        <f t="shared" si="253"/>
        <v>0</v>
      </c>
      <c r="P2051" s="1159"/>
      <c r="Q2051" s="1153"/>
      <c r="R2051" s="733">
        <f t="shared" si="256"/>
        <v>0</v>
      </c>
      <c r="S2051" s="732">
        <f t="shared" si="257"/>
        <v>897641</v>
      </c>
      <c r="T2051" s="733">
        <f t="shared" si="258"/>
        <v>890459</v>
      </c>
      <c r="U2051" s="1152"/>
      <c r="V2051" s="1153"/>
      <c r="W2051" s="1152"/>
      <c r="X2051" s="1152"/>
      <c r="Y2051" s="732">
        <f t="shared" si="254"/>
        <v>0</v>
      </c>
      <c r="Z2051" s="1153"/>
      <c r="AA2051" s="1153"/>
      <c r="AB2051" s="733">
        <f t="shared" si="255"/>
        <v>0</v>
      </c>
      <c r="AC2051" s="1152"/>
      <c r="AD2051" s="1153"/>
      <c r="AE2051" s="1152"/>
      <c r="AF2051" s="1152"/>
      <c r="AG2051" s="1153"/>
      <c r="AH2051" s="1153"/>
      <c r="AI2051" s="732">
        <f t="shared" si="259"/>
        <v>897641</v>
      </c>
      <c r="AJ2051" s="733">
        <f t="shared" si="260"/>
        <v>890459</v>
      </c>
    </row>
    <row r="2052" spans="1:36">
      <c r="A2052" s="1075" t="s">
        <v>746</v>
      </c>
      <c r="B2052" s="1017" t="s">
        <v>62</v>
      </c>
      <c r="C2052" s="1076" t="s">
        <v>1538</v>
      </c>
      <c r="D2052" s="1010"/>
      <c r="E2052" s="1005">
        <v>218690</v>
      </c>
      <c r="F2052" s="988">
        <v>10</v>
      </c>
      <c r="G2052" s="1152"/>
      <c r="H2052" s="1153"/>
      <c r="I2052" s="1152"/>
      <c r="J2052" s="1153"/>
      <c r="K2052" s="1152"/>
      <c r="L2052" s="1153"/>
      <c r="M2052" s="1152"/>
      <c r="N2052" s="1152"/>
      <c r="O2052" s="732">
        <f t="shared" si="253"/>
        <v>0</v>
      </c>
      <c r="P2052" s="1159"/>
      <c r="Q2052" s="1153"/>
      <c r="R2052" s="733">
        <f t="shared" si="256"/>
        <v>0</v>
      </c>
      <c r="S2052" s="732">
        <f t="shared" si="257"/>
        <v>0</v>
      </c>
      <c r="T2052" s="733">
        <f t="shared" si="258"/>
        <v>0</v>
      </c>
      <c r="U2052" s="1152"/>
      <c r="V2052" s="1153"/>
      <c r="W2052" s="1152"/>
      <c r="X2052" s="1152"/>
      <c r="Y2052" s="732">
        <f t="shared" si="254"/>
        <v>0</v>
      </c>
      <c r="Z2052" s="1153"/>
      <c r="AA2052" s="1153"/>
      <c r="AB2052" s="733">
        <f t="shared" si="255"/>
        <v>0</v>
      </c>
      <c r="AC2052" s="1152"/>
      <c r="AD2052" s="1153"/>
      <c r="AE2052" s="1152"/>
      <c r="AF2052" s="1152"/>
      <c r="AG2052" s="1153"/>
      <c r="AH2052" s="1153"/>
      <c r="AI2052" s="732">
        <f t="shared" si="259"/>
        <v>0</v>
      </c>
      <c r="AJ2052" s="733">
        <f t="shared" si="260"/>
        <v>0</v>
      </c>
    </row>
    <row r="2053" spans="1:36">
      <c r="A2053" s="1075" t="s">
        <v>746</v>
      </c>
      <c r="B2053" s="1017" t="s">
        <v>99</v>
      </c>
      <c r="C2053" s="1077" t="s">
        <v>1070</v>
      </c>
      <c r="D2053" s="1010"/>
      <c r="E2053" s="987">
        <v>218690</v>
      </c>
      <c r="F2053" s="988">
        <v>10</v>
      </c>
      <c r="G2053" s="1152"/>
      <c r="H2053" s="1153"/>
      <c r="I2053" s="1152"/>
      <c r="J2053" s="1153"/>
      <c r="K2053" s="1152"/>
      <c r="L2053" s="1153"/>
      <c r="M2053" s="1152"/>
      <c r="N2053" s="1152"/>
      <c r="O2053" s="732">
        <f t="shared" si="253"/>
        <v>0</v>
      </c>
      <c r="P2053" s="1159"/>
      <c r="Q2053" s="1153"/>
      <c r="R2053" s="733">
        <f t="shared" si="256"/>
        <v>0</v>
      </c>
      <c r="S2053" s="732">
        <f t="shared" si="257"/>
        <v>0</v>
      </c>
      <c r="T2053" s="733">
        <f t="shared" si="258"/>
        <v>0</v>
      </c>
      <c r="U2053" s="1152"/>
      <c r="V2053" s="1153"/>
      <c r="W2053" s="1152"/>
      <c r="X2053" s="1152"/>
      <c r="Y2053" s="732">
        <f t="shared" si="254"/>
        <v>0</v>
      </c>
      <c r="Z2053" s="1153"/>
      <c r="AA2053" s="1153"/>
      <c r="AB2053" s="733">
        <f t="shared" si="255"/>
        <v>0</v>
      </c>
      <c r="AC2053" s="1152"/>
      <c r="AD2053" s="1153"/>
      <c r="AE2053" s="1152"/>
      <c r="AF2053" s="1152"/>
      <c r="AG2053" s="1153"/>
      <c r="AH2053" s="1153"/>
      <c r="AI2053" s="732">
        <f t="shared" si="259"/>
        <v>0</v>
      </c>
      <c r="AJ2053" s="733">
        <f t="shared" si="260"/>
        <v>0</v>
      </c>
    </row>
    <row r="2054" spans="1:36">
      <c r="A2054" s="1075" t="s">
        <v>746</v>
      </c>
      <c r="B2054" s="1017" t="s">
        <v>99</v>
      </c>
      <c r="C2054" s="1076" t="s">
        <v>1523</v>
      </c>
      <c r="D2054" s="1010"/>
      <c r="E2054" s="987">
        <v>218690</v>
      </c>
      <c r="F2054" s="988">
        <v>10</v>
      </c>
      <c r="G2054" s="1152"/>
      <c r="H2054" s="1153"/>
      <c r="I2054" s="1152">
        <v>628</v>
      </c>
      <c r="J2054" s="1153">
        <v>628</v>
      </c>
      <c r="K2054" s="1152"/>
      <c r="L2054" s="1153"/>
      <c r="M2054" s="1152"/>
      <c r="N2054" s="1152"/>
      <c r="O2054" s="732">
        <f t="shared" si="253"/>
        <v>0</v>
      </c>
      <c r="P2054" s="1159"/>
      <c r="Q2054" s="1153"/>
      <c r="R2054" s="733">
        <f t="shared" si="256"/>
        <v>0</v>
      </c>
      <c r="S2054" s="732">
        <f t="shared" si="257"/>
        <v>628</v>
      </c>
      <c r="T2054" s="733">
        <f t="shared" si="258"/>
        <v>628</v>
      </c>
      <c r="U2054" s="1152"/>
      <c r="V2054" s="1153"/>
      <c r="W2054" s="1152"/>
      <c r="X2054" s="1152"/>
      <c r="Y2054" s="732">
        <f t="shared" si="254"/>
        <v>0</v>
      </c>
      <c r="Z2054" s="1153"/>
      <c r="AA2054" s="1153"/>
      <c r="AB2054" s="733">
        <f t="shared" si="255"/>
        <v>0</v>
      </c>
      <c r="AC2054" s="1152"/>
      <c r="AD2054" s="1153"/>
      <c r="AE2054" s="1152"/>
      <c r="AF2054" s="1152"/>
      <c r="AG2054" s="1153"/>
      <c r="AH2054" s="1153"/>
      <c r="AI2054" s="732">
        <f t="shared" si="259"/>
        <v>628</v>
      </c>
      <c r="AJ2054" s="733">
        <f t="shared" si="260"/>
        <v>628</v>
      </c>
    </row>
    <row r="2055" spans="1:36">
      <c r="A2055" s="1075" t="s">
        <v>746</v>
      </c>
      <c r="B2055" s="1017" t="s">
        <v>99</v>
      </c>
      <c r="C2055" s="1076" t="s">
        <v>1539</v>
      </c>
      <c r="D2055" s="1010"/>
      <c r="E2055" s="987">
        <v>218690</v>
      </c>
      <c r="F2055" s="988">
        <v>10</v>
      </c>
      <c r="G2055" s="1152"/>
      <c r="H2055" s="1153"/>
      <c r="I2055" s="1152">
        <v>145010</v>
      </c>
      <c r="J2055" s="1153">
        <v>145010</v>
      </c>
      <c r="K2055" s="1152"/>
      <c r="L2055" s="1153"/>
      <c r="M2055" s="1152"/>
      <c r="N2055" s="1152"/>
      <c r="O2055" s="732">
        <f t="shared" si="253"/>
        <v>0</v>
      </c>
      <c r="P2055" s="1159"/>
      <c r="Q2055" s="1153"/>
      <c r="R2055" s="733">
        <f t="shared" si="256"/>
        <v>0</v>
      </c>
      <c r="S2055" s="732">
        <f t="shared" si="257"/>
        <v>145010</v>
      </c>
      <c r="T2055" s="733">
        <f t="shared" si="258"/>
        <v>145010</v>
      </c>
      <c r="U2055" s="1152"/>
      <c r="V2055" s="1153"/>
      <c r="W2055" s="1152"/>
      <c r="X2055" s="1152"/>
      <c r="Y2055" s="732">
        <f t="shared" si="254"/>
        <v>0</v>
      </c>
      <c r="Z2055" s="1153"/>
      <c r="AA2055" s="1153"/>
      <c r="AB2055" s="733">
        <f t="shared" si="255"/>
        <v>0</v>
      </c>
      <c r="AC2055" s="1152"/>
      <c r="AD2055" s="1153"/>
      <c r="AE2055" s="1152"/>
      <c r="AF2055" s="1152"/>
      <c r="AG2055" s="1153"/>
      <c r="AH2055" s="1153"/>
      <c r="AI2055" s="732">
        <f t="shared" si="259"/>
        <v>145010</v>
      </c>
      <c r="AJ2055" s="733">
        <f t="shared" si="260"/>
        <v>145010</v>
      </c>
    </row>
    <row r="2056" spans="1:36">
      <c r="A2056" s="1075" t="s">
        <v>746</v>
      </c>
      <c r="B2056" s="1017" t="s">
        <v>62</v>
      </c>
      <c r="C2056" s="1082" t="s">
        <v>1599</v>
      </c>
      <c r="D2056" s="1010"/>
      <c r="E2056" s="987">
        <v>218706</v>
      </c>
      <c r="F2056" s="988">
        <v>10</v>
      </c>
      <c r="G2056" s="1152">
        <v>1305901</v>
      </c>
      <c r="H2056" s="1153">
        <v>1305901</v>
      </c>
      <c r="I2056" s="1152"/>
      <c r="J2056" s="1153"/>
      <c r="K2056" s="1152"/>
      <c r="L2056" s="1153"/>
      <c r="M2056" s="1152">
        <v>4053900</v>
      </c>
      <c r="N2056" s="1152"/>
      <c r="O2056" s="732">
        <f t="shared" si="253"/>
        <v>4053900</v>
      </c>
      <c r="P2056" s="1159">
        <v>4496496</v>
      </c>
      <c r="Q2056" s="1153"/>
      <c r="R2056" s="733">
        <f t="shared" si="256"/>
        <v>4496496</v>
      </c>
      <c r="S2056" s="732">
        <f t="shared" si="257"/>
        <v>5359801</v>
      </c>
      <c r="T2056" s="733">
        <f t="shared" si="258"/>
        <v>5802397</v>
      </c>
      <c r="U2056" s="1152"/>
      <c r="V2056" s="1153"/>
      <c r="W2056" s="1152"/>
      <c r="X2056" s="1152"/>
      <c r="Y2056" s="732">
        <f t="shared" si="254"/>
        <v>0</v>
      </c>
      <c r="Z2056" s="1153"/>
      <c r="AA2056" s="1153"/>
      <c r="AB2056" s="733">
        <f t="shared" si="255"/>
        <v>0</v>
      </c>
      <c r="AC2056" s="1152"/>
      <c r="AD2056" s="1153"/>
      <c r="AE2056" s="1152"/>
      <c r="AF2056" s="1152"/>
      <c r="AG2056" s="1153"/>
      <c r="AH2056" s="1153"/>
      <c r="AI2056" s="732">
        <f t="shared" si="259"/>
        <v>5359801</v>
      </c>
      <c r="AJ2056" s="733">
        <f t="shared" si="260"/>
        <v>5802397</v>
      </c>
    </row>
    <row r="2057" spans="1:36">
      <c r="A2057" s="1075" t="s">
        <v>746</v>
      </c>
      <c r="B2057" s="1017" t="s">
        <v>62</v>
      </c>
      <c r="C2057" s="1076" t="s">
        <v>1518</v>
      </c>
      <c r="D2057" s="1010"/>
      <c r="E2057" s="987">
        <v>218706</v>
      </c>
      <c r="F2057" s="988">
        <v>10</v>
      </c>
      <c r="G2057" s="1152">
        <v>268452</v>
      </c>
      <c r="H2057" s="1153">
        <v>263664</v>
      </c>
      <c r="I2057" s="1152"/>
      <c r="J2057" s="1153"/>
      <c r="K2057" s="1152"/>
      <c r="L2057" s="1153"/>
      <c r="M2057" s="1152"/>
      <c r="N2057" s="1152"/>
      <c r="O2057" s="732">
        <f t="shared" si="253"/>
        <v>0</v>
      </c>
      <c r="P2057" s="1159"/>
      <c r="Q2057" s="1153"/>
      <c r="R2057" s="733">
        <f t="shared" si="256"/>
        <v>0</v>
      </c>
      <c r="S2057" s="732">
        <f t="shared" si="257"/>
        <v>268452</v>
      </c>
      <c r="T2057" s="733">
        <f t="shared" si="258"/>
        <v>263664</v>
      </c>
      <c r="U2057" s="1152"/>
      <c r="V2057" s="1153"/>
      <c r="W2057" s="1152"/>
      <c r="X2057" s="1152"/>
      <c r="Y2057" s="732">
        <f t="shared" si="254"/>
        <v>0</v>
      </c>
      <c r="Z2057" s="1153"/>
      <c r="AA2057" s="1153"/>
      <c r="AB2057" s="733">
        <f t="shared" si="255"/>
        <v>0</v>
      </c>
      <c r="AC2057" s="1152"/>
      <c r="AD2057" s="1153"/>
      <c r="AE2057" s="1152"/>
      <c r="AF2057" s="1152"/>
      <c r="AG2057" s="1153"/>
      <c r="AH2057" s="1153"/>
      <c r="AI2057" s="732">
        <f t="shared" si="259"/>
        <v>268452</v>
      </c>
      <c r="AJ2057" s="733">
        <f t="shared" si="260"/>
        <v>263664</v>
      </c>
    </row>
    <row r="2058" spans="1:36">
      <c r="A2058" s="1075" t="s">
        <v>746</v>
      </c>
      <c r="B2058" s="1017" t="s">
        <v>62</v>
      </c>
      <c r="C2058" s="1076" t="s">
        <v>1538</v>
      </c>
      <c r="D2058" s="1010"/>
      <c r="E2058" s="987">
        <v>218706</v>
      </c>
      <c r="F2058" s="988">
        <v>10</v>
      </c>
      <c r="G2058" s="1152"/>
      <c r="H2058" s="1153"/>
      <c r="I2058" s="1152"/>
      <c r="J2058" s="1153"/>
      <c r="K2058" s="1152"/>
      <c r="L2058" s="1153"/>
      <c r="M2058" s="1152"/>
      <c r="N2058" s="1152"/>
      <c r="O2058" s="732">
        <f t="shared" ref="O2058:O2121" si="261">SUM(M2058:N2058)</f>
        <v>0</v>
      </c>
      <c r="P2058" s="1159"/>
      <c r="Q2058" s="1153"/>
      <c r="R2058" s="733">
        <f t="shared" si="256"/>
        <v>0</v>
      </c>
      <c r="S2058" s="732">
        <f t="shared" si="257"/>
        <v>0</v>
      </c>
      <c r="T2058" s="733">
        <f t="shared" si="258"/>
        <v>0</v>
      </c>
      <c r="U2058" s="1152"/>
      <c r="V2058" s="1153"/>
      <c r="W2058" s="1152"/>
      <c r="X2058" s="1152"/>
      <c r="Y2058" s="732">
        <f t="shared" ref="Y2058:Y2121" si="262">SUM(W2058:X2058)</f>
        <v>0</v>
      </c>
      <c r="Z2058" s="1153"/>
      <c r="AA2058" s="1153"/>
      <c r="AB2058" s="733">
        <f t="shared" ref="AB2058:AB2121" si="263">SUM(Z2058:AA2058)</f>
        <v>0</v>
      </c>
      <c r="AC2058" s="1152"/>
      <c r="AD2058" s="1153"/>
      <c r="AE2058" s="1152"/>
      <c r="AF2058" s="1152"/>
      <c r="AG2058" s="1153"/>
      <c r="AH2058" s="1153"/>
      <c r="AI2058" s="732">
        <f t="shared" si="259"/>
        <v>0</v>
      </c>
      <c r="AJ2058" s="733">
        <f t="shared" si="260"/>
        <v>0</v>
      </c>
    </row>
    <row r="2059" spans="1:36">
      <c r="A2059" s="1075" t="s">
        <v>746</v>
      </c>
      <c r="B2059" s="1017" t="s">
        <v>99</v>
      </c>
      <c r="C2059" s="1077" t="s">
        <v>1070</v>
      </c>
      <c r="D2059" s="1010"/>
      <c r="E2059" s="987">
        <v>218706</v>
      </c>
      <c r="F2059" s="988">
        <v>10</v>
      </c>
      <c r="G2059" s="1152"/>
      <c r="H2059" s="1153"/>
      <c r="I2059" s="1152"/>
      <c r="J2059" s="1153"/>
      <c r="K2059" s="1152"/>
      <c r="L2059" s="1153"/>
      <c r="M2059" s="1152"/>
      <c r="N2059" s="1152"/>
      <c r="O2059" s="732">
        <f t="shared" si="261"/>
        <v>0</v>
      </c>
      <c r="P2059" s="1159"/>
      <c r="Q2059" s="1153"/>
      <c r="R2059" s="733">
        <f t="shared" ref="R2059:R2122" si="264">SUM(P2059:Q2059)</f>
        <v>0</v>
      </c>
      <c r="S2059" s="732">
        <f t="shared" ref="S2059:S2122" si="265">SUM(G2059,I2059,K2059,M2059)</f>
        <v>0</v>
      </c>
      <c r="T2059" s="733">
        <f t="shared" ref="T2059:T2122" si="266">SUM(H2059,J2059,L2059,P2059)</f>
        <v>0</v>
      </c>
      <c r="U2059" s="1152"/>
      <c r="V2059" s="1153"/>
      <c r="W2059" s="1152"/>
      <c r="X2059" s="1152"/>
      <c r="Y2059" s="732">
        <f t="shared" si="262"/>
        <v>0</v>
      </c>
      <c r="Z2059" s="1153"/>
      <c r="AA2059" s="1153"/>
      <c r="AB2059" s="733">
        <f t="shared" si="263"/>
        <v>0</v>
      </c>
      <c r="AC2059" s="1152"/>
      <c r="AD2059" s="1153"/>
      <c r="AE2059" s="1152"/>
      <c r="AF2059" s="1152"/>
      <c r="AG2059" s="1153"/>
      <c r="AH2059" s="1153"/>
      <c r="AI2059" s="732">
        <f t="shared" ref="AI2059:AI2122" si="267">SUM(S2059,U2059,W2059,AC2059,AE2059)</f>
        <v>0</v>
      </c>
      <c r="AJ2059" s="733">
        <f t="shared" ref="AJ2059:AJ2122" si="268">SUM(T2059,V2059,Z2059,AD2059,AG2059)</f>
        <v>0</v>
      </c>
    </row>
    <row r="2060" spans="1:36">
      <c r="A2060" s="1075" t="s">
        <v>746</v>
      </c>
      <c r="B2060" s="1017" t="s">
        <v>99</v>
      </c>
      <c r="C2060" s="1076" t="s">
        <v>1600</v>
      </c>
      <c r="D2060" s="1016" t="s">
        <v>1571</v>
      </c>
      <c r="E2060" s="987">
        <v>218706</v>
      </c>
      <c r="F2060" s="988">
        <v>10</v>
      </c>
      <c r="G2060" s="1152"/>
      <c r="H2060" s="1153"/>
      <c r="I2060" s="1152"/>
      <c r="J2060" s="1153"/>
      <c r="K2060" s="1152"/>
      <c r="L2060" s="1153"/>
      <c r="M2060" s="1152"/>
      <c r="N2060" s="1152"/>
      <c r="O2060" s="732">
        <f t="shared" si="261"/>
        <v>0</v>
      </c>
      <c r="P2060" s="1159"/>
      <c r="Q2060" s="1153"/>
      <c r="R2060" s="733">
        <f t="shared" si="264"/>
        <v>0</v>
      </c>
      <c r="S2060" s="732">
        <f t="shared" si="265"/>
        <v>0</v>
      </c>
      <c r="T2060" s="733">
        <f t="shared" si="266"/>
        <v>0</v>
      </c>
      <c r="U2060" s="1152"/>
      <c r="V2060" s="1153"/>
      <c r="W2060" s="1152"/>
      <c r="X2060" s="1152"/>
      <c r="Y2060" s="732">
        <f t="shared" si="262"/>
        <v>0</v>
      </c>
      <c r="Z2060" s="1153"/>
      <c r="AA2060" s="1153"/>
      <c r="AB2060" s="733">
        <f t="shared" si="263"/>
        <v>0</v>
      </c>
      <c r="AC2060" s="1152"/>
      <c r="AD2060" s="1153"/>
      <c r="AE2060" s="1152"/>
      <c r="AF2060" s="1152"/>
      <c r="AG2060" s="1153"/>
      <c r="AH2060" s="1153"/>
      <c r="AI2060" s="732">
        <f t="shared" si="267"/>
        <v>0</v>
      </c>
      <c r="AJ2060" s="733">
        <f t="shared" si="268"/>
        <v>0</v>
      </c>
    </row>
    <row r="2061" spans="1:36">
      <c r="A2061" s="1075" t="s">
        <v>746</v>
      </c>
      <c r="B2061" s="1017" t="s">
        <v>99</v>
      </c>
      <c r="C2061" s="1076" t="s">
        <v>1523</v>
      </c>
      <c r="D2061" s="1010"/>
      <c r="E2061" s="987">
        <v>218706</v>
      </c>
      <c r="F2061" s="988">
        <v>10</v>
      </c>
      <c r="G2061" s="1152"/>
      <c r="H2061" s="1153"/>
      <c r="I2061" s="1152">
        <v>223</v>
      </c>
      <c r="J2061" s="1153">
        <v>223</v>
      </c>
      <c r="K2061" s="1152"/>
      <c r="L2061" s="1153"/>
      <c r="M2061" s="1152"/>
      <c r="N2061" s="1152"/>
      <c r="O2061" s="732">
        <f t="shared" si="261"/>
        <v>0</v>
      </c>
      <c r="P2061" s="1159"/>
      <c r="Q2061" s="1153"/>
      <c r="R2061" s="733">
        <f t="shared" si="264"/>
        <v>0</v>
      </c>
      <c r="S2061" s="732">
        <f t="shared" si="265"/>
        <v>223</v>
      </c>
      <c r="T2061" s="733">
        <f t="shared" si="266"/>
        <v>223</v>
      </c>
      <c r="U2061" s="1152"/>
      <c r="V2061" s="1153"/>
      <c r="W2061" s="1152"/>
      <c r="X2061" s="1152"/>
      <c r="Y2061" s="732">
        <f t="shared" si="262"/>
        <v>0</v>
      </c>
      <c r="Z2061" s="1153"/>
      <c r="AA2061" s="1153"/>
      <c r="AB2061" s="733">
        <f t="shared" si="263"/>
        <v>0</v>
      </c>
      <c r="AC2061" s="1152"/>
      <c r="AD2061" s="1153"/>
      <c r="AE2061" s="1152"/>
      <c r="AF2061" s="1152"/>
      <c r="AG2061" s="1153"/>
      <c r="AH2061" s="1153"/>
      <c r="AI2061" s="732">
        <f t="shared" si="267"/>
        <v>223</v>
      </c>
      <c r="AJ2061" s="733">
        <f t="shared" si="268"/>
        <v>223</v>
      </c>
    </row>
    <row r="2062" spans="1:36">
      <c r="A2062" s="1075" t="s">
        <v>746</v>
      </c>
      <c r="B2062" s="1017" t="s">
        <v>99</v>
      </c>
      <c r="C2062" s="1076" t="s">
        <v>1539</v>
      </c>
      <c r="D2062" s="1010"/>
      <c r="E2062" s="987">
        <v>218706</v>
      </c>
      <c r="F2062" s="988">
        <v>10</v>
      </c>
      <c r="G2062" s="1152"/>
      <c r="H2062" s="1153"/>
      <c r="I2062" s="1152">
        <v>145010</v>
      </c>
      <c r="J2062" s="1153">
        <v>145010</v>
      </c>
      <c r="K2062" s="1152"/>
      <c r="L2062" s="1153"/>
      <c r="M2062" s="1152"/>
      <c r="N2062" s="1152"/>
      <c r="O2062" s="732">
        <f t="shared" si="261"/>
        <v>0</v>
      </c>
      <c r="P2062" s="1159"/>
      <c r="Q2062" s="1153"/>
      <c r="R2062" s="733">
        <f t="shared" si="264"/>
        <v>0</v>
      </c>
      <c r="S2062" s="732">
        <f t="shared" si="265"/>
        <v>145010</v>
      </c>
      <c r="T2062" s="733">
        <f t="shared" si="266"/>
        <v>145010</v>
      </c>
      <c r="U2062" s="1152"/>
      <c r="V2062" s="1153"/>
      <c r="W2062" s="1152"/>
      <c r="X2062" s="1152"/>
      <c r="Y2062" s="732">
        <f t="shared" si="262"/>
        <v>0</v>
      </c>
      <c r="Z2062" s="1153"/>
      <c r="AA2062" s="1153"/>
      <c r="AB2062" s="733">
        <f t="shared" si="263"/>
        <v>0</v>
      </c>
      <c r="AC2062" s="1152"/>
      <c r="AD2062" s="1153"/>
      <c r="AE2062" s="1152"/>
      <c r="AF2062" s="1152"/>
      <c r="AG2062" s="1153"/>
      <c r="AH2062" s="1153"/>
      <c r="AI2062" s="732">
        <f t="shared" si="267"/>
        <v>145010</v>
      </c>
      <c r="AJ2062" s="733">
        <f t="shared" si="268"/>
        <v>145010</v>
      </c>
    </row>
    <row r="2063" spans="1:36">
      <c r="A2063" s="1075" t="s">
        <v>746</v>
      </c>
      <c r="B2063" s="1017" t="s">
        <v>99</v>
      </c>
      <c r="C2063" s="1076" t="s">
        <v>1601</v>
      </c>
      <c r="D2063" s="1010"/>
      <c r="E2063" s="987">
        <v>218706</v>
      </c>
      <c r="F2063" s="988">
        <v>10</v>
      </c>
      <c r="G2063" s="1152"/>
      <c r="H2063" s="1153"/>
      <c r="I2063" s="1152"/>
      <c r="J2063" s="1153"/>
      <c r="K2063" s="1152"/>
      <c r="L2063" s="1153"/>
      <c r="M2063" s="1152"/>
      <c r="N2063" s="1152"/>
      <c r="O2063" s="732">
        <f t="shared" si="261"/>
        <v>0</v>
      </c>
      <c r="P2063" s="1159"/>
      <c r="Q2063" s="1153"/>
      <c r="R2063" s="733">
        <f t="shared" si="264"/>
        <v>0</v>
      </c>
      <c r="S2063" s="732">
        <f t="shared" si="265"/>
        <v>0</v>
      </c>
      <c r="T2063" s="733">
        <f t="shared" si="266"/>
        <v>0</v>
      </c>
      <c r="U2063" s="1152"/>
      <c r="V2063" s="1153"/>
      <c r="W2063" s="1152"/>
      <c r="X2063" s="1152"/>
      <c r="Y2063" s="732">
        <f t="shared" si="262"/>
        <v>0</v>
      </c>
      <c r="Z2063" s="1153"/>
      <c r="AA2063" s="1153"/>
      <c r="AB2063" s="733">
        <f t="shared" si="263"/>
        <v>0</v>
      </c>
      <c r="AC2063" s="1152"/>
      <c r="AD2063" s="1153"/>
      <c r="AE2063" s="1152"/>
      <c r="AF2063" s="1152"/>
      <c r="AG2063" s="1153"/>
      <c r="AH2063" s="1153"/>
      <c r="AI2063" s="732">
        <f t="shared" si="267"/>
        <v>0</v>
      </c>
      <c r="AJ2063" s="733">
        <f t="shared" si="268"/>
        <v>0</v>
      </c>
    </row>
    <row r="2064" spans="1:36">
      <c r="A2064" s="1075" t="s">
        <v>746</v>
      </c>
      <c r="B2064" s="1017" t="s">
        <v>62</v>
      </c>
      <c r="C2064" s="1082" t="s">
        <v>1602</v>
      </c>
      <c r="D2064" s="1010"/>
      <c r="E2064" s="987">
        <v>218955</v>
      </c>
      <c r="F2064" s="988">
        <v>10</v>
      </c>
      <c r="G2064" s="1152">
        <v>2217220</v>
      </c>
      <c r="H2064" s="1153">
        <v>2340281</v>
      </c>
      <c r="I2064" s="1152"/>
      <c r="J2064" s="1153"/>
      <c r="K2064" s="1152">
        <v>1047471</v>
      </c>
      <c r="L2064" s="1153">
        <v>1085415</v>
      </c>
      <c r="M2064" s="1152">
        <v>3019346</v>
      </c>
      <c r="N2064" s="1152"/>
      <c r="O2064" s="732">
        <f t="shared" si="261"/>
        <v>3019346</v>
      </c>
      <c r="P2064" s="1159">
        <v>2451337</v>
      </c>
      <c r="Q2064" s="1153"/>
      <c r="R2064" s="733">
        <f t="shared" si="264"/>
        <v>2451337</v>
      </c>
      <c r="S2064" s="732">
        <f t="shared" si="265"/>
        <v>6284037</v>
      </c>
      <c r="T2064" s="733">
        <f t="shared" si="266"/>
        <v>5877033</v>
      </c>
      <c r="U2064" s="1152"/>
      <c r="V2064" s="1153"/>
      <c r="W2064" s="1152"/>
      <c r="X2064" s="1152"/>
      <c r="Y2064" s="732">
        <f t="shared" si="262"/>
        <v>0</v>
      </c>
      <c r="Z2064" s="1153"/>
      <c r="AA2064" s="1153"/>
      <c r="AB2064" s="733">
        <f t="shared" si="263"/>
        <v>0</v>
      </c>
      <c r="AC2064" s="1152"/>
      <c r="AD2064" s="1153"/>
      <c r="AE2064" s="1152"/>
      <c r="AF2064" s="1152"/>
      <c r="AG2064" s="1153"/>
      <c r="AH2064" s="1153"/>
      <c r="AI2064" s="732">
        <f t="shared" si="267"/>
        <v>6284037</v>
      </c>
      <c r="AJ2064" s="733">
        <f t="shared" si="268"/>
        <v>5877033</v>
      </c>
    </row>
    <row r="2065" spans="1:36">
      <c r="A2065" s="1075" t="s">
        <v>746</v>
      </c>
      <c r="B2065" s="1017" t="s">
        <v>62</v>
      </c>
      <c r="C2065" s="1087" t="s">
        <v>1561</v>
      </c>
      <c r="D2065" s="1010"/>
      <c r="E2065" s="987">
        <v>218955</v>
      </c>
      <c r="F2065" s="988">
        <v>10</v>
      </c>
      <c r="G2065" s="1152">
        <v>36369</v>
      </c>
      <c r="H2065" s="1153"/>
      <c r="I2065" s="1152"/>
      <c r="J2065" s="1153"/>
      <c r="K2065" s="1152"/>
      <c r="L2065" s="1153"/>
      <c r="M2065" s="1152"/>
      <c r="N2065" s="1152"/>
      <c r="O2065" s="732">
        <f t="shared" si="261"/>
        <v>0</v>
      </c>
      <c r="P2065" s="1159"/>
      <c r="Q2065" s="1153"/>
      <c r="R2065" s="733">
        <f t="shared" si="264"/>
        <v>0</v>
      </c>
      <c r="S2065" s="732">
        <f t="shared" si="265"/>
        <v>36369</v>
      </c>
      <c r="T2065" s="733">
        <f t="shared" si="266"/>
        <v>0</v>
      </c>
      <c r="U2065" s="1152"/>
      <c r="V2065" s="1153"/>
      <c r="W2065" s="1152"/>
      <c r="X2065" s="1152"/>
      <c r="Y2065" s="732">
        <f t="shared" si="262"/>
        <v>0</v>
      </c>
      <c r="Z2065" s="1153"/>
      <c r="AA2065" s="1153"/>
      <c r="AB2065" s="733">
        <f t="shared" si="263"/>
        <v>0</v>
      </c>
      <c r="AC2065" s="1152"/>
      <c r="AD2065" s="1153"/>
      <c r="AE2065" s="1152"/>
      <c r="AF2065" s="1152"/>
      <c r="AG2065" s="1153"/>
      <c r="AH2065" s="1153"/>
      <c r="AI2065" s="732">
        <f t="shared" si="267"/>
        <v>36369</v>
      </c>
      <c r="AJ2065" s="733">
        <f t="shared" si="268"/>
        <v>0</v>
      </c>
    </row>
    <row r="2066" spans="1:36">
      <c r="A2066" s="1075" t="s">
        <v>746</v>
      </c>
      <c r="B2066" s="1017" t="s">
        <v>62</v>
      </c>
      <c r="C2066" s="1087" t="s">
        <v>1562</v>
      </c>
      <c r="D2066" s="1010"/>
      <c r="E2066" s="987">
        <v>218955</v>
      </c>
      <c r="F2066" s="988">
        <v>10</v>
      </c>
      <c r="G2066" s="1152">
        <v>22074</v>
      </c>
      <c r="H2066" s="1153"/>
      <c r="I2066" s="1152"/>
      <c r="J2066" s="1153"/>
      <c r="K2066" s="1152"/>
      <c r="L2066" s="1153"/>
      <c r="M2066" s="1152"/>
      <c r="N2066" s="1152"/>
      <c r="O2066" s="732">
        <f t="shared" si="261"/>
        <v>0</v>
      </c>
      <c r="P2066" s="1159"/>
      <c r="Q2066" s="1153"/>
      <c r="R2066" s="733">
        <f t="shared" si="264"/>
        <v>0</v>
      </c>
      <c r="S2066" s="732">
        <f t="shared" si="265"/>
        <v>22074</v>
      </c>
      <c r="T2066" s="733">
        <f t="shared" si="266"/>
        <v>0</v>
      </c>
      <c r="U2066" s="1152"/>
      <c r="V2066" s="1153"/>
      <c r="W2066" s="1152"/>
      <c r="X2066" s="1152"/>
      <c r="Y2066" s="732">
        <f t="shared" si="262"/>
        <v>0</v>
      </c>
      <c r="Z2066" s="1153"/>
      <c r="AA2066" s="1153"/>
      <c r="AB2066" s="733">
        <f t="shared" si="263"/>
        <v>0</v>
      </c>
      <c r="AC2066" s="1152"/>
      <c r="AD2066" s="1153"/>
      <c r="AE2066" s="1152"/>
      <c r="AF2066" s="1152"/>
      <c r="AG2066" s="1153"/>
      <c r="AH2066" s="1153"/>
      <c r="AI2066" s="732">
        <f t="shared" si="267"/>
        <v>22074</v>
      </c>
      <c r="AJ2066" s="733">
        <f t="shared" si="268"/>
        <v>0</v>
      </c>
    </row>
    <row r="2067" spans="1:36">
      <c r="A2067" s="1075" t="s">
        <v>746</v>
      </c>
      <c r="B2067" s="1017" t="s">
        <v>62</v>
      </c>
      <c r="C2067" s="1076" t="s">
        <v>1538</v>
      </c>
      <c r="D2067" s="1010"/>
      <c r="E2067" s="987">
        <v>218955</v>
      </c>
      <c r="F2067" s="988">
        <v>10</v>
      </c>
      <c r="G2067" s="1152"/>
      <c r="H2067" s="1153"/>
      <c r="I2067" s="1152"/>
      <c r="J2067" s="1153"/>
      <c r="K2067" s="1152"/>
      <c r="L2067" s="1153"/>
      <c r="M2067" s="1152"/>
      <c r="N2067" s="1152"/>
      <c r="O2067" s="732">
        <f t="shared" si="261"/>
        <v>0</v>
      </c>
      <c r="P2067" s="1159"/>
      <c r="Q2067" s="1153"/>
      <c r="R2067" s="733">
        <f t="shared" si="264"/>
        <v>0</v>
      </c>
      <c r="S2067" s="732">
        <f t="shared" si="265"/>
        <v>0</v>
      </c>
      <c r="T2067" s="733">
        <f t="shared" si="266"/>
        <v>0</v>
      </c>
      <c r="U2067" s="1152"/>
      <c r="V2067" s="1153"/>
      <c r="W2067" s="1152"/>
      <c r="X2067" s="1152"/>
      <c r="Y2067" s="732">
        <f t="shared" si="262"/>
        <v>0</v>
      </c>
      <c r="Z2067" s="1153"/>
      <c r="AA2067" s="1153"/>
      <c r="AB2067" s="733">
        <f t="shared" si="263"/>
        <v>0</v>
      </c>
      <c r="AC2067" s="1152"/>
      <c r="AD2067" s="1153"/>
      <c r="AE2067" s="1152"/>
      <c r="AF2067" s="1152"/>
      <c r="AG2067" s="1153"/>
      <c r="AH2067" s="1153"/>
      <c r="AI2067" s="732">
        <f t="shared" si="267"/>
        <v>0</v>
      </c>
      <c r="AJ2067" s="733">
        <f t="shared" si="268"/>
        <v>0</v>
      </c>
    </row>
    <row r="2068" spans="1:36">
      <c r="A2068" s="1075" t="s">
        <v>746</v>
      </c>
      <c r="B2068" s="1017" t="s">
        <v>99</v>
      </c>
      <c r="C2068" s="1077" t="s">
        <v>1070</v>
      </c>
      <c r="D2068" s="1010"/>
      <c r="E2068" s="987">
        <v>218955</v>
      </c>
      <c r="F2068" s="988">
        <v>10</v>
      </c>
      <c r="G2068" s="1152"/>
      <c r="H2068" s="1153"/>
      <c r="I2068" s="1152"/>
      <c r="J2068" s="1153"/>
      <c r="K2068" s="1152"/>
      <c r="L2068" s="1153"/>
      <c r="M2068" s="1152"/>
      <c r="N2068" s="1152"/>
      <c r="O2068" s="732">
        <f t="shared" si="261"/>
        <v>0</v>
      </c>
      <c r="P2068" s="1159"/>
      <c r="Q2068" s="1153"/>
      <c r="R2068" s="733">
        <f t="shared" si="264"/>
        <v>0</v>
      </c>
      <c r="S2068" s="732">
        <f t="shared" si="265"/>
        <v>0</v>
      </c>
      <c r="T2068" s="733">
        <f t="shared" si="266"/>
        <v>0</v>
      </c>
      <c r="U2068" s="1152"/>
      <c r="V2068" s="1153"/>
      <c r="W2068" s="1152"/>
      <c r="X2068" s="1152"/>
      <c r="Y2068" s="732">
        <f t="shared" si="262"/>
        <v>0</v>
      </c>
      <c r="Z2068" s="1153"/>
      <c r="AA2068" s="1153"/>
      <c r="AB2068" s="733">
        <f t="shared" si="263"/>
        <v>0</v>
      </c>
      <c r="AC2068" s="1152"/>
      <c r="AD2068" s="1153"/>
      <c r="AE2068" s="1152"/>
      <c r="AF2068" s="1152"/>
      <c r="AG2068" s="1153"/>
      <c r="AH2068" s="1153"/>
      <c r="AI2068" s="732">
        <f t="shared" si="267"/>
        <v>0</v>
      </c>
      <c r="AJ2068" s="733">
        <f t="shared" si="268"/>
        <v>0</v>
      </c>
    </row>
    <row r="2069" spans="1:36">
      <c r="A2069" s="1075" t="s">
        <v>746</v>
      </c>
      <c r="B2069" s="1017" t="s">
        <v>99</v>
      </c>
      <c r="C2069" s="1076" t="s">
        <v>1563</v>
      </c>
      <c r="D2069" s="1010"/>
      <c r="E2069" s="987">
        <v>218955</v>
      </c>
      <c r="F2069" s="988">
        <v>10</v>
      </c>
      <c r="G2069" s="1152"/>
      <c r="H2069" s="1153"/>
      <c r="I2069" s="1152">
        <v>29968</v>
      </c>
      <c r="J2069" s="1153">
        <v>31186</v>
      </c>
      <c r="K2069" s="1152"/>
      <c r="L2069" s="1153"/>
      <c r="M2069" s="1152"/>
      <c r="N2069" s="1152"/>
      <c r="O2069" s="732">
        <f t="shared" si="261"/>
        <v>0</v>
      </c>
      <c r="P2069" s="1159"/>
      <c r="Q2069" s="1153"/>
      <c r="R2069" s="733">
        <f t="shared" si="264"/>
        <v>0</v>
      </c>
      <c r="S2069" s="732">
        <f t="shared" si="265"/>
        <v>29968</v>
      </c>
      <c r="T2069" s="733">
        <f t="shared" si="266"/>
        <v>31186</v>
      </c>
      <c r="U2069" s="1152"/>
      <c r="V2069" s="1153"/>
      <c r="W2069" s="1152"/>
      <c r="X2069" s="1152"/>
      <c r="Y2069" s="732">
        <f t="shared" si="262"/>
        <v>0</v>
      </c>
      <c r="Z2069" s="1153"/>
      <c r="AA2069" s="1153"/>
      <c r="AB2069" s="733">
        <f t="shared" si="263"/>
        <v>0</v>
      </c>
      <c r="AC2069" s="1152"/>
      <c r="AD2069" s="1153"/>
      <c r="AE2069" s="1152"/>
      <c r="AF2069" s="1152"/>
      <c r="AG2069" s="1153"/>
      <c r="AH2069" s="1153"/>
      <c r="AI2069" s="732">
        <f t="shared" si="267"/>
        <v>29968</v>
      </c>
      <c r="AJ2069" s="733">
        <f t="shared" si="268"/>
        <v>31186</v>
      </c>
    </row>
    <row r="2070" spans="1:36">
      <c r="A2070" s="1075" t="s">
        <v>746</v>
      </c>
      <c r="B2070" s="1017" t="s">
        <v>99</v>
      </c>
      <c r="C2070" s="1076" t="s">
        <v>1564</v>
      </c>
      <c r="D2070" s="1010"/>
      <c r="E2070" s="987">
        <v>218955</v>
      </c>
      <c r="F2070" s="988">
        <v>10</v>
      </c>
      <c r="G2070" s="1152"/>
      <c r="H2070" s="1153"/>
      <c r="I2070" s="1152">
        <v>8270</v>
      </c>
      <c r="J2070" s="1153">
        <v>9648</v>
      </c>
      <c r="K2070" s="1152"/>
      <c r="L2070" s="1153"/>
      <c r="M2070" s="1152"/>
      <c r="N2070" s="1152"/>
      <c r="O2070" s="732">
        <f t="shared" si="261"/>
        <v>0</v>
      </c>
      <c r="P2070" s="1159"/>
      <c r="Q2070" s="1153"/>
      <c r="R2070" s="733">
        <f t="shared" si="264"/>
        <v>0</v>
      </c>
      <c r="S2070" s="732">
        <f t="shared" si="265"/>
        <v>8270</v>
      </c>
      <c r="T2070" s="733">
        <f t="shared" si="266"/>
        <v>9648</v>
      </c>
      <c r="U2070" s="1152"/>
      <c r="V2070" s="1153"/>
      <c r="W2070" s="1152"/>
      <c r="X2070" s="1152"/>
      <c r="Y2070" s="732">
        <f t="shared" si="262"/>
        <v>0</v>
      </c>
      <c r="Z2070" s="1153"/>
      <c r="AA2070" s="1153"/>
      <c r="AB2070" s="733">
        <f t="shared" si="263"/>
        <v>0</v>
      </c>
      <c r="AC2070" s="1152"/>
      <c r="AD2070" s="1153"/>
      <c r="AE2070" s="1152"/>
      <c r="AF2070" s="1152"/>
      <c r="AG2070" s="1153"/>
      <c r="AH2070" s="1153"/>
      <c r="AI2070" s="732">
        <f t="shared" si="267"/>
        <v>8270</v>
      </c>
      <c r="AJ2070" s="733">
        <f t="shared" si="268"/>
        <v>9648</v>
      </c>
    </row>
    <row r="2071" spans="1:36">
      <c r="A2071" s="1075" t="s">
        <v>746</v>
      </c>
      <c r="B2071" s="1017" t="s">
        <v>99</v>
      </c>
      <c r="C2071" s="1076" t="s">
        <v>1566</v>
      </c>
      <c r="D2071" s="1010"/>
      <c r="E2071" s="987">
        <v>218955</v>
      </c>
      <c r="F2071" s="988">
        <v>10</v>
      </c>
      <c r="G2071" s="1152"/>
      <c r="H2071" s="1153"/>
      <c r="I2071" s="1152">
        <f>34540+144204</f>
        <v>178744</v>
      </c>
      <c r="J2071" s="1153">
        <f>35795+147271</f>
        <v>183066</v>
      </c>
      <c r="K2071" s="1152"/>
      <c r="L2071" s="1153"/>
      <c r="M2071" s="1152"/>
      <c r="N2071" s="1152"/>
      <c r="O2071" s="732">
        <f t="shared" si="261"/>
        <v>0</v>
      </c>
      <c r="P2071" s="1159"/>
      <c r="Q2071" s="1153"/>
      <c r="R2071" s="733">
        <f t="shared" si="264"/>
        <v>0</v>
      </c>
      <c r="S2071" s="732">
        <f t="shared" si="265"/>
        <v>178744</v>
      </c>
      <c r="T2071" s="733">
        <f t="shared" si="266"/>
        <v>183066</v>
      </c>
      <c r="U2071" s="1152"/>
      <c r="V2071" s="1153"/>
      <c r="W2071" s="1152"/>
      <c r="X2071" s="1152"/>
      <c r="Y2071" s="732">
        <f t="shared" si="262"/>
        <v>0</v>
      </c>
      <c r="Z2071" s="1153"/>
      <c r="AA2071" s="1153"/>
      <c r="AB2071" s="733">
        <f t="shared" si="263"/>
        <v>0</v>
      </c>
      <c r="AC2071" s="1152"/>
      <c r="AD2071" s="1153"/>
      <c r="AE2071" s="1152"/>
      <c r="AF2071" s="1152"/>
      <c r="AG2071" s="1153"/>
      <c r="AH2071" s="1153"/>
      <c r="AI2071" s="732">
        <f t="shared" si="267"/>
        <v>178744</v>
      </c>
      <c r="AJ2071" s="733">
        <f t="shared" si="268"/>
        <v>183066</v>
      </c>
    </row>
    <row r="2072" spans="1:36">
      <c r="A2072" s="1075" t="s">
        <v>746</v>
      </c>
      <c r="B2072" s="1017" t="s">
        <v>99</v>
      </c>
      <c r="C2072" s="1076" t="s">
        <v>1565</v>
      </c>
      <c r="D2072" s="1010"/>
      <c r="E2072" s="987">
        <v>218955</v>
      </c>
      <c r="F2072" s="988">
        <v>10</v>
      </c>
      <c r="G2072" s="1152"/>
      <c r="H2072" s="1153"/>
      <c r="I2072" s="1152">
        <v>37784</v>
      </c>
      <c r="J2072" s="1153">
        <v>37784</v>
      </c>
      <c r="K2072" s="1152"/>
      <c r="L2072" s="1153"/>
      <c r="M2072" s="1152"/>
      <c r="N2072" s="1152"/>
      <c r="O2072" s="732">
        <f t="shared" si="261"/>
        <v>0</v>
      </c>
      <c r="P2072" s="1159"/>
      <c r="Q2072" s="1153"/>
      <c r="R2072" s="733">
        <f t="shared" si="264"/>
        <v>0</v>
      </c>
      <c r="S2072" s="732">
        <f t="shared" si="265"/>
        <v>37784</v>
      </c>
      <c r="T2072" s="733">
        <f t="shared" si="266"/>
        <v>37784</v>
      </c>
      <c r="U2072" s="1152"/>
      <c r="V2072" s="1153"/>
      <c r="W2072" s="1152"/>
      <c r="X2072" s="1152"/>
      <c r="Y2072" s="732">
        <f t="shared" si="262"/>
        <v>0</v>
      </c>
      <c r="Z2072" s="1153"/>
      <c r="AA2072" s="1153"/>
      <c r="AB2072" s="733">
        <f t="shared" si="263"/>
        <v>0</v>
      </c>
      <c r="AC2072" s="1152"/>
      <c r="AD2072" s="1153"/>
      <c r="AE2072" s="1152"/>
      <c r="AF2072" s="1152"/>
      <c r="AG2072" s="1153"/>
      <c r="AH2072" s="1153"/>
      <c r="AI2072" s="732">
        <f t="shared" si="267"/>
        <v>37784</v>
      </c>
      <c r="AJ2072" s="733">
        <f t="shared" si="268"/>
        <v>37784</v>
      </c>
    </row>
    <row r="2073" spans="1:36">
      <c r="A2073" s="1075" t="s">
        <v>746</v>
      </c>
      <c r="B2073" s="1017" t="s">
        <v>99</v>
      </c>
      <c r="C2073" s="1076" t="s">
        <v>1539</v>
      </c>
      <c r="D2073" s="1010"/>
      <c r="E2073" s="987">
        <v>218955</v>
      </c>
      <c r="F2073" s="988">
        <v>10</v>
      </c>
      <c r="G2073" s="1152"/>
      <c r="H2073" s="1153"/>
      <c r="I2073" s="1152">
        <v>77319</v>
      </c>
      <c r="J2073" s="1153">
        <v>77319</v>
      </c>
      <c r="K2073" s="1152"/>
      <c r="L2073" s="1153"/>
      <c r="M2073" s="1152"/>
      <c r="N2073" s="1152"/>
      <c r="O2073" s="732">
        <f t="shared" si="261"/>
        <v>0</v>
      </c>
      <c r="P2073" s="1159"/>
      <c r="Q2073" s="1153"/>
      <c r="R2073" s="733">
        <f t="shared" si="264"/>
        <v>0</v>
      </c>
      <c r="S2073" s="732">
        <f t="shared" si="265"/>
        <v>77319</v>
      </c>
      <c r="T2073" s="733">
        <f t="shared" si="266"/>
        <v>77319</v>
      </c>
      <c r="U2073" s="1152"/>
      <c r="V2073" s="1153"/>
      <c r="W2073" s="1152"/>
      <c r="X2073" s="1152"/>
      <c r="Y2073" s="732">
        <f t="shared" si="262"/>
        <v>0</v>
      </c>
      <c r="Z2073" s="1153"/>
      <c r="AA2073" s="1153"/>
      <c r="AB2073" s="733">
        <f t="shared" si="263"/>
        <v>0</v>
      </c>
      <c r="AC2073" s="1152"/>
      <c r="AD2073" s="1153"/>
      <c r="AE2073" s="1152"/>
      <c r="AF2073" s="1152"/>
      <c r="AG2073" s="1153"/>
      <c r="AH2073" s="1153"/>
      <c r="AI2073" s="732">
        <f t="shared" si="267"/>
        <v>77319</v>
      </c>
      <c r="AJ2073" s="733">
        <f t="shared" si="268"/>
        <v>77319</v>
      </c>
    </row>
    <row r="2074" spans="1:36">
      <c r="A2074" s="1075" t="s">
        <v>746</v>
      </c>
      <c r="B2074" s="1017" t="s">
        <v>99</v>
      </c>
      <c r="C2074" s="1076" t="s">
        <v>1570</v>
      </c>
      <c r="D2074" s="1010"/>
      <c r="E2074" s="987">
        <v>218955</v>
      </c>
      <c r="F2074" s="988">
        <v>10</v>
      </c>
      <c r="G2074" s="1152"/>
      <c r="H2074" s="1153"/>
      <c r="I2074" s="1152"/>
      <c r="J2074" s="1153"/>
      <c r="K2074" s="1152"/>
      <c r="L2074" s="1153"/>
      <c r="M2074" s="1152"/>
      <c r="N2074" s="1152"/>
      <c r="O2074" s="732">
        <f t="shared" si="261"/>
        <v>0</v>
      </c>
      <c r="P2074" s="1159"/>
      <c r="Q2074" s="1153"/>
      <c r="R2074" s="733">
        <f t="shared" si="264"/>
        <v>0</v>
      </c>
      <c r="S2074" s="732">
        <f t="shared" si="265"/>
        <v>0</v>
      </c>
      <c r="T2074" s="733">
        <f t="shared" si="266"/>
        <v>0</v>
      </c>
      <c r="U2074" s="1152"/>
      <c r="V2074" s="1153"/>
      <c r="W2074" s="1152"/>
      <c r="X2074" s="1152"/>
      <c r="Y2074" s="732">
        <f t="shared" si="262"/>
        <v>0</v>
      </c>
      <c r="Z2074" s="1153"/>
      <c r="AA2074" s="1153"/>
      <c r="AB2074" s="733">
        <f t="shared" si="263"/>
        <v>0</v>
      </c>
      <c r="AC2074" s="1152"/>
      <c r="AD2074" s="1153"/>
      <c r="AE2074" s="1152"/>
      <c r="AF2074" s="1152"/>
      <c r="AG2074" s="1153"/>
      <c r="AH2074" s="1153"/>
      <c r="AI2074" s="732">
        <f t="shared" si="267"/>
        <v>0</v>
      </c>
      <c r="AJ2074" s="733">
        <f t="shared" si="268"/>
        <v>0</v>
      </c>
    </row>
    <row r="2075" spans="1:36">
      <c r="A2075" s="1075" t="s">
        <v>746</v>
      </c>
      <c r="B2075" s="1017" t="s">
        <v>99</v>
      </c>
      <c r="C2075" s="1076" t="s">
        <v>1603</v>
      </c>
      <c r="D2075" s="1010"/>
      <c r="E2075" s="987">
        <v>218955</v>
      </c>
      <c r="F2075" s="988">
        <v>10</v>
      </c>
      <c r="G2075" s="1152"/>
      <c r="H2075" s="1153"/>
      <c r="I2075" s="1152">
        <v>300000</v>
      </c>
      <c r="J2075" s="1153">
        <v>300000</v>
      </c>
      <c r="K2075" s="1152"/>
      <c r="L2075" s="1153"/>
      <c r="M2075" s="1152"/>
      <c r="N2075" s="1152"/>
      <c r="O2075" s="732">
        <f t="shared" si="261"/>
        <v>0</v>
      </c>
      <c r="P2075" s="1159"/>
      <c r="Q2075" s="1153"/>
      <c r="R2075" s="733">
        <f t="shared" si="264"/>
        <v>0</v>
      </c>
      <c r="S2075" s="732">
        <f t="shared" si="265"/>
        <v>300000</v>
      </c>
      <c r="T2075" s="733">
        <f t="shared" si="266"/>
        <v>300000</v>
      </c>
      <c r="U2075" s="1152"/>
      <c r="V2075" s="1153"/>
      <c r="W2075" s="1152"/>
      <c r="X2075" s="1152"/>
      <c r="Y2075" s="732">
        <f t="shared" si="262"/>
        <v>0</v>
      </c>
      <c r="Z2075" s="1153"/>
      <c r="AA2075" s="1153"/>
      <c r="AB2075" s="733">
        <f t="shared" si="263"/>
        <v>0</v>
      </c>
      <c r="AC2075" s="1152"/>
      <c r="AD2075" s="1153"/>
      <c r="AE2075" s="1152"/>
      <c r="AF2075" s="1152"/>
      <c r="AG2075" s="1153"/>
      <c r="AH2075" s="1153"/>
      <c r="AI2075" s="732">
        <f t="shared" si="267"/>
        <v>300000</v>
      </c>
      <c r="AJ2075" s="733">
        <f t="shared" si="268"/>
        <v>300000</v>
      </c>
    </row>
    <row r="2076" spans="1:36">
      <c r="A2076" s="1075" t="s">
        <v>746</v>
      </c>
      <c r="B2076" s="1017" t="s">
        <v>238</v>
      </c>
      <c r="C2076" s="1082" t="s">
        <v>1604</v>
      </c>
      <c r="D2076" s="1010"/>
      <c r="E2076" s="987">
        <v>218335</v>
      </c>
      <c r="F2076" s="988">
        <v>15</v>
      </c>
      <c r="G2076" s="1152"/>
      <c r="H2076" s="1153"/>
      <c r="I2076" s="1152"/>
      <c r="J2076" s="1153"/>
      <c r="K2076" s="1152"/>
      <c r="L2076" s="1153"/>
      <c r="M2076" s="1152"/>
      <c r="N2076" s="1152"/>
      <c r="O2076" s="732">
        <f t="shared" si="261"/>
        <v>0</v>
      </c>
      <c r="P2076" s="1159"/>
      <c r="Q2076" s="1153"/>
      <c r="R2076" s="733">
        <f t="shared" si="264"/>
        <v>0</v>
      </c>
      <c r="S2076" s="732">
        <f t="shared" si="265"/>
        <v>0</v>
      </c>
      <c r="T2076" s="733">
        <f t="shared" si="266"/>
        <v>0</v>
      </c>
      <c r="U2076" s="1152"/>
      <c r="V2076" s="1153"/>
      <c r="W2076" s="1152"/>
      <c r="X2076" s="1152"/>
      <c r="Y2076" s="732">
        <f t="shared" si="262"/>
        <v>0</v>
      </c>
      <c r="Z2076" s="1153"/>
      <c r="AA2076" s="1153"/>
      <c r="AB2076" s="733">
        <f t="shared" si="263"/>
        <v>0</v>
      </c>
      <c r="AC2076" s="1152">
        <v>47406951</v>
      </c>
      <c r="AD2076" s="1153">
        <v>47406951</v>
      </c>
      <c r="AE2076" s="1152">
        <v>87336515</v>
      </c>
      <c r="AF2076" s="1152">
        <v>2469524</v>
      </c>
      <c r="AG2076" s="1153">
        <f>99140103-AH2076</f>
        <v>94335528</v>
      </c>
      <c r="AH2076" s="1153">
        <v>4804575</v>
      </c>
      <c r="AI2076" s="732">
        <f t="shared" si="267"/>
        <v>134743466</v>
      </c>
      <c r="AJ2076" s="733">
        <f t="shared" si="268"/>
        <v>141742479</v>
      </c>
    </row>
    <row r="2077" spans="1:36">
      <c r="A2077" s="1075" t="s">
        <v>746</v>
      </c>
      <c r="B2077" s="1017" t="s">
        <v>238</v>
      </c>
      <c r="C2077" s="1076" t="s">
        <v>1518</v>
      </c>
      <c r="D2077" s="1010"/>
      <c r="E2077" s="987">
        <v>218335</v>
      </c>
      <c r="F2077" s="988">
        <v>15</v>
      </c>
      <c r="G2077" s="1152"/>
      <c r="H2077" s="1153"/>
      <c r="I2077" s="1152"/>
      <c r="J2077" s="1153"/>
      <c r="K2077" s="1152"/>
      <c r="L2077" s="1153"/>
      <c r="M2077" s="1152"/>
      <c r="N2077" s="1152"/>
      <c r="O2077" s="732">
        <f t="shared" si="261"/>
        <v>0</v>
      </c>
      <c r="P2077" s="1159"/>
      <c r="Q2077" s="1153"/>
      <c r="R2077" s="733">
        <f t="shared" si="264"/>
        <v>0</v>
      </c>
      <c r="S2077" s="732">
        <f t="shared" si="265"/>
        <v>0</v>
      </c>
      <c r="T2077" s="733">
        <f t="shared" si="266"/>
        <v>0</v>
      </c>
      <c r="U2077" s="1152"/>
      <c r="V2077" s="1153"/>
      <c r="W2077" s="1152"/>
      <c r="X2077" s="1152"/>
      <c r="Y2077" s="732">
        <f t="shared" si="262"/>
        <v>0</v>
      </c>
      <c r="Z2077" s="1153"/>
      <c r="AA2077" s="1153"/>
      <c r="AB2077" s="733">
        <f t="shared" si="263"/>
        <v>0</v>
      </c>
      <c r="AC2077" s="1152">
        <v>20151274</v>
      </c>
      <c r="AD2077" s="1153">
        <v>19933020</v>
      </c>
      <c r="AE2077" s="1152"/>
      <c r="AF2077" s="1152"/>
      <c r="AG2077" s="1153"/>
      <c r="AH2077" s="1153"/>
      <c r="AI2077" s="732">
        <f t="shared" si="267"/>
        <v>20151274</v>
      </c>
      <c r="AJ2077" s="733">
        <f t="shared" si="268"/>
        <v>19933020</v>
      </c>
    </row>
    <row r="2078" spans="1:36">
      <c r="A2078" s="1075" t="s">
        <v>746</v>
      </c>
      <c r="B2078" s="1017" t="s">
        <v>238</v>
      </c>
      <c r="C2078" s="1076" t="s">
        <v>1605</v>
      </c>
      <c r="D2078" s="1010"/>
      <c r="E2078" s="987">
        <v>218335</v>
      </c>
      <c r="F2078" s="988">
        <v>15</v>
      </c>
      <c r="G2078" s="1152"/>
      <c r="H2078" s="1153"/>
      <c r="I2078" s="1152"/>
      <c r="J2078" s="1153"/>
      <c r="K2078" s="1152"/>
      <c r="L2078" s="1153"/>
      <c r="M2078" s="1152"/>
      <c r="N2078" s="1152"/>
      <c r="O2078" s="732">
        <f t="shared" si="261"/>
        <v>0</v>
      </c>
      <c r="P2078" s="1159"/>
      <c r="Q2078" s="1153"/>
      <c r="R2078" s="733">
        <f t="shared" si="264"/>
        <v>0</v>
      </c>
      <c r="S2078" s="732">
        <f t="shared" si="265"/>
        <v>0</v>
      </c>
      <c r="T2078" s="733">
        <f t="shared" si="266"/>
        <v>0</v>
      </c>
      <c r="U2078" s="1152"/>
      <c r="V2078" s="1153"/>
      <c r="W2078" s="1152"/>
      <c r="X2078" s="1152"/>
      <c r="Y2078" s="732">
        <f t="shared" si="262"/>
        <v>0</v>
      </c>
      <c r="Z2078" s="1153"/>
      <c r="AA2078" s="1153"/>
      <c r="AB2078" s="733">
        <f t="shared" si="263"/>
        <v>0</v>
      </c>
      <c r="AC2078" s="1152">
        <v>7550000</v>
      </c>
      <c r="AD2078" s="1153">
        <v>7550000</v>
      </c>
      <c r="AE2078" s="1152"/>
      <c r="AF2078" s="1152"/>
      <c r="AG2078" s="1153"/>
      <c r="AH2078" s="1153"/>
      <c r="AI2078" s="732">
        <f t="shared" si="267"/>
        <v>7550000</v>
      </c>
      <c r="AJ2078" s="733">
        <f t="shared" si="268"/>
        <v>7550000</v>
      </c>
    </row>
    <row r="2079" spans="1:36">
      <c r="A2079" s="1075" t="s">
        <v>746</v>
      </c>
      <c r="B2079" s="1017" t="s">
        <v>238</v>
      </c>
      <c r="C2079" s="1076" t="s">
        <v>1523</v>
      </c>
      <c r="D2079" s="1010"/>
      <c r="E2079" s="987">
        <v>218335</v>
      </c>
      <c r="F2079" s="988">
        <v>15</v>
      </c>
      <c r="G2079" s="1152"/>
      <c r="H2079" s="1153"/>
      <c r="I2079" s="1152"/>
      <c r="J2079" s="1153"/>
      <c r="K2079" s="1152"/>
      <c r="L2079" s="1153"/>
      <c r="M2079" s="1152"/>
      <c r="N2079" s="1152"/>
      <c r="O2079" s="732">
        <f t="shared" si="261"/>
        <v>0</v>
      </c>
      <c r="P2079" s="1159"/>
      <c r="Q2079" s="1153"/>
      <c r="R2079" s="733">
        <f t="shared" si="264"/>
        <v>0</v>
      </c>
      <c r="S2079" s="732">
        <f t="shared" si="265"/>
        <v>0</v>
      </c>
      <c r="T2079" s="733">
        <f t="shared" si="266"/>
        <v>0</v>
      </c>
      <c r="U2079" s="1152"/>
      <c r="V2079" s="1153"/>
      <c r="W2079" s="1152"/>
      <c r="X2079" s="1152"/>
      <c r="Y2079" s="732">
        <f t="shared" si="262"/>
        <v>0</v>
      </c>
      <c r="Z2079" s="1153"/>
      <c r="AA2079" s="1153"/>
      <c r="AB2079" s="733">
        <f t="shared" si="263"/>
        <v>0</v>
      </c>
      <c r="AC2079" s="1152">
        <v>37395</v>
      </c>
      <c r="AD2079" s="1153">
        <v>37395</v>
      </c>
      <c r="AE2079" s="1152"/>
      <c r="AF2079" s="1152"/>
      <c r="AG2079" s="1153"/>
      <c r="AH2079" s="1153"/>
      <c r="AI2079" s="732">
        <f t="shared" si="267"/>
        <v>37395</v>
      </c>
      <c r="AJ2079" s="733">
        <f t="shared" si="268"/>
        <v>37395</v>
      </c>
    </row>
    <row r="2080" spans="1:36">
      <c r="A2080" s="1075" t="s">
        <v>746</v>
      </c>
      <c r="B2080" s="1017" t="s">
        <v>238</v>
      </c>
      <c r="C2080" s="1076" t="s">
        <v>1606</v>
      </c>
      <c r="D2080" s="1010"/>
      <c r="E2080" s="987">
        <v>218335</v>
      </c>
      <c r="F2080" s="988">
        <v>15</v>
      </c>
      <c r="G2080" s="1152"/>
      <c r="H2080" s="1153"/>
      <c r="I2080" s="1152"/>
      <c r="J2080" s="1153"/>
      <c r="K2080" s="1152"/>
      <c r="L2080" s="1153"/>
      <c r="M2080" s="1152"/>
      <c r="N2080" s="1152"/>
      <c r="O2080" s="732">
        <f t="shared" si="261"/>
        <v>0</v>
      </c>
      <c r="P2080" s="1159"/>
      <c r="Q2080" s="1153"/>
      <c r="R2080" s="733">
        <f t="shared" si="264"/>
        <v>0</v>
      </c>
      <c r="S2080" s="732">
        <f t="shared" si="265"/>
        <v>0</v>
      </c>
      <c r="T2080" s="733">
        <f t="shared" si="266"/>
        <v>0</v>
      </c>
      <c r="U2080" s="1152"/>
      <c r="V2080" s="1153"/>
      <c r="W2080" s="1152"/>
      <c r="X2080" s="1152"/>
      <c r="Y2080" s="732">
        <f t="shared" si="262"/>
        <v>0</v>
      </c>
      <c r="Z2080" s="1153"/>
      <c r="AA2080" s="1153"/>
      <c r="AB2080" s="733">
        <f t="shared" si="263"/>
        <v>0</v>
      </c>
      <c r="AC2080" s="1152">
        <v>240433</v>
      </c>
      <c r="AD2080" s="1153">
        <v>240433</v>
      </c>
      <c r="AE2080" s="1152"/>
      <c r="AF2080" s="1152"/>
      <c r="AG2080" s="1153"/>
      <c r="AH2080" s="1153"/>
      <c r="AI2080" s="732">
        <f t="shared" si="267"/>
        <v>240433</v>
      </c>
      <c r="AJ2080" s="733">
        <f t="shared" si="268"/>
        <v>240433</v>
      </c>
    </row>
    <row r="2081" spans="1:36">
      <c r="A2081" s="1075" t="s">
        <v>746</v>
      </c>
      <c r="B2081" s="1017" t="s">
        <v>238</v>
      </c>
      <c r="C2081" s="1076" t="s">
        <v>1607</v>
      </c>
      <c r="D2081" s="1010"/>
      <c r="E2081" s="987">
        <v>218335</v>
      </c>
      <c r="F2081" s="988">
        <v>15</v>
      </c>
      <c r="G2081" s="1152"/>
      <c r="H2081" s="1153"/>
      <c r="I2081" s="1152"/>
      <c r="J2081" s="1153"/>
      <c r="K2081" s="1152"/>
      <c r="L2081" s="1153"/>
      <c r="M2081" s="1152"/>
      <c r="N2081" s="1152"/>
      <c r="O2081" s="732">
        <f t="shared" si="261"/>
        <v>0</v>
      </c>
      <c r="P2081" s="1159"/>
      <c r="Q2081" s="1153"/>
      <c r="R2081" s="733">
        <f t="shared" si="264"/>
        <v>0</v>
      </c>
      <c r="S2081" s="732">
        <f t="shared" si="265"/>
        <v>0</v>
      </c>
      <c r="T2081" s="733">
        <f t="shared" si="266"/>
        <v>0</v>
      </c>
      <c r="U2081" s="1152"/>
      <c r="V2081" s="1153"/>
      <c r="W2081" s="1152"/>
      <c r="X2081" s="1152"/>
      <c r="Y2081" s="732">
        <f t="shared" si="262"/>
        <v>0</v>
      </c>
      <c r="Z2081" s="1153"/>
      <c r="AA2081" s="1153"/>
      <c r="AB2081" s="733">
        <f t="shared" si="263"/>
        <v>0</v>
      </c>
      <c r="AC2081" s="1152">
        <v>123470</v>
      </c>
      <c r="AD2081" s="1153">
        <v>123470</v>
      </c>
      <c r="AE2081" s="1152"/>
      <c r="AF2081" s="1152"/>
      <c r="AG2081" s="1153"/>
      <c r="AH2081" s="1153"/>
      <c r="AI2081" s="732">
        <f t="shared" si="267"/>
        <v>123470</v>
      </c>
      <c r="AJ2081" s="733">
        <f t="shared" si="268"/>
        <v>123470</v>
      </c>
    </row>
    <row r="2082" spans="1:36">
      <c r="A2082" s="1075" t="s">
        <v>746</v>
      </c>
      <c r="B2082" s="1017" t="s">
        <v>238</v>
      </c>
      <c r="C2082" s="1076" t="s">
        <v>1608</v>
      </c>
      <c r="D2082" s="1010"/>
      <c r="E2082" s="987">
        <v>218335</v>
      </c>
      <c r="F2082" s="988">
        <v>15</v>
      </c>
      <c r="G2082" s="1152"/>
      <c r="H2082" s="1153"/>
      <c r="I2082" s="1152"/>
      <c r="J2082" s="1153"/>
      <c r="K2082" s="1152"/>
      <c r="L2082" s="1153"/>
      <c r="M2082" s="1152"/>
      <c r="N2082" s="1152"/>
      <c r="O2082" s="732">
        <f t="shared" si="261"/>
        <v>0</v>
      </c>
      <c r="P2082" s="1159"/>
      <c r="Q2082" s="1153"/>
      <c r="R2082" s="733">
        <f t="shared" si="264"/>
        <v>0</v>
      </c>
      <c r="S2082" s="732">
        <f t="shared" si="265"/>
        <v>0</v>
      </c>
      <c r="T2082" s="733">
        <f t="shared" si="266"/>
        <v>0</v>
      </c>
      <c r="U2082" s="1152"/>
      <c r="V2082" s="1153"/>
      <c r="W2082" s="1152"/>
      <c r="X2082" s="1152"/>
      <c r="Y2082" s="732">
        <f t="shared" si="262"/>
        <v>0</v>
      </c>
      <c r="Z2082" s="1153"/>
      <c r="AA2082" s="1153"/>
      <c r="AB2082" s="733">
        <f t="shared" si="263"/>
        <v>0</v>
      </c>
      <c r="AC2082" s="1152">
        <v>176101</v>
      </c>
      <c r="AD2082" s="1153">
        <v>176101</v>
      </c>
      <c r="AE2082" s="1152"/>
      <c r="AF2082" s="1152"/>
      <c r="AG2082" s="1153"/>
      <c r="AH2082" s="1153"/>
      <c r="AI2082" s="732">
        <f t="shared" si="267"/>
        <v>176101</v>
      </c>
      <c r="AJ2082" s="733">
        <f t="shared" si="268"/>
        <v>176101</v>
      </c>
    </row>
    <row r="2083" spans="1:36">
      <c r="A2083" s="1075" t="s">
        <v>746</v>
      </c>
      <c r="B2083" s="1017" t="s">
        <v>238</v>
      </c>
      <c r="C2083" s="1076" t="s">
        <v>1609</v>
      </c>
      <c r="D2083" s="1010"/>
      <c r="E2083" s="987">
        <v>218335</v>
      </c>
      <c r="F2083" s="988">
        <v>15</v>
      </c>
      <c r="G2083" s="1152"/>
      <c r="H2083" s="1153"/>
      <c r="I2083" s="1152"/>
      <c r="J2083" s="1153"/>
      <c r="K2083" s="1152"/>
      <c r="L2083" s="1153"/>
      <c r="M2083" s="1152"/>
      <c r="N2083" s="1152"/>
      <c r="O2083" s="732">
        <f t="shared" si="261"/>
        <v>0</v>
      </c>
      <c r="P2083" s="1159"/>
      <c r="Q2083" s="1153"/>
      <c r="R2083" s="733">
        <f t="shared" si="264"/>
        <v>0</v>
      </c>
      <c r="S2083" s="732">
        <f t="shared" si="265"/>
        <v>0</v>
      </c>
      <c r="T2083" s="733">
        <f t="shared" si="266"/>
        <v>0</v>
      </c>
      <c r="U2083" s="1152"/>
      <c r="V2083" s="1153"/>
      <c r="W2083" s="1152"/>
      <c r="X2083" s="1152"/>
      <c r="Y2083" s="732">
        <f t="shared" si="262"/>
        <v>0</v>
      </c>
      <c r="Z2083" s="1153"/>
      <c r="AA2083" s="1153"/>
      <c r="AB2083" s="733">
        <f t="shared" si="263"/>
        <v>0</v>
      </c>
      <c r="AC2083" s="1152">
        <v>100000</v>
      </c>
      <c r="AD2083" s="1153">
        <v>100000</v>
      </c>
      <c r="AE2083" s="1152"/>
      <c r="AF2083" s="1152"/>
      <c r="AG2083" s="1153"/>
      <c r="AH2083" s="1153"/>
      <c r="AI2083" s="732">
        <f t="shared" si="267"/>
        <v>100000</v>
      </c>
      <c r="AJ2083" s="733">
        <f t="shared" si="268"/>
        <v>100000</v>
      </c>
    </row>
    <row r="2084" spans="1:36">
      <c r="A2084" s="1075" t="s">
        <v>746</v>
      </c>
      <c r="B2084" s="1017" t="s">
        <v>238</v>
      </c>
      <c r="C2084" s="1076" t="s">
        <v>1610</v>
      </c>
      <c r="D2084" s="1010"/>
      <c r="E2084" s="987">
        <v>218335</v>
      </c>
      <c r="F2084" s="988">
        <v>15</v>
      </c>
      <c r="G2084" s="1152"/>
      <c r="H2084" s="1153"/>
      <c r="I2084" s="1152"/>
      <c r="J2084" s="1153"/>
      <c r="K2084" s="1152"/>
      <c r="L2084" s="1153"/>
      <c r="M2084" s="1152"/>
      <c r="N2084" s="1152"/>
      <c r="O2084" s="732">
        <f t="shared" si="261"/>
        <v>0</v>
      </c>
      <c r="P2084" s="1159"/>
      <c r="Q2084" s="1153"/>
      <c r="R2084" s="733">
        <f t="shared" si="264"/>
        <v>0</v>
      </c>
      <c r="S2084" s="732">
        <f t="shared" si="265"/>
        <v>0</v>
      </c>
      <c r="T2084" s="733">
        <f t="shared" si="266"/>
        <v>0</v>
      </c>
      <c r="U2084" s="1152"/>
      <c r="V2084" s="1153"/>
      <c r="W2084" s="1152"/>
      <c r="X2084" s="1152"/>
      <c r="Y2084" s="732">
        <f t="shared" si="262"/>
        <v>0</v>
      </c>
      <c r="Z2084" s="1153"/>
      <c r="AA2084" s="1153"/>
      <c r="AB2084" s="733">
        <f t="shared" si="263"/>
        <v>0</v>
      </c>
      <c r="AC2084" s="1152">
        <v>6225000</v>
      </c>
      <c r="AD2084" s="1153">
        <v>6225000</v>
      </c>
      <c r="AE2084" s="1152"/>
      <c r="AF2084" s="1152"/>
      <c r="AG2084" s="1153"/>
      <c r="AH2084" s="1153"/>
      <c r="AI2084" s="732">
        <f t="shared" si="267"/>
        <v>6225000</v>
      </c>
      <c r="AJ2084" s="733">
        <f t="shared" si="268"/>
        <v>6225000</v>
      </c>
    </row>
    <row r="2085" spans="1:36">
      <c r="A2085" s="1075" t="s">
        <v>746</v>
      </c>
      <c r="B2085" s="1017" t="s">
        <v>238</v>
      </c>
      <c r="C2085" s="1076" t="s">
        <v>1611</v>
      </c>
      <c r="D2085" s="1010"/>
      <c r="E2085" s="987">
        <v>218335</v>
      </c>
      <c r="F2085" s="988">
        <v>15</v>
      </c>
      <c r="G2085" s="1152"/>
      <c r="H2085" s="1153"/>
      <c r="I2085" s="1152"/>
      <c r="J2085" s="1153"/>
      <c r="K2085" s="1152"/>
      <c r="L2085" s="1153"/>
      <c r="M2085" s="1152"/>
      <c r="N2085" s="1152"/>
      <c r="O2085" s="732">
        <f t="shared" si="261"/>
        <v>0</v>
      </c>
      <c r="P2085" s="1159"/>
      <c r="Q2085" s="1153"/>
      <c r="R2085" s="733">
        <f t="shared" si="264"/>
        <v>0</v>
      </c>
      <c r="S2085" s="732">
        <f t="shared" si="265"/>
        <v>0</v>
      </c>
      <c r="T2085" s="733">
        <f t="shared" si="266"/>
        <v>0</v>
      </c>
      <c r="U2085" s="1152"/>
      <c r="V2085" s="1153"/>
      <c r="W2085" s="1152"/>
      <c r="X2085" s="1152"/>
      <c r="Y2085" s="732">
        <f t="shared" si="262"/>
        <v>0</v>
      </c>
      <c r="Z2085" s="1153"/>
      <c r="AA2085" s="1153"/>
      <c r="AB2085" s="733">
        <f t="shared" si="263"/>
        <v>0</v>
      </c>
      <c r="AC2085" s="1152"/>
      <c r="AD2085" s="1153"/>
      <c r="AE2085" s="1152"/>
      <c r="AF2085" s="1152"/>
      <c r="AG2085" s="1153"/>
      <c r="AH2085" s="1153"/>
      <c r="AI2085" s="732">
        <f t="shared" si="267"/>
        <v>0</v>
      </c>
      <c r="AJ2085" s="733">
        <f t="shared" si="268"/>
        <v>0</v>
      </c>
    </row>
    <row r="2086" spans="1:36">
      <c r="A2086" s="1075" t="s">
        <v>746</v>
      </c>
      <c r="B2086" s="1017" t="s">
        <v>238</v>
      </c>
      <c r="C2086" s="1076" t="s">
        <v>1612</v>
      </c>
      <c r="D2086" s="1010"/>
      <c r="E2086" s="987">
        <v>218335</v>
      </c>
      <c r="F2086" s="988">
        <v>15</v>
      </c>
      <c r="G2086" s="1152"/>
      <c r="H2086" s="1153"/>
      <c r="I2086" s="1152"/>
      <c r="J2086" s="1153"/>
      <c r="K2086" s="1152"/>
      <c r="L2086" s="1153"/>
      <c r="M2086" s="1152"/>
      <c r="N2086" s="1152"/>
      <c r="O2086" s="732">
        <f t="shared" si="261"/>
        <v>0</v>
      </c>
      <c r="P2086" s="1159"/>
      <c r="Q2086" s="1153"/>
      <c r="R2086" s="733">
        <f t="shared" si="264"/>
        <v>0</v>
      </c>
      <c r="S2086" s="732">
        <f t="shared" si="265"/>
        <v>0</v>
      </c>
      <c r="T2086" s="733">
        <f t="shared" si="266"/>
        <v>0</v>
      </c>
      <c r="U2086" s="1152"/>
      <c r="V2086" s="1153"/>
      <c r="W2086" s="1152"/>
      <c r="X2086" s="1152"/>
      <c r="Y2086" s="732">
        <f t="shared" si="262"/>
        <v>0</v>
      </c>
      <c r="Z2086" s="1153"/>
      <c r="AA2086" s="1153"/>
      <c r="AB2086" s="733">
        <f t="shared" si="263"/>
        <v>0</v>
      </c>
      <c r="AC2086" s="1152">
        <v>2447393</v>
      </c>
      <c r="AD2086" s="1153">
        <v>2447393</v>
      </c>
      <c r="AE2086" s="1152"/>
      <c r="AF2086" s="1152"/>
      <c r="AG2086" s="1153"/>
      <c r="AH2086" s="1153"/>
      <c r="AI2086" s="732">
        <f t="shared" si="267"/>
        <v>2447393</v>
      </c>
      <c r="AJ2086" s="733">
        <f t="shared" si="268"/>
        <v>2447393</v>
      </c>
    </row>
    <row r="2087" spans="1:36">
      <c r="A2087" s="1075" t="s">
        <v>746</v>
      </c>
      <c r="B2087" s="1017" t="s">
        <v>238</v>
      </c>
      <c r="C2087" s="1076" t="s">
        <v>1613</v>
      </c>
      <c r="D2087" s="1010"/>
      <c r="E2087" s="987">
        <v>218335</v>
      </c>
      <c r="F2087" s="988">
        <v>15</v>
      </c>
      <c r="G2087" s="1152"/>
      <c r="H2087" s="1153"/>
      <c r="I2087" s="1152"/>
      <c r="J2087" s="1153"/>
      <c r="K2087" s="1152"/>
      <c r="L2087" s="1153"/>
      <c r="M2087" s="1152"/>
      <c r="N2087" s="1152"/>
      <c r="O2087" s="732">
        <f t="shared" si="261"/>
        <v>0</v>
      </c>
      <c r="P2087" s="1159"/>
      <c r="Q2087" s="1153"/>
      <c r="R2087" s="733">
        <f t="shared" si="264"/>
        <v>0</v>
      </c>
      <c r="S2087" s="732">
        <f t="shared" si="265"/>
        <v>0</v>
      </c>
      <c r="T2087" s="733">
        <f t="shared" si="266"/>
        <v>0</v>
      </c>
      <c r="U2087" s="1152"/>
      <c r="V2087" s="1153"/>
      <c r="W2087" s="1152"/>
      <c r="X2087" s="1152"/>
      <c r="Y2087" s="732">
        <f t="shared" si="262"/>
        <v>0</v>
      </c>
      <c r="Z2087" s="1153"/>
      <c r="AA2087" s="1153"/>
      <c r="AB2087" s="733">
        <f t="shared" si="263"/>
        <v>0</v>
      </c>
      <c r="AC2087" s="1152">
        <v>1634290</v>
      </c>
      <c r="AD2087" s="1153">
        <v>1629462</v>
      </c>
      <c r="AE2087" s="1152"/>
      <c r="AF2087" s="1152"/>
      <c r="AG2087" s="1153"/>
      <c r="AH2087" s="1153"/>
      <c r="AI2087" s="732">
        <f t="shared" si="267"/>
        <v>1634290</v>
      </c>
      <c r="AJ2087" s="733">
        <f t="shared" si="268"/>
        <v>1629462</v>
      </c>
    </row>
    <row r="2088" spans="1:36">
      <c r="A2088" s="1075" t="s">
        <v>746</v>
      </c>
      <c r="B2088" s="1017" t="s">
        <v>238</v>
      </c>
      <c r="C2088" s="1076" t="s">
        <v>1614</v>
      </c>
      <c r="D2088" s="1010"/>
      <c r="E2088" s="987">
        <v>218335</v>
      </c>
      <c r="F2088" s="988">
        <v>15</v>
      </c>
      <c r="G2088" s="1152"/>
      <c r="H2088" s="1153"/>
      <c r="I2088" s="1152"/>
      <c r="J2088" s="1153"/>
      <c r="K2088" s="1152"/>
      <c r="L2088" s="1153"/>
      <c r="M2088" s="1152"/>
      <c r="N2088" s="1152"/>
      <c r="O2088" s="732">
        <f t="shared" si="261"/>
        <v>0</v>
      </c>
      <c r="P2088" s="1159"/>
      <c r="Q2088" s="1153"/>
      <c r="R2088" s="733">
        <f t="shared" si="264"/>
        <v>0</v>
      </c>
      <c r="S2088" s="732">
        <f t="shared" si="265"/>
        <v>0</v>
      </c>
      <c r="T2088" s="733">
        <f t="shared" si="266"/>
        <v>0</v>
      </c>
      <c r="U2088" s="1152"/>
      <c r="V2088" s="1153"/>
      <c r="W2088" s="1152"/>
      <c r="X2088" s="1152"/>
      <c r="Y2088" s="732">
        <f t="shared" si="262"/>
        <v>0</v>
      </c>
      <c r="Z2088" s="1153"/>
      <c r="AA2088" s="1153"/>
      <c r="AB2088" s="733">
        <f t="shared" si="263"/>
        <v>0</v>
      </c>
      <c r="AC2088" s="1152">
        <v>1744535</v>
      </c>
      <c r="AD2088" s="1153">
        <v>1744535</v>
      </c>
      <c r="AE2088" s="1152"/>
      <c r="AF2088" s="1152"/>
      <c r="AG2088" s="1153"/>
      <c r="AH2088" s="1153"/>
      <c r="AI2088" s="732">
        <f t="shared" si="267"/>
        <v>1744535</v>
      </c>
      <c r="AJ2088" s="733">
        <f t="shared" si="268"/>
        <v>1744535</v>
      </c>
    </row>
    <row r="2089" spans="1:36">
      <c r="A2089" s="1075" t="s">
        <v>746</v>
      </c>
      <c r="B2089" s="1017" t="s">
        <v>238</v>
      </c>
      <c r="C2089" s="1076" t="s">
        <v>1615</v>
      </c>
      <c r="D2089" s="1010"/>
      <c r="E2089" s="987">
        <v>218335</v>
      </c>
      <c r="F2089" s="988">
        <v>15</v>
      </c>
      <c r="G2089" s="1152"/>
      <c r="H2089" s="1153"/>
      <c r="I2089" s="1152"/>
      <c r="J2089" s="1153"/>
      <c r="K2089" s="1152"/>
      <c r="L2089" s="1153"/>
      <c r="M2089" s="1152"/>
      <c r="N2089" s="1152"/>
      <c r="O2089" s="732">
        <f t="shared" si="261"/>
        <v>0</v>
      </c>
      <c r="P2089" s="1159"/>
      <c r="Q2089" s="1153"/>
      <c r="R2089" s="733">
        <f t="shared" si="264"/>
        <v>0</v>
      </c>
      <c r="S2089" s="732">
        <f t="shared" si="265"/>
        <v>0</v>
      </c>
      <c r="T2089" s="733">
        <f t="shared" si="266"/>
        <v>0</v>
      </c>
      <c r="U2089" s="1152"/>
      <c r="V2089" s="1153"/>
      <c r="W2089" s="1152"/>
      <c r="X2089" s="1152"/>
      <c r="Y2089" s="732">
        <f t="shared" si="262"/>
        <v>0</v>
      </c>
      <c r="Z2089" s="1153"/>
      <c r="AA2089" s="1153"/>
      <c r="AB2089" s="733">
        <f t="shared" si="263"/>
        <v>0</v>
      </c>
      <c r="AC2089" s="1152">
        <v>400000</v>
      </c>
      <c r="AD2089" s="1153">
        <v>400000</v>
      </c>
      <c r="AE2089" s="1152"/>
      <c r="AF2089" s="1152"/>
      <c r="AG2089" s="1153"/>
      <c r="AH2089" s="1153"/>
      <c r="AI2089" s="732">
        <f t="shared" si="267"/>
        <v>400000</v>
      </c>
      <c r="AJ2089" s="733">
        <f t="shared" si="268"/>
        <v>400000</v>
      </c>
    </row>
    <row r="2090" spans="1:36">
      <c r="A2090" s="1075" t="s">
        <v>746</v>
      </c>
      <c r="B2090" s="1017" t="s">
        <v>238</v>
      </c>
      <c r="C2090" s="1076" t="s">
        <v>1616</v>
      </c>
      <c r="D2090" s="1010"/>
      <c r="E2090" s="987">
        <v>218335</v>
      </c>
      <c r="F2090" s="988">
        <v>15</v>
      </c>
      <c r="G2090" s="1152"/>
      <c r="H2090" s="1153"/>
      <c r="I2090" s="1152"/>
      <c r="J2090" s="1153"/>
      <c r="K2090" s="1152"/>
      <c r="L2090" s="1153"/>
      <c r="M2090" s="1152"/>
      <c r="N2090" s="1152"/>
      <c r="O2090" s="732">
        <f t="shared" si="261"/>
        <v>0</v>
      </c>
      <c r="P2090" s="1159"/>
      <c r="Q2090" s="1153"/>
      <c r="R2090" s="733">
        <f t="shared" si="264"/>
        <v>0</v>
      </c>
      <c r="S2090" s="732">
        <f t="shared" si="265"/>
        <v>0</v>
      </c>
      <c r="T2090" s="733">
        <f t="shared" si="266"/>
        <v>0</v>
      </c>
      <c r="U2090" s="1152"/>
      <c r="V2090" s="1153"/>
      <c r="W2090" s="1152"/>
      <c r="X2090" s="1152"/>
      <c r="Y2090" s="732">
        <f t="shared" si="262"/>
        <v>0</v>
      </c>
      <c r="Z2090" s="1153"/>
      <c r="AA2090" s="1153"/>
      <c r="AB2090" s="733">
        <f t="shared" si="263"/>
        <v>0</v>
      </c>
      <c r="AC2090" s="1152">
        <v>868847</v>
      </c>
      <c r="AD2090" s="1153">
        <v>868847</v>
      </c>
      <c r="AE2090" s="1152"/>
      <c r="AF2090" s="1152"/>
      <c r="AG2090" s="1153"/>
      <c r="AH2090" s="1153"/>
      <c r="AI2090" s="732">
        <f t="shared" si="267"/>
        <v>868847</v>
      </c>
      <c r="AJ2090" s="733">
        <f t="shared" si="268"/>
        <v>868847</v>
      </c>
    </row>
    <row r="2091" spans="1:36">
      <c r="A2091" s="1075" t="s">
        <v>746</v>
      </c>
      <c r="B2091" s="1017" t="s">
        <v>238</v>
      </c>
      <c r="C2091" s="1076" t="s">
        <v>1617</v>
      </c>
      <c r="D2091" s="1010"/>
      <c r="E2091" s="987">
        <v>218335</v>
      </c>
      <c r="F2091" s="988">
        <v>15</v>
      </c>
      <c r="G2091" s="1152"/>
      <c r="H2091" s="1153"/>
      <c r="I2091" s="1152"/>
      <c r="J2091" s="1153"/>
      <c r="K2091" s="1152"/>
      <c r="L2091" s="1153"/>
      <c r="M2091" s="1152"/>
      <c r="N2091" s="1152"/>
      <c r="O2091" s="732">
        <f t="shared" si="261"/>
        <v>0</v>
      </c>
      <c r="P2091" s="1159"/>
      <c r="Q2091" s="1153"/>
      <c r="R2091" s="733">
        <f t="shared" si="264"/>
        <v>0</v>
      </c>
      <c r="S2091" s="732">
        <f t="shared" si="265"/>
        <v>0</v>
      </c>
      <c r="T2091" s="733">
        <f t="shared" si="266"/>
        <v>0</v>
      </c>
      <c r="U2091" s="1152"/>
      <c r="V2091" s="1153"/>
      <c r="W2091" s="1152"/>
      <c r="X2091" s="1152"/>
      <c r="Y2091" s="732">
        <f t="shared" si="262"/>
        <v>0</v>
      </c>
      <c r="Z2091" s="1153"/>
      <c r="AA2091" s="1153"/>
      <c r="AB2091" s="733">
        <f t="shared" si="263"/>
        <v>0</v>
      </c>
      <c r="AC2091" s="1152">
        <v>20000</v>
      </c>
      <c r="AD2091" s="1153">
        <v>20000</v>
      </c>
      <c r="AE2091" s="1152"/>
      <c r="AF2091" s="1152"/>
      <c r="AG2091" s="1153"/>
      <c r="AH2091" s="1153"/>
      <c r="AI2091" s="732">
        <f t="shared" si="267"/>
        <v>20000</v>
      </c>
      <c r="AJ2091" s="733">
        <f t="shared" si="268"/>
        <v>20000</v>
      </c>
    </row>
    <row r="2092" spans="1:36">
      <c r="A2092" s="1075" t="s">
        <v>746</v>
      </c>
      <c r="B2092" s="1017" t="s">
        <v>238</v>
      </c>
      <c r="C2092" s="1076" t="s">
        <v>1618</v>
      </c>
      <c r="D2092" s="1010"/>
      <c r="E2092" s="987">
        <v>218335</v>
      </c>
      <c r="F2092" s="988">
        <v>15</v>
      </c>
      <c r="G2092" s="1152"/>
      <c r="H2092" s="1153"/>
      <c r="I2092" s="1152"/>
      <c r="J2092" s="1153"/>
      <c r="K2092" s="1152"/>
      <c r="L2092" s="1153"/>
      <c r="M2092" s="1152"/>
      <c r="N2092" s="1152"/>
      <c r="O2092" s="732">
        <f t="shared" si="261"/>
        <v>0</v>
      </c>
      <c r="P2092" s="1159"/>
      <c r="Q2092" s="1153"/>
      <c r="R2092" s="733">
        <f t="shared" si="264"/>
        <v>0</v>
      </c>
      <c r="S2092" s="732">
        <f t="shared" si="265"/>
        <v>0</v>
      </c>
      <c r="T2092" s="733">
        <f t="shared" si="266"/>
        <v>0</v>
      </c>
      <c r="U2092" s="1152"/>
      <c r="V2092" s="1153"/>
      <c r="W2092" s="1152"/>
      <c r="X2092" s="1152"/>
      <c r="Y2092" s="732">
        <f t="shared" si="262"/>
        <v>0</v>
      </c>
      <c r="Z2092" s="1153"/>
      <c r="AA2092" s="1153"/>
      <c r="AB2092" s="733">
        <f t="shared" si="263"/>
        <v>0</v>
      </c>
      <c r="AC2092" s="1152">
        <v>3000000</v>
      </c>
      <c r="AD2092" s="1153">
        <v>3000000</v>
      </c>
      <c r="AE2092" s="1152"/>
      <c r="AF2092" s="1152"/>
      <c r="AG2092" s="1153"/>
      <c r="AH2092" s="1153"/>
      <c r="AI2092" s="732">
        <f t="shared" si="267"/>
        <v>3000000</v>
      </c>
      <c r="AJ2092" s="733">
        <f t="shared" si="268"/>
        <v>3000000</v>
      </c>
    </row>
    <row r="2093" spans="1:36">
      <c r="A2093" s="1075" t="s">
        <v>746</v>
      </c>
      <c r="B2093" s="1017" t="s">
        <v>132</v>
      </c>
      <c r="C2093" s="1093" t="s">
        <v>1071</v>
      </c>
      <c r="D2093" s="1010"/>
      <c r="E2093" s="1006"/>
      <c r="F2093" s="988">
        <v>99</v>
      </c>
      <c r="G2093" s="1152"/>
      <c r="H2093" s="1153"/>
      <c r="I2093" s="1152"/>
      <c r="J2093" s="1153"/>
      <c r="K2093" s="1152"/>
      <c r="L2093" s="1153"/>
      <c r="M2093" s="1152"/>
      <c r="N2093" s="1152"/>
      <c r="O2093" s="732">
        <f t="shared" si="261"/>
        <v>0</v>
      </c>
      <c r="P2093" s="1159"/>
      <c r="Q2093" s="1153"/>
      <c r="R2093" s="733">
        <f t="shared" si="264"/>
        <v>0</v>
      </c>
      <c r="S2093" s="732">
        <f t="shared" si="265"/>
        <v>0</v>
      </c>
      <c r="T2093" s="733">
        <f t="shared" si="266"/>
        <v>0</v>
      </c>
      <c r="U2093" s="1152"/>
      <c r="V2093" s="1153"/>
      <c r="W2093" s="1152"/>
      <c r="X2093" s="1152"/>
      <c r="Y2093" s="732">
        <f t="shared" si="262"/>
        <v>0</v>
      </c>
      <c r="Z2093" s="1153"/>
      <c r="AA2093" s="1153"/>
      <c r="AB2093" s="733">
        <f t="shared" si="263"/>
        <v>0</v>
      </c>
      <c r="AC2093" s="1152"/>
      <c r="AD2093" s="1153"/>
      <c r="AE2093" s="1152"/>
      <c r="AF2093" s="1152"/>
      <c r="AG2093" s="1153"/>
      <c r="AH2093" s="1153"/>
      <c r="AI2093" s="732">
        <f t="shared" si="267"/>
        <v>0</v>
      </c>
      <c r="AJ2093" s="733">
        <f t="shared" si="268"/>
        <v>0</v>
      </c>
    </row>
    <row r="2094" spans="1:36">
      <c r="A2094" s="1075" t="s">
        <v>746</v>
      </c>
      <c r="B2094" s="1017" t="s">
        <v>132</v>
      </c>
      <c r="C2094" s="1076" t="s">
        <v>1619</v>
      </c>
      <c r="D2094" s="1010"/>
      <c r="E2094" s="1018"/>
      <c r="F2094" s="988">
        <v>99</v>
      </c>
      <c r="G2094" s="1152"/>
      <c r="H2094" s="1153"/>
      <c r="I2094" s="1152">
        <v>594390</v>
      </c>
      <c r="J2094" s="1153">
        <v>594390</v>
      </c>
      <c r="K2094" s="1152"/>
      <c r="L2094" s="1153"/>
      <c r="M2094" s="1152"/>
      <c r="N2094" s="1152"/>
      <c r="O2094" s="732">
        <f t="shared" si="261"/>
        <v>0</v>
      </c>
      <c r="P2094" s="1159"/>
      <c r="Q2094" s="1153"/>
      <c r="R2094" s="733">
        <f t="shared" si="264"/>
        <v>0</v>
      </c>
      <c r="S2094" s="732">
        <f t="shared" si="265"/>
        <v>594390</v>
      </c>
      <c r="T2094" s="733">
        <f t="shared" si="266"/>
        <v>594390</v>
      </c>
      <c r="U2094" s="1152"/>
      <c r="V2094" s="1153"/>
      <c r="W2094" s="1152"/>
      <c r="X2094" s="1152"/>
      <c r="Y2094" s="732">
        <f t="shared" si="262"/>
        <v>0</v>
      </c>
      <c r="Z2094" s="1153"/>
      <c r="AA2094" s="1153"/>
      <c r="AB2094" s="733">
        <f t="shared" si="263"/>
        <v>0</v>
      </c>
      <c r="AC2094" s="1152"/>
      <c r="AD2094" s="1153"/>
      <c r="AE2094" s="1152"/>
      <c r="AF2094" s="1152"/>
      <c r="AG2094" s="1153"/>
      <c r="AH2094" s="1153"/>
      <c r="AI2094" s="732">
        <f t="shared" si="267"/>
        <v>594390</v>
      </c>
      <c r="AJ2094" s="733">
        <f t="shared" si="268"/>
        <v>594390</v>
      </c>
    </row>
    <row r="2095" spans="1:36">
      <c r="A2095" s="1075" t="s">
        <v>746</v>
      </c>
      <c r="B2095" s="1017" t="s">
        <v>132</v>
      </c>
      <c r="C2095" s="1076" t="s">
        <v>1620</v>
      </c>
      <c r="D2095" s="1010"/>
      <c r="E2095" s="1018"/>
      <c r="F2095" s="988">
        <v>99</v>
      </c>
      <c r="G2095" s="1152"/>
      <c r="H2095" s="1153"/>
      <c r="I2095" s="1152">
        <v>1084899</v>
      </c>
      <c r="J2095" s="1153">
        <v>1084899</v>
      </c>
      <c r="K2095" s="1152"/>
      <c r="L2095" s="1153"/>
      <c r="M2095" s="1152"/>
      <c r="N2095" s="1152"/>
      <c r="O2095" s="732">
        <f t="shared" si="261"/>
        <v>0</v>
      </c>
      <c r="P2095" s="1159"/>
      <c r="Q2095" s="1153"/>
      <c r="R2095" s="733">
        <f t="shared" si="264"/>
        <v>0</v>
      </c>
      <c r="S2095" s="732">
        <f t="shared" si="265"/>
        <v>1084899</v>
      </c>
      <c r="T2095" s="733">
        <f t="shared" si="266"/>
        <v>1084899</v>
      </c>
      <c r="U2095" s="1152"/>
      <c r="V2095" s="1153"/>
      <c r="W2095" s="1152"/>
      <c r="X2095" s="1152"/>
      <c r="Y2095" s="732">
        <f t="shared" si="262"/>
        <v>0</v>
      </c>
      <c r="Z2095" s="1153"/>
      <c r="AA2095" s="1153"/>
      <c r="AB2095" s="733">
        <f t="shared" si="263"/>
        <v>0</v>
      </c>
      <c r="AC2095" s="1152"/>
      <c r="AD2095" s="1153"/>
      <c r="AE2095" s="1152"/>
      <c r="AF2095" s="1152"/>
      <c r="AG2095" s="1153"/>
      <c r="AH2095" s="1153"/>
      <c r="AI2095" s="732">
        <f t="shared" si="267"/>
        <v>1084899</v>
      </c>
      <c r="AJ2095" s="733">
        <f t="shared" si="268"/>
        <v>1084899</v>
      </c>
    </row>
    <row r="2096" spans="1:36">
      <c r="A2096" s="1075" t="s">
        <v>746</v>
      </c>
      <c r="B2096" s="1017" t="s">
        <v>132</v>
      </c>
      <c r="C2096" s="1076" t="s">
        <v>1621</v>
      </c>
      <c r="D2096" s="1010"/>
      <c r="E2096" s="1018"/>
      <c r="F2096" s="988">
        <v>99</v>
      </c>
      <c r="G2096" s="1152"/>
      <c r="H2096" s="1153"/>
      <c r="I2096" s="1152"/>
      <c r="J2096" s="1153"/>
      <c r="K2096" s="1152"/>
      <c r="L2096" s="1153"/>
      <c r="M2096" s="1152"/>
      <c r="N2096" s="1152"/>
      <c r="O2096" s="732">
        <f t="shared" si="261"/>
        <v>0</v>
      </c>
      <c r="P2096" s="1159"/>
      <c r="Q2096" s="1153"/>
      <c r="R2096" s="733">
        <f t="shared" si="264"/>
        <v>0</v>
      </c>
      <c r="S2096" s="732">
        <f t="shared" si="265"/>
        <v>0</v>
      </c>
      <c r="T2096" s="733">
        <f t="shared" si="266"/>
        <v>0</v>
      </c>
      <c r="U2096" s="1152"/>
      <c r="V2096" s="1153"/>
      <c r="W2096" s="1152"/>
      <c r="X2096" s="1152"/>
      <c r="Y2096" s="732">
        <f t="shared" si="262"/>
        <v>0</v>
      </c>
      <c r="Z2096" s="1153"/>
      <c r="AA2096" s="1153"/>
      <c r="AB2096" s="733">
        <f t="shared" si="263"/>
        <v>0</v>
      </c>
      <c r="AC2096" s="1152"/>
      <c r="AD2096" s="1153"/>
      <c r="AE2096" s="1152"/>
      <c r="AF2096" s="1152"/>
      <c r="AG2096" s="1153"/>
      <c r="AH2096" s="1153"/>
      <c r="AI2096" s="732">
        <f t="shared" si="267"/>
        <v>0</v>
      </c>
      <c r="AJ2096" s="733">
        <f t="shared" si="268"/>
        <v>0</v>
      </c>
    </row>
    <row r="2097" spans="1:36">
      <c r="A2097" s="1075" t="s">
        <v>746</v>
      </c>
      <c r="B2097" s="1017" t="s">
        <v>132</v>
      </c>
      <c r="C2097" s="1076" t="s">
        <v>1622</v>
      </c>
      <c r="D2097" s="1010"/>
      <c r="E2097" s="1018"/>
      <c r="F2097" s="988">
        <v>99</v>
      </c>
      <c r="G2097" s="1152"/>
      <c r="H2097" s="1153"/>
      <c r="I2097" s="1152">
        <v>1500000</v>
      </c>
      <c r="J2097" s="1153">
        <v>1500000</v>
      </c>
      <c r="K2097" s="1152"/>
      <c r="L2097" s="1153"/>
      <c r="M2097" s="1152"/>
      <c r="N2097" s="1152"/>
      <c r="O2097" s="732">
        <f t="shared" si="261"/>
        <v>0</v>
      </c>
      <c r="P2097" s="1159"/>
      <c r="Q2097" s="1153"/>
      <c r="R2097" s="733">
        <f t="shared" si="264"/>
        <v>0</v>
      </c>
      <c r="S2097" s="732">
        <f t="shared" si="265"/>
        <v>1500000</v>
      </c>
      <c r="T2097" s="733">
        <f t="shared" si="266"/>
        <v>1500000</v>
      </c>
      <c r="U2097" s="1152"/>
      <c r="V2097" s="1153"/>
      <c r="W2097" s="1152"/>
      <c r="X2097" s="1152"/>
      <c r="Y2097" s="732">
        <f t="shared" si="262"/>
        <v>0</v>
      </c>
      <c r="Z2097" s="1153"/>
      <c r="AA2097" s="1153"/>
      <c r="AB2097" s="733">
        <f t="shared" si="263"/>
        <v>0</v>
      </c>
      <c r="AC2097" s="1152"/>
      <c r="AD2097" s="1153"/>
      <c r="AE2097" s="1152"/>
      <c r="AF2097" s="1152"/>
      <c r="AG2097" s="1153"/>
      <c r="AH2097" s="1153"/>
      <c r="AI2097" s="732">
        <f t="shared" si="267"/>
        <v>1500000</v>
      </c>
      <c r="AJ2097" s="733">
        <f t="shared" si="268"/>
        <v>1500000</v>
      </c>
    </row>
    <row r="2098" spans="1:36">
      <c r="A2098" s="1075" t="s">
        <v>746</v>
      </c>
      <c r="B2098" s="1017" t="s">
        <v>132</v>
      </c>
      <c r="C2098" s="1076" t="s">
        <v>1623</v>
      </c>
      <c r="D2098" s="1010"/>
      <c r="E2098" s="1006"/>
      <c r="F2098" s="988">
        <v>99</v>
      </c>
      <c r="G2098" s="1152"/>
      <c r="H2098" s="1153"/>
      <c r="I2098" s="1152">
        <v>1279330</v>
      </c>
      <c r="J2098" s="1153">
        <v>1279330</v>
      </c>
      <c r="K2098" s="1152"/>
      <c r="L2098" s="1153"/>
      <c r="M2098" s="1152"/>
      <c r="N2098" s="1152"/>
      <c r="O2098" s="732">
        <f t="shared" si="261"/>
        <v>0</v>
      </c>
      <c r="P2098" s="1159"/>
      <c r="Q2098" s="1153"/>
      <c r="R2098" s="733">
        <f t="shared" si="264"/>
        <v>0</v>
      </c>
      <c r="S2098" s="732">
        <f t="shared" si="265"/>
        <v>1279330</v>
      </c>
      <c r="T2098" s="733">
        <f t="shared" si="266"/>
        <v>1279330</v>
      </c>
      <c r="U2098" s="1152"/>
      <c r="V2098" s="1153"/>
      <c r="W2098" s="1152"/>
      <c r="X2098" s="1152"/>
      <c r="Y2098" s="732">
        <f t="shared" si="262"/>
        <v>0</v>
      </c>
      <c r="Z2098" s="1153"/>
      <c r="AA2098" s="1153"/>
      <c r="AB2098" s="733">
        <f t="shared" si="263"/>
        <v>0</v>
      </c>
      <c r="AC2098" s="1152"/>
      <c r="AD2098" s="1153"/>
      <c r="AE2098" s="1152"/>
      <c r="AF2098" s="1152"/>
      <c r="AG2098" s="1153"/>
      <c r="AH2098" s="1153"/>
      <c r="AI2098" s="732">
        <f t="shared" si="267"/>
        <v>1279330</v>
      </c>
      <c r="AJ2098" s="733">
        <f t="shared" si="268"/>
        <v>1279330</v>
      </c>
    </row>
    <row r="2099" spans="1:36">
      <c r="A2099" s="1075" t="s">
        <v>746</v>
      </c>
      <c r="B2099" s="1017" t="s">
        <v>132</v>
      </c>
      <c r="C2099" s="1076" t="s">
        <v>1551</v>
      </c>
      <c r="D2099" s="1010"/>
      <c r="E2099" s="1006"/>
      <c r="F2099" s="988">
        <v>99</v>
      </c>
      <c r="G2099" s="1152"/>
      <c r="H2099" s="1153"/>
      <c r="I2099" s="1152">
        <v>31376</v>
      </c>
      <c r="J2099" s="1153">
        <v>31376</v>
      </c>
      <c r="K2099" s="1152"/>
      <c r="L2099" s="1153"/>
      <c r="M2099" s="1152"/>
      <c r="N2099" s="1152"/>
      <c r="O2099" s="732">
        <f t="shared" si="261"/>
        <v>0</v>
      </c>
      <c r="P2099" s="1159"/>
      <c r="Q2099" s="1153"/>
      <c r="R2099" s="733">
        <f t="shared" si="264"/>
        <v>0</v>
      </c>
      <c r="S2099" s="732">
        <f t="shared" si="265"/>
        <v>31376</v>
      </c>
      <c r="T2099" s="733">
        <f t="shared" si="266"/>
        <v>31376</v>
      </c>
      <c r="U2099" s="1152"/>
      <c r="V2099" s="1153"/>
      <c r="W2099" s="1152"/>
      <c r="X2099" s="1152"/>
      <c r="Y2099" s="732">
        <f t="shared" si="262"/>
        <v>0</v>
      </c>
      <c r="Z2099" s="1153"/>
      <c r="AA2099" s="1153"/>
      <c r="AB2099" s="733">
        <f t="shared" si="263"/>
        <v>0</v>
      </c>
      <c r="AC2099" s="1152"/>
      <c r="AD2099" s="1153"/>
      <c r="AE2099" s="1152"/>
      <c r="AF2099" s="1152"/>
      <c r="AG2099" s="1153"/>
      <c r="AH2099" s="1153"/>
      <c r="AI2099" s="732">
        <f t="shared" si="267"/>
        <v>31376</v>
      </c>
      <c r="AJ2099" s="733">
        <f t="shared" si="268"/>
        <v>31376</v>
      </c>
    </row>
    <row r="2100" spans="1:36">
      <c r="A2100" s="1075" t="s">
        <v>746</v>
      </c>
      <c r="B2100" s="1017" t="s">
        <v>132</v>
      </c>
      <c r="C2100" s="1080" t="s">
        <v>1624</v>
      </c>
      <c r="D2100" s="1010"/>
      <c r="E2100" s="1006"/>
      <c r="F2100" s="988">
        <v>99</v>
      </c>
      <c r="G2100" s="1152"/>
      <c r="H2100" s="1153"/>
      <c r="I2100" s="1152"/>
      <c r="J2100" s="1153"/>
      <c r="K2100" s="1152"/>
      <c r="L2100" s="1153"/>
      <c r="M2100" s="1152"/>
      <c r="N2100" s="1152"/>
      <c r="O2100" s="732">
        <f t="shared" si="261"/>
        <v>0</v>
      </c>
      <c r="P2100" s="1159"/>
      <c r="Q2100" s="1153"/>
      <c r="R2100" s="733">
        <f t="shared" si="264"/>
        <v>0</v>
      </c>
      <c r="S2100" s="732">
        <f t="shared" si="265"/>
        <v>0</v>
      </c>
      <c r="T2100" s="733">
        <f t="shared" si="266"/>
        <v>0</v>
      </c>
      <c r="U2100" s="1152"/>
      <c r="V2100" s="1153"/>
      <c r="W2100" s="1152"/>
      <c r="X2100" s="1152"/>
      <c r="Y2100" s="732">
        <f t="shared" si="262"/>
        <v>0</v>
      </c>
      <c r="Z2100" s="1153"/>
      <c r="AA2100" s="1153"/>
      <c r="AB2100" s="733">
        <f t="shared" si="263"/>
        <v>0</v>
      </c>
      <c r="AC2100" s="1152"/>
      <c r="AD2100" s="1153"/>
      <c r="AE2100" s="1152"/>
      <c r="AF2100" s="1152"/>
      <c r="AG2100" s="1153"/>
      <c r="AH2100" s="1153"/>
      <c r="AI2100" s="732">
        <f t="shared" si="267"/>
        <v>0</v>
      </c>
      <c r="AJ2100" s="733">
        <f t="shared" si="268"/>
        <v>0</v>
      </c>
    </row>
    <row r="2101" spans="1:36">
      <c r="A2101" s="1075" t="s">
        <v>746</v>
      </c>
      <c r="B2101" s="1017" t="s">
        <v>138</v>
      </c>
      <c r="C2101" s="1093" t="s">
        <v>139</v>
      </c>
      <c r="D2101" s="1010"/>
      <c r="E2101" s="1006"/>
      <c r="F2101" s="988">
        <v>99</v>
      </c>
      <c r="G2101" s="1152"/>
      <c r="H2101" s="1153"/>
      <c r="I2101" s="1152"/>
      <c r="J2101" s="1153"/>
      <c r="K2101" s="1152"/>
      <c r="L2101" s="1153"/>
      <c r="M2101" s="1152"/>
      <c r="N2101" s="1152"/>
      <c r="O2101" s="732">
        <f t="shared" si="261"/>
        <v>0</v>
      </c>
      <c r="P2101" s="1159"/>
      <c r="Q2101" s="1153"/>
      <c r="R2101" s="733">
        <f t="shared" si="264"/>
        <v>0</v>
      </c>
      <c r="S2101" s="732">
        <f t="shared" si="265"/>
        <v>0</v>
      </c>
      <c r="T2101" s="733">
        <f t="shared" si="266"/>
        <v>0</v>
      </c>
      <c r="U2101" s="1152"/>
      <c r="V2101" s="1153"/>
      <c r="W2101" s="1152"/>
      <c r="X2101" s="1152"/>
      <c r="Y2101" s="732">
        <f t="shared" si="262"/>
        <v>0</v>
      </c>
      <c r="Z2101" s="1153"/>
      <c r="AA2101" s="1153"/>
      <c r="AB2101" s="733">
        <f t="shared" si="263"/>
        <v>0</v>
      </c>
      <c r="AC2101" s="1152"/>
      <c r="AD2101" s="1153"/>
      <c r="AE2101" s="1152"/>
      <c r="AF2101" s="1152"/>
      <c r="AG2101" s="1153"/>
      <c r="AH2101" s="1153"/>
      <c r="AI2101" s="732">
        <f t="shared" si="267"/>
        <v>0</v>
      </c>
      <c r="AJ2101" s="733">
        <f t="shared" si="268"/>
        <v>0</v>
      </c>
    </row>
    <row r="2102" spans="1:36">
      <c r="A2102" s="1075" t="s">
        <v>746</v>
      </c>
      <c r="B2102" s="1017" t="s">
        <v>140</v>
      </c>
      <c r="C2102" s="1077" t="s">
        <v>141</v>
      </c>
      <c r="D2102" s="1010"/>
      <c r="E2102" s="1006"/>
      <c r="F2102" s="988">
        <v>99</v>
      </c>
      <c r="G2102" s="1152"/>
      <c r="H2102" s="1153"/>
      <c r="I2102" s="1152"/>
      <c r="J2102" s="1153"/>
      <c r="K2102" s="1152"/>
      <c r="L2102" s="1153"/>
      <c r="M2102" s="1152"/>
      <c r="N2102" s="1152"/>
      <c r="O2102" s="732">
        <f t="shared" si="261"/>
        <v>0</v>
      </c>
      <c r="P2102" s="1159"/>
      <c r="Q2102" s="1153"/>
      <c r="R2102" s="733">
        <f t="shared" si="264"/>
        <v>0</v>
      </c>
      <c r="S2102" s="732">
        <f t="shared" si="265"/>
        <v>0</v>
      </c>
      <c r="T2102" s="733">
        <f t="shared" si="266"/>
        <v>0</v>
      </c>
      <c r="U2102" s="1152"/>
      <c r="V2102" s="1153"/>
      <c r="W2102" s="1152"/>
      <c r="X2102" s="1152"/>
      <c r="Y2102" s="732">
        <f t="shared" si="262"/>
        <v>0</v>
      </c>
      <c r="Z2102" s="1153"/>
      <c r="AA2102" s="1153"/>
      <c r="AB2102" s="733">
        <f t="shared" si="263"/>
        <v>0</v>
      </c>
      <c r="AC2102" s="1152"/>
      <c r="AD2102" s="1153"/>
      <c r="AE2102" s="1152"/>
      <c r="AF2102" s="1152"/>
      <c r="AG2102" s="1153"/>
      <c r="AH2102" s="1153"/>
      <c r="AI2102" s="732">
        <f t="shared" si="267"/>
        <v>0</v>
      </c>
      <c r="AJ2102" s="733">
        <f t="shared" si="268"/>
        <v>0</v>
      </c>
    </row>
    <row r="2103" spans="1:36">
      <c r="A2103" s="1075" t="s">
        <v>746</v>
      </c>
      <c r="B2103" s="1017" t="s">
        <v>140</v>
      </c>
      <c r="C2103" s="1076" t="s">
        <v>1625</v>
      </c>
      <c r="D2103" s="1010"/>
      <c r="E2103" s="1006"/>
      <c r="F2103" s="988">
        <v>99</v>
      </c>
      <c r="G2103" s="1152"/>
      <c r="H2103" s="1153"/>
      <c r="I2103" s="1152"/>
      <c r="J2103" s="1153"/>
      <c r="K2103" s="1152"/>
      <c r="L2103" s="1153"/>
      <c r="M2103" s="1152"/>
      <c r="N2103" s="1152"/>
      <c r="O2103" s="732">
        <f t="shared" si="261"/>
        <v>0</v>
      </c>
      <c r="P2103" s="1159"/>
      <c r="Q2103" s="1153"/>
      <c r="R2103" s="733">
        <f t="shared" si="264"/>
        <v>0</v>
      </c>
      <c r="S2103" s="732">
        <f t="shared" si="265"/>
        <v>0</v>
      </c>
      <c r="T2103" s="733">
        <f t="shared" si="266"/>
        <v>0</v>
      </c>
      <c r="U2103" s="1152">
        <v>2697800</v>
      </c>
      <c r="V2103" s="1153">
        <f>1650827+285520+47972+632901+80580</f>
        <v>2697800</v>
      </c>
      <c r="W2103" s="1152"/>
      <c r="X2103" s="1152"/>
      <c r="Y2103" s="732">
        <f t="shared" si="262"/>
        <v>0</v>
      </c>
      <c r="Z2103" s="1153"/>
      <c r="AA2103" s="1153"/>
      <c r="AB2103" s="733">
        <f t="shared" si="263"/>
        <v>0</v>
      </c>
      <c r="AC2103" s="1152"/>
      <c r="AD2103" s="1153"/>
      <c r="AE2103" s="1152"/>
      <c r="AF2103" s="1152"/>
      <c r="AG2103" s="1153"/>
      <c r="AH2103" s="1153"/>
      <c r="AI2103" s="732">
        <f t="shared" si="267"/>
        <v>2697800</v>
      </c>
      <c r="AJ2103" s="733">
        <f t="shared" si="268"/>
        <v>2697800</v>
      </c>
    </row>
    <row r="2104" spans="1:36">
      <c r="A2104" s="1075" t="s">
        <v>746</v>
      </c>
      <c r="B2104" s="1017" t="s">
        <v>140</v>
      </c>
      <c r="C2104" s="1076" t="s">
        <v>1626</v>
      </c>
      <c r="D2104" s="1010"/>
      <c r="E2104" s="1006"/>
      <c r="F2104" s="988">
        <v>99</v>
      </c>
      <c r="G2104" s="1152"/>
      <c r="H2104" s="1153"/>
      <c r="I2104" s="1152"/>
      <c r="J2104" s="1153"/>
      <c r="K2104" s="1152"/>
      <c r="L2104" s="1153"/>
      <c r="M2104" s="1152"/>
      <c r="N2104" s="1152"/>
      <c r="O2104" s="732">
        <f t="shared" si="261"/>
        <v>0</v>
      </c>
      <c r="P2104" s="1159"/>
      <c r="Q2104" s="1153"/>
      <c r="R2104" s="733">
        <f t="shared" si="264"/>
        <v>0</v>
      </c>
      <c r="S2104" s="732">
        <f t="shared" si="265"/>
        <v>0</v>
      </c>
      <c r="T2104" s="733">
        <f t="shared" si="266"/>
        <v>0</v>
      </c>
      <c r="U2104" s="1152">
        <v>1180576</v>
      </c>
      <c r="V2104" s="1153">
        <v>1180576</v>
      </c>
      <c r="W2104" s="1152"/>
      <c r="X2104" s="1152"/>
      <c r="Y2104" s="732">
        <f t="shared" si="262"/>
        <v>0</v>
      </c>
      <c r="Z2104" s="1153"/>
      <c r="AA2104" s="1153"/>
      <c r="AB2104" s="733">
        <f t="shared" si="263"/>
        <v>0</v>
      </c>
      <c r="AC2104" s="1152"/>
      <c r="AD2104" s="1153"/>
      <c r="AE2104" s="1152"/>
      <c r="AF2104" s="1152"/>
      <c r="AG2104" s="1153"/>
      <c r="AH2104" s="1153"/>
      <c r="AI2104" s="732">
        <f t="shared" si="267"/>
        <v>1180576</v>
      </c>
      <c r="AJ2104" s="733">
        <f t="shared" si="268"/>
        <v>1180576</v>
      </c>
    </row>
    <row r="2105" spans="1:36">
      <c r="A2105" s="1075" t="s">
        <v>746</v>
      </c>
      <c r="B2105" s="1017" t="s">
        <v>140</v>
      </c>
      <c r="C2105" s="1076" t="s">
        <v>1627</v>
      </c>
      <c r="D2105" s="1010"/>
      <c r="E2105" s="1006"/>
      <c r="F2105" s="988">
        <v>99</v>
      </c>
      <c r="G2105" s="1152"/>
      <c r="H2105" s="1153"/>
      <c r="I2105" s="1152"/>
      <c r="J2105" s="1153"/>
      <c r="K2105" s="1152"/>
      <c r="L2105" s="1153"/>
      <c r="M2105" s="1152"/>
      <c r="N2105" s="1152"/>
      <c r="O2105" s="732">
        <f t="shared" si="261"/>
        <v>0</v>
      </c>
      <c r="P2105" s="1159"/>
      <c r="Q2105" s="1153"/>
      <c r="R2105" s="733">
        <f t="shared" si="264"/>
        <v>0</v>
      </c>
      <c r="S2105" s="732">
        <f t="shared" si="265"/>
        <v>0</v>
      </c>
      <c r="T2105" s="733">
        <f t="shared" si="266"/>
        <v>0</v>
      </c>
      <c r="U2105" s="1152">
        <v>164289</v>
      </c>
      <c r="V2105" s="1153">
        <v>164289</v>
      </c>
      <c r="W2105" s="1152"/>
      <c r="X2105" s="1152"/>
      <c r="Y2105" s="732">
        <f t="shared" si="262"/>
        <v>0</v>
      </c>
      <c r="Z2105" s="1153"/>
      <c r="AA2105" s="1153"/>
      <c r="AB2105" s="733">
        <f t="shared" si="263"/>
        <v>0</v>
      </c>
      <c r="AC2105" s="1152"/>
      <c r="AD2105" s="1153"/>
      <c r="AE2105" s="1152"/>
      <c r="AF2105" s="1152"/>
      <c r="AG2105" s="1153"/>
      <c r="AH2105" s="1153"/>
      <c r="AI2105" s="732">
        <f t="shared" si="267"/>
        <v>164289</v>
      </c>
      <c r="AJ2105" s="733">
        <f t="shared" si="268"/>
        <v>164289</v>
      </c>
    </row>
    <row r="2106" spans="1:36">
      <c r="A2106" s="1075" t="s">
        <v>746</v>
      </c>
      <c r="B2106" s="1017" t="s">
        <v>140</v>
      </c>
      <c r="C2106" s="1076" t="s">
        <v>1628</v>
      </c>
      <c r="D2106" s="1010"/>
      <c r="E2106" s="1006"/>
      <c r="F2106" s="988">
        <v>99</v>
      </c>
      <c r="G2106" s="1152"/>
      <c r="H2106" s="1153"/>
      <c r="I2106" s="1152"/>
      <c r="J2106" s="1153"/>
      <c r="K2106" s="1152"/>
      <c r="L2106" s="1153"/>
      <c r="M2106" s="1152"/>
      <c r="N2106" s="1152"/>
      <c r="O2106" s="732">
        <f t="shared" si="261"/>
        <v>0</v>
      </c>
      <c r="P2106" s="1159"/>
      <c r="Q2106" s="1153"/>
      <c r="R2106" s="733">
        <f t="shared" si="264"/>
        <v>0</v>
      </c>
      <c r="S2106" s="732">
        <f t="shared" si="265"/>
        <v>0</v>
      </c>
      <c r="T2106" s="733">
        <f t="shared" si="266"/>
        <v>0</v>
      </c>
      <c r="U2106" s="1152"/>
      <c r="V2106" s="1153"/>
      <c r="W2106" s="1152"/>
      <c r="X2106" s="1152"/>
      <c r="Y2106" s="732">
        <f t="shared" si="262"/>
        <v>0</v>
      </c>
      <c r="Z2106" s="1153"/>
      <c r="AA2106" s="1153"/>
      <c r="AB2106" s="733">
        <f t="shared" si="263"/>
        <v>0</v>
      </c>
      <c r="AC2106" s="1152"/>
      <c r="AD2106" s="1153"/>
      <c r="AE2106" s="1152"/>
      <c r="AF2106" s="1152"/>
      <c r="AG2106" s="1153"/>
      <c r="AH2106" s="1153"/>
      <c r="AI2106" s="732">
        <f t="shared" si="267"/>
        <v>0</v>
      </c>
      <c r="AJ2106" s="733">
        <f t="shared" si="268"/>
        <v>0</v>
      </c>
    </row>
    <row r="2107" spans="1:36">
      <c r="A2107" s="1075" t="s">
        <v>746</v>
      </c>
      <c r="B2107" s="1017" t="s">
        <v>142</v>
      </c>
      <c r="C2107" s="1077" t="s">
        <v>143</v>
      </c>
      <c r="D2107" s="1010"/>
      <c r="E2107" s="1006"/>
      <c r="F2107" s="988">
        <v>99</v>
      </c>
      <c r="G2107" s="1152"/>
      <c r="H2107" s="1153"/>
      <c r="I2107" s="1152"/>
      <c r="J2107" s="1153"/>
      <c r="K2107" s="1152"/>
      <c r="L2107" s="1153"/>
      <c r="M2107" s="1152"/>
      <c r="N2107" s="1152"/>
      <c r="O2107" s="732">
        <f t="shared" si="261"/>
        <v>0</v>
      </c>
      <c r="P2107" s="1159"/>
      <c r="Q2107" s="1153"/>
      <c r="R2107" s="733">
        <f t="shared" si="264"/>
        <v>0</v>
      </c>
      <c r="S2107" s="732">
        <f t="shared" si="265"/>
        <v>0</v>
      </c>
      <c r="T2107" s="733">
        <f t="shared" si="266"/>
        <v>0</v>
      </c>
      <c r="U2107" s="1152"/>
      <c r="V2107" s="1153"/>
      <c r="W2107" s="1152"/>
      <c r="X2107" s="1152"/>
      <c r="Y2107" s="732">
        <f t="shared" si="262"/>
        <v>0</v>
      </c>
      <c r="Z2107" s="1153"/>
      <c r="AA2107" s="1153"/>
      <c r="AB2107" s="733">
        <f t="shared" si="263"/>
        <v>0</v>
      </c>
      <c r="AC2107" s="1152"/>
      <c r="AD2107" s="1153"/>
      <c r="AE2107" s="1152"/>
      <c r="AF2107" s="1152"/>
      <c r="AG2107" s="1153"/>
      <c r="AH2107" s="1153"/>
      <c r="AI2107" s="732">
        <f t="shared" si="267"/>
        <v>0</v>
      </c>
      <c r="AJ2107" s="733">
        <f t="shared" si="268"/>
        <v>0</v>
      </c>
    </row>
    <row r="2108" spans="1:36">
      <c r="A2108" s="1075" t="s">
        <v>746</v>
      </c>
      <c r="B2108" s="1017" t="s">
        <v>142</v>
      </c>
      <c r="C2108" s="1076" t="s">
        <v>1629</v>
      </c>
      <c r="D2108" s="1010"/>
      <c r="E2108" s="1006"/>
      <c r="F2108" s="988">
        <v>99</v>
      </c>
      <c r="G2108" s="1152"/>
      <c r="H2108" s="1153"/>
      <c r="I2108" s="1152"/>
      <c r="J2108" s="1153"/>
      <c r="K2108" s="1152"/>
      <c r="L2108" s="1153"/>
      <c r="M2108" s="1152"/>
      <c r="N2108" s="1152"/>
      <c r="O2108" s="732">
        <f t="shared" si="261"/>
        <v>0</v>
      </c>
      <c r="P2108" s="1159"/>
      <c r="Q2108" s="1153"/>
      <c r="R2108" s="733">
        <f t="shared" si="264"/>
        <v>0</v>
      </c>
      <c r="S2108" s="732">
        <f t="shared" si="265"/>
        <v>0</v>
      </c>
      <c r="T2108" s="733">
        <f t="shared" si="266"/>
        <v>0</v>
      </c>
      <c r="U2108" s="1152">
        <v>3346587</v>
      </c>
      <c r="V2108" s="1153">
        <v>3346587</v>
      </c>
      <c r="W2108" s="1152"/>
      <c r="X2108" s="1152"/>
      <c r="Y2108" s="732">
        <f t="shared" si="262"/>
        <v>0</v>
      </c>
      <c r="Z2108" s="1153"/>
      <c r="AA2108" s="1153"/>
      <c r="AB2108" s="733">
        <f t="shared" si="263"/>
        <v>0</v>
      </c>
      <c r="AC2108" s="1152"/>
      <c r="AD2108" s="1153"/>
      <c r="AE2108" s="1152"/>
      <c r="AF2108" s="1152"/>
      <c r="AG2108" s="1153"/>
      <c r="AH2108" s="1153"/>
      <c r="AI2108" s="732">
        <f t="shared" si="267"/>
        <v>3346587</v>
      </c>
      <c r="AJ2108" s="733">
        <f t="shared" si="268"/>
        <v>3346587</v>
      </c>
    </row>
    <row r="2109" spans="1:36">
      <c r="A2109" s="1075" t="s">
        <v>746</v>
      </c>
      <c r="B2109" s="1017" t="s">
        <v>142</v>
      </c>
      <c r="C2109" s="1076" t="s">
        <v>1538</v>
      </c>
      <c r="D2109" s="1010"/>
      <c r="E2109" s="1006"/>
      <c r="F2109" s="988">
        <v>99</v>
      </c>
      <c r="G2109" s="1152"/>
      <c r="H2109" s="1153"/>
      <c r="I2109" s="1152"/>
      <c r="J2109" s="1153"/>
      <c r="K2109" s="1152"/>
      <c r="L2109" s="1153"/>
      <c r="M2109" s="1152"/>
      <c r="N2109" s="1152"/>
      <c r="O2109" s="732">
        <f t="shared" si="261"/>
        <v>0</v>
      </c>
      <c r="P2109" s="1159"/>
      <c r="Q2109" s="1153"/>
      <c r="R2109" s="733">
        <f t="shared" si="264"/>
        <v>0</v>
      </c>
      <c r="S2109" s="732">
        <f t="shared" si="265"/>
        <v>0</v>
      </c>
      <c r="T2109" s="733">
        <f t="shared" si="266"/>
        <v>0</v>
      </c>
      <c r="U2109" s="1152">
        <v>1271527</v>
      </c>
      <c r="V2109" s="1153">
        <v>1271527</v>
      </c>
      <c r="W2109" s="1152"/>
      <c r="X2109" s="1152"/>
      <c r="Y2109" s="732">
        <f t="shared" si="262"/>
        <v>0</v>
      </c>
      <c r="Z2109" s="1153"/>
      <c r="AA2109" s="1153"/>
      <c r="AB2109" s="733">
        <f t="shared" si="263"/>
        <v>0</v>
      </c>
      <c r="AC2109" s="1152"/>
      <c r="AD2109" s="1153"/>
      <c r="AE2109" s="1152"/>
      <c r="AF2109" s="1152"/>
      <c r="AG2109" s="1153"/>
      <c r="AH2109" s="1153"/>
      <c r="AI2109" s="732">
        <f t="shared" si="267"/>
        <v>1271527</v>
      </c>
      <c r="AJ2109" s="733">
        <f t="shared" si="268"/>
        <v>1271527</v>
      </c>
    </row>
    <row r="2110" spans="1:36">
      <c r="A2110" s="1075" t="s">
        <v>746</v>
      </c>
      <c r="B2110" s="1017" t="s">
        <v>142</v>
      </c>
      <c r="C2110" s="1076" t="s">
        <v>1630</v>
      </c>
      <c r="D2110" s="1010"/>
      <c r="E2110" s="1006"/>
      <c r="F2110" s="988">
        <v>99</v>
      </c>
      <c r="G2110" s="1152"/>
      <c r="H2110" s="1153"/>
      <c r="I2110" s="1152"/>
      <c r="J2110" s="1153"/>
      <c r="K2110" s="1152"/>
      <c r="L2110" s="1153"/>
      <c r="M2110" s="1152"/>
      <c r="N2110" s="1152"/>
      <c r="O2110" s="732">
        <f t="shared" si="261"/>
        <v>0</v>
      </c>
      <c r="P2110" s="1159"/>
      <c r="Q2110" s="1153"/>
      <c r="R2110" s="733">
        <f t="shared" si="264"/>
        <v>0</v>
      </c>
      <c r="S2110" s="732">
        <f t="shared" si="265"/>
        <v>0</v>
      </c>
      <c r="T2110" s="733">
        <f t="shared" si="266"/>
        <v>0</v>
      </c>
      <c r="U2110" s="1152">
        <v>7255618</v>
      </c>
      <c r="V2110" s="1153">
        <v>5779253</v>
      </c>
      <c r="W2110" s="1152"/>
      <c r="X2110" s="1152"/>
      <c r="Y2110" s="732">
        <f t="shared" si="262"/>
        <v>0</v>
      </c>
      <c r="Z2110" s="1153"/>
      <c r="AA2110" s="1153"/>
      <c r="AB2110" s="733">
        <f t="shared" si="263"/>
        <v>0</v>
      </c>
      <c r="AC2110" s="1152"/>
      <c r="AD2110" s="1153"/>
      <c r="AE2110" s="1152"/>
      <c r="AF2110" s="1152"/>
      <c r="AG2110" s="1153"/>
      <c r="AH2110" s="1153"/>
      <c r="AI2110" s="732">
        <f t="shared" si="267"/>
        <v>7255618</v>
      </c>
      <c r="AJ2110" s="733">
        <f t="shared" si="268"/>
        <v>5779253</v>
      </c>
    </row>
    <row r="2111" spans="1:36">
      <c r="A2111" s="1075" t="s">
        <v>746</v>
      </c>
      <c r="B2111" s="1017" t="s">
        <v>142</v>
      </c>
      <c r="C2111" s="1076" t="s">
        <v>1631</v>
      </c>
      <c r="D2111" s="1010"/>
      <c r="E2111" s="1006"/>
      <c r="F2111" s="988">
        <v>99</v>
      </c>
      <c r="G2111" s="1152"/>
      <c r="H2111" s="1153"/>
      <c r="I2111" s="1152"/>
      <c r="J2111" s="1153"/>
      <c r="K2111" s="1152"/>
      <c r="L2111" s="1153"/>
      <c r="M2111" s="1152"/>
      <c r="N2111" s="1152"/>
      <c r="O2111" s="732">
        <f t="shared" si="261"/>
        <v>0</v>
      </c>
      <c r="P2111" s="1159"/>
      <c r="Q2111" s="1153"/>
      <c r="R2111" s="733">
        <f t="shared" si="264"/>
        <v>0</v>
      </c>
      <c r="S2111" s="732">
        <f t="shared" si="265"/>
        <v>0</v>
      </c>
      <c r="T2111" s="733">
        <f t="shared" si="266"/>
        <v>0</v>
      </c>
      <c r="U2111" s="1152">
        <v>8459986</v>
      </c>
      <c r="V2111" s="1153">
        <f>2500733+5779253</f>
        <v>8279986</v>
      </c>
      <c r="W2111" s="1152"/>
      <c r="X2111" s="1152"/>
      <c r="Y2111" s="732">
        <f t="shared" si="262"/>
        <v>0</v>
      </c>
      <c r="Z2111" s="1153"/>
      <c r="AA2111" s="1153"/>
      <c r="AB2111" s="733">
        <f t="shared" si="263"/>
        <v>0</v>
      </c>
      <c r="AC2111" s="1152"/>
      <c r="AD2111" s="1153"/>
      <c r="AE2111" s="1152"/>
      <c r="AF2111" s="1152"/>
      <c r="AG2111" s="1153"/>
      <c r="AH2111" s="1153"/>
      <c r="AI2111" s="732">
        <f t="shared" si="267"/>
        <v>8459986</v>
      </c>
      <c r="AJ2111" s="733">
        <f t="shared" si="268"/>
        <v>8279986</v>
      </c>
    </row>
    <row r="2112" spans="1:36">
      <c r="A2112" s="1075" t="s">
        <v>746</v>
      </c>
      <c r="B2112" s="1017" t="s">
        <v>142</v>
      </c>
      <c r="C2112" s="1076" t="s">
        <v>1632</v>
      </c>
      <c r="D2112" s="1010"/>
      <c r="E2112" s="1006"/>
      <c r="F2112" s="988">
        <v>99</v>
      </c>
      <c r="G2112" s="1152"/>
      <c r="H2112" s="1153"/>
      <c r="I2112" s="1152"/>
      <c r="J2112" s="1153"/>
      <c r="K2112" s="1152"/>
      <c r="L2112" s="1153"/>
      <c r="M2112" s="1152"/>
      <c r="N2112" s="1152"/>
      <c r="O2112" s="732">
        <f t="shared" si="261"/>
        <v>0</v>
      </c>
      <c r="P2112" s="1159"/>
      <c r="Q2112" s="1153"/>
      <c r="R2112" s="733">
        <f t="shared" si="264"/>
        <v>0</v>
      </c>
      <c r="S2112" s="732">
        <f t="shared" si="265"/>
        <v>0</v>
      </c>
      <c r="T2112" s="733">
        <f t="shared" si="266"/>
        <v>0</v>
      </c>
      <c r="U2112" s="1152">
        <v>2500000</v>
      </c>
      <c r="V2112" s="1153">
        <v>2500000</v>
      </c>
      <c r="W2112" s="1152"/>
      <c r="X2112" s="1152"/>
      <c r="Y2112" s="732">
        <f t="shared" si="262"/>
        <v>0</v>
      </c>
      <c r="Z2112" s="1153"/>
      <c r="AA2112" s="1153"/>
      <c r="AB2112" s="733">
        <f t="shared" si="263"/>
        <v>0</v>
      </c>
      <c r="AC2112" s="1152"/>
      <c r="AD2112" s="1153"/>
      <c r="AE2112" s="1152"/>
      <c r="AF2112" s="1152"/>
      <c r="AG2112" s="1153"/>
      <c r="AH2112" s="1153"/>
      <c r="AI2112" s="732">
        <f t="shared" si="267"/>
        <v>2500000</v>
      </c>
      <c r="AJ2112" s="733">
        <f t="shared" si="268"/>
        <v>2500000</v>
      </c>
    </row>
    <row r="2113" spans="1:36">
      <c r="A2113" s="1075" t="s">
        <v>746</v>
      </c>
      <c r="B2113" s="1017" t="s">
        <v>145</v>
      </c>
      <c r="C2113" s="1076" t="s">
        <v>1633</v>
      </c>
      <c r="D2113" s="1010"/>
      <c r="E2113" s="1006"/>
      <c r="F2113" s="988">
        <v>99</v>
      </c>
      <c r="G2113" s="1152"/>
      <c r="H2113" s="1153"/>
      <c r="I2113" s="1152"/>
      <c r="J2113" s="1153"/>
      <c r="K2113" s="1152"/>
      <c r="L2113" s="1153"/>
      <c r="M2113" s="1152"/>
      <c r="N2113" s="1152"/>
      <c r="O2113" s="732">
        <f t="shared" si="261"/>
        <v>0</v>
      </c>
      <c r="P2113" s="1159"/>
      <c r="Q2113" s="1153"/>
      <c r="R2113" s="733">
        <f t="shared" si="264"/>
        <v>0</v>
      </c>
      <c r="S2113" s="732">
        <f t="shared" si="265"/>
        <v>0</v>
      </c>
      <c r="T2113" s="733">
        <f t="shared" si="266"/>
        <v>0</v>
      </c>
      <c r="U2113" s="1152"/>
      <c r="V2113" s="1153"/>
      <c r="W2113" s="1152"/>
      <c r="X2113" s="1152"/>
      <c r="Y2113" s="732">
        <f t="shared" si="262"/>
        <v>0</v>
      </c>
      <c r="Z2113" s="1153"/>
      <c r="AA2113" s="1153"/>
      <c r="AB2113" s="733">
        <f t="shared" si="263"/>
        <v>0</v>
      </c>
      <c r="AC2113" s="1152"/>
      <c r="AD2113" s="1153"/>
      <c r="AE2113" s="1152"/>
      <c r="AF2113" s="1152"/>
      <c r="AG2113" s="1153"/>
      <c r="AH2113" s="1153"/>
      <c r="AI2113" s="732">
        <f t="shared" si="267"/>
        <v>0</v>
      </c>
      <c r="AJ2113" s="733">
        <f t="shared" si="268"/>
        <v>0</v>
      </c>
    </row>
    <row r="2114" spans="1:36">
      <c r="A2114" s="1075" t="s">
        <v>746</v>
      </c>
      <c r="B2114" s="1017" t="s">
        <v>145</v>
      </c>
      <c r="C2114" s="1076" t="s">
        <v>1634</v>
      </c>
      <c r="D2114" s="1010"/>
      <c r="E2114" s="1006"/>
      <c r="F2114" s="988">
        <v>99</v>
      </c>
      <c r="G2114" s="1152"/>
      <c r="H2114" s="1153"/>
      <c r="I2114" s="1152"/>
      <c r="J2114" s="1153"/>
      <c r="K2114" s="1152"/>
      <c r="L2114" s="1153"/>
      <c r="M2114" s="1152"/>
      <c r="N2114" s="1152"/>
      <c r="O2114" s="732">
        <f t="shared" si="261"/>
        <v>0</v>
      </c>
      <c r="P2114" s="1159"/>
      <c r="Q2114" s="1153"/>
      <c r="R2114" s="733">
        <f t="shared" si="264"/>
        <v>0</v>
      </c>
      <c r="S2114" s="732">
        <f t="shared" si="265"/>
        <v>0</v>
      </c>
      <c r="T2114" s="733">
        <f t="shared" si="266"/>
        <v>0</v>
      </c>
      <c r="U2114" s="1152"/>
      <c r="V2114" s="1153"/>
      <c r="W2114" s="1152"/>
      <c r="X2114" s="1152"/>
      <c r="Y2114" s="732">
        <f t="shared" si="262"/>
        <v>0</v>
      </c>
      <c r="Z2114" s="1153"/>
      <c r="AA2114" s="1153"/>
      <c r="AB2114" s="733">
        <f t="shared" si="263"/>
        <v>0</v>
      </c>
      <c r="AC2114" s="1152"/>
      <c r="AD2114" s="1153"/>
      <c r="AE2114" s="1152"/>
      <c r="AF2114" s="1152"/>
      <c r="AG2114" s="1153"/>
      <c r="AH2114" s="1153"/>
      <c r="AI2114" s="732">
        <f t="shared" si="267"/>
        <v>0</v>
      </c>
      <c r="AJ2114" s="733">
        <f t="shared" si="268"/>
        <v>0</v>
      </c>
    </row>
    <row r="2115" spans="1:36">
      <c r="A2115" s="1075" t="s">
        <v>746</v>
      </c>
      <c r="B2115" s="1017" t="s">
        <v>145</v>
      </c>
      <c r="C2115" s="1077" t="s">
        <v>146</v>
      </c>
      <c r="D2115" s="1010"/>
      <c r="E2115" s="1006"/>
      <c r="F2115" s="988">
        <v>99</v>
      </c>
      <c r="G2115" s="1152"/>
      <c r="H2115" s="1153"/>
      <c r="I2115" s="1152"/>
      <c r="J2115" s="1153"/>
      <c r="K2115" s="1152"/>
      <c r="L2115" s="1153"/>
      <c r="M2115" s="1152"/>
      <c r="N2115" s="1152"/>
      <c r="O2115" s="732">
        <f t="shared" si="261"/>
        <v>0</v>
      </c>
      <c r="P2115" s="1159"/>
      <c r="Q2115" s="1153"/>
      <c r="R2115" s="733">
        <f t="shared" si="264"/>
        <v>0</v>
      </c>
      <c r="S2115" s="732">
        <f t="shared" si="265"/>
        <v>0</v>
      </c>
      <c r="T2115" s="733">
        <f t="shared" si="266"/>
        <v>0</v>
      </c>
      <c r="U2115" s="1152"/>
      <c r="V2115" s="1153"/>
      <c r="W2115" s="1152"/>
      <c r="X2115" s="1152"/>
      <c r="Y2115" s="732">
        <f t="shared" si="262"/>
        <v>0</v>
      </c>
      <c r="Z2115" s="1153"/>
      <c r="AA2115" s="1153"/>
      <c r="AB2115" s="733">
        <f t="shared" si="263"/>
        <v>0</v>
      </c>
      <c r="AC2115" s="1152"/>
      <c r="AD2115" s="1153"/>
      <c r="AE2115" s="1152"/>
      <c r="AF2115" s="1152"/>
      <c r="AG2115" s="1153"/>
      <c r="AH2115" s="1153"/>
      <c r="AI2115" s="732">
        <f t="shared" si="267"/>
        <v>0</v>
      </c>
      <c r="AJ2115" s="733">
        <f t="shared" si="268"/>
        <v>0</v>
      </c>
    </row>
    <row r="2116" spans="1:36">
      <c r="A2116" s="1075" t="s">
        <v>746</v>
      </c>
      <c r="B2116" s="1017" t="s">
        <v>145</v>
      </c>
      <c r="C2116" s="1076" t="s">
        <v>304</v>
      </c>
      <c r="D2116" s="1010"/>
      <c r="E2116" s="1006"/>
      <c r="F2116" s="988">
        <v>99</v>
      </c>
      <c r="G2116" s="1152"/>
      <c r="H2116" s="1153"/>
      <c r="I2116" s="1152"/>
      <c r="J2116" s="1153"/>
      <c r="K2116" s="1152"/>
      <c r="L2116" s="1153"/>
      <c r="M2116" s="1152"/>
      <c r="N2116" s="1152"/>
      <c r="O2116" s="732">
        <f t="shared" si="261"/>
        <v>0</v>
      </c>
      <c r="P2116" s="1159"/>
      <c r="Q2116" s="1153"/>
      <c r="R2116" s="733">
        <f t="shared" si="264"/>
        <v>0</v>
      </c>
      <c r="S2116" s="732">
        <f t="shared" si="265"/>
        <v>0</v>
      </c>
      <c r="T2116" s="733">
        <f t="shared" si="266"/>
        <v>0</v>
      </c>
      <c r="U2116" s="1152">
        <v>205427</v>
      </c>
      <c r="V2116" s="1153">
        <v>208508</v>
      </c>
      <c r="W2116" s="1152"/>
      <c r="X2116" s="1152"/>
      <c r="Y2116" s="732">
        <f t="shared" si="262"/>
        <v>0</v>
      </c>
      <c r="Z2116" s="1153"/>
      <c r="AA2116" s="1153"/>
      <c r="AB2116" s="733">
        <f t="shared" si="263"/>
        <v>0</v>
      </c>
      <c r="AC2116" s="1152"/>
      <c r="AD2116" s="1153"/>
      <c r="AE2116" s="1152"/>
      <c r="AF2116" s="1152"/>
      <c r="AG2116" s="1153"/>
      <c r="AH2116" s="1153"/>
      <c r="AI2116" s="732">
        <f t="shared" si="267"/>
        <v>205427</v>
      </c>
      <c r="AJ2116" s="733">
        <f t="shared" si="268"/>
        <v>208508</v>
      </c>
    </row>
    <row r="2117" spans="1:36">
      <c r="A2117" s="1075" t="s">
        <v>746</v>
      </c>
      <c r="B2117" s="1017" t="s">
        <v>149</v>
      </c>
      <c r="C2117" s="1077" t="s">
        <v>247</v>
      </c>
      <c r="D2117" s="1010"/>
      <c r="E2117" s="1006"/>
      <c r="F2117" s="988">
        <v>99</v>
      </c>
      <c r="G2117" s="1152"/>
      <c r="H2117" s="1153"/>
      <c r="I2117" s="1152"/>
      <c r="J2117" s="1153"/>
      <c r="K2117" s="1152"/>
      <c r="L2117" s="1153"/>
      <c r="M2117" s="1152"/>
      <c r="N2117" s="1152"/>
      <c r="O2117" s="732">
        <f t="shared" si="261"/>
        <v>0</v>
      </c>
      <c r="P2117" s="1159"/>
      <c r="Q2117" s="1153"/>
      <c r="R2117" s="733">
        <f t="shared" si="264"/>
        <v>0</v>
      </c>
      <c r="S2117" s="732">
        <f t="shared" si="265"/>
        <v>0</v>
      </c>
      <c r="T2117" s="733">
        <f t="shared" si="266"/>
        <v>0</v>
      </c>
      <c r="U2117" s="1152"/>
      <c r="V2117" s="1153"/>
      <c r="W2117" s="1152"/>
      <c r="X2117" s="1152"/>
      <c r="Y2117" s="732">
        <f t="shared" si="262"/>
        <v>0</v>
      </c>
      <c r="Z2117" s="1153"/>
      <c r="AA2117" s="1153"/>
      <c r="AB2117" s="733">
        <f t="shared" si="263"/>
        <v>0</v>
      </c>
      <c r="AC2117" s="1152"/>
      <c r="AD2117" s="1153"/>
      <c r="AE2117" s="1152"/>
      <c r="AF2117" s="1152"/>
      <c r="AG2117" s="1153"/>
      <c r="AH2117" s="1153"/>
      <c r="AI2117" s="732">
        <f t="shared" si="267"/>
        <v>0</v>
      </c>
      <c r="AJ2117" s="733">
        <f t="shared" si="268"/>
        <v>0</v>
      </c>
    </row>
    <row r="2118" spans="1:36">
      <c r="A2118" s="1075" t="s">
        <v>746</v>
      </c>
      <c r="B2118" s="1017" t="s">
        <v>151</v>
      </c>
      <c r="C2118" s="1093" t="s">
        <v>152</v>
      </c>
      <c r="D2118" s="1010"/>
      <c r="E2118" s="1006"/>
      <c r="F2118" s="988">
        <v>99</v>
      </c>
      <c r="G2118" s="1152"/>
      <c r="H2118" s="1153"/>
      <c r="I2118" s="1152"/>
      <c r="J2118" s="1153"/>
      <c r="K2118" s="1152"/>
      <c r="L2118" s="1153"/>
      <c r="M2118" s="1152"/>
      <c r="N2118" s="1152"/>
      <c r="O2118" s="732">
        <f t="shared" si="261"/>
        <v>0</v>
      </c>
      <c r="P2118" s="1159"/>
      <c r="Q2118" s="1153"/>
      <c r="R2118" s="733">
        <f t="shared" si="264"/>
        <v>0</v>
      </c>
      <c r="S2118" s="732">
        <f t="shared" si="265"/>
        <v>0</v>
      </c>
      <c r="T2118" s="733">
        <f t="shared" si="266"/>
        <v>0</v>
      </c>
      <c r="U2118" s="1152"/>
      <c r="V2118" s="1153"/>
      <c r="W2118" s="1152"/>
      <c r="X2118" s="1152"/>
      <c r="Y2118" s="732">
        <f t="shared" si="262"/>
        <v>0</v>
      </c>
      <c r="Z2118" s="1153"/>
      <c r="AA2118" s="1153"/>
      <c r="AB2118" s="733">
        <f t="shared" si="263"/>
        <v>0</v>
      </c>
      <c r="AC2118" s="1152"/>
      <c r="AD2118" s="1153"/>
      <c r="AE2118" s="1152"/>
      <c r="AF2118" s="1152"/>
      <c r="AG2118" s="1153"/>
      <c r="AH2118" s="1153"/>
      <c r="AI2118" s="732">
        <f t="shared" si="267"/>
        <v>0</v>
      </c>
      <c r="AJ2118" s="733">
        <f t="shared" si="268"/>
        <v>0</v>
      </c>
    </row>
    <row r="2119" spans="1:36">
      <c r="A2119" s="1075" t="s">
        <v>746</v>
      </c>
      <c r="B2119" s="1017" t="s">
        <v>151</v>
      </c>
      <c r="C2119" s="1076" t="s">
        <v>1635</v>
      </c>
      <c r="D2119" s="1010"/>
      <c r="E2119" s="1018"/>
      <c r="F2119" s="988">
        <v>99</v>
      </c>
      <c r="G2119" s="1152"/>
      <c r="H2119" s="1153"/>
      <c r="I2119" s="1152"/>
      <c r="J2119" s="1153"/>
      <c r="K2119" s="1152"/>
      <c r="L2119" s="1153"/>
      <c r="M2119" s="1152"/>
      <c r="N2119" s="1152"/>
      <c r="O2119" s="732">
        <f t="shared" si="261"/>
        <v>0</v>
      </c>
      <c r="P2119" s="1159"/>
      <c r="Q2119" s="1153"/>
      <c r="R2119" s="733">
        <f t="shared" si="264"/>
        <v>0</v>
      </c>
      <c r="S2119" s="732">
        <f t="shared" si="265"/>
        <v>0</v>
      </c>
      <c r="T2119" s="733">
        <f t="shared" si="266"/>
        <v>0</v>
      </c>
      <c r="U2119" s="1152">
        <v>8000000</v>
      </c>
      <c r="V2119" s="1153">
        <v>5397754</v>
      </c>
      <c r="W2119" s="1152"/>
      <c r="X2119" s="1152"/>
      <c r="Y2119" s="732">
        <f t="shared" si="262"/>
        <v>0</v>
      </c>
      <c r="Z2119" s="1153"/>
      <c r="AA2119" s="1153"/>
      <c r="AB2119" s="733">
        <f t="shared" si="263"/>
        <v>0</v>
      </c>
      <c r="AC2119" s="1152"/>
      <c r="AD2119" s="1153"/>
      <c r="AE2119" s="1152"/>
      <c r="AF2119" s="1152"/>
      <c r="AG2119" s="1153"/>
      <c r="AH2119" s="1153"/>
      <c r="AI2119" s="732">
        <f t="shared" si="267"/>
        <v>8000000</v>
      </c>
      <c r="AJ2119" s="733">
        <f t="shared" si="268"/>
        <v>5397754</v>
      </c>
    </row>
    <row r="2120" spans="1:36">
      <c r="A2120" s="1075" t="s">
        <v>746</v>
      </c>
      <c r="B2120" s="1017" t="s">
        <v>151</v>
      </c>
      <c r="C2120" s="1076" t="s">
        <v>1636</v>
      </c>
      <c r="D2120" s="1010"/>
      <c r="E2120" s="1018"/>
      <c r="F2120" s="988">
        <v>99</v>
      </c>
      <c r="G2120" s="1152"/>
      <c r="H2120" s="1153"/>
      <c r="I2120" s="1152"/>
      <c r="J2120" s="1153"/>
      <c r="K2120" s="1152"/>
      <c r="L2120" s="1153"/>
      <c r="M2120" s="1152"/>
      <c r="N2120" s="1152"/>
      <c r="O2120" s="732">
        <f t="shared" si="261"/>
        <v>0</v>
      </c>
      <c r="P2120" s="1159"/>
      <c r="Q2120" s="1153"/>
      <c r="R2120" s="733">
        <f t="shared" si="264"/>
        <v>0</v>
      </c>
      <c r="S2120" s="732">
        <f t="shared" si="265"/>
        <v>0</v>
      </c>
      <c r="T2120" s="733">
        <f t="shared" si="266"/>
        <v>0</v>
      </c>
      <c r="U2120" s="1152">
        <v>300000</v>
      </c>
      <c r="V2120" s="1153">
        <v>300000</v>
      </c>
      <c r="W2120" s="1152"/>
      <c r="X2120" s="1152"/>
      <c r="Y2120" s="732">
        <f t="shared" si="262"/>
        <v>0</v>
      </c>
      <c r="Z2120" s="1153"/>
      <c r="AA2120" s="1153"/>
      <c r="AB2120" s="733">
        <f t="shared" si="263"/>
        <v>0</v>
      </c>
      <c r="AC2120" s="1152"/>
      <c r="AD2120" s="1153"/>
      <c r="AE2120" s="1152"/>
      <c r="AF2120" s="1152"/>
      <c r="AG2120" s="1153"/>
      <c r="AH2120" s="1153"/>
      <c r="AI2120" s="732">
        <f t="shared" si="267"/>
        <v>300000</v>
      </c>
      <c r="AJ2120" s="733">
        <f t="shared" si="268"/>
        <v>300000</v>
      </c>
    </row>
    <row r="2121" spans="1:36">
      <c r="A2121" s="1075" t="s">
        <v>746</v>
      </c>
      <c r="B2121" s="1017" t="s">
        <v>248</v>
      </c>
      <c r="C2121" s="1093" t="s">
        <v>249</v>
      </c>
      <c r="D2121" s="1010"/>
      <c r="E2121" s="1006"/>
      <c r="F2121" s="988">
        <v>99</v>
      </c>
      <c r="G2121" s="1152"/>
      <c r="H2121" s="1153"/>
      <c r="I2121" s="1152"/>
      <c r="J2121" s="1153"/>
      <c r="K2121" s="1152"/>
      <c r="L2121" s="1153"/>
      <c r="M2121" s="1152"/>
      <c r="N2121" s="1152"/>
      <c r="O2121" s="732">
        <f t="shared" si="261"/>
        <v>0</v>
      </c>
      <c r="P2121" s="1159"/>
      <c r="Q2121" s="1153"/>
      <c r="R2121" s="733">
        <f t="shared" si="264"/>
        <v>0</v>
      </c>
      <c r="S2121" s="732">
        <f t="shared" si="265"/>
        <v>0</v>
      </c>
      <c r="T2121" s="733">
        <f t="shared" si="266"/>
        <v>0</v>
      </c>
      <c r="U2121" s="1152"/>
      <c r="V2121" s="1153"/>
      <c r="W2121" s="1152"/>
      <c r="X2121" s="1152"/>
      <c r="Y2121" s="732">
        <f t="shared" si="262"/>
        <v>0</v>
      </c>
      <c r="Z2121" s="1153"/>
      <c r="AA2121" s="1153"/>
      <c r="AB2121" s="733">
        <f t="shared" si="263"/>
        <v>0</v>
      </c>
      <c r="AC2121" s="1152"/>
      <c r="AD2121" s="1153"/>
      <c r="AE2121" s="1152"/>
      <c r="AF2121" s="1152"/>
      <c r="AG2121" s="1153"/>
      <c r="AH2121" s="1153"/>
      <c r="AI2121" s="732">
        <f t="shared" si="267"/>
        <v>0</v>
      </c>
      <c r="AJ2121" s="733">
        <f t="shared" si="268"/>
        <v>0</v>
      </c>
    </row>
    <row r="2122" spans="1:36">
      <c r="A2122" s="1075" t="s">
        <v>746</v>
      </c>
      <c r="B2122" s="1017" t="s">
        <v>250</v>
      </c>
      <c r="C2122" s="1077" t="s">
        <v>251</v>
      </c>
      <c r="D2122" s="1010"/>
      <c r="E2122" s="1006"/>
      <c r="F2122" s="988">
        <v>99</v>
      </c>
      <c r="G2122" s="1152"/>
      <c r="H2122" s="1153"/>
      <c r="I2122" s="1152"/>
      <c r="J2122" s="1153"/>
      <c r="K2122" s="1152"/>
      <c r="L2122" s="1153"/>
      <c r="M2122" s="1152"/>
      <c r="N2122" s="1152"/>
      <c r="O2122" s="732">
        <f t="shared" ref="O2122:O2185" si="269">SUM(M2122:N2122)</f>
        <v>0</v>
      </c>
      <c r="P2122" s="1159"/>
      <c r="Q2122" s="1153"/>
      <c r="R2122" s="733">
        <f t="shared" si="264"/>
        <v>0</v>
      </c>
      <c r="S2122" s="732">
        <f t="shared" si="265"/>
        <v>0</v>
      </c>
      <c r="T2122" s="733">
        <f t="shared" si="266"/>
        <v>0</v>
      </c>
      <c r="U2122" s="1152"/>
      <c r="V2122" s="1153"/>
      <c r="W2122" s="1152"/>
      <c r="X2122" s="1152"/>
      <c r="Y2122" s="732">
        <f t="shared" ref="Y2122:Y2185" si="270">SUM(W2122:X2122)</f>
        <v>0</v>
      </c>
      <c r="Z2122" s="1153"/>
      <c r="AA2122" s="1153"/>
      <c r="AB2122" s="733">
        <f t="shared" ref="AB2122:AB2185" si="271">SUM(Z2122:AA2122)</f>
        <v>0</v>
      </c>
      <c r="AC2122" s="1152"/>
      <c r="AD2122" s="1153"/>
      <c r="AE2122" s="1152"/>
      <c r="AF2122" s="1152"/>
      <c r="AG2122" s="1153"/>
      <c r="AH2122" s="1153"/>
      <c r="AI2122" s="732">
        <f t="shared" si="267"/>
        <v>0</v>
      </c>
      <c r="AJ2122" s="733">
        <f t="shared" si="268"/>
        <v>0</v>
      </c>
    </row>
    <row r="2123" spans="1:36">
      <c r="A2123" s="1075" t="s">
        <v>746</v>
      </c>
      <c r="B2123" s="1017" t="s">
        <v>250</v>
      </c>
      <c r="C2123" s="1076" t="s">
        <v>483</v>
      </c>
      <c r="D2123" s="1010"/>
      <c r="E2123" s="1006"/>
      <c r="F2123" s="988">
        <v>99</v>
      </c>
      <c r="G2123" s="1152"/>
      <c r="H2123" s="1153"/>
      <c r="I2123" s="1152"/>
      <c r="J2123" s="1153"/>
      <c r="K2123" s="1152"/>
      <c r="L2123" s="1153"/>
      <c r="M2123" s="1152"/>
      <c r="N2123" s="1152"/>
      <c r="O2123" s="732">
        <f t="shared" si="269"/>
        <v>0</v>
      </c>
      <c r="P2123" s="1159"/>
      <c r="Q2123" s="1153"/>
      <c r="R2123" s="733">
        <f t="shared" ref="R2123:R2186" si="272">SUM(P2123:Q2123)</f>
        <v>0</v>
      </c>
      <c r="S2123" s="732">
        <f t="shared" ref="S2123:S2186" si="273">SUM(G2123,I2123,K2123,M2123)</f>
        <v>0</v>
      </c>
      <c r="T2123" s="733">
        <f t="shared" ref="T2123:T2186" si="274">SUM(H2123,J2123,L2123,P2123)</f>
        <v>0</v>
      </c>
      <c r="U2123" s="1152">
        <v>234500</v>
      </c>
      <c r="V2123" s="1153">
        <v>402000</v>
      </c>
      <c r="W2123" s="1152"/>
      <c r="X2123" s="1152"/>
      <c r="Y2123" s="732">
        <f t="shared" si="270"/>
        <v>0</v>
      </c>
      <c r="Z2123" s="1153"/>
      <c r="AA2123" s="1153"/>
      <c r="AB2123" s="733">
        <f t="shared" si="271"/>
        <v>0</v>
      </c>
      <c r="AC2123" s="1152"/>
      <c r="AD2123" s="1153"/>
      <c r="AE2123" s="1152"/>
      <c r="AF2123" s="1152"/>
      <c r="AG2123" s="1153"/>
      <c r="AH2123" s="1153"/>
      <c r="AI2123" s="732">
        <f t="shared" ref="AI2123:AI2186" si="275">SUM(S2123,U2123,W2123,AC2123,AE2123)</f>
        <v>234500</v>
      </c>
      <c r="AJ2123" s="733">
        <f t="shared" ref="AJ2123:AJ2186" si="276">SUM(T2123,V2123,Z2123,AD2123,AG2123)</f>
        <v>402000</v>
      </c>
    </row>
    <row r="2124" spans="1:36">
      <c r="A2124" s="1075" t="s">
        <v>746</v>
      </c>
      <c r="B2124" s="1017" t="s">
        <v>250</v>
      </c>
      <c r="C2124" s="1076" t="s">
        <v>255</v>
      </c>
      <c r="D2124" s="1010"/>
      <c r="E2124" s="1006"/>
      <c r="F2124" s="988">
        <v>99</v>
      </c>
      <c r="G2124" s="1152"/>
      <c r="H2124" s="1153"/>
      <c r="I2124" s="1152"/>
      <c r="J2124" s="1153"/>
      <c r="K2124" s="1152"/>
      <c r="L2124" s="1153"/>
      <c r="M2124" s="1152"/>
      <c r="N2124" s="1152"/>
      <c r="O2124" s="732">
        <f t="shared" si="269"/>
        <v>0</v>
      </c>
      <c r="P2124" s="1159"/>
      <c r="Q2124" s="1153"/>
      <c r="R2124" s="733">
        <f t="shared" si="272"/>
        <v>0</v>
      </c>
      <c r="S2124" s="732">
        <f t="shared" si="273"/>
        <v>0</v>
      </c>
      <c r="T2124" s="733">
        <f t="shared" si="274"/>
        <v>0</v>
      </c>
      <c r="U2124" s="1152">
        <v>153600</v>
      </c>
      <c r="V2124" s="1153">
        <v>153600</v>
      </c>
      <c r="W2124" s="1152"/>
      <c r="X2124" s="1152"/>
      <c r="Y2124" s="732">
        <f t="shared" si="270"/>
        <v>0</v>
      </c>
      <c r="Z2124" s="1153"/>
      <c r="AA2124" s="1153"/>
      <c r="AB2124" s="733">
        <f t="shared" si="271"/>
        <v>0</v>
      </c>
      <c r="AC2124" s="1152"/>
      <c r="AD2124" s="1153"/>
      <c r="AE2124" s="1152"/>
      <c r="AF2124" s="1152"/>
      <c r="AG2124" s="1153"/>
      <c r="AH2124" s="1153"/>
      <c r="AI2124" s="732">
        <f t="shared" si="275"/>
        <v>153600</v>
      </c>
      <c r="AJ2124" s="733">
        <f t="shared" si="276"/>
        <v>153600</v>
      </c>
    </row>
    <row r="2125" spans="1:36">
      <c r="A2125" s="1075" t="s">
        <v>746</v>
      </c>
      <c r="B2125" s="1017" t="s">
        <v>258</v>
      </c>
      <c r="C2125" s="1077" t="s">
        <v>259</v>
      </c>
      <c r="D2125" s="1010"/>
      <c r="E2125" s="1006"/>
      <c r="F2125" s="988">
        <v>99</v>
      </c>
      <c r="G2125" s="1152"/>
      <c r="H2125" s="1153"/>
      <c r="I2125" s="1152"/>
      <c r="J2125" s="1153"/>
      <c r="K2125" s="1152"/>
      <c r="L2125" s="1153"/>
      <c r="M2125" s="1152"/>
      <c r="N2125" s="1152"/>
      <c r="O2125" s="732">
        <f t="shared" si="269"/>
        <v>0</v>
      </c>
      <c r="P2125" s="1159"/>
      <c r="Q2125" s="1153"/>
      <c r="R2125" s="733">
        <f t="shared" si="272"/>
        <v>0</v>
      </c>
      <c r="S2125" s="732">
        <f t="shared" si="273"/>
        <v>0</v>
      </c>
      <c r="T2125" s="733">
        <f t="shared" si="274"/>
        <v>0</v>
      </c>
      <c r="U2125" s="1152"/>
      <c r="V2125" s="1153"/>
      <c r="W2125" s="1152"/>
      <c r="X2125" s="1152"/>
      <c r="Y2125" s="732">
        <f t="shared" si="270"/>
        <v>0</v>
      </c>
      <c r="Z2125" s="1153"/>
      <c r="AA2125" s="1153"/>
      <c r="AB2125" s="733">
        <f t="shared" si="271"/>
        <v>0</v>
      </c>
      <c r="AC2125" s="1152"/>
      <c r="AD2125" s="1153"/>
      <c r="AE2125" s="1152"/>
      <c r="AF2125" s="1152"/>
      <c r="AG2125" s="1153"/>
      <c r="AH2125" s="1153"/>
      <c r="AI2125" s="732">
        <f t="shared" si="275"/>
        <v>0</v>
      </c>
      <c r="AJ2125" s="733">
        <f t="shared" si="276"/>
        <v>0</v>
      </c>
    </row>
    <row r="2126" spans="1:36">
      <c r="A2126" s="1075" t="s">
        <v>746</v>
      </c>
      <c r="B2126" s="1017" t="s">
        <v>258</v>
      </c>
      <c r="C2126" s="1076" t="s">
        <v>485</v>
      </c>
      <c r="D2126" s="1010"/>
      <c r="E2126" s="1006"/>
      <c r="F2126" s="988">
        <v>99</v>
      </c>
      <c r="G2126" s="1152"/>
      <c r="H2126" s="1153"/>
      <c r="I2126" s="1152"/>
      <c r="J2126" s="1153"/>
      <c r="K2126" s="1152"/>
      <c r="L2126" s="1153"/>
      <c r="M2126" s="1152"/>
      <c r="N2126" s="1152"/>
      <c r="O2126" s="732">
        <f t="shared" si="269"/>
        <v>0</v>
      </c>
      <c r="P2126" s="1159"/>
      <c r="Q2126" s="1153"/>
      <c r="R2126" s="733">
        <f t="shared" si="272"/>
        <v>0</v>
      </c>
      <c r="S2126" s="732">
        <f t="shared" si="273"/>
        <v>0</v>
      </c>
      <c r="T2126" s="733">
        <f t="shared" si="274"/>
        <v>0</v>
      </c>
      <c r="U2126" s="1152">
        <v>115200</v>
      </c>
      <c r="V2126" s="1153">
        <v>115200</v>
      </c>
      <c r="W2126" s="1152"/>
      <c r="X2126" s="1152"/>
      <c r="Y2126" s="732">
        <f t="shared" si="270"/>
        <v>0</v>
      </c>
      <c r="Z2126" s="1153"/>
      <c r="AA2126" s="1153"/>
      <c r="AB2126" s="733">
        <f t="shared" si="271"/>
        <v>0</v>
      </c>
      <c r="AC2126" s="1152"/>
      <c r="AD2126" s="1153"/>
      <c r="AE2126" s="1152"/>
      <c r="AF2126" s="1152"/>
      <c r="AG2126" s="1153"/>
      <c r="AH2126" s="1153"/>
      <c r="AI2126" s="732">
        <f t="shared" si="275"/>
        <v>115200</v>
      </c>
      <c r="AJ2126" s="733">
        <f t="shared" si="276"/>
        <v>115200</v>
      </c>
    </row>
    <row r="2127" spans="1:36">
      <c r="A2127" s="1075" t="s">
        <v>746</v>
      </c>
      <c r="B2127" s="1017" t="s">
        <v>258</v>
      </c>
      <c r="C2127" s="1076" t="s">
        <v>1637</v>
      </c>
      <c r="D2127" s="1010"/>
      <c r="E2127" s="1006"/>
      <c r="F2127" s="988">
        <v>99</v>
      </c>
      <c r="G2127" s="1152"/>
      <c r="H2127" s="1153"/>
      <c r="I2127" s="1152"/>
      <c r="J2127" s="1153"/>
      <c r="K2127" s="1152"/>
      <c r="L2127" s="1153"/>
      <c r="M2127" s="1152"/>
      <c r="N2127" s="1152"/>
      <c r="O2127" s="732">
        <f t="shared" si="269"/>
        <v>0</v>
      </c>
      <c r="P2127" s="1159"/>
      <c r="Q2127" s="1153"/>
      <c r="R2127" s="733">
        <f t="shared" si="272"/>
        <v>0</v>
      </c>
      <c r="S2127" s="732">
        <f t="shared" si="273"/>
        <v>0</v>
      </c>
      <c r="T2127" s="733">
        <f t="shared" si="274"/>
        <v>0</v>
      </c>
      <c r="U2127" s="1152">
        <v>2278000</v>
      </c>
      <c r="V2127" s="1153">
        <v>2278000</v>
      </c>
      <c r="W2127" s="1152"/>
      <c r="X2127" s="1152"/>
      <c r="Y2127" s="732">
        <f t="shared" si="270"/>
        <v>0</v>
      </c>
      <c r="Z2127" s="1153"/>
      <c r="AA2127" s="1153"/>
      <c r="AB2127" s="733">
        <f t="shared" si="271"/>
        <v>0</v>
      </c>
      <c r="AC2127" s="1152"/>
      <c r="AD2127" s="1153"/>
      <c r="AE2127" s="1152"/>
      <c r="AF2127" s="1152"/>
      <c r="AG2127" s="1153"/>
      <c r="AH2127" s="1153"/>
      <c r="AI2127" s="732">
        <f t="shared" si="275"/>
        <v>2278000</v>
      </c>
      <c r="AJ2127" s="733">
        <f t="shared" si="276"/>
        <v>2278000</v>
      </c>
    </row>
    <row r="2128" spans="1:36">
      <c r="A2128" s="1075" t="s">
        <v>746</v>
      </c>
      <c r="B2128" s="1017" t="s">
        <v>258</v>
      </c>
      <c r="C2128" s="1076" t="s">
        <v>261</v>
      </c>
      <c r="D2128" s="1010"/>
      <c r="E2128" s="1006"/>
      <c r="F2128" s="988">
        <v>99</v>
      </c>
      <c r="G2128" s="1152"/>
      <c r="H2128" s="1153"/>
      <c r="I2128" s="1152"/>
      <c r="J2128" s="1153"/>
      <c r="K2128" s="1152"/>
      <c r="L2128" s="1153"/>
      <c r="M2128" s="1152"/>
      <c r="N2128" s="1152"/>
      <c r="O2128" s="732">
        <f t="shared" si="269"/>
        <v>0</v>
      </c>
      <c r="P2128" s="1159"/>
      <c r="Q2128" s="1153"/>
      <c r="R2128" s="733">
        <f t="shared" si="272"/>
        <v>0</v>
      </c>
      <c r="S2128" s="732">
        <f t="shared" si="273"/>
        <v>0</v>
      </c>
      <c r="T2128" s="733">
        <f t="shared" si="274"/>
        <v>0</v>
      </c>
      <c r="U2128" s="1152">
        <v>653250</v>
      </c>
      <c r="V2128" s="1153">
        <v>670000</v>
      </c>
      <c r="W2128" s="1152"/>
      <c r="X2128" s="1152"/>
      <c r="Y2128" s="732">
        <f t="shared" si="270"/>
        <v>0</v>
      </c>
      <c r="Z2128" s="1153"/>
      <c r="AA2128" s="1153"/>
      <c r="AB2128" s="733">
        <f t="shared" si="271"/>
        <v>0</v>
      </c>
      <c r="AC2128" s="1152"/>
      <c r="AD2128" s="1153"/>
      <c r="AE2128" s="1152"/>
      <c r="AF2128" s="1152"/>
      <c r="AG2128" s="1153"/>
      <c r="AH2128" s="1153"/>
      <c r="AI2128" s="732">
        <f t="shared" si="275"/>
        <v>653250</v>
      </c>
      <c r="AJ2128" s="733">
        <f t="shared" si="276"/>
        <v>670000</v>
      </c>
    </row>
    <row r="2129" spans="1:36">
      <c r="A2129" s="1075" t="s">
        <v>746</v>
      </c>
      <c r="B2129" s="1017" t="s">
        <v>258</v>
      </c>
      <c r="C2129" s="1076" t="s">
        <v>1638</v>
      </c>
      <c r="D2129" s="1010"/>
      <c r="E2129" s="1006"/>
      <c r="F2129" s="988">
        <v>99</v>
      </c>
      <c r="G2129" s="1152"/>
      <c r="H2129" s="1153"/>
      <c r="I2129" s="1152"/>
      <c r="J2129" s="1153"/>
      <c r="K2129" s="1152"/>
      <c r="L2129" s="1153"/>
      <c r="M2129" s="1152"/>
      <c r="N2129" s="1152"/>
      <c r="O2129" s="732">
        <f t="shared" si="269"/>
        <v>0</v>
      </c>
      <c r="P2129" s="1159"/>
      <c r="Q2129" s="1153"/>
      <c r="R2129" s="733">
        <f t="shared" si="272"/>
        <v>0</v>
      </c>
      <c r="S2129" s="732">
        <f t="shared" si="273"/>
        <v>0</v>
      </c>
      <c r="T2129" s="733">
        <f t="shared" si="274"/>
        <v>0</v>
      </c>
      <c r="U2129" s="1152">
        <v>57600</v>
      </c>
      <c r="V2129" s="1153">
        <v>48400</v>
      </c>
      <c r="W2129" s="1152"/>
      <c r="X2129" s="1152"/>
      <c r="Y2129" s="732">
        <f t="shared" si="270"/>
        <v>0</v>
      </c>
      <c r="Z2129" s="1153"/>
      <c r="AA2129" s="1153"/>
      <c r="AB2129" s="733">
        <f t="shared" si="271"/>
        <v>0</v>
      </c>
      <c r="AC2129" s="1152"/>
      <c r="AD2129" s="1153"/>
      <c r="AE2129" s="1152"/>
      <c r="AF2129" s="1152"/>
      <c r="AG2129" s="1153"/>
      <c r="AH2129" s="1153"/>
      <c r="AI2129" s="732">
        <f t="shared" si="275"/>
        <v>57600</v>
      </c>
      <c r="AJ2129" s="733">
        <f t="shared" si="276"/>
        <v>48400</v>
      </c>
    </row>
    <row r="2130" spans="1:36">
      <c r="A2130" s="1075" t="s">
        <v>746</v>
      </c>
      <c r="B2130" s="1017" t="s">
        <v>157</v>
      </c>
      <c r="C2130" s="1077" t="s">
        <v>158</v>
      </c>
      <c r="D2130" s="1010"/>
      <c r="E2130" s="1006"/>
      <c r="F2130" s="988">
        <v>99</v>
      </c>
      <c r="G2130" s="1152"/>
      <c r="H2130" s="1153"/>
      <c r="I2130" s="1152"/>
      <c r="J2130" s="1153"/>
      <c r="K2130" s="1152"/>
      <c r="L2130" s="1153"/>
      <c r="M2130" s="1152"/>
      <c r="N2130" s="1152"/>
      <c r="O2130" s="732">
        <f t="shared" si="269"/>
        <v>0</v>
      </c>
      <c r="P2130" s="1159"/>
      <c r="Q2130" s="1153"/>
      <c r="R2130" s="733">
        <f t="shared" si="272"/>
        <v>0</v>
      </c>
      <c r="S2130" s="732">
        <f t="shared" si="273"/>
        <v>0</v>
      </c>
      <c r="T2130" s="733">
        <f t="shared" si="274"/>
        <v>0</v>
      </c>
      <c r="U2130" s="1152"/>
      <c r="V2130" s="1153"/>
      <c r="W2130" s="1152"/>
      <c r="X2130" s="1152"/>
      <c r="Y2130" s="732">
        <f t="shared" si="270"/>
        <v>0</v>
      </c>
      <c r="Z2130" s="1153"/>
      <c r="AA2130" s="1153"/>
      <c r="AB2130" s="733">
        <f t="shared" si="271"/>
        <v>0</v>
      </c>
      <c r="AC2130" s="1152"/>
      <c r="AD2130" s="1153"/>
      <c r="AE2130" s="1152"/>
      <c r="AF2130" s="1152"/>
      <c r="AG2130" s="1153"/>
      <c r="AH2130" s="1153"/>
      <c r="AI2130" s="732">
        <f t="shared" si="275"/>
        <v>0</v>
      </c>
      <c r="AJ2130" s="733">
        <f t="shared" si="276"/>
        <v>0</v>
      </c>
    </row>
    <row r="2131" spans="1:36">
      <c r="A2131" s="1075" t="s">
        <v>746</v>
      </c>
      <c r="B2131" s="1017" t="s">
        <v>157</v>
      </c>
      <c r="C2131" s="1076" t="s">
        <v>1639</v>
      </c>
      <c r="D2131" s="1010"/>
      <c r="E2131" s="1006"/>
      <c r="F2131" s="988">
        <v>99</v>
      </c>
      <c r="G2131" s="1152"/>
      <c r="H2131" s="1153"/>
      <c r="I2131" s="1152"/>
      <c r="J2131" s="1153"/>
      <c r="K2131" s="1152"/>
      <c r="L2131" s="1153"/>
      <c r="M2131" s="1152"/>
      <c r="N2131" s="1152"/>
      <c r="O2131" s="732">
        <f t="shared" si="269"/>
        <v>0</v>
      </c>
      <c r="P2131" s="1159"/>
      <c r="Q2131" s="1153"/>
      <c r="R2131" s="733">
        <f t="shared" si="272"/>
        <v>0</v>
      </c>
      <c r="S2131" s="732">
        <f t="shared" si="273"/>
        <v>0</v>
      </c>
      <c r="T2131" s="733">
        <f t="shared" si="274"/>
        <v>0</v>
      </c>
      <c r="U2131" s="1152">
        <v>375000</v>
      </c>
      <c r="V2131" s="1153">
        <v>375000</v>
      </c>
      <c r="W2131" s="1152"/>
      <c r="X2131" s="1152"/>
      <c r="Y2131" s="732">
        <f t="shared" si="270"/>
        <v>0</v>
      </c>
      <c r="Z2131" s="1153"/>
      <c r="AA2131" s="1153"/>
      <c r="AB2131" s="733">
        <f t="shared" si="271"/>
        <v>0</v>
      </c>
      <c r="AC2131" s="1152"/>
      <c r="AD2131" s="1153"/>
      <c r="AE2131" s="1152"/>
      <c r="AF2131" s="1152"/>
      <c r="AG2131" s="1153"/>
      <c r="AH2131" s="1153"/>
      <c r="AI2131" s="732">
        <f t="shared" si="275"/>
        <v>375000</v>
      </c>
      <c r="AJ2131" s="733">
        <f t="shared" si="276"/>
        <v>375000</v>
      </c>
    </row>
    <row r="2132" spans="1:36">
      <c r="A2132" s="1075" t="s">
        <v>746</v>
      </c>
      <c r="B2132" s="1017" t="s">
        <v>159</v>
      </c>
      <c r="C2132" s="1093" t="s">
        <v>160</v>
      </c>
      <c r="D2132" s="1010"/>
      <c r="E2132" s="1006"/>
      <c r="F2132" s="988">
        <v>99</v>
      </c>
      <c r="G2132" s="1152"/>
      <c r="H2132" s="1153"/>
      <c r="I2132" s="1152"/>
      <c r="J2132" s="1153"/>
      <c r="K2132" s="1152"/>
      <c r="L2132" s="1153"/>
      <c r="M2132" s="1152"/>
      <c r="N2132" s="1152"/>
      <c r="O2132" s="732">
        <f t="shared" si="269"/>
        <v>0</v>
      </c>
      <c r="P2132" s="1159"/>
      <c r="Q2132" s="1153"/>
      <c r="R2132" s="733">
        <f t="shared" si="272"/>
        <v>0</v>
      </c>
      <c r="S2132" s="732">
        <f t="shared" si="273"/>
        <v>0</v>
      </c>
      <c r="T2132" s="733">
        <f t="shared" si="274"/>
        <v>0</v>
      </c>
      <c r="U2132" s="1152"/>
      <c r="V2132" s="1153"/>
      <c r="W2132" s="1152"/>
      <c r="X2132" s="1152"/>
      <c r="Y2132" s="732">
        <f t="shared" si="270"/>
        <v>0</v>
      </c>
      <c r="Z2132" s="1153"/>
      <c r="AA2132" s="1153"/>
      <c r="AB2132" s="733">
        <f t="shared" si="271"/>
        <v>0</v>
      </c>
      <c r="AC2132" s="1152"/>
      <c r="AD2132" s="1153"/>
      <c r="AE2132" s="1152"/>
      <c r="AF2132" s="1152"/>
      <c r="AG2132" s="1153"/>
      <c r="AH2132" s="1153"/>
      <c r="AI2132" s="732">
        <f t="shared" si="275"/>
        <v>0</v>
      </c>
      <c r="AJ2132" s="733">
        <f t="shared" si="276"/>
        <v>0</v>
      </c>
    </row>
    <row r="2133" spans="1:36">
      <c r="A2133" s="1075" t="s">
        <v>746</v>
      </c>
      <c r="B2133" s="1017" t="s">
        <v>161</v>
      </c>
      <c r="C2133" s="1084" t="s">
        <v>162</v>
      </c>
      <c r="D2133" s="1010"/>
      <c r="E2133" s="1006"/>
      <c r="F2133" s="988">
        <v>99</v>
      </c>
      <c r="G2133" s="1152"/>
      <c r="H2133" s="1153"/>
      <c r="I2133" s="1152"/>
      <c r="J2133" s="1153"/>
      <c r="K2133" s="1152"/>
      <c r="L2133" s="1153"/>
      <c r="M2133" s="1152"/>
      <c r="N2133" s="1152"/>
      <c r="O2133" s="732">
        <f t="shared" si="269"/>
        <v>0</v>
      </c>
      <c r="P2133" s="1159"/>
      <c r="Q2133" s="1153"/>
      <c r="R2133" s="733">
        <f t="shared" si="272"/>
        <v>0</v>
      </c>
      <c r="S2133" s="732">
        <f t="shared" si="273"/>
        <v>0</v>
      </c>
      <c r="T2133" s="733">
        <f t="shared" si="274"/>
        <v>0</v>
      </c>
      <c r="U2133" s="1152"/>
      <c r="V2133" s="1153"/>
      <c r="W2133" s="1152"/>
      <c r="X2133" s="1152"/>
      <c r="Y2133" s="732">
        <f t="shared" si="270"/>
        <v>0</v>
      </c>
      <c r="Z2133" s="1153"/>
      <c r="AA2133" s="1153"/>
      <c r="AB2133" s="733">
        <f t="shared" si="271"/>
        <v>0</v>
      </c>
      <c r="AC2133" s="1152"/>
      <c r="AD2133" s="1153"/>
      <c r="AE2133" s="1152"/>
      <c r="AF2133" s="1152"/>
      <c r="AG2133" s="1153"/>
      <c r="AH2133" s="1153"/>
      <c r="AI2133" s="732">
        <f t="shared" si="275"/>
        <v>0</v>
      </c>
      <c r="AJ2133" s="733">
        <f t="shared" si="276"/>
        <v>0</v>
      </c>
    </row>
    <row r="2134" spans="1:36">
      <c r="A2134" s="1075" t="s">
        <v>746</v>
      </c>
      <c r="B2134" s="1017" t="s">
        <v>161</v>
      </c>
      <c r="C2134" s="1094" t="s">
        <v>1640</v>
      </c>
      <c r="D2134" s="1010"/>
      <c r="E2134" s="1006"/>
      <c r="F2134" s="988">
        <v>99</v>
      </c>
      <c r="G2134" s="1152"/>
      <c r="H2134" s="1153"/>
      <c r="I2134" s="1152"/>
      <c r="J2134" s="1153"/>
      <c r="K2134" s="1152"/>
      <c r="L2134" s="1153"/>
      <c r="M2134" s="1152"/>
      <c r="N2134" s="1152"/>
      <c r="O2134" s="732">
        <f t="shared" si="269"/>
        <v>0</v>
      </c>
      <c r="P2134" s="1159"/>
      <c r="Q2134" s="1153"/>
      <c r="R2134" s="733">
        <f t="shared" si="272"/>
        <v>0</v>
      </c>
      <c r="S2134" s="732">
        <f t="shared" si="273"/>
        <v>0</v>
      </c>
      <c r="T2134" s="733">
        <f t="shared" si="274"/>
        <v>0</v>
      </c>
      <c r="U2134" s="1152"/>
      <c r="V2134" s="1153"/>
      <c r="W2134" s="1152"/>
      <c r="X2134" s="1152"/>
      <c r="Y2134" s="732">
        <f t="shared" si="270"/>
        <v>0</v>
      </c>
      <c r="Z2134" s="1153"/>
      <c r="AA2134" s="1153"/>
      <c r="AB2134" s="733">
        <f t="shared" si="271"/>
        <v>0</v>
      </c>
      <c r="AC2134" s="1152"/>
      <c r="AD2134" s="1153"/>
      <c r="AE2134" s="1152"/>
      <c r="AF2134" s="1152"/>
      <c r="AG2134" s="1153"/>
      <c r="AH2134" s="1153"/>
      <c r="AI2134" s="732">
        <f t="shared" si="275"/>
        <v>0</v>
      </c>
      <c r="AJ2134" s="733">
        <f t="shared" si="276"/>
        <v>0</v>
      </c>
    </row>
    <row r="2135" spans="1:36">
      <c r="A2135" s="1075" t="s">
        <v>746</v>
      </c>
      <c r="B2135" s="1014" t="s">
        <v>170</v>
      </c>
      <c r="C2135" s="1076" t="s">
        <v>171</v>
      </c>
      <c r="D2135" s="1010"/>
      <c r="E2135" s="1018"/>
      <c r="F2135" s="988">
        <v>99</v>
      </c>
      <c r="G2135" s="1152"/>
      <c r="H2135" s="1153"/>
      <c r="I2135" s="1152"/>
      <c r="J2135" s="1153"/>
      <c r="K2135" s="1152"/>
      <c r="L2135" s="1153"/>
      <c r="M2135" s="1152"/>
      <c r="N2135" s="1152"/>
      <c r="O2135" s="732">
        <f t="shared" si="269"/>
        <v>0</v>
      </c>
      <c r="P2135" s="1159"/>
      <c r="Q2135" s="1153"/>
      <c r="R2135" s="733">
        <f t="shared" si="272"/>
        <v>0</v>
      </c>
      <c r="S2135" s="732">
        <f t="shared" si="273"/>
        <v>0</v>
      </c>
      <c r="T2135" s="733">
        <f t="shared" si="274"/>
        <v>0</v>
      </c>
      <c r="U2135" s="1152"/>
      <c r="V2135" s="1153"/>
      <c r="W2135" s="1152"/>
      <c r="X2135" s="1152"/>
      <c r="Y2135" s="732">
        <f t="shared" si="270"/>
        <v>0</v>
      </c>
      <c r="Z2135" s="1153"/>
      <c r="AA2135" s="1153"/>
      <c r="AB2135" s="733">
        <f t="shared" si="271"/>
        <v>0</v>
      </c>
      <c r="AC2135" s="1152"/>
      <c r="AD2135" s="1153"/>
      <c r="AE2135" s="1152"/>
      <c r="AF2135" s="1152"/>
      <c r="AG2135" s="1153"/>
      <c r="AH2135" s="1153"/>
      <c r="AI2135" s="732">
        <f t="shared" si="275"/>
        <v>0</v>
      </c>
      <c r="AJ2135" s="733">
        <f t="shared" si="276"/>
        <v>0</v>
      </c>
    </row>
    <row r="2136" spans="1:36">
      <c r="A2136" s="1075" t="s">
        <v>746</v>
      </c>
      <c r="B2136" s="1014" t="s">
        <v>172</v>
      </c>
      <c r="C2136" s="1076" t="s">
        <v>165</v>
      </c>
      <c r="D2136" s="1010"/>
      <c r="E2136" s="1018"/>
      <c r="F2136" s="988">
        <v>99</v>
      </c>
      <c r="G2136" s="1152"/>
      <c r="H2136" s="1153"/>
      <c r="I2136" s="1152"/>
      <c r="J2136" s="1153"/>
      <c r="K2136" s="1152"/>
      <c r="L2136" s="1153"/>
      <c r="M2136" s="1152"/>
      <c r="N2136" s="1152"/>
      <c r="O2136" s="732">
        <f t="shared" si="269"/>
        <v>0</v>
      </c>
      <c r="P2136" s="1159"/>
      <c r="Q2136" s="1153"/>
      <c r="R2136" s="733">
        <f t="shared" si="272"/>
        <v>0</v>
      </c>
      <c r="S2136" s="732">
        <f t="shared" si="273"/>
        <v>0</v>
      </c>
      <c r="T2136" s="733">
        <f t="shared" si="274"/>
        <v>0</v>
      </c>
      <c r="U2136" s="1152"/>
      <c r="V2136" s="1153"/>
      <c r="W2136" s="1152"/>
      <c r="X2136" s="1152"/>
      <c r="Y2136" s="732">
        <f t="shared" si="270"/>
        <v>0</v>
      </c>
      <c r="Z2136" s="1153"/>
      <c r="AA2136" s="1153"/>
      <c r="AB2136" s="733">
        <f t="shared" si="271"/>
        <v>0</v>
      </c>
      <c r="AC2136" s="1152"/>
      <c r="AD2136" s="1153"/>
      <c r="AE2136" s="1152"/>
      <c r="AF2136" s="1152"/>
      <c r="AG2136" s="1153"/>
      <c r="AH2136" s="1153"/>
      <c r="AI2136" s="732">
        <f t="shared" si="275"/>
        <v>0</v>
      </c>
      <c r="AJ2136" s="733">
        <f t="shared" si="276"/>
        <v>0</v>
      </c>
    </row>
    <row r="2137" spans="1:36">
      <c r="A2137" s="1075" t="s">
        <v>746</v>
      </c>
      <c r="B2137" s="1014" t="s">
        <v>173</v>
      </c>
      <c r="C2137" s="1076" t="s">
        <v>167</v>
      </c>
      <c r="D2137" s="1010"/>
      <c r="E2137" s="1018"/>
      <c r="F2137" s="988">
        <v>99</v>
      </c>
      <c r="G2137" s="1152"/>
      <c r="H2137" s="1153"/>
      <c r="I2137" s="1152"/>
      <c r="J2137" s="1153"/>
      <c r="K2137" s="1152"/>
      <c r="L2137" s="1153"/>
      <c r="M2137" s="1152"/>
      <c r="N2137" s="1152"/>
      <c r="O2137" s="732">
        <f t="shared" si="269"/>
        <v>0</v>
      </c>
      <c r="P2137" s="1159"/>
      <c r="Q2137" s="1153"/>
      <c r="R2137" s="733">
        <f t="shared" si="272"/>
        <v>0</v>
      </c>
      <c r="S2137" s="732">
        <f t="shared" si="273"/>
        <v>0</v>
      </c>
      <c r="T2137" s="733">
        <f t="shared" si="274"/>
        <v>0</v>
      </c>
      <c r="U2137" s="1152">
        <v>185132193</v>
      </c>
      <c r="V2137" s="1153">
        <f>77305984+64635723+4591786+39686741</f>
        <v>186220234</v>
      </c>
      <c r="W2137" s="1152"/>
      <c r="X2137" s="1152"/>
      <c r="Y2137" s="732">
        <f t="shared" si="270"/>
        <v>0</v>
      </c>
      <c r="Z2137" s="1153"/>
      <c r="AA2137" s="1153"/>
      <c r="AB2137" s="733">
        <f t="shared" si="271"/>
        <v>0</v>
      </c>
      <c r="AC2137" s="1152"/>
      <c r="AD2137" s="1153"/>
      <c r="AE2137" s="1152"/>
      <c r="AF2137" s="1152"/>
      <c r="AG2137" s="1153"/>
      <c r="AH2137" s="1153"/>
      <c r="AI2137" s="732">
        <f t="shared" si="275"/>
        <v>185132193</v>
      </c>
      <c r="AJ2137" s="733">
        <f t="shared" si="276"/>
        <v>186220234</v>
      </c>
    </row>
    <row r="2138" spans="1:36">
      <c r="A2138" s="1075" t="s">
        <v>746</v>
      </c>
      <c r="B2138" s="1014" t="s">
        <v>176</v>
      </c>
      <c r="C2138" s="1076" t="s">
        <v>177</v>
      </c>
      <c r="D2138" s="1010"/>
      <c r="E2138" s="1018"/>
      <c r="F2138" s="988">
        <v>99</v>
      </c>
      <c r="G2138" s="1152"/>
      <c r="H2138" s="1153"/>
      <c r="I2138" s="1152"/>
      <c r="J2138" s="1153"/>
      <c r="K2138" s="1152"/>
      <c r="L2138" s="1153"/>
      <c r="M2138" s="1152"/>
      <c r="N2138" s="1152"/>
      <c r="O2138" s="732">
        <f t="shared" si="269"/>
        <v>0</v>
      </c>
      <c r="P2138" s="1159"/>
      <c r="Q2138" s="1153"/>
      <c r="R2138" s="733">
        <f t="shared" si="272"/>
        <v>0</v>
      </c>
      <c r="S2138" s="732">
        <f t="shared" si="273"/>
        <v>0</v>
      </c>
      <c r="T2138" s="733">
        <f t="shared" si="274"/>
        <v>0</v>
      </c>
      <c r="U2138" s="1152"/>
      <c r="V2138" s="1153"/>
      <c r="W2138" s="1152"/>
      <c r="X2138" s="1152"/>
      <c r="Y2138" s="732">
        <f t="shared" si="270"/>
        <v>0</v>
      </c>
      <c r="Z2138" s="1153"/>
      <c r="AA2138" s="1153"/>
      <c r="AB2138" s="733">
        <f t="shared" si="271"/>
        <v>0</v>
      </c>
      <c r="AC2138" s="1152"/>
      <c r="AD2138" s="1153"/>
      <c r="AE2138" s="1152"/>
      <c r="AF2138" s="1152"/>
      <c r="AG2138" s="1153"/>
      <c r="AH2138" s="1153"/>
      <c r="AI2138" s="732">
        <f t="shared" si="275"/>
        <v>0</v>
      </c>
      <c r="AJ2138" s="733">
        <f t="shared" si="276"/>
        <v>0</v>
      </c>
    </row>
    <row r="2139" spans="1:36">
      <c r="A2139" s="1075" t="s">
        <v>746</v>
      </c>
      <c r="B2139" s="1014" t="s">
        <v>180</v>
      </c>
      <c r="C2139" s="1076" t="s">
        <v>165</v>
      </c>
      <c r="D2139" s="1010"/>
      <c r="E2139" s="1018"/>
      <c r="F2139" s="988">
        <v>99</v>
      </c>
      <c r="G2139" s="1152"/>
      <c r="H2139" s="1153"/>
      <c r="I2139" s="1152"/>
      <c r="J2139" s="1153"/>
      <c r="K2139" s="1152"/>
      <c r="L2139" s="1153"/>
      <c r="M2139" s="1152"/>
      <c r="N2139" s="1152"/>
      <c r="O2139" s="732">
        <f t="shared" si="269"/>
        <v>0</v>
      </c>
      <c r="P2139" s="1159"/>
      <c r="Q2139" s="1153"/>
      <c r="R2139" s="733">
        <f t="shared" si="272"/>
        <v>0</v>
      </c>
      <c r="S2139" s="732">
        <f t="shared" si="273"/>
        <v>0</v>
      </c>
      <c r="T2139" s="733">
        <f t="shared" si="274"/>
        <v>0</v>
      </c>
      <c r="U2139" s="1152"/>
      <c r="V2139" s="1153"/>
      <c r="W2139" s="1152"/>
      <c r="X2139" s="1152"/>
      <c r="Y2139" s="732">
        <f t="shared" si="270"/>
        <v>0</v>
      </c>
      <c r="Z2139" s="1153"/>
      <c r="AA2139" s="1153"/>
      <c r="AB2139" s="733">
        <f t="shared" si="271"/>
        <v>0</v>
      </c>
      <c r="AC2139" s="1152"/>
      <c r="AD2139" s="1153"/>
      <c r="AE2139" s="1152"/>
      <c r="AF2139" s="1152"/>
      <c r="AG2139" s="1153"/>
      <c r="AH2139" s="1153"/>
      <c r="AI2139" s="732">
        <f t="shared" si="275"/>
        <v>0</v>
      </c>
      <c r="AJ2139" s="733">
        <f t="shared" si="276"/>
        <v>0</v>
      </c>
    </row>
    <row r="2140" spans="1:36">
      <c r="A2140" s="1075" t="s">
        <v>746</v>
      </c>
      <c r="B2140" s="1014" t="s">
        <v>178</v>
      </c>
      <c r="C2140" s="1076" t="s">
        <v>167</v>
      </c>
      <c r="D2140" s="1010"/>
      <c r="E2140" s="1018"/>
      <c r="F2140" s="988">
        <v>99</v>
      </c>
      <c r="G2140" s="1152"/>
      <c r="H2140" s="1153"/>
      <c r="I2140" s="1152"/>
      <c r="J2140" s="1153"/>
      <c r="K2140" s="1152"/>
      <c r="L2140" s="1153"/>
      <c r="M2140" s="1152"/>
      <c r="N2140" s="1152"/>
      <c r="O2140" s="732">
        <f t="shared" si="269"/>
        <v>0</v>
      </c>
      <c r="P2140" s="1159"/>
      <c r="Q2140" s="1153"/>
      <c r="R2140" s="733">
        <f t="shared" si="272"/>
        <v>0</v>
      </c>
      <c r="S2140" s="732">
        <f t="shared" si="273"/>
        <v>0</v>
      </c>
      <c r="T2140" s="733">
        <f t="shared" si="274"/>
        <v>0</v>
      </c>
      <c r="U2140" s="1152">
        <v>35235762</v>
      </c>
      <c r="V2140" s="1153">
        <f>31517316+2611250</f>
        <v>34128566</v>
      </c>
      <c r="W2140" s="1152"/>
      <c r="X2140" s="1152"/>
      <c r="Y2140" s="732">
        <f t="shared" si="270"/>
        <v>0</v>
      </c>
      <c r="Z2140" s="1153"/>
      <c r="AA2140" s="1153"/>
      <c r="AB2140" s="733">
        <f t="shared" si="271"/>
        <v>0</v>
      </c>
      <c r="AC2140" s="1152"/>
      <c r="AD2140" s="1153"/>
      <c r="AE2140" s="1152"/>
      <c r="AF2140" s="1152"/>
      <c r="AG2140" s="1153"/>
      <c r="AH2140" s="1153"/>
      <c r="AI2140" s="732">
        <f t="shared" si="275"/>
        <v>35235762</v>
      </c>
      <c r="AJ2140" s="733">
        <f t="shared" si="276"/>
        <v>34128566</v>
      </c>
    </row>
    <row r="2141" spans="1:36">
      <c r="A2141" s="1075" t="s">
        <v>746</v>
      </c>
      <c r="B2141" s="1017" t="s">
        <v>161</v>
      </c>
      <c r="C2141" s="1094" t="s">
        <v>1641</v>
      </c>
      <c r="D2141" s="1010"/>
      <c r="E2141" s="1006"/>
      <c r="F2141" s="988">
        <v>99</v>
      </c>
      <c r="G2141" s="1152"/>
      <c r="H2141" s="1153"/>
      <c r="I2141" s="1152"/>
      <c r="J2141" s="1153"/>
      <c r="K2141" s="1152"/>
      <c r="L2141" s="1153"/>
      <c r="M2141" s="1152"/>
      <c r="N2141" s="1152"/>
      <c r="O2141" s="732">
        <f t="shared" si="269"/>
        <v>0</v>
      </c>
      <c r="P2141" s="1159"/>
      <c r="Q2141" s="1153"/>
      <c r="R2141" s="733">
        <f t="shared" si="272"/>
        <v>0</v>
      </c>
      <c r="S2141" s="732">
        <f t="shared" si="273"/>
        <v>0</v>
      </c>
      <c r="T2141" s="733">
        <f t="shared" si="274"/>
        <v>0</v>
      </c>
      <c r="U2141" s="1152"/>
      <c r="V2141" s="1153"/>
      <c r="W2141" s="1152"/>
      <c r="X2141" s="1152"/>
      <c r="Y2141" s="732">
        <f t="shared" si="270"/>
        <v>0</v>
      </c>
      <c r="Z2141" s="1153"/>
      <c r="AA2141" s="1153"/>
      <c r="AB2141" s="733">
        <f t="shared" si="271"/>
        <v>0</v>
      </c>
      <c r="AC2141" s="1152"/>
      <c r="AD2141" s="1153"/>
      <c r="AE2141" s="1152"/>
      <c r="AF2141" s="1152"/>
      <c r="AG2141" s="1153"/>
      <c r="AH2141" s="1153"/>
      <c r="AI2141" s="732">
        <f t="shared" si="275"/>
        <v>0</v>
      </c>
      <c r="AJ2141" s="733">
        <f t="shared" si="276"/>
        <v>0</v>
      </c>
    </row>
    <row r="2142" spans="1:36">
      <c r="A2142" s="1075" t="s">
        <v>746</v>
      </c>
      <c r="B2142" s="1014" t="s">
        <v>170</v>
      </c>
      <c r="C2142" s="1076" t="s">
        <v>171</v>
      </c>
      <c r="D2142" s="1010"/>
      <c r="E2142" s="1018"/>
      <c r="F2142" s="988">
        <v>99</v>
      </c>
      <c r="G2142" s="1152"/>
      <c r="H2142" s="1153"/>
      <c r="I2142" s="1152"/>
      <c r="J2142" s="1153"/>
      <c r="K2142" s="1152"/>
      <c r="L2142" s="1153"/>
      <c r="M2142" s="1152"/>
      <c r="N2142" s="1152"/>
      <c r="O2142" s="732">
        <f t="shared" si="269"/>
        <v>0</v>
      </c>
      <c r="P2142" s="1159"/>
      <c r="Q2142" s="1153"/>
      <c r="R2142" s="733">
        <f t="shared" si="272"/>
        <v>0</v>
      </c>
      <c r="S2142" s="732">
        <f t="shared" si="273"/>
        <v>0</v>
      </c>
      <c r="T2142" s="733">
        <f t="shared" si="274"/>
        <v>0</v>
      </c>
      <c r="U2142" s="1152"/>
      <c r="V2142" s="1153"/>
      <c r="W2142" s="1152"/>
      <c r="X2142" s="1152"/>
      <c r="Y2142" s="732">
        <f t="shared" si="270"/>
        <v>0</v>
      </c>
      <c r="Z2142" s="1153"/>
      <c r="AA2142" s="1153"/>
      <c r="AB2142" s="733">
        <f t="shared" si="271"/>
        <v>0</v>
      </c>
      <c r="AC2142" s="1152"/>
      <c r="AD2142" s="1153"/>
      <c r="AE2142" s="1152"/>
      <c r="AF2142" s="1152"/>
      <c r="AG2142" s="1153"/>
      <c r="AH2142" s="1153"/>
      <c r="AI2142" s="732">
        <f t="shared" si="275"/>
        <v>0</v>
      </c>
      <c r="AJ2142" s="733">
        <f t="shared" si="276"/>
        <v>0</v>
      </c>
    </row>
    <row r="2143" spans="1:36">
      <c r="A2143" s="1075" t="s">
        <v>746</v>
      </c>
      <c r="B2143" s="1014" t="s">
        <v>172</v>
      </c>
      <c r="C2143" s="1076" t="s">
        <v>165</v>
      </c>
      <c r="D2143" s="1010"/>
      <c r="E2143" s="1018"/>
      <c r="F2143" s="988">
        <v>99</v>
      </c>
      <c r="G2143" s="1152"/>
      <c r="H2143" s="1153"/>
      <c r="I2143" s="1152"/>
      <c r="J2143" s="1153"/>
      <c r="K2143" s="1152"/>
      <c r="L2143" s="1153"/>
      <c r="M2143" s="1152"/>
      <c r="N2143" s="1152"/>
      <c r="O2143" s="732">
        <f t="shared" si="269"/>
        <v>0</v>
      </c>
      <c r="P2143" s="1159"/>
      <c r="Q2143" s="1153"/>
      <c r="R2143" s="733">
        <f t="shared" si="272"/>
        <v>0</v>
      </c>
      <c r="S2143" s="732">
        <f t="shared" si="273"/>
        <v>0</v>
      </c>
      <c r="T2143" s="733">
        <f t="shared" si="274"/>
        <v>0</v>
      </c>
      <c r="U2143" s="1152"/>
      <c r="V2143" s="1153"/>
      <c r="W2143" s="1152"/>
      <c r="X2143" s="1152"/>
      <c r="Y2143" s="732">
        <f t="shared" si="270"/>
        <v>0</v>
      </c>
      <c r="Z2143" s="1153"/>
      <c r="AA2143" s="1153"/>
      <c r="AB2143" s="733">
        <f t="shared" si="271"/>
        <v>0</v>
      </c>
      <c r="AC2143" s="1152"/>
      <c r="AD2143" s="1153"/>
      <c r="AE2143" s="1152"/>
      <c r="AF2143" s="1152"/>
      <c r="AG2143" s="1153"/>
      <c r="AH2143" s="1153"/>
      <c r="AI2143" s="732">
        <f t="shared" si="275"/>
        <v>0</v>
      </c>
      <c r="AJ2143" s="733">
        <f t="shared" si="276"/>
        <v>0</v>
      </c>
    </row>
    <row r="2144" spans="1:36">
      <c r="A2144" s="1075" t="s">
        <v>746</v>
      </c>
      <c r="B2144" s="1014" t="s">
        <v>173</v>
      </c>
      <c r="C2144" s="1076" t="s">
        <v>167</v>
      </c>
      <c r="D2144" s="1010"/>
      <c r="E2144" s="1018"/>
      <c r="F2144" s="988">
        <v>99</v>
      </c>
      <c r="G2144" s="1152"/>
      <c r="H2144" s="1153"/>
      <c r="I2144" s="1152"/>
      <c r="J2144" s="1153"/>
      <c r="K2144" s="1152"/>
      <c r="L2144" s="1153"/>
      <c r="M2144" s="1152"/>
      <c r="N2144" s="1152"/>
      <c r="O2144" s="732">
        <f t="shared" si="269"/>
        <v>0</v>
      </c>
      <c r="P2144" s="1159"/>
      <c r="Q2144" s="1153"/>
      <c r="R2144" s="733">
        <f t="shared" si="272"/>
        <v>0</v>
      </c>
      <c r="S2144" s="732">
        <f t="shared" si="273"/>
        <v>0</v>
      </c>
      <c r="T2144" s="733">
        <f t="shared" si="274"/>
        <v>0</v>
      </c>
      <c r="U2144" s="1152">
        <v>48160054</v>
      </c>
      <c r="V2144" s="1153">
        <f>4998451+53427260</f>
        <v>58425711</v>
      </c>
      <c r="W2144" s="1152"/>
      <c r="X2144" s="1152"/>
      <c r="Y2144" s="732">
        <f t="shared" si="270"/>
        <v>0</v>
      </c>
      <c r="Z2144" s="1153"/>
      <c r="AA2144" s="1153"/>
      <c r="AB2144" s="733">
        <f t="shared" si="271"/>
        <v>0</v>
      </c>
      <c r="AC2144" s="1152"/>
      <c r="AD2144" s="1153"/>
      <c r="AE2144" s="1152"/>
      <c r="AF2144" s="1152"/>
      <c r="AG2144" s="1153"/>
      <c r="AH2144" s="1153"/>
      <c r="AI2144" s="732">
        <f t="shared" si="275"/>
        <v>48160054</v>
      </c>
      <c r="AJ2144" s="733">
        <f t="shared" si="276"/>
        <v>58425711</v>
      </c>
    </row>
    <row r="2145" spans="1:36">
      <c r="A2145" s="1075" t="s">
        <v>746</v>
      </c>
      <c r="B2145" s="1014" t="s">
        <v>176</v>
      </c>
      <c r="C2145" s="1076" t="s">
        <v>177</v>
      </c>
      <c r="D2145" s="1010"/>
      <c r="E2145" s="1018"/>
      <c r="F2145" s="988">
        <v>99</v>
      </c>
      <c r="G2145" s="1152"/>
      <c r="H2145" s="1153"/>
      <c r="I2145" s="1152"/>
      <c r="J2145" s="1153"/>
      <c r="K2145" s="1152"/>
      <c r="L2145" s="1153"/>
      <c r="M2145" s="1152"/>
      <c r="N2145" s="1152"/>
      <c r="O2145" s="732">
        <f t="shared" si="269"/>
        <v>0</v>
      </c>
      <c r="P2145" s="1159"/>
      <c r="Q2145" s="1153"/>
      <c r="R2145" s="733">
        <f t="shared" si="272"/>
        <v>0</v>
      </c>
      <c r="S2145" s="732">
        <f t="shared" si="273"/>
        <v>0</v>
      </c>
      <c r="T2145" s="733">
        <f t="shared" si="274"/>
        <v>0</v>
      </c>
      <c r="U2145" s="1152"/>
      <c r="V2145" s="1153"/>
      <c r="W2145" s="1152"/>
      <c r="X2145" s="1152"/>
      <c r="Y2145" s="732">
        <f t="shared" si="270"/>
        <v>0</v>
      </c>
      <c r="Z2145" s="1153"/>
      <c r="AA2145" s="1153"/>
      <c r="AB2145" s="733">
        <f t="shared" si="271"/>
        <v>0</v>
      </c>
      <c r="AC2145" s="1152"/>
      <c r="AD2145" s="1153"/>
      <c r="AE2145" s="1152"/>
      <c r="AF2145" s="1152"/>
      <c r="AG2145" s="1153"/>
      <c r="AH2145" s="1153"/>
      <c r="AI2145" s="732">
        <f t="shared" si="275"/>
        <v>0</v>
      </c>
      <c r="AJ2145" s="733">
        <f t="shared" si="276"/>
        <v>0</v>
      </c>
    </row>
    <row r="2146" spans="1:36">
      <c r="A2146" s="1075" t="s">
        <v>746</v>
      </c>
      <c r="B2146" s="1014" t="s">
        <v>180</v>
      </c>
      <c r="C2146" s="1076" t="s">
        <v>165</v>
      </c>
      <c r="D2146" s="1010"/>
      <c r="E2146" s="1018"/>
      <c r="F2146" s="988">
        <v>99</v>
      </c>
      <c r="G2146" s="1152"/>
      <c r="H2146" s="1153"/>
      <c r="I2146" s="1152"/>
      <c r="J2146" s="1153"/>
      <c r="K2146" s="1152"/>
      <c r="L2146" s="1153"/>
      <c r="M2146" s="1152"/>
      <c r="N2146" s="1152"/>
      <c r="O2146" s="732">
        <f t="shared" si="269"/>
        <v>0</v>
      </c>
      <c r="P2146" s="1159"/>
      <c r="Q2146" s="1153"/>
      <c r="R2146" s="733">
        <f t="shared" si="272"/>
        <v>0</v>
      </c>
      <c r="S2146" s="732">
        <f t="shared" si="273"/>
        <v>0</v>
      </c>
      <c r="T2146" s="733">
        <f t="shared" si="274"/>
        <v>0</v>
      </c>
      <c r="U2146" s="1152"/>
      <c r="V2146" s="1153"/>
      <c r="W2146" s="1152"/>
      <c r="X2146" s="1152"/>
      <c r="Y2146" s="732">
        <f t="shared" si="270"/>
        <v>0</v>
      </c>
      <c r="Z2146" s="1153"/>
      <c r="AA2146" s="1153"/>
      <c r="AB2146" s="733">
        <f t="shared" si="271"/>
        <v>0</v>
      </c>
      <c r="AC2146" s="1152"/>
      <c r="AD2146" s="1153"/>
      <c r="AE2146" s="1152"/>
      <c r="AF2146" s="1152"/>
      <c r="AG2146" s="1153"/>
      <c r="AH2146" s="1153"/>
      <c r="AI2146" s="732">
        <f t="shared" si="275"/>
        <v>0</v>
      </c>
      <c r="AJ2146" s="733">
        <f t="shared" si="276"/>
        <v>0</v>
      </c>
    </row>
    <row r="2147" spans="1:36">
      <c r="A2147" s="1075" t="s">
        <v>746</v>
      </c>
      <c r="B2147" s="1014" t="s">
        <v>178</v>
      </c>
      <c r="C2147" s="1076" t="s">
        <v>167</v>
      </c>
      <c r="D2147" s="1010"/>
      <c r="E2147" s="1018"/>
      <c r="F2147" s="988">
        <v>99</v>
      </c>
      <c r="G2147" s="1152"/>
      <c r="H2147" s="1153"/>
      <c r="I2147" s="1152"/>
      <c r="J2147" s="1153"/>
      <c r="K2147" s="1152"/>
      <c r="L2147" s="1153"/>
      <c r="M2147" s="1152"/>
      <c r="N2147" s="1152"/>
      <c r="O2147" s="732">
        <f t="shared" si="269"/>
        <v>0</v>
      </c>
      <c r="P2147" s="1159"/>
      <c r="Q2147" s="1153"/>
      <c r="R2147" s="733">
        <f t="shared" si="272"/>
        <v>0</v>
      </c>
      <c r="S2147" s="732">
        <f t="shared" si="273"/>
        <v>0</v>
      </c>
      <c r="T2147" s="733">
        <f t="shared" si="274"/>
        <v>0</v>
      </c>
      <c r="U2147" s="1152">
        <v>543777</v>
      </c>
      <c r="V2147" s="1153">
        <v>695502</v>
      </c>
      <c r="W2147" s="1152"/>
      <c r="X2147" s="1152"/>
      <c r="Y2147" s="732">
        <f t="shared" si="270"/>
        <v>0</v>
      </c>
      <c r="Z2147" s="1153"/>
      <c r="AA2147" s="1153"/>
      <c r="AB2147" s="733">
        <f t="shared" si="271"/>
        <v>0</v>
      </c>
      <c r="AC2147" s="1152"/>
      <c r="AD2147" s="1153"/>
      <c r="AE2147" s="1152"/>
      <c r="AF2147" s="1152"/>
      <c r="AG2147" s="1153"/>
      <c r="AH2147" s="1153"/>
      <c r="AI2147" s="732">
        <f t="shared" si="275"/>
        <v>543777</v>
      </c>
      <c r="AJ2147" s="733">
        <f t="shared" si="276"/>
        <v>695502</v>
      </c>
    </row>
    <row r="2148" spans="1:36">
      <c r="A2148" s="1075" t="s">
        <v>746</v>
      </c>
      <c r="B2148" s="1017" t="s">
        <v>161</v>
      </c>
      <c r="C2148" s="1094" t="s">
        <v>1642</v>
      </c>
      <c r="D2148" s="1010"/>
      <c r="E2148" s="1006"/>
      <c r="F2148" s="988">
        <v>99</v>
      </c>
      <c r="G2148" s="1152"/>
      <c r="H2148" s="1153"/>
      <c r="I2148" s="1152"/>
      <c r="J2148" s="1153"/>
      <c r="K2148" s="1152"/>
      <c r="L2148" s="1153"/>
      <c r="M2148" s="1152"/>
      <c r="N2148" s="1152"/>
      <c r="O2148" s="732">
        <f t="shared" si="269"/>
        <v>0</v>
      </c>
      <c r="P2148" s="1159"/>
      <c r="Q2148" s="1153"/>
      <c r="R2148" s="733">
        <f t="shared" si="272"/>
        <v>0</v>
      </c>
      <c r="S2148" s="732">
        <f t="shared" si="273"/>
        <v>0</v>
      </c>
      <c r="T2148" s="733">
        <f t="shared" si="274"/>
        <v>0</v>
      </c>
      <c r="U2148" s="1152"/>
      <c r="V2148" s="1153"/>
      <c r="W2148" s="1152"/>
      <c r="X2148" s="1152"/>
      <c r="Y2148" s="732">
        <f t="shared" si="270"/>
        <v>0</v>
      </c>
      <c r="Z2148" s="1153"/>
      <c r="AA2148" s="1153"/>
      <c r="AB2148" s="733">
        <f t="shared" si="271"/>
        <v>0</v>
      </c>
      <c r="AC2148" s="1152"/>
      <c r="AD2148" s="1153"/>
      <c r="AE2148" s="1152"/>
      <c r="AF2148" s="1152"/>
      <c r="AG2148" s="1153"/>
      <c r="AH2148" s="1153"/>
      <c r="AI2148" s="732">
        <f t="shared" si="275"/>
        <v>0</v>
      </c>
      <c r="AJ2148" s="733">
        <f t="shared" si="276"/>
        <v>0</v>
      </c>
    </row>
    <row r="2149" spans="1:36">
      <c r="A2149" s="1075" t="s">
        <v>746</v>
      </c>
      <c r="B2149" s="1014" t="s">
        <v>170</v>
      </c>
      <c r="C2149" s="1076" t="s">
        <v>171</v>
      </c>
      <c r="D2149" s="1010"/>
      <c r="E2149" s="1018"/>
      <c r="F2149" s="988">
        <v>99</v>
      </c>
      <c r="G2149" s="1152"/>
      <c r="H2149" s="1153"/>
      <c r="I2149" s="1152"/>
      <c r="J2149" s="1153"/>
      <c r="K2149" s="1152"/>
      <c r="L2149" s="1153"/>
      <c r="M2149" s="1152"/>
      <c r="N2149" s="1152"/>
      <c r="O2149" s="732">
        <f t="shared" si="269"/>
        <v>0</v>
      </c>
      <c r="P2149" s="1159"/>
      <c r="Q2149" s="1153"/>
      <c r="R2149" s="733">
        <f t="shared" si="272"/>
        <v>0</v>
      </c>
      <c r="S2149" s="732">
        <f t="shared" si="273"/>
        <v>0</v>
      </c>
      <c r="T2149" s="733">
        <f t="shared" si="274"/>
        <v>0</v>
      </c>
      <c r="U2149" s="1152"/>
      <c r="V2149" s="1153"/>
      <c r="W2149" s="1152"/>
      <c r="X2149" s="1152"/>
      <c r="Y2149" s="732">
        <f t="shared" si="270"/>
        <v>0</v>
      </c>
      <c r="Z2149" s="1153"/>
      <c r="AA2149" s="1153"/>
      <c r="AB2149" s="733">
        <f t="shared" si="271"/>
        <v>0</v>
      </c>
      <c r="AC2149" s="1152"/>
      <c r="AD2149" s="1153"/>
      <c r="AE2149" s="1152"/>
      <c r="AF2149" s="1152"/>
      <c r="AG2149" s="1153"/>
      <c r="AH2149" s="1153"/>
      <c r="AI2149" s="732">
        <f t="shared" si="275"/>
        <v>0</v>
      </c>
      <c r="AJ2149" s="733">
        <f t="shared" si="276"/>
        <v>0</v>
      </c>
    </row>
    <row r="2150" spans="1:36">
      <c r="A2150" s="1075" t="s">
        <v>746</v>
      </c>
      <c r="B2150" s="1014" t="s">
        <v>172</v>
      </c>
      <c r="C2150" s="1076" t="s">
        <v>165</v>
      </c>
      <c r="D2150" s="1010"/>
      <c r="E2150" s="1018"/>
      <c r="F2150" s="988">
        <v>99</v>
      </c>
      <c r="G2150" s="1152"/>
      <c r="H2150" s="1153"/>
      <c r="I2150" s="1152"/>
      <c r="J2150" s="1153"/>
      <c r="K2150" s="1152"/>
      <c r="L2150" s="1153"/>
      <c r="M2150" s="1152"/>
      <c r="N2150" s="1152"/>
      <c r="O2150" s="732">
        <f t="shared" si="269"/>
        <v>0</v>
      </c>
      <c r="P2150" s="1159"/>
      <c r="Q2150" s="1153"/>
      <c r="R2150" s="733">
        <f t="shared" si="272"/>
        <v>0</v>
      </c>
      <c r="S2150" s="732">
        <f t="shared" si="273"/>
        <v>0</v>
      </c>
      <c r="T2150" s="733">
        <f t="shared" si="274"/>
        <v>0</v>
      </c>
      <c r="U2150" s="1152"/>
      <c r="V2150" s="1153"/>
      <c r="W2150" s="1152"/>
      <c r="X2150" s="1152"/>
      <c r="Y2150" s="732">
        <f t="shared" si="270"/>
        <v>0</v>
      </c>
      <c r="Z2150" s="1153"/>
      <c r="AA2150" s="1153"/>
      <c r="AB2150" s="733">
        <f t="shared" si="271"/>
        <v>0</v>
      </c>
      <c r="AC2150" s="1152"/>
      <c r="AD2150" s="1153"/>
      <c r="AE2150" s="1152"/>
      <c r="AF2150" s="1152"/>
      <c r="AG2150" s="1153"/>
      <c r="AH2150" s="1153"/>
      <c r="AI2150" s="732">
        <f t="shared" si="275"/>
        <v>0</v>
      </c>
      <c r="AJ2150" s="733">
        <f t="shared" si="276"/>
        <v>0</v>
      </c>
    </row>
    <row r="2151" spans="1:36">
      <c r="A2151" s="1075" t="s">
        <v>746</v>
      </c>
      <c r="B2151" s="1014" t="s">
        <v>173</v>
      </c>
      <c r="C2151" s="1076" t="s">
        <v>167</v>
      </c>
      <c r="D2151" s="1010"/>
      <c r="E2151" s="1018"/>
      <c r="F2151" s="988">
        <v>99</v>
      </c>
      <c r="G2151" s="1152"/>
      <c r="H2151" s="1153"/>
      <c r="I2151" s="1152"/>
      <c r="J2151" s="1153"/>
      <c r="K2151" s="1152"/>
      <c r="L2151" s="1153"/>
      <c r="M2151" s="1152"/>
      <c r="N2151" s="1152"/>
      <c r="O2151" s="732">
        <f t="shared" si="269"/>
        <v>0</v>
      </c>
      <c r="P2151" s="1159"/>
      <c r="Q2151" s="1153"/>
      <c r="R2151" s="733">
        <f t="shared" si="272"/>
        <v>0</v>
      </c>
      <c r="S2151" s="732">
        <f t="shared" si="273"/>
        <v>0</v>
      </c>
      <c r="T2151" s="733">
        <f t="shared" si="274"/>
        <v>0</v>
      </c>
      <c r="U2151" s="1152">
        <v>62744878</v>
      </c>
      <c r="V2151" s="1153">
        <f>54268040+11284395</f>
        <v>65552435</v>
      </c>
      <c r="W2151" s="1152"/>
      <c r="X2151" s="1152"/>
      <c r="Y2151" s="732">
        <f t="shared" si="270"/>
        <v>0</v>
      </c>
      <c r="Z2151" s="1153"/>
      <c r="AA2151" s="1153"/>
      <c r="AB2151" s="733">
        <f t="shared" si="271"/>
        <v>0</v>
      </c>
      <c r="AC2151" s="1152"/>
      <c r="AD2151" s="1153"/>
      <c r="AE2151" s="1152"/>
      <c r="AF2151" s="1152"/>
      <c r="AG2151" s="1153"/>
      <c r="AH2151" s="1153"/>
      <c r="AI2151" s="732">
        <f t="shared" si="275"/>
        <v>62744878</v>
      </c>
      <c r="AJ2151" s="733">
        <f t="shared" si="276"/>
        <v>65552435</v>
      </c>
    </row>
    <row r="2152" spans="1:36">
      <c r="A2152" s="1075" t="s">
        <v>746</v>
      </c>
      <c r="B2152" s="1014" t="s">
        <v>176</v>
      </c>
      <c r="C2152" s="1076" t="s">
        <v>177</v>
      </c>
      <c r="D2152" s="1010"/>
      <c r="E2152" s="1018"/>
      <c r="F2152" s="988">
        <v>99</v>
      </c>
      <c r="G2152" s="1152"/>
      <c r="H2152" s="1153"/>
      <c r="I2152" s="1152"/>
      <c r="J2152" s="1153"/>
      <c r="K2152" s="1152"/>
      <c r="L2152" s="1153"/>
      <c r="M2152" s="1152"/>
      <c r="N2152" s="1152"/>
      <c r="O2152" s="732">
        <f t="shared" si="269"/>
        <v>0</v>
      </c>
      <c r="P2152" s="1159"/>
      <c r="Q2152" s="1153"/>
      <c r="R2152" s="733">
        <f t="shared" si="272"/>
        <v>0</v>
      </c>
      <c r="S2152" s="732">
        <f t="shared" si="273"/>
        <v>0</v>
      </c>
      <c r="T2152" s="733">
        <f t="shared" si="274"/>
        <v>0</v>
      </c>
      <c r="U2152" s="1152"/>
      <c r="V2152" s="1153"/>
      <c r="W2152" s="1152"/>
      <c r="X2152" s="1152"/>
      <c r="Y2152" s="732">
        <f t="shared" si="270"/>
        <v>0</v>
      </c>
      <c r="Z2152" s="1153"/>
      <c r="AA2152" s="1153"/>
      <c r="AB2152" s="733">
        <f t="shared" si="271"/>
        <v>0</v>
      </c>
      <c r="AC2152" s="1152"/>
      <c r="AD2152" s="1153"/>
      <c r="AE2152" s="1152"/>
      <c r="AF2152" s="1152"/>
      <c r="AG2152" s="1153"/>
      <c r="AH2152" s="1153"/>
      <c r="AI2152" s="732">
        <f t="shared" si="275"/>
        <v>0</v>
      </c>
      <c r="AJ2152" s="733">
        <f t="shared" si="276"/>
        <v>0</v>
      </c>
    </row>
    <row r="2153" spans="1:36">
      <c r="A2153" s="1075" t="s">
        <v>746</v>
      </c>
      <c r="B2153" s="1014" t="s">
        <v>180</v>
      </c>
      <c r="C2153" s="1076" t="s">
        <v>165</v>
      </c>
      <c r="D2153" s="1010"/>
      <c r="E2153" s="1018"/>
      <c r="F2153" s="988">
        <v>99</v>
      </c>
      <c r="G2153" s="1152"/>
      <c r="H2153" s="1153"/>
      <c r="I2153" s="1152"/>
      <c r="J2153" s="1153"/>
      <c r="K2153" s="1152"/>
      <c r="L2153" s="1153"/>
      <c r="M2153" s="1152"/>
      <c r="N2153" s="1152"/>
      <c r="O2153" s="732">
        <f t="shared" si="269"/>
        <v>0</v>
      </c>
      <c r="P2153" s="1159"/>
      <c r="Q2153" s="1153"/>
      <c r="R2153" s="733">
        <f t="shared" si="272"/>
        <v>0</v>
      </c>
      <c r="S2153" s="732">
        <f t="shared" si="273"/>
        <v>0</v>
      </c>
      <c r="T2153" s="733">
        <f t="shared" si="274"/>
        <v>0</v>
      </c>
      <c r="U2153" s="1152"/>
      <c r="V2153" s="1153"/>
      <c r="W2153" s="1152"/>
      <c r="X2153" s="1152"/>
      <c r="Y2153" s="732">
        <f t="shared" si="270"/>
        <v>0</v>
      </c>
      <c r="Z2153" s="1153"/>
      <c r="AA2153" s="1153"/>
      <c r="AB2153" s="733">
        <f t="shared" si="271"/>
        <v>0</v>
      </c>
      <c r="AC2153" s="1152"/>
      <c r="AD2153" s="1153"/>
      <c r="AE2153" s="1152"/>
      <c r="AF2153" s="1152"/>
      <c r="AG2153" s="1153"/>
      <c r="AH2153" s="1153"/>
      <c r="AI2153" s="732">
        <f t="shared" si="275"/>
        <v>0</v>
      </c>
      <c r="AJ2153" s="733">
        <f t="shared" si="276"/>
        <v>0</v>
      </c>
    </row>
    <row r="2154" spans="1:36">
      <c r="A2154" s="1075" t="s">
        <v>746</v>
      </c>
      <c r="B2154" s="1014" t="s">
        <v>178</v>
      </c>
      <c r="C2154" s="1076" t="s">
        <v>167</v>
      </c>
      <c r="D2154" s="1010"/>
      <c r="E2154" s="1018"/>
      <c r="F2154" s="988">
        <v>99</v>
      </c>
      <c r="G2154" s="1152"/>
      <c r="H2154" s="1153"/>
      <c r="I2154" s="1152"/>
      <c r="J2154" s="1153"/>
      <c r="K2154" s="1152"/>
      <c r="L2154" s="1153"/>
      <c r="M2154" s="1152"/>
      <c r="N2154" s="1152"/>
      <c r="O2154" s="732">
        <f t="shared" si="269"/>
        <v>0</v>
      </c>
      <c r="P2154" s="1159"/>
      <c r="Q2154" s="1153"/>
      <c r="R2154" s="733">
        <f t="shared" si="272"/>
        <v>0</v>
      </c>
      <c r="S2154" s="732">
        <f t="shared" si="273"/>
        <v>0</v>
      </c>
      <c r="T2154" s="733">
        <f t="shared" si="274"/>
        <v>0</v>
      </c>
      <c r="U2154" s="1152">
        <v>11975115</v>
      </c>
      <c r="V2154" s="1153">
        <f>10852194</f>
        <v>10852194</v>
      </c>
      <c r="W2154" s="1152"/>
      <c r="X2154" s="1152"/>
      <c r="Y2154" s="732">
        <f t="shared" si="270"/>
        <v>0</v>
      </c>
      <c r="Z2154" s="1153"/>
      <c r="AA2154" s="1153"/>
      <c r="AB2154" s="733">
        <f t="shared" si="271"/>
        <v>0</v>
      </c>
      <c r="AC2154" s="1152"/>
      <c r="AD2154" s="1153"/>
      <c r="AE2154" s="1152"/>
      <c r="AF2154" s="1152"/>
      <c r="AG2154" s="1153"/>
      <c r="AH2154" s="1153"/>
      <c r="AI2154" s="732">
        <f t="shared" si="275"/>
        <v>11975115</v>
      </c>
      <c r="AJ2154" s="733">
        <f t="shared" si="276"/>
        <v>10852194</v>
      </c>
    </row>
    <row r="2155" spans="1:36">
      <c r="A2155" s="1075" t="s">
        <v>746</v>
      </c>
      <c r="B2155" s="1017" t="s">
        <v>161</v>
      </c>
      <c r="C2155" s="1094" t="s">
        <v>1643</v>
      </c>
      <c r="D2155" s="1010"/>
      <c r="E2155" s="1006"/>
      <c r="F2155" s="988">
        <v>99</v>
      </c>
      <c r="G2155" s="1152"/>
      <c r="H2155" s="1153"/>
      <c r="I2155" s="1152"/>
      <c r="J2155" s="1153"/>
      <c r="K2155" s="1152"/>
      <c r="L2155" s="1153"/>
      <c r="M2155" s="1152"/>
      <c r="N2155" s="1152"/>
      <c r="O2155" s="732">
        <f t="shared" si="269"/>
        <v>0</v>
      </c>
      <c r="P2155" s="1159"/>
      <c r="Q2155" s="1153"/>
      <c r="R2155" s="733">
        <f t="shared" si="272"/>
        <v>0</v>
      </c>
      <c r="S2155" s="732">
        <f t="shared" si="273"/>
        <v>0</v>
      </c>
      <c r="T2155" s="733">
        <f t="shared" si="274"/>
        <v>0</v>
      </c>
      <c r="U2155" s="1152"/>
      <c r="V2155" s="1153"/>
      <c r="W2155" s="1152"/>
      <c r="X2155" s="1152"/>
      <c r="Y2155" s="732">
        <f t="shared" si="270"/>
        <v>0</v>
      </c>
      <c r="Z2155" s="1153"/>
      <c r="AA2155" s="1153"/>
      <c r="AB2155" s="733">
        <f t="shared" si="271"/>
        <v>0</v>
      </c>
      <c r="AC2155" s="1152"/>
      <c r="AD2155" s="1153"/>
      <c r="AE2155" s="1152"/>
      <c r="AF2155" s="1152"/>
      <c r="AG2155" s="1153"/>
      <c r="AH2155" s="1153"/>
      <c r="AI2155" s="732">
        <f t="shared" si="275"/>
        <v>0</v>
      </c>
      <c r="AJ2155" s="733">
        <f t="shared" si="276"/>
        <v>0</v>
      </c>
    </row>
    <row r="2156" spans="1:36">
      <c r="A2156" s="1075" t="s">
        <v>746</v>
      </c>
      <c r="B2156" s="1014" t="s">
        <v>170</v>
      </c>
      <c r="C2156" s="1076" t="s">
        <v>171</v>
      </c>
      <c r="D2156" s="1010"/>
      <c r="E2156" s="1018"/>
      <c r="F2156" s="988">
        <v>99</v>
      </c>
      <c r="G2156" s="1152"/>
      <c r="H2156" s="1153"/>
      <c r="I2156" s="1152"/>
      <c r="J2156" s="1153"/>
      <c r="K2156" s="1152"/>
      <c r="L2156" s="1153"/>
      <c r="M2156" s="1152"/>
      <c r="N2156" s="1152"/>
      <c r="O2156" s="732">
        <f t="shared" si="269"/>
        <v>0</v>
      </c>
      <c r="P2156" s="1159"/>
      <c r="Q2156" s="1153"/>
      <c r="R2156" s="733">
        <f t="shared" si="272"/>
        <v>0</v>
      </c>
      <c r="S2156" s="732">
        <f t="shared" si="273"/>
        <v>0</v>
      </c>
      <c r="T2156" s="733">
        <f t="shared" si="274"/>
        <v>0</v>
      </c>
      <c r="U2156" s="1152"/>
      <c r="V2156" s="1153"/>
      <c r="W2156" s="1152"/>
      <c r="X2156" s="1152"/>
      <c r="Y2156" s="732">
        <f t="shared" si="270"/>
        <v>0</v>
      </c>
      <c r="Z2156" s="1153"/>
      <c r="AA2156" s="1153"/>
      <c r="AB2156" s="733">
        <f t="shared" si="271"/>
        <v>0</v>
      </c>
      <c r="AC2156" s="1152"/>
      <c r="AD2156" s="1153"/>
      <c r="AE2156" s="1152"/>
      <c r="AF2156" s="1152"/>
      <c r="AG2156" s="1153"/>
      <c r="AH2156" s="1153"/>
      <c r="AI2156" s="732">
        <f t="shared" si="275"/>
        <v>0</v>
      </c>
      <c r="AJ2156" s="733">
        <f t="shared" si="276"/>
        <v>0</v>
      </c>
    </row>
    <row r="2157" spans="1:36">
      <c r="A2157" s="1075" t="s">
        <v>746</v>
      </c>
      <c r="B2157" s="1014" t="s">
        <v>172</v>
      </c>
      <c r="C2157" s="1076" t="s">
        <v>165</v>
      </c>
      <c r="D2157" s="1010"/>
      <c r="E2157" s="1018"/>
      <c r="F2157" s="988">
        <v>99</v>
      </c>
      <c r="G2157" s="1152"/>
      <c r="H2157" s="1153"/>
      <c r="I2157" s="1152"/>
      <c r="J2157" s="1153"/>
      <c r="K2157" s="1152"/>
      <c r="L2157" s="1153"/>
      <c r="M2157" s="1152"/>
      <c r="N2157" s="1152"/>
      <c r="O2157" s="732">
        <f t="shared" si="269"/>
        <v>0</v>
      </c>
      <c r="P2157" s="1159"/>
      <c r="Q2157" s="1153"/>
      <c r="R2157" s="733">
        <f t="shared" si="272"/>
        <v>0</v>
      </c>
      <c r="S2157" s="732">
        <f t="shared" si="273"/>
        <v>0</v>
      </c>
      <c r="T2157" s="733">
        <f t="shared" si="274"/>
        <v>0</v>
      </c>
      <c r="U2157" s="1152"/>
      <c r="V2157" s="1153"/>
      <c r="W2157" s="1152"/>
      <c r="X2157" s="1152"/>
      <c r="Y2157" s="732">
        <f t="shared" si="270"/>
        <v>0</v>
      </c>
      <c r="Z2157" s="1153"/>
      <c r="AA2157" s="1153"/>
      <c r="AB2157" s="733">
        <f t="shared" si="271"/>
        <v>0</v>
      </c>
      <c r="AC2157" s="1152"/>
      <c r="AD2157" s="1153"/>
      <c r="AE2157" s="1152"/>
      <c r="AF2157" s="1152"/>
      <c r="AG2157" s="1153"/>
      <c r="AH2157" s="1153"/>
      <c r="AI2157" s="732">
        <f t="shared" si="275"/>
        <v>0</v>
      </c>
      <c r="AJ2157" s="733">
        <f t="shared" si="276"/>
        <v>0</v>
      </c>
    </row>
    <row r="2158" spans="1:36">
      <c r="A2158" s="1075" t="s">
        <v>746</v>
      </c>
      <c r="B2158" s="1014" t="s">
        <v>173</v>
      </c>
      <c r="C2158" s="1076" t="s">
        <v>167</v>
      </c>
      <c r="D2158" s="1010"/>
      <c r="E2158" s="1018"/>
      <c r="F2158" s="988">
        <v>99</v>
      </c>
      <c r="G2158" s="1152"/>
      <c r="H2158" s="1153"/>
      <c r="I2158" s="1152"/>
      <c r="J2158" s="1153"/>
      <c r="K2158" s="1152"/>
      <c r="L2158" s="1153"/>
      <c r="M2158" s="1152"/>
      <c r="N2158" s="1152"/>
      <c r="O2158" s="732">
        <f t="shared" si="269"/>
        <v>0</v>
      </c>
      <c r="P2158" s="1159"/>
      <c r="Q2158" s="1153"/>
      <c r="R2158" s="733">
        <f t="shared" si="272"/>
        <v>0</v>
      </c>
      <c r="S2158" s="732">
        <f t="shared" si="273"/>
        <v>0</v>
      </c>
      <c r="T2158" s="733">
        <f t="shared" si="274"/>
        <v>0</v>
      </c>
      <c r="U2158" s="1152">
        <v>6609189</v>
      </c>
      <c r="V2158" s="1153">
        <f>1033200+5791701</f>
        <v>6824901</v>
      </c>
      <c r="W2158" s="1152"/>
      <c r="X2158" s="1152"/>
      <c r="Y2158" s="732">
        <f t="shared" si="270"/>
        <v>0</v>
      </c>
      <c r="Z2158" s="1153"/>
      <c r="AA2158" s="1153"/>
      <c r="AB2158" s="733">
        <f t="shared" si="271"/>
        <v>0</v>
      </c>
      <c r="AC2158" s="1152"/>
      <c r="AD2158" s="1153"/>
      <c r="AE2158" s="1152"/>
      <c r="AF2158" s="1152"/>
      <c r="AG2158" s="1153"/>
      <c r="AH2158" s="1153"/>
      <c r="AI2158" s="732">
        <f t="shared" si="275"/>
        <v>6609189</v>
      </c>
      <c r="AJ2158" s="733">
        <f t="shared" si="276"/>
        <v>6824901</v>
      </c>
    </row>
    <row r="2159" spans="1:36">
      <c r="A2159" s="1075" t="s">
        <v>746</v>
      </c>
      <c r="B2159" s="1014" t="s">
        <v>176</v>
      </c>
      <c r="C2159" s="1076" t="s">
        <v>177</v>
      </c>
      <c r="D2159" s="1010"/>
      <c r="E2159" s="1018"/>
      <c r="F2159" s="988">
        <v>99</v>
      </c>
      <c r="G2159" s="1152"/>
      <c r="H2159" s="1153"/>
      <c r="I2159" s="1152"/>
      <c r="J2159" s="1153"/>
      <c r="K2159" s="1152"/>
      <c r="L2159" s="1153"/>
      <c r="M2159" s="1152"/>
      <c r="N2159" s="1152"/>
      <c r="O2159" s="732">
        <f t="shared" si="269"/>
        <v>0</v>
      </c>
      <c r="P2159" s="1159"/>
      <c r="Q2159" s="1153"/>
      <c r="R2159" s="733">
        <f t="shared" si="272"/>
        <v>0</v>
      </c>
      <c r="S2159" s="732">
        <f t="shared" si="273"/>
        <v>0</v>
      </c>
      <c r="T2159" s="733">
        <f t="shared" si="274"/>
        <v>0</v>
      </c>
      <c r="U2159" s="1152"/>
      <c r="V2159" s="1153"/>
      <c r="W2159" s="1152"/>
      <c r="X2159" s="1152"/>
      <c r="Y2159" s="732">
        <f t="shared" si="270"/>
        <v>0</v>
      </c>
      <c r="Z2159" s="1153"/>
      <c r="AA2159" s="1153"/>
      <c r="AB2159" s="733">
        <f t="shared" si="271"/>
        <v>0</v>
      </c>
      <c r="AC2159" s="1152"/>
      <c r="AD2159" s="1153"/>
      <c r="AE2159" s="1152"/>
      <c r="AF2159" s="1152"/>
      <c r="AG2159" s="1153"/>
      <c r="AH2159" s="1153"/>
      <c r="AI2159" s="732">
        <f t="shared" si="275"/>
        <v>0</v>
      </c>
      <c r="AJ2159" s="733">
        <f t="shared" si="276"/>
        <v>0</v>
      </c>
    </row>
    <row r="2160" spans="1:36">
      <c r="A2160" s="1075" t="s">
        <v>746</v>
      </c>
      <c r="B2160" s="1014" t="s">
        <v>180</v>
      </c>
      <c r="C2160" s="1076" t="s">
        <v>165</v>
      </c>
      <c r="D2160" s="1010"/>
      <c r="E2160" s="1018"/>
      <c r="F2160" s="988">
        <v>99</v>
      </c>
      <c r="G2160" s="1152"/>
      <c r="H2160" s="1153"/>
      <c r="I2160" s="1152"/>
      <c r="J2160" s="1153"/>
      <c r="K2160" s="1152"/>
      <c r="L2160" s="1153"/>
      <c r="M2160" s="1152"/>
      <c r="N2160" s="1152"/>
      <c r="O2160" s="732">
        <f t="shared" si="269"/>
        <v>0</v>
      </c>
      <c r="P2160" s="1159"/>
      <c r="Q2160" s="1153"/>
      <c r="R2160" s="733">
        <f t="shared" si="272"/>
        <v>0</v>
      </c>
      <c r="S2160" s="732">
        <f t="shared" si="273"/>
        <v>0</v>
      </c>
      <c r="T2160" s="733">
        <f t="shared" si="274"/>
        <v>0</v>
      </c>
      <c r="U2160" s="1152"/>
      <c r="V2160" s="1153"/>
      <c r="W2160" s="1152"/>
      <c r="X2160" s="1152"/>
      <c r="Y2160" s="732">
        <f t="shared" si="270"/>
        <v>0</v>
      </c>
      <c r="Z2160" s="1153"/>
      <c r="AA2160" s="1153"/>
      <c r="AB2160" s="733">
        <f t="shared" si="271"/>
        <v>0</v>
      </c>
      <c r="AC2160" s="1152"/>
      <c r="AD2160" s="1153"/>
      <c r="AE2160" s="1152"/>
      <c r="AF2160" s="1152"/>
      <c r="AG2160" s="1153"/>
      <c r="AH2160" s="1153"/>
      <c r="AI2160" s="732">
        <f t="shared" si="275"/>
        <v>0</v>
      </c>
      <c r="AJ2160" s="733">
        <f t="shared" si="276"/>
        <v>0</v>
      </c>
    </row>
    <row r="2161" spans="1:36">
      <c r="A2161" s="1075" t="s">
        <v>746</v>
      </c>
      <c r="B2161" s="1014" t="s">
        <v>178</v>
      </c>
      <c r="C2161" s="1076" t="s">
        <v>167</v>
      </c>
      <c r="D2161" s="1010"/>
      <c r="E2161" s="1018"/>
      <c r="F2161" s="988">
        <v>99</v>
      </c>
      <c r="G2161" s="1152"/>
      <c r="H2161" s="1153"/>
      <c r="I2161" s="1152"/>
      <c r="J2161" s="1153"/>
      <c r="K2161" s="1152"/>
      <c r="L2161" s="1153"/>
      <c r="M2161" s="1152"/>
      <c r="N2161" s="1152"/>
      <c r="O2161" s="732">
        <f t="shared" si="269"/>
        <v>0</v>
      </c>
      <c r="P2161" s="1159"/>
      <c r="Q2161" s="1153"/>
      <c r="R2161" s="733">
        <f t="shared" si="272"/>
        <v>0</v>
      </c>
      <c r="S2161" s="732">
        <f t="shared" si="273"/>
        <v>0</v>
      </c>
      <c r="T2161" s="733">
        <f t="shared" si="274"/>
        <v>0</v>
      </c>
      <c r="U2161" s="1152">
        <v>3133554</v>
      </c>
      <c r="V2161" s="1153">
        <v>3314663</v>
      </c>
      <c r="W2161" s="1152"/>
      <c r="X2161" s="1152"/>
      <c r="Y2161" s="732">
        <f t="shared" si="270"/>
        <v>0</v>
      </c>
      <c r="Z2161" s="1153"/>
      <c r="AA2161" s="1153"/>
      <c r="AB2161" s="733">
        <f t="shared" si="271"/>
        <v>0</v>
      </c>
      <c r="AC2161" s="1152"/>
      <c r="AD2161" s="1153"/>
      <c r="AE2161" s="1152"/>
      <c r="AF2161" s="1152"/>
      <c r="AG2161" s="1153"/>
      <c r="AH2161" s="1153"/>
      <c r="AI2161" s="732">
        <f t="shared" si="275"/>
        <v>3133554</v>
      </c>
      <c r="AJ2161" s="733">
        <f t="shared" si="276"/>
        <v>3314663</v>
      </c>
    </row>
    <row r="2162" spans="1:36">
      <c r="A2162" s="1075" t="s">
        <v>746</v>
      </c>
      <c r="B2162" s="1017" t="s">
        <v>161</v>
      </c>
      <c r="C2162" s="1094" t="s">
        <v>1644</v>
      </c>
      <c r="D2162" s="1010"/>
      <c r="E2162" s="1006"/>
      <c r="F2162" s="988">
        <v>99</v>
      </c>
      <c r="G2162" s="1152"/>
      <c r="H2162" s="1153"/>
      <c r="I2162" s="1152"/>
      <c r="J2162" s="1153"/>
      <c r="K2162" s="1152"/>
      <c r="L2162" s="1153"/>
      <c r="M2162" s="1152"/>
      <c r="N2162" s="1152"/>
      <c r="O2162" s="732">
        <f t="shared" si="269"/>
        <v>0</v>
      </c>
      <c r="P2162" s="1159"/>
      <c r="Q2162" s="1153"/>
      <c r="R2162" s="733">
        <f t="shared" si="272"/>
        <v>0</v>
      </c>
      <c r="S2162" s="732">
        <f t="shared" si="273"/>
        <v>0</v>
      </c>
      <c r="T2162" s="733">
        <f t="shared" si="274"/>
        <v>0</v>
      </c>
      <c r="U2162" s="1152"/>
      <c r="V2162" s="1153"/>
      <c r="W2162" s="1152"/>
      <c r="X2162" s="1152"/>
      <c r="Y2162" s="732">
        <f t="shared" si="270"/>
        <v>0</v>
      </c>
      <c r="Z2162" s="1153"/>
      <c r="AA2162" s="1153"/>
      <c r="AB2162" s="733">
        <f t="shared" si="271"/>
        <v>0</v>
      </c>
      <c r="AC2162" s="1152"/>
      <c r="AD2162" s="1153"/>
      <c r="AE2162" s="1152"/>
      <c r="AF2162" s="1152"/>
      <c r="AG2162" s="1153"/>
      <c r="AH2162" s="1153"/>
      <c r="AI2162" s="732">
        <f t="shared" si="275"/>
        <v>0</v>
      </c>
      <c r="AJ2162" s="733">
        <f t="shared" si="276"/>
        <v>0</v>
      </c>
    </row>
    <row r="2163" spans="1:36">
      <c r="A2163" s="1075" t="s">
        <v>746</v>
      </c>
      <c r="B2163" s="1014" t="s">
        <v>170</v>
      </c>
      <c r="C2163" s="1076" t="s">
        <v>171</v>
      </c>
      <c r="D2163" s="1010"/>
      <c r="E2163" s="1018"/>
      <c r="F2163" s="988">
        <v>99</v>
      </c>
      <c r="G2163" s="1152"/>
      <c r="H2163" s="1153"/>
      <c r="I2163" s="1152"/>
      <c r="J2163" s="1153"/>
      <c r="K2163" s="1152"/>
      <c r="L2163" s="1153"/>
      <c r="M2163" s="1152"/>
      <c r="N2163" s="1152"/>
      <c r="O2163" s="732">
        <f t="shared" si="269"/>
        <v>0</v>
      </c>
      <c r="P2163" s="1159"/>
      <c r="Q2163" s="1153"/>
      <c r="R2163" s="733">
        <f t="shared" si="272"/>
        <v>0</v>
      </c>
      <c r="S2163" s="732">
        <f t="shared" si="273"/>
        <v>0</v>
      </c>
      <c r="T2163" s="733">
        <f t="shared" si="274"/>
        <v>0</v>
      </c>
      <c r="U2163" s="1152"/>
      <c r="V2163" s="1153"/>
      <c r="W2163" s="1152"/>
      <c r="X2163" s="1152"/>
      <c r="Y2163" s="732">
        <f t="shared" si="270"/>
        <v>0</v>
      </c>
      <c r="Z2163" s="1153"/>
      <c r="AA2163" s="1153"/>
      <c r="AB2163" s="733">
        <f t="shared" si="271"/>
        <v>0</v>
      </c>
      <c r="AC2163" s="1152"/>
      <c r="AD2163" s="1153"/>
      <c r="AE2163" s="1152"/>
      <c r="AF2163" s="1152"/>
      <c r="AG2163" s="1153"/>
      <c r="AH2163" s="1153"/>
      <c r="AI2163" s="732">
        <f t="shared" si="275"/>
        <v>0</v>
      </c>
      <c r="AJ2163" s="733">
        <f t="shared" si="276"/>
        <v>0</v>
      </c>
    </row>
    <row r="2164" spans="1:36">
      <c r="A2164" s="1075" t="s">
        <v>746</v>
      </c>
      <c r="B2164" s="1014" t="s">
        <v>172</v>
      </c>
      <c r="C2164" s="1076" t="s">
        <v>165</v>
      </c>
      <c r="D2164" s="1010"/>
      <c r="E2164" s="1018"/>
      <c r="F2164" s="988">
        <v>99</v>
      </c>
      <c r="G2164" s="1152"/>
      <c r="H2164" s="1153"/>
      <c r="I2164" s="1152"/>
      <c r="J2164" s="1153"/>
      <c r="K2164" s="1152"/>
      <c r="L2164" s="1153"/>
      <c r="M2164" s="1152"/>
      <c r="N2164" s="1152"/>
      <c r="O2164" s="732">
        <f t="shared" si="269"/>
        <v>0</v>
      </c>
      <c r="P2164" s="1159"/>
      <c r="Q2164" s="1153"/>
      <c r="R2164" s="733">
        <f t="shared" si="272"/>
        <v>0</v>
      </c>
      <c r="S2164" s="732">
        <f t="shared" si="273"/>
        <v>0</v>
      </c>
      <c r="T2164" s="733">
        <f t="shared" si="274"/>
        <v>0</v>
      </c>
      <c r="U2164" s="1152">
        <v>25167132</v>
      </c>
      <c r="V2164" s="1153">
        <f>6693761+11307897+509906+7268009</f>
        <v>25779573</v>
      </c>
      <c r="W2164" s="1152"/>
      <c r="X2164" s="1152"/>
      <c r="Y2164" s="732">
        <f t="shared" si="270"/>
        <v>0</v>
      </c>
      <c r="Z2164" s="1153"/>
      <c r="AA2164" s="1153"/>
      <c r="AB2164" s="733">
        <f t="shared" si="271"/>
        <v>0</v>
      </c>
      <c r="AC2164" s="1152"/>
      <c r="AD2164" s="1153"/>
      <c r="AE2164" s="1152"/>
      <c r="AF2164" s="1152"/>
      <c r="AG2164" s="1153"/>
      <c r="AH2164" s="1153"/>
      <c r="AI2164" s="732">
        <f t="shared" si="275"/>
        <v>25167132</v>
      </c>
      <c r="AJ2164" s="733">
        <f t="shared" si="276"/>
        <v>25779573</v>
      </c>
    </row>
    <row r="2165" spans="1:36">
      <c r="A2165" s="1075" t="s">
        <v>746</v>
      </c>
      <c r="B2165" s="1014" t="s">
        <v>173</v>
      </c>
      <c r="C2165" s="1076" t="s">
        <v>167</v>
      </c>
      <c r="D2165" s="1010"/>
      <c r="E2165" s="1018"/>
      <c r="F2165" s="988">
        <v>99</v>
      </c>
      <c r="G2165" s="1152"/>
      <c r="H2165" s="1153"/>
      <c r="I2165" s="1152"/>
      <c r="J2165" s="1153"/>
      <c r="K2165" s="1152"/>
      <c r="L2165" s="1153"/>
      <c r="M2165" s="1152"/>
      <c r="N2165" s="1152"/>
      <c r="O2165" s="732">
        <f t="shared" si="269"/>
        <v>0</v>
      </c>
      <c r="P2165" s="1159"/>
      <c r="Q2165" s="1153"/>
      <c r="R2165" s="733">
        <f t="shared" si="272"/>
        <v>0</v>
      </c>
      <c r="S2165" s="732">
        <f t="shared" si="273"/>
        <v>0</v>
      </c>
      <c r="T2165" s="733">
        <f t="shared" si="274"/>
        <v>0</v>
      </c>
      <c r="U2165" s="1152"/>
      <c r="V2165" s="1153"/>
      <c r="W2165" s="1152"/>
      <c r="X2165" s="1152"/>
      <c r="Y2165" s="732">
        <f t="shared" si="270"/>
        <v>0</v>
      </c>
      <c r="Z2165" s="1153"/>
      <c r="AA2165" s="1153"/>
      <c r="AB2165" s="733">
        <f t="shared" si="271"/>
        <v>0</v>
      </c>
      <c r="AC2165" s="1152"/>
      <c r="AD2165" s="1153"/>
      <c r="AE2165" s="1152"/>
      <c r="AF2165" s="1152"/>
      <c r="AG2165" s="1153"/>
      <c r="AH2165" s="1153"/>
      <c r="AI2165" s="732">
        <f t="shared" si="275"/>
        <v>0</v>
      </c>
      <c r="AJ2165" s="733">
        <f t="shared" si="276"/>
        <v>0</v>
      </c>
    </row>
    <row r="2166" spans="1:36">
      <c r="A2166" s="1075" t="s">
        <v>746</v>
      </c>
      <c r="B2166" s="1014" t="s">
        <v>176</v>
      </c>
      <c r="C2166" s="1076" t="s">
        <v>177</v>
      </c>
      <c r="D2166" s="1010"/>
      <c r="E2166" s="1018"/>
      <c r="F2166" s="988">
        <v>99</v>
      </c>
      <c r="G2166" s="1152"/>
      <c r="H2166" s="1153"/>
      <c r="I2166" s="1152"/>
      <c r="J2166" s="1153"/>
      <c r="K2166" s="1152"/>
      <c r="L2166" s="1153"/>
      <c r="M2166" s="1152"/>
      <c r="N2166" s="1152"/>
      <c r="O2166" s="732">
        <f t="shared" si="269"/>
        <v>0</v>
      </c>
      <c r="P2166" s="1159"/>
      <c r="Q2166" s="1153"/>
      <c r="R2166" s="733">
        <f t="shared" si="272"/>
        <v>0</v>
      </c>
      <c r="S2166" s="732">
        <f t="shared" si="273"/>
        <v>0</v>
      </c>
      <c r="T2166" s="733">
        <f t="shared" si="274"/>
        <v>0</v>
      </c>
      <c r="U2166" s="1152"/>
      <c r="V2166" s="1153"/>
      <c r="W2166" s="1152"/>
      <c r="X2166" s="1152"/>
      <c r="Y2166" s="732">
        <f t="shared" si="270"/>
        <v>0</v>
      </c>
      <c r="Z2166" s="1153"/>
      <c r="AA2166" s="1153"/>
      <c r="AB2166" s="733">
        <f t="shared" si="271"/>
        <v>0</v>
      </c>
      <c r="AC2166" s="1152"/>
      <c r="AD2166" s="1153"/>
      <c r="AE2166" s="1152"/>
      <c r="AF2166" s="1152"/>
      <c r="AG2166" s="1153"/>
      <c r="AH2166" s="1153"/>
      <c r="AI2166" s="732">
        <f t="shared" si="275"/>
        <v>0</v>
      </c>
      <c r="AJ2166" s="733">
        <f t="shared" si="276"/>
        <v>0</v>
      </c>
    </row>
    <row r="2167" spans="1:36">
      <c r="A2167" s="1075" t="s">
        <v>746</v>
      </c>
      <c r="B2167" s="1014" t="s">
        <v>180</v>
      </c>
      <c r="C2167" s="1076" t="s">
        <v>165</v>
      </c>
      <c r="D2167" s="1010"/>
      <c r="E2167" s="1018"/>
      <c r="F2167" s="988">
        <v>99</v>
      </c>
      <c r="G2167" s="1152"/>
      <c r="H2167" s="1153"/>
      <c r="I2167" s="1152"/>
      <c r="J2167" s="1153"/>
      <c r="K2167" s="1152"/>
      <c r="L2167" s="1153"/>
      <c r="M2167" s="1152"/>
      <c r="N2167" s="1152"/>
      <c r="O2167" s="732">
        <f t="shared" si="269"/>
        <v>0</v>
      </c>
      <c r="P2167" s="1159"/>
      <c r="Q2167" s="1153"/>
      <c r="R2167" s="733">
        <f t="shared" si="272"/>
        <v>0</v>
      </c>
      <c r="S2167" s="732">
        <f t="shared" si="273"/>
        <v>0</v>
      </c>
      <c r="T2167" s="733">
        <f t="shared" si="274"/>
        <v>0</v>
      </c>
      <c r="U2167" s="1152">
        <v>5359686</v>
      </c>
      <c r="V2167" s="1153">
        <f>5017117+288445</f>
        <v>5305562</v>
      </c>
      <c r="W2167" s="1152"/>
      <c r="X2167" s="1152"/>
      <c r="Y2167" s="732">
        <f t="shared" si="270"/>
        <v>0</v>
      </c>
      <c r="Z2167" s="1153"/>
      <c r="AA2167" s="1153"/>
      <c r="AB2167" s="733">
        <f t="shared" si="271"/>
        <v>0</v>
      </c>
      <c r="AC2167" s="1152"/>
      <c r="AD2167" s="1153"/>
      <c r="AE2167" s="1152"/>
      <c r="AF2167" s="1152"/>
      <c r="AG2167" s="1153"/>
      <c r="AH2167" s="1153"/>
      <c r="AI2167" s="732">
        <f t="shared" si="275"/>
        <v>5359686</v>
      </c>
      <c r="AJ2167" s="733">
        <f t="shared" si="276"/>
        <v>5305562</v>
      </c>
    </row>
    <row r="2168" spans="1:36">
      <c r="A2168" s="1075" t="s">
        <v>746</v>
      </c>
      <c r="B2168" s="1014" t="s">
        <v>178</v>
      </c>
      <c r="C2168" s="1076" t="s">
        <v>167</v>
      </c>
      <c r="D2168" s="1010"/>
      <c r="E2168" s="1018"/>
      <c r="F2168" s="988">
        <v>99</v>
      </c>
      <c r="G2168" s="1152"/>
      <c r="H2168" s="1153"/>
      <c r="I2168" s="1152"/>
      <c r="J2168" s="1153"/>
      <c r="K2168" s="1152"/>
      <c r="L2168" s="1153"/>
      <c r="M2168" s="1152"/>
      <c r="N2168" s="1152"/>
      <c r="O2168" s="732">
        <f t="shared" si="269"/>
        <v>0</v>
      </c>
      <c r="P2168" s="1159"/>
      <c r="Q2168" s="1153"/>
      <c r="R2168" s="733">
        <f t="shared" si="272"/>
        <v>0</v>
      </c>
      <c r="S2168" s="732">
        <f t="shared" si="273"/>
        <v>0</v>
      </c>
      <c r="T2168" s="733">
        <f t="shared" si="274"/>
        <v>0</v>
      </c>
      <c r="U2168" s="1152"/>
      <c r="V2168" s="1153"/>
      <c r="W2168" s="1152"/>
      <c r="X2168" s="1152"/>
      <c r="Y2168" s="732">
        <f t="shared" si="270"/>
        <v>0</v>
      </c>
      <c r="Z2168" s="1153"/>
      <c r="AA2168" s="1153"/>
      <c r="AB2168" s="733">
        <f t="shared" si="271"/>
        <v>0</v>
      </c>
      <c r="AC2168" s="1152"/>
      <c r="AD2168" s="1153"/>
      <c r="AE2168" s="1152"/>
      <c r="AF2168" s="1152"/>
      <c r="AG2168" s="1153"/>
      <c r="AH2168" s="1153"/>
      <c r="AI2168" s="732">
        <f t="shared" si="275"/>
        <v>0</v>
      </c>
      <c r="AJ2168" s="733">
        <f t="shared" si="276"/>
        <v>0</v>
      </c>
    </row>
    <row r="2169" spans="1:36">
      <c r="A2169" s="1075" t="s">
        <v>746</v>
      </c>
      <c r="B2169" s="1014" t="s">
        <v>161</v>
      </c>
      <c r="C2169" s="1094" t="s">
        <v>1645</v>
      </c>
      <c r="D2169" s="1010"/>
      <c r="E2169" s="1018"/>
      <c r="F2169" s="988">
        <v>99</v>
      </c>
      <c r="G2169" s="1152"/>
      <c r="H2169" s="1153"/>
      <c r="I2169" s="1152"/>
      <c r="J2169" s="1153"/>
      <c r="K2169" s="1152"/>
      <c r="L2169" s="1153"/>
      <c r="M2169" s="1152"/>
      <c r="N2169" s="1152"/>
      <c r="O2169" s="732">
        <f t="shared" si="269"/>
        <v>0</v>
      </c>
      <c r="P2169" s="1159"/>
      <c r="Q2169" s="1153"/>
      <c r="R2169" s="733">
        <f t="shared" si="272"/>
        <v>0</v>
      </c>
      <c r="S2169" s="732">
        <f t="shared" si="273"/>
        <v>0</v>
      </c>
      <c r="T2169" s="733">
        <f t="shared" si="274"/>
        <v>0</v>
      </c>
      <c r="U2169" s="1152"/>
      <c r="V2169" s="1153"/>
      <c r="W2169" s="1152"/>
      <c r="X2169" s="1152"/>
      <c r="Y2169" s="732">
        <f t="shared" si="270"/>
        <v>0</v>
      </c>
      <c r="Z2169" s="1153"/>
      <c r="AA2169" s="1153"/>
      <c r="AB2169" s="733">
        <f t="shared" si="271"/>
        <v>0</v>
      </c>
      <c r="AC2169" s="1152"/>
      <c r="AD2169" s="1153"/>
      <c r="AE2169" s="1152"/>
      <c r="AF2169" s="1152"/>
      <c r="AG2169" s="1153"/>
      <c r="AH2169" s="1153"/>
      <c r="AI2169" s="732">
        <f t="shared" si="275"/>
        <v>0</v>
      </c>
      <c r="AJ2169" s="733">
        <f t="shared" si="276"/>
        <v>0</v>
      </c>
    </row>
    <row r="2170" spans="1:36">
      <c r="A2170" s="1075" t="s">
        <v>746</v>
      </c>
      <c r="B2170" s="1014" t="s">
        <v>170</v>
      </c>
      <c r="C2170" s="1076" t="s">
        <v>171</v>
      </c>
      <c r="D2170" s="1010"/>
      <c r="E2170" s="1018"/>
      <c r="F2170" s="988">
        <v>99</v>
      </c>
      <c r="G2170" s="1152"/>
      <c r="H2170" s="1153"/>
      <c r="I2170" s="1152"/>
      <c r="J2170" s="1153"/>
      <c r="K2170" s="1152"/>
      <c r="L2170" s="1153"/>
      <c r="M2170" s="1152"/>
      <c r="N2170" s="1152"/>
      <c r="O2170" s="732">
        <f t="shared" si="269"/>
        <v>0</v>
      </c>
      <c r="P2170" s="1159"/>
      <c r="Q2170" s="1153"/>
      <c r="R2170" s="733">
        <f t="shared" si="272"/>
        <v>0</v>
      </c>
      <c r="S2170" s="732">
        <f t="shared" si="273"/>
        <v>0</v>
      </c>
      <c r="T2170" s="733">
        <f t="shared" si="274"/>
        <v>0</v>
      </c>
      <c r="U2170" s="1152"/>
      <c r="V2170" s="1153"/>
      <c r="W2170" s="1152"/>
      <c r="X2170" s="1152"/>
      <c r="Y2170" s="732">
        <f t="shared" si="270"/>
        <v>0</v>
      </c>
      <c r="Z2170" s="1153"/>
      <c r="AA2170" s="1153"/>
      <c r="AB2170" s="733">
        <f t="shared" si="271"/>
        <v>0</v>
      </c>
      <c r="AC2170" s="1152"/>
      <c r="AD2170" s="1153"/>
      <c r="AE2170" s="1152"/>
      <c r="AF2170" s="1152"/>
      <c r="AG2170" s="1153"/>
      <c r="AH2170" s="1153"/>
      <c r="AI2170" s="732">
        <f t="shared" si="275"/>
        <v>0</v>
      </c>
      <c r="AJ2170" s="733">
        <f t="shared" si="276"/>
        <v>0</v>
      </c>
    </row>
    <row r="2171" spans="1:36">
      <c r="A2171" s="1075" t="s">
        <v>746</v>
      </c>
      <c r="B2171" s="1014" t="s">
        <v>172</v>
      </c>
      <c r="C2171" s="1076" t="s">
        <v>165</v>
      </c>
      <c r="D2171" s="1010"/>
      <c r="E2171" s="1018"/>
      <c r="F2171" s="988">
        <v>99</v>
      </c>
      <c r="G2171" s="1152"/>
      <c r="H2171" s="1153"/>
      <c r="I2171" s="1152"/>
      <c r="J2171" s="1153"/>
      <c r="K2171" s="1152"/>
      <c r="L2171" s="1153"/>
      <c r="M2171" s="1152"/>
      <c r="N2171" s="1152"/>
      <c r="O2171" s="732">
        <f t="shared" si="269"/>
        <v>0</v>
      </c>
      <c r="P2171" s="1159"/>
      <c r="Q2171" s="1153"/>
      <c r="R2171" s="733">
        <f t="shared" si="272"/>
        <v>0</v>
      </c>
      <c r="S2171" s="732">
        <f t="shared" si="273"/>
        <v>0</v>
      </c>
      <c r="T2171" s="733">
        <f t="shared" si="274"/>
        <v>0</v>
      </c>
      <c r="U2171" s="1152"/>
      <c r="V2171" s="1153"/>
      <c r="W2171" s="1152"/>
      <c r="X2171" s="1152"/>
      <c r="Y2171" s="732">
        <f t="shared" si="270"/>
        <v>0</v>
      </c>
      <c r="Z2171" s="1153"/>
      <c r="AA2171" s="1153"/>
      <c r="AB2171" s="733">
        <f t="shared" si="271"/>
        <v>0</v>
      </c>
      <c r="AC2171" s="1152"/>
      <c r="AD2171" s="1153"/>
      <c r="AE2171" s="1152"/>
      <c r="AF2171" s="1152"/>
      <c r="AG2171" s="1153"/>
      <c r="AH2171" s="1153"/>
      <c r="AI2171" s="732">
        <f t="shared" si="275"/>
        <v>0</v>
      </c>
      <c r="AJ2171" s="733">
        <f t="shared" si="276"/>
        <v>0</v>
      </c>
    </row>
    <row r="2172" spans="1:36">
      <c r="A2172" s="1075" t="s">
        <v>746</v>
      </c>
      <c r="B2172" s="1014" t="s">
        <v>173</v>
      </c>
      <c r="C2172" s="1076" t="s">
        <v>167</v>
      </c>
      <c r="D2172" s="1010"/>
      <c r="E2172" s="1018"/>
      <c r="F2172" s="988">
        <v>99</v>
      </c>
      <c r="G2172" s="1152"/>
      <c r="H2172" s="1153"/>
      <c r="I2172" s="1152"/>
      <c r="J2172" s="1153"/>
      <c r="K2172" s="1152"/>
      <c r="L2172" s="1153"/>
      <c r="M2172" s="1152"/>
      <c r="N2172" s="1152"/>
      <c r="O2172" s="732">
        <f t="shared" si="269"/>
        <v>0</v>
      </c>
      <c r="P2172" s="1159"/>
      <c r="Q2172" s="1153"/>
      <c r="R2172" s="733">
        <f t="shared" si="272"/>
        <v>0</v>
      </c>
      <c r="S2172" s="732">
        <f t="shared" si="273"/>
        <v>0</v>
      </c>
      <c r="T2172" s="733">
        <f t="shared" si="274"/>
        <v>0</v>
      </c>
      <c r="U2172" s="1152">
        <v>1735174.75</v>
      </c>
      <c r="V2172" s="1153">
        <f>2425567-V2175</f>
        <v>2055002.5</v>
      </c>
      <c r="W2172" s="1152"/>
      <c r="X2172" s="1152"/>
      <c r="Y2172" s="732">
        <f t="shared" si="270"/>
        <v>0</v>
      </c>
      <c r="Z2172" s="1153"/>
      <c r="AA2172" s="1153"/>
      <c r="AB2172" s="733">
        <f t="shared" si="271"/>
        <v>0</v>
      </c>
      <c r="AC2172" s="1152"/>
      <c r="AD2172" s="1153"/>
      <c r="AE2172" s="1152"/>
      <c r="AF2172" s="1152"/>
      <c r="AG2172" s="1153"/>
      <c r="AH2172" s="1153"/>
      <c r="AI2172" s="732">
        <f t="shared" si="275"/>
        <v>1735174.75</v>
      </c>
      <c r="AJ2172" s="733">
        <f t="shared" si="276"/>
        <v>2055002.5</v>
      </c>
    </row>
    <row r="2173" spans="1:36">
      <c r="A2173" s="1075" t="s">
        <v>746</v>
      </c>
      <c r="B2173" s="1014" t="s">
        <v>176</v>
      </c>
      <c r="C2173" s="1076" t="s">
        <v>177</v>
      </c>
      <c r="D2173" s="1010"/>
      <c r="E2173" s="1018"/>
      <c r="F2173" s="988">
        <v>99</v>
      </c>
      <c r="G2173" s="1152"/>
      <c r="H2173" s="1153"/>
      <c r="I2173" s="1152"/>
      <c r="J2173" s="1153"/>
      <c r="K2173" s="1152"/>
      <c r="L2173" s="1153"/>
      <c r="M2173" s="1152"/>
      <c r="N2173" s="1152"/>
      <c r="O2173" s="732">
        <f t="shared" si="269"/>
        <v>0</v>
      </c>
      <c r="P2173" s="1159"/>
      <c r="Q2173" s="1153"/>
      <c r="R2173" s="733">
        <f t="shared" si="272"/>
        <v>0</v>
      </c>
      <c r="S2173" s="732">
        <f t="shared" si="273"/>
        <v>0</v>
      </c>
      <c r="T2173" s="733">
        <f t="shared" si="274"/>
        <v>0</v>
      </c>
      <c r="U2173" s="1152"/>
      <c r="V2173" s="1153"/>
      <c r="W2173" s="1152"/>
      <c r="X2173" s="1152"/>
      <c r="Y2173" s="732">
        <f t="shared" si="270"/>
        <v>0</v>
      </c>
      <c r="Z2173" s="1153"/>
      <c r="AA2173" s="1153"/>
      <c r="AB2173" s="733">
        <f t="shared" si="271"/>
        <v>0</v>
      </c>
      <c r="AC2173" s="1152"/>
      <c r="AD2173" s="1153"/>
      <c r="AE2173" s="1152"/>
      <c r="AF2173" s="1152"/>
      <c r="AG2173" s="1153"/>
      <c r="AH2173" s="1153"/>
      <c r="AI2173" s="732">
        <f t="shared" si="275"/>
        <v>0</v>
      </c>
      <c r="AJ2173" s="733">
        <f t="shared" si="276"/>
        <v>0</v>
      </c>
    </row>
    <row r="2174" spans="1:36">
      <c r="A2174" s="1075" t="s">
        <v>746</v>
      </c>
      <c r="B2174" s="1014" t="s">
        <v>180</v>
      </c>
      <c r="C2174" s="1076" t="s">
        <v>165</v>
      </c>
      <c r="D2174" s="1010"/>
      <c r="E2174" s="1018"/>
      <c r="F2174" s="988">
        <v>99</v>
      </c>
      <c r="G2174" s="1152"/>
      <c r="H2174" s="1153"/>
      <c r="I2174" s="1152"/>
      <c r="J2174" s="1153"/>
      <c r="K2174" s="1152"/>
      <c r="L2174" s="1153"/>
      <c r="M2174" s="1152"/>
      <c r="N2174" s="1152"/>
      <c r="O2174" s="732">
        <f t="shared" si="269"/>
        <v>0</v>
      </c>
      <c r="P2174" s="1159"/>
      <c r="Q2174" s="1153"/>
      <c r="R2174" s="733">
        <f t="shared" si="272"/>
        <v>0</v>
      </c>
      <c r="S2174" s="732">
        <f t="shared" si="273"/>
        <v>0</v>
      </c>
      <c r="T2174" s="733">
        <f t="shared" si="274"/>
        <v>0</v>
      </c>
      <c r="U2174" s="1152"/>
      <c r="V2174" s="1153"/>
      <c r="W2174" s="1152"/>
      <c r="X2174" s="1152"/>
      <c r="Y2174" s="732">
        <f t="shared" si="270"/>
        <v>0</v>
      </c>
      <c r="Z2174" s="1153"/>
      <c r="AA2174" s="1153"/>
      <c r="AB2174" s="733">
        <f t="shared" si="271"/>
        <v>0</v>
      </c>
      <c r="AC2174" s="1152"/>
      <c r="AD2174" s="1153"/>
      <c r="AE2174" s="1152"/>
      <c r="AF2174" s="1152"/>
      <c r="AG2174" s="1153"/>
      <c r="AH2174" s="1153"/>
      <c r="AI2174" s="732">
        <f t="shared" si="275"/>
        <v>0</v>
      </c>
      <c r="AJ2174" s="733">
        <f t="shared" si="276"/>
        <v>0</v>
      </c>
    </row>
    <row r="2175" spans="1:36">
      <c r="A2175" s="1075" t="s">
        <v>746</v>
      </c>
      <c r="B2175" s="1014" t="s">
        <v>178</v>
      </c>
      <c r="C2175" s="1076" t="s">
        <v>167</v>
      </c>
      <c r="D2175" s="1010"/>
      <c r="E2175" s="1018"/>
      <c r="F2175" s="988">
        <v>99</v>
      </c>
      <c r="G2175" s="1152"/>
      <c r="H2175" s="1153"/>
      <c r="I2175" s="1152"/>
      <c r="J2175" s="1153"/>
      <c r="K2175" s="1152"/>
      <c r="L2175" s="1153"/>
      <c r="M2175" s="1152"/>
      <c r="N2175" s="1152"/>
      <c r="O2175" s="732">
        <f t="shared" si="269"/>
        <v>0</v>
      </c>
      <c r="P2175" s="1159"/>
      <c r="Q2175" s="1153"/>
      <c r="R2175" s="733">
        <f t="shared" si="272"/>
        <v>0</v>
      </c>
      <c r="S2175" s="732">
        <f t="shared" si="273"/>
        <v>0</v>
      </c>
      <c r="T2175" s="733">
        <f t="shared" si="274"/>
        <v>0</v>
      </c>
      <c r="U2175" s="1152">
        <v>408380</v>
      </c>
      <c r="V2175" s="1153">
        <f>4500+36562.5+15750+15750+33750+40500+9000+4147+4500+134292+6750+25875+11625+8438+9000+10125</f>
        <v>370564.5</v>
      </c>
      <c r="W2175" s="1152"/>
      <c r="X2175" s="1152"/>
      <c r="Y2175" s="732">
        <f t="shared" si="270"/>
        <v>0</v>
      </c>
      <c r="Z2175" s="1153"/>
      <c r="AA2175" s="1153"/>
      <c r="AB2175" s="733">
        <f t="shared" si="271"/>
        <v>0</v>
      </c>
      <c r="AC2175" s="1152"/>
      <c r="AD2175" s="1153"/>
      <c r="AE2175" s="1152"/>
      <c r="AF2175" s="1152"/>
      <c r="AG2175" s="1153"/>
      <c r="AH2175" s="1153"/>
      <c r="AI2175" s="732">
        <f t="shared" si="275"/>
        <v>408380</v>
      </c>
      <c r="AJ2175" s="733">
        <f t="shared" si="276"/>
        <v>370564.5</v>
      </c>
    </row>
    <row r="2176" spans="1:36">
      <c r="A2176" s="1075" t="s">
        <v>746</v>
      </c>
      <c r="B2176" s="1017" t="s">
        <v>187</v>
      </c>
      <c r="C2176" s="1015" t="s">
        <v>331</v>
      </c>
      <c r="D2176" s="1010"/>
      <c r="E2176" s="1006"/>
      <c r="F2176" s="988">
        <v>99</v>
      </c>
      <c r="G2176" s="1152"/>
      <c r="H2176" s="1153"/>
      <c r="I2176" s="1152"/>
      <c r="J2176" s="1153"/>
      <c r="K2176" s="1152"/>
      <c r="L2176" s="1153"/>
      <c r="M2176" s="1152"/>
      <c r="N2176" s="1152"/>
      <c r="O2176" s="732">
        <f t="shared" si="269"/>
        <v>0</v>
      </c>
      <c r="P2176" s="1159"/>
      <c r="Q2176" s="1153"/>
      <c r="R2176" s="733">
        <f t="shared" si="272"/>
        <v>0</v>
      </c>
      <c r="S2176" s="732">
        <f t="shared" si="273"/>
        <v>0</v>
      </c>
      <c r="T2176" s="733">
        <f t="shared" si="274"/>
        <v>0</v>
      </c>
      <c r="U2176" s="1152"/>
      <c r="V2176" s="1153"/>
      <c r="W2176" s="1152"/>
      <c r="X2176" s="1152"/>
      <c r="Y2176" s="732">
        <f t="shared" si="270"/>
        <v>0</v>
      </c>
      <c r="Z2176" s="1153"/>
      <c r="AA2176" s="1153"/>
      <c r="AB2176" s="733">
        <f t="shared" si="271"/>
        <v>0</v>
      </c>
      <c r="AC2176" s="1152"/>
      <c r="AD2176" s="1153"/>
      <c r="AE2176" s="1152"/>
      <c r="AF2176" s="1152"/>
      <c r="AG2176" s="1153"/>
      <c r="AH2176" s="1153"/>
      <c r="AI2176" s="732">
        <f t="shared" si="275"/>
        <v>0</v>
      </c>
      <c r="AJ2176" s="733">
        <f t="shared" si="276"/>
        <v>0</v>
      </c>
    </row>
    <row r="2177" spans="1:36">
      <c r="A2177" s="1075" t="s">
        <v>746</v>
      </c>
      <c r="B2177" s="1017" t="s">
        <v>192</v>
      </c>
      <c r="C2177" s="1015" t="s">
        <v>332</v>
      </c>
      <c r="D2177" s="1010"/>
      <c r="E2177" s="1006"/>
      <c r="F2177" s="988">
        <v>99</v>
      </c>
      <c r="G2177" s="1152"/>
      <c r="H2177" s="1153"/>
      <c r="I2177" s="1152"/>
      <c r="J2177" s="1153"/>
      <c r="K2177" s="1152"/>
      <c r="L2177" s="1153"/>
      <c r="M2177" s="1152"/>
      <c r="N2177" s="1152"/>
      <c r="O2177" s="732">
        <f t="shared" si="269"/>
        <v>0</v>
      </c>
      <c r="P2177" s="1159"/>
      <c r="Q2177" s="1153"/>
      <c r="R2177" s="733">
        <f t="shared" si="272"/>
        <v>0</v>
      </c>
      <c r="S2177" s="732">
        <f t="shared" si="273"/>
        <v>0</v>
      </c>
      <c r="T2177" s="733">
        <f t="shared" si="274"/>
        <v>0</v>
      </c>
      <c r="U2177" s="1152"/>
      <c r="V2177" s="1153"/>
      <c r="W2177" s="1152"/>
      <c r="X2177" s="1152"/>
      <c r="Y2177" s="732">
        <f t="shared" si="270"/>
        <v>0</v>
      </c>
      <c r="Z2177" s="1153"/>
      <c r="AA2177" s="1153"/>
      <c r="AB2177" s="733">
        <f t="shared" si="271"/>
        <v>0</v>
      </c>
      <c r="AC2177" s="1152"/>
      <c r="AD2177" s="1153"/>
      <c r="AE2177" s="1152"/>
      <c r="AF2177" s="1152"/>
      <c r="AG2177" s="1153"/>
      <c r="AH2177" s="1153"/>
      <c r="AI2177" s="732">
        <f t="shared" si="275"/>
        <v>0</v>
      </c>
      <c r="AJ2177" s="733">
        <f t="shared" si="276"/>
        <v>0</v>
      </c>
    </row>
    <row r="2178" spans="1:36">
      <c r="A2178" s="1075" t="s">
        <v>746</v>
      </c>
      <c r="B2178" s="1017" t="s">
        <v>192</v>
      </c>
      <c r="C2178" s="1095" t="s">
        <v>1646</v>
      </c>
      <c r="D2178" s="1010"/>
      <c r="E2178" s="1006"/>
      <c r="F2178" s="1007">
        <v>99</v>
      </c>
      <c r="G2178" s="1152"/>
      <c r="H2178" s="1153"/>
      <c r="I2178" s="1152"/>
      <c r="J2178" s="1153"/>
      <c r="K2178" s="1152"/>
      <c r="L2178" s="1153"/>
      <c r="M2178" s="1152"/>
      <c r="N2178" s="1152"/>
      <c r="O2178" s="732">
        <f t="shared" si="269"/>
        <v>0</v>
      </c>
      <c r="P2178" s="1159"/>
      <c r="Q2178" s="1153"/>
      <c r="R2178" s="733">
        <f t="shared" si="272"/>
        <v>0</v>
      </c>
      <c r="S2178" s="732">
        <f t="shared" si="273"/>
        <v>0</v>
      </c>
      <c r="T2178" s="733">
        <f t="shared" si="274"/>
        <v>0</v>
      </c>
      <c r="U2178" s="1152"/>
      <c r="V2178" s="1153"/>
      <c r="W2178" s="1152"/>
      <c r="X2178" s="1152"/>
      <c r="Y2178" s="732">
        <f t="shared" si="270"/>
        <v>0</v>
      </c>
      <c r="Z2178" s="1153"/>
      <c r="AA2178" s="1153"/>
      <c r="AB2178" s="733">
        <f t="shared" si="271"/>
        <v>0</v>
      </c>
      <c r="AC2178" s="1152"/>
      <c r="AD2178" s="1153"/>
      <c r="AE2178" s="1152"/>
      <c r="AF2178" s="1152"/>
      <c r="AG2178" s="1153"/>
      <c r="AH2178" s="1153"/>
      <c r="AI2178" s="732">
        <f t="shared" si="275"/>
        <v>0</v>
      </c>
      <c r="AJ2178" s="733">
        <f t="shared" si="276"/>
        <v>0</v>
      </c>
    </row>
    <row r="2179" spans="1:36">
      <c r="A2179" s="1075" t="s">
        <v>746</v>
      </c>
      <c r="B2179" s="1014" t="s">
        <v>195</v>
      </c>
      <c r="C2179" s="1011" t="s">
        <v>165</v>
      </c>
      <c r="D2179" s="1010"/>
      <c r="E2179" s="1018"/>
      <c r="F2179" s="1007">
        <v>99</v>
      </c>
      <c r="G2179" s="1152"/>
      <c r="H2179" s="1153"/>
      <c r="I2179" s="1152"/>
      <c r="J2179" s="1153"/>
      <c r="K2179" s="1152"/>
      <c r="L2179" s="1153"/>
      <c r="M2179" s="1152"/>
      <c r="N2179" s="1152"/>
      <c r="O2179" s="732">
        <f t="shared" si="269"/>
        <v>0</v>
      </c>
      <c r="P2179" s="1159"/>
      <c r="Q2179" s="1153"/>
      <c r="R2179" s="733">
        <f t="shared" si="272"/>
        <v>0</v>
      </c>
      <c r="S2179" s="732">
        <f t="shared" si="273"/>
        <v>0</v>
      </c>
      <c r="T2179" s="733">
        <f t="shared" si="274"/>
        <v>0</v>
      </c>
      <c r="U2179" s="1152">
        <v>37488624</v>
      </c>
      <c r="V2179" s="1153">
        <v>37488624</v>
      </c>
      <c r="W2179" s="1152"/>
      <c r="X2179" s="1152"/>
      <c r="Y2179" s="732">
        <f t="shared" si="270"/>
        <v>0</v>
      </c>
      <c r="Z2179" s="1153"/>
      <c r="AA2179" s="1153"/>
      <c r="AB2179" s="733">
        <f t="shared" si="271"/>
        <v>0</v>
      </c>
      <c r="AC2179" s="1152"/>
      <c r="AD2179" s="1153"/>
      <c r="AE2179" s="1152"/>
      <c r="AF2179" s="1152"/>
      <c r="AG2179" s="1153"/>
      <c r="AH2179" s="1153"/>
      <c r="AI2179" s="732">
        <f t="shared" si="275"/>
        <v>37488624</v>
      </c>
      <c r="AJ2179" s="733">
        <f t="shared" si="276"/>
        <v>37488624</v>
      </c>
    </row>
    <row r="2180" spans="1:36">
      <c r="A2180" s="1075" t="s">
        <v>746</v>
      </c>
      <c r="B2180" s="1014" t="s">
        <v>196</v>
      </c>
      <c r="C2180" s="1011" t="s">
        <v>167</v>
      </c>
      <c r="D2180" s="1010"/>
      <c r="E2180" s="1018"/>
      <c r="F2180" s="1007">
        <v>99</v>
      </c>
      <c r="G2180" s="1152"/>
      <c r="H2180" s="1153"/>
      <c r="I2180" s="1152"/>
      <c r="J2180" s="1153"/>
      <c r="K2180" s="1152"/>
      <c r="L2180" s="1153"/>
      <c r="M2180" s="1152"/>
      <c r="N2180" s="1152"/>
      <c r="O2180" s="732">
        <f t="shared" si="269"/>
        <v>0</v>
      </c>
      <c r="P2180" s="1159"/>
      <c r="Q2180" s="1153"/>
      <c r="R2180" s="733">
        <f t="shared" si="272"/>
        <v>0</v>
      </c>
      <c r="S2180" s="732">
        <f t="shared" si="273"/>
        <v>0</v>
      </c>
      <c r="T2180" s="733">
        <f t="shared" si="274"/>
        <v>0</v>
      </c>
      <c r="U2180" s="1152"/>
      <c r="V2180" s="1153"/>
      <c r="W2180" s="1152"/>
      <c r="X2180" s="1152"/>
      <c r="Y2180" s="732">
        <f t="shared" si="270"/>
        <v>0</v>
      </c>
      <c r="Z2180" s="1153"/>
      <c r="AA2180" s="1153"/>
      <c r="AB2180" s="733">
        <f t="shared" si="271"/>
        <v>0</v>
      </c>
      <c r="AC2180" s="1152"/>
      <c r="AD2180" s="1153"/>
      <c r="AE2180" s="1152"/>
      <c r="AF2180" s="1152"/>
      <c r="AG2180" s="1153"/>
      <c r="AH2180" s="1153"/>
      <c r="AI2180" s="732">
        <f t="shared" si="275"/>
        <v>0</v>
      </c>
      <c r="AJ2180" s="733">
        <f t="shared" si="276"/>
        <v>0</v>
      </c>
    </row>
    <row r="2181" spans="1:36">
      <c r="A2181" s="882" t="s">
        <v>747</v>
      </c>
      <c r="B2181" s="883" t="s">
        <v>62</v>
      </c>
      <c r="C2181" s="884" t="s">
        <v>1072</v>
      </c>
      <c r="D2181" s="885"/>
      <c r="E2181" s="886">
        <v>220862</v>
      </c>
      <c r="F2181" s="887">
        <v>1</v>
      </c>
      <c r="G2181" s="1152">
        <v>129456900</v>
      </c>
      <c r="H2181" s="1153">
        <v>131228900</v>
      </c>
      <c r="I2181" s="1152"/>
      <c r="J2181" s="1153"/>
      <c r="K2181" s="1152"/>
      <c r="L2181" s="1153"/>
      <c r="M2181" s="1152">
        <v>176049000</v>
      </c>
      <c r="N2181" s="1152">
        <v>8172000</v>
      </c>
      <c r="O2181" s="732">
        <f t="shared" si="269"/>
        <v>184221000</v>
      </c>
      <c r="P2181" s="1153">
        <v>180215900</v>
      </c>
      <c r="Q2181" s="1153">
        <v>8172000</v>
      </c>
      <c r="R2181" s="733">
        <f t="shared" si="272"/>
        <v>188387900</v>
      </c>
      <c r="S2181" s="732">
        <f t="shared" si="273"/>
        <v>305505900</v>
      </c>
      <c r="T2181" s="733">
        <f t="shared" si="274"/>
        <v>311444800</v>
      </c>
      <c r="U2181" s="1152"/>
      <c r="V2181" s="1153"/>
      <c r="W2181" s="1152"/>
      <c r="X2181" s="1152"/>
      <c r="Y2181" s="732">
        <f t="shared" si="270"/>
        <v>0</v>
      </c>
      <c r="Z2181" s="1153"/>
      <c r="AA2181" s="1153"/>
      <c r="AB2181" s="733">
        <f t="shared" si="271"/>
        <v>0</v>
      </c>
      <c r="AC2181" s="1152"/>
      <c r="AD2181" s="1153"/>
      <c r="AE2181" s="1152"/>
      <c r="AF2181" s="1152"/>
      <c r="AG2181" s="1153"/>
      <c r="AH2181" s="1153"/>
      <c r="AI2181" s="732">
        <f t="shared" si="275"/>
        <v>305505900</v>
      </c>
      <c r="AJ2181" s="733">
        <f t="shared" si="276"/>
        <v>311444800</v>
      </c>
    </row>
    <row r="2182" spans="1:36">
      <c r="A2182" s="882" t="s">
        <v>747</v>
      </c>
      <c r="B2182" s="888" t="s">
        <v>62</v>
      </c>
      <c r="C2182" s="889" t="s">
        <v>1073</v>
      </c>
      <c r="D2182" s="890"/>
      <c r="E2182" s="891">
        <v>221759</v>
      </c>
      <c r="F2182" s="892">
        <v>1</v>
      </c>
      <c r="G2182" s="1152">
        <v>256159500</v>
      </c>
      <c r="H2182" s="1153">
        <v>259060700</v>
      </c>
      <c r="I2182" s="1152"/>
      <c r="J2182" s="1153"/>
      <c r="K2182" s="1152"/>
      <c r="L2182" s="1153"/>
      <c r="M2182" s="1152">
        <v>363341818</v>
      </c>
      <c r="N2182" s="1152">
        <v>11400000</v>
      </c>
      <c r="O2182" s="732">
        <f t="shared" si="269"/>
        <v>374741818</v>
      </c>
      <c r="P2182" s="1153">
        <v>383341818</v>
      </c>
      <c r="Q2182" s="1153">
        <v>12000000</v>
      </c>
      <c r="R2182" s="733">
        <f t="shared" si="272"/>
        <v>395341818</v>
      </c>
      <c r="S2182" s="732">
        <f t="shared" si="273"/>
        <v>619501318</v>
      </c>
      <c r="T2182" s="733">
        <f t="shared" si="274"/>
        <v>642402518</v>
      </c>
      <c r="U2182" s="1152"/>
      <c r="V2182" s="1153"/>
      <c r="W2182" s="1152"/>
      <c r="X2182" s="1152"/>
      <c r="Y2182" s="732">
        <f t="shared" si="270"/>
        <v>0</v>
      </c>
      <c r="Z2182" s="1153"/>
      <c r="AA2182" s="1153"/>
      <c r="AB2182" s="733">
        <f t="shared" si="271"/>
        <v>0</v>
      </c>
      <c r="AC2182" s="1152"/>
      <c r="AD2182" s="1153"/>
      <c r="AE2182" s="1152"/>
      <c r="AF2182" s="1152"/>
      <c r="AG2182" s="1153"/>
      <c r="AH2182" s="1153"/>
      <c r="AI2182" s="732">
        <f t="shared" si="275"/>
        <v>619501318</v>
      </c>
      <c r="AJ2182" s="733">
        <f t="shared" si="276"/>
        <v>642402518</v>
      </c>
    </row>
    <row r="2183" spans="1:36">
      <c r="A2183" s="882" t="s">
        <v>747</v>
      </c>
      <c r="B2183" s="888" t="s">
        <v>69</v>
      </c>
      <c r="C2183" s="893" t="s">
        <v>1074</v>
      </c>
      <c r="D2183" s="890"/>
      <c r="E2183" s="891">
        <v>221759</v>
      </c>
      <c r="F2183" s="892">
        <v>1</v>
      </c>
      <c r="G2183" s="1152"/>
      <c r="H2183" s="1153"/>
      <c r="I2183" s="1152"/>
      <c r="J2183" s="1153"/>
      <c r="K2183" s="1152"/>
      <c r="L2183" s="1153"/>
      <c r="M2183" s="1152">
        <v>0</v>
      </c>
      <c r="N2183" s="1152">
        <v>0</v>
      </c>
      <c r="O2183" s="732">
        <f t="shared" si="269"/>
        <v>0</v>
      </c>
      <c r="P2183" s="1153"/>
      <c r="Q2183" s="1153"/>
      <c r="R2183" s="733">
        <f t="shared" si="272"/>
        <v>0</v>
      </c>
      <c r="S2183" s="732">
        <f t="shared" si="273"/>
        <v>0</v>
      </c>
      <c r="T2183" s="733">
        <f t="shared" si="274"/>
        <v>0</v>
      </c>
      <c r="U2183" s="1152"/>
      <c r="V2183" s="1153"/>
      <c r="W2183" s="1152"/>
      <c r="X2183" s="1152"/>
      <c r="Y2183" s="732">
        <f t="shared" si="270"/>
        <v>0</v>
      </c>
      <c r="Z2183" s="1153"/>
      <c r="AA2183" s="1153"/>
      <c r="AB2183" s="733">
        <f t="shared" si="271"/>
        <v>0</v>
      </c>
      <c r="AC2183" s="1152"/>
      <c r="AD2183" s="1153"/>
      <c r="AE2183" s="1152"/>
      <c r="AF2183" s="1152"/>
      <c r="AG2183" s="1153"/>
      <c r="AH2183" s="1153"/>
      <c r="AI2183" s="732">
        <f t="shared" si="275"/>
        <v>0</v>
      </c>
      <c r="AJ2183" s="733">
        <f t="shared" si="276"/>
        <v>0</v>
      </c>
    </row>
    <row r="2184" spans="1:36">
      <c r="A2184" s="882" t="s">
        <v>747</v>
      </c>
      <c r="B2184" s="888" t="s">
        <v>69</v>
      </c>
      <c r="C2184" s="889" t="s">
        <v>1075</v>
      </c>
      <c r="D2184" s="890"/>
      <c r="E2184" s="891">
        <v>221759</v>
      </c>
      <c r="F2184" s="892">
        <v>1</v>
      </c>
      <c r="G2184" s="1152"/>
      <c r="H2184" s="1153"/>
      <c r="I2184" s="1152">
        <v>3715600</v>
      </c>
      <c r="J2184" s="1153">
        <v>3789800</v>
      </c>
      <c r="K2184" s="1152"/>
      <c r="L2184" s="1153"/>
      <c r="M2184" s="1152">
        <v>0</v>
      </c>
      <c r="N2184" s="1152">
        <v>0</v>
      </c>
      <c r="O2184" s="732">
        <f t="shared" si="269"/>
        <v>0</v>
      </c>
      <c r="P2184" s="1153"/>
      <c r="Q2184" s="1153"/>
      <c r="R2184" s="733">
        <f t="shared" si="272"/>
        <v>0</v>
      </c>
      <c r="S2184" s="732">
        <f t="shared" si="273"/>
        <v>3715600</v>
      </c>
      <c r="T2184" s="733">
        <f t="shared" si="274"/>
        <v>3789800</v>
      </c>
      <c r="U2184" s="1152"/>
      <c r="V2184" s="1153"/>
      <c r="W2184" s="1152"/>
      <c r="X2184" s="1152"/>
      <c r="Y2184" s="732">
        <f t="shared" si="270"/>
        <v>0</v>
      </c>
      <c r="Z2184" s="1153"/>
      <c r="AA2184" s="1153"/>
      <c r="AB2184" s="733">
        <f t="shared" si="271"/>
        <v>0</v>
      </c>
      <c r="AC2184" s="1152"/>
      <c r="AD2184" s="1153"/>
      <c r="AE2184" s="1152"/>
      <c r="AF2184" s="1152"/>
      <c r="AG2184" s="1153"/>
      <c r="AH2184" s="1153"/>
      <c r="AI2184" s="732">
        <f t="shared" si="275"/>
        <v>3715600</v>
      </c>
      <c r="AJ2184" s="733">
        <f t="shared" si="276"/>
        <v>3789800</v>
      </c>
    </row>
    <row r="2185" spans="1:36">
      <c r="A2185" s="882" t="s">
        <v>747</v>
      </c>
      <c r="B2185" s="888" t="s">
        <v>69</v>
      </c>
      <c r="C2185" s="889" t="s">
        <v>1076</v>
      </c>
      <c r="D2185" s="890"/>
      <c r="E2185" s="891">
        <v>221759</v>
      </c>
      <c r="F2185" s="892">
        <v>1</v>
      </c>
      <c r="G2185" s="1152"/>
      <c r="H2185" s="1153"/>
      <c r="I2185" s="1152">
        <v>3205800</v>
      </c>
      <c r="J2185" s="1153">
        <v>3263300</v>
      </c>
      <c r="K2185" s="1152"/>
      <c r="L2185" s="1153"/>
      <c r="M2185" s="1152">
        <v>0</v>
      </c>
      <c r="N2185" s="1152">
        <v>0</v>
      </c>
      <c r="O2185" s="732">
        <f t="shared" si="269"/>
        <v>0</v>
      </c>
      <c r="P2185" s="1153"/>
      <c r="Q2185" s="1153"/>
      <c r="R2185" s="733">
        <f t="shared" si="272"/>
        <v>0</v>
      </c>
      <c r="S2185" s="732">
        <f t="shared" si="273"/>
        <v>3205800</v>
      </c>
      <c r="T2185" s="733">
        <f t="shared" si="274"/>
        <v>3263300</v>
      </c>
      <c r="U2185" s="1152"/>
      <c r="V2185" s="1153"/>
      <c r="W2185" s="1152"/>
      <c r="X2185" s="1152"/>
      <c r="Y2185" s="732">
        <f t="shared" si="270"/>
        <v>0</v>
      </c>
      <c r="Z2185" s="1153"/>
      <c r="AA2185" s="1153"/>
      <c r="AB2185" s="733">
        <f t="shared" si="271"/>
        <v>0</v>
      </c>
      <c r="AC2185" s="1152"/>
      <c r="AD2185" s="1153"/>
      <c r="AE2185" s="1152"/>
      <c r="AF2185" s="1152"/>
      <c r="AG2185" s="1153"/>
      <c r="AH2185" s="1153"/>
      <c r="AI2185" s="732">
        <f t="shared" si="275"/>
        <v>3205800</v>
      </c>
      <c r="AJ2185" s="733">
        <f t="shared" si="276"/>
        <v>3263300</v>
      </c>
    </row>
    <row r="2186" spans="1:36">
      <c r="A2186" s="882" t="s">
        <v>747</v>
      </c>
      <c r="B2186" s="888" t="s">
        <v>69</v>
      </c>
      <c r="C2186" s="889" t="s">
        <v>1077</v>
      </c>
      <c r="D2186" s="890"/>
      <c r="E2186" s="891">
        <v>221759</v>
      </c>
      <c r="F2186" s="892">
        <v>1</v>
      </c>
      <c r="G2186" s="1152"/>
      <c r="H2186" s="1153"/>
      <c r="I2186" s="1152">
        <v>6124900</v>
      </c>
      <c r="J2186" s="1153">
        <v>6178700</v>
      </c>
      <c r="K2186" s="1152"/>
      <c r="L2186" s="1153"/>
      <c r="M2186" s="1152">
        <v>0</v>
      </c>
      <c r="N2186" s="1152">
        <v>0</v>
      </c>
      <c r="O2186" s="732">
        <f t="shared" ref="O2186:O2249" si="277">SUM(M2186:N2186)</f>
        <v>0</v>
      </c>
      <c r="P2186" s="1153"/>
      <c r="Q2186" s="1153"/>
      <c r="R2186" s="733">
        <f t="shared" si="272"/>
        <v>0</v>
      </c>
      <c r="S2186" s="732">
        <f t="shared" si="273"/>
        <v>6124900</v>
      </c>
      <c r="T2186" s="733">
        <f t="shared" si="274"/>
        <v>6178700</v>
      </c>
      <c r="U2186" s="1152"/>
      <c r="V2186" s="1153"/>
      <c r="W2186" s="1152"/>
      <c r="X2186" s="1152"/>
      <c r="Y2186" s="732">
        <f t="shared" ref="Y2186:Y2249" si="278">SUM(W2186:X2186)</f>
        <v>0</v>
      </c>
      <c r="Z2186" s="1153"/>
      <c r="AA2186" s="1153"/>
      <c r="AB2186" s="733">
        <f t="shared" ref="AB2186:AB2249" si="279">SUM(Z2186:AA2186)</f>
        <v>0</v>
      </c>
      <c r="AC2186" s="1152"/>
      <c r="AD2186" s="1153"/>
      <c r="AE2186" s="1152"/>
      <c r="AF2186" s="1152"/>
      <c r="AG2186" s="1153"/>
      <c r="AH2186" s="1153"/>
      <c r="AI2186" s="732">
        <f t="shared" si="275"/>
        <v>6124900</v>
      </c>
      <c r="AJ2186" s="733">
        <f t="shared" si="276"/>
        <v>6178700</v>
      </c>
    </row>
    <row r="2187" spans="1:36">
      <c r="A2187" s="894" t="s">
        <v>747</v>
      </c>
      <c r="B2187" s="888" t="s">
        <v>74</v>
      </c>
      <c r="C2187" s="893" t="s">
        <v>75</v>
      </c>
      <c r="D2187" s="890"/>
      <c r="E2187" s="891">
        <v>221759</v>
      </c>
      <c r="F2187" s="892">
        <v>1</v>
      </c>
      <c r="G2187" s="1152"/>
      <c r="H2187" s="1153"/>
      <c r="I2187" s="1152">
        <v>38387000</v>
      </c>
      <c r="J2187" s="1153">
        <v>38919500</v>
      </c>
      <c r="K2187" s="1152"/>
      <c r="L2187" s="1153"/>
      <c r="M2187" s="1152">
        <v>0</v>
      </c>
      <c r="N2187" s="1152">
        <v>0</v>
      </c>
      <c r="O2187" s="732">
        <f t="shared" si="277"/>
        <v>0</v>
      </c>
      <c r="P2187" s="1153"/>
      <c r="Q2187" s="1153"/>
      <c r="R2187" s="733">
        <f t="shared" ref="R2187:R2250" si="280">SUM(P2187:Q2187)</f>
        <v>0</v>
      </c>
      <c r="S2187" s="732">
        <f t="shared" ref="S2187:S2250" si="281">SUM(G2187,I2187,K2187,M2187)</f>
        <v>38387000</v>
      </c>
      <c r="T2187" s="733">
        <f t="shared" ref="T2187:T2250" si="282">SUM(H2187,J2187,L2187,P2187)</f>
        <v>38919500</v>
      </c>
      <c r="U2187" s="1152"/>
      <c r="V2187" s="1153"/>
      <c r="W2187" s="1152"/>
      <c r="X2187" s="1152"/>
      <c r="Y2187" s="732">
        <f t="shared" si="278"/>
        <v>0</v>
      </c>
      <c r="Z2187" s="1153"/>
      <c r="AA2187" s="1153"/>
      <c r="AB2187" s="733">
        <f t="shared" si="279"/>
        <v>0</v>
      </c>
      <c r="AC2187" s="1152"/>
      <c r="AD2187" s="1153"/>
      <c r="AE2187" s="1152"/>
      <c r="AF2187" s="1152"/>
      <c r="AG2187" s="1153"/>
      <c r="AH2187" s="1153"/>
      <c r="AI2187" s="732">
        <f t="shared" ref="AI2187:AI2250" si="283">SUM(S2187,U2187,W2187,AC2187,AE2187)</f>
        <v>38387000</v>
      </c>
      <c r="AJ2187" s="733">
        <f t="shared" ref="AJ2187:AJ2250" si="284">SUM(T2187,V2187,Z2187,AD2187,AG2187)</f>
        <v>38919500</v>
      </c>
    </row>
    <row r="2188" spans="1:36">
      <c r="A2188" s="894" t="s">
        <v>747</v>
      </c>
      <c r="B2188" s="888" t="s">
        <v>76</v>
      </c>
      <c r="C2188" s="893" t="s">
        <v>77</v>
      </c>
      <c r="D2188" s="890"/>
      <c r="E2188" s="891">
        <v>221759</v>
      </c>
      <c r="F2188" s="892">
        <v>1</v>
      </c>
      <c r="G2188" s="1152"/>
      <c r="H2188" s="1153"/>
      <c r="I2188" s="1152">
        <v>31206400</v>
      </c>
      <c r="J2188" s="1153">
        <v>31563400</v>
      </c>
      <c r="K2188" s="1152"/>
      <c r="L2188" s="1153"/>
      <c r="M2188" s="1152">
        <v>0</v>
      </c>
      <c r="N2188" s="1152">
        <v>0</v>
      </c>
      <c r="O2188" s="732">
        <f t="shared" si="277"/>
        <v>0</v>
      </c>
      <c r="P2188" s="1153"/>
      <c r="Q2188" s="1153"/>
      <c r="R2188" s="733">
        <f t="shared" si="280"/>
        <v>0</v>
      </c>
      <c r="S2188" s="732">
        <f t="shared" si="281"/>
        <v>31206400</v>
      </c>
      <c r="T2188" s="733">
        <f t="shared" si="282"/>
        <v>31563400</v>
      </c>
      <c r="U2188" s="1152"/>
      <c r="V2188" s="1153"/>
      <c r="W2188" s="1152"/>
      <c r="X2188" s="1152"/>
      <c r="Y2188" s="732">
        <f t="shared" si="278"/>
        <v>0</v>
      </c>
      <c r="Z2188" s="1153"/>
      <c r="AA2188" s="1153"/>
      <c r="AB2188" s="733">
        <f t="shared" si="279"/>
        <v>0</v>
      </c>
      <c r="AC2188" s="1152"/>
      <c r="AD2188" s="1153"/>
      <c r="AE2188" s="1152"/>
      <c r="AF2188" s="1152"/>
      <c r="AG2188" s="1153"/>
      <c r="AH2188" s="1153"/>
      <c r="AI2188" s="732">
        <f t="shared" si="283"/>
        <v>31206400</v>
      </c>
      <c r="AJ2188" s="733">
        <f t="shared" si="284"/>
        <v>31563400</v>
      </c>
    </row>
    <row r="2189" spans="1:36">
      <c r="A2189" s="894" t="s">
        <v>747</v>
      </c>
      <c r="B2189" s="888" t="s">
        <v>62</v>
      </c>
      <c r="C2189" s="893" t="s">
        <v>1078</v>
      </c>
      <c r="D2189" s="890"/>
      <c r="E2189" s="891">
        <v>220075</v>
      </c>
      <c r="F2189" s="892">
        <v>2</v>
      </c>
      <c r="G2189" s="1152">
        <v>73194900</v>
      </c>
      <c r="H2189" s="1153">
        <v>74328100</v>
      </c>
      <c r="I2189" s="1152"/>
      <c r="J2189" s="1153"/>
      <c r="K2189" s="1152"/>
      <c r="L2189" s="1153"/>
      <c r="M2189" s="1152">
        <v>127253760</v>
      </c>
      <c r="N2189" s="1152">
        <v>6069400</v>
      </c>
      <c r="O2189" s="732">
        <f t="shared" si="277"/>
        <v>133323160</v>
      </c>
      <c r="P2189" s="1154">
        <v>122625220</v>
      </c>
      <c r="Q2189" s="1154">
        <v>6046800</v>
      </c>
      <c r="R2189" s="733">
        <f t="shared" si="280"/>
        <v>128672020</v>
      </c>
      <c r="S2189" s="732">
        <f t="shared" si="281"/>
        <v>200448660</v>
      </c>
      <c r="T2189" s="733">
        <f t="shared" si="282"/>
        <v>196953320</v>
      </c>
      <c r="U2189" s="1152"/>
      <c r="V2189" s="1153"/>
      <c r="W2189" s="1152"/>
      <c r="X2189" s="1152"/>
      <c r="Y2189" s="732">
        <f t="shared" si="278"/>
        <v>0</v>
      </c>
      <c r="Z2189" s="1153"/>
      <c r="AA2189" s="1153"/>
      <c r="AB2189" s="733">
        <f t="shared" si="279"/>
        <v>0</v>
      </c>
      <c r="AC2189" s="1152"/>
      <c r="AD2189" s="1153"/>
      <c r="AE2189" s="1152"/>
      <c r="AF2189" s="1152"/>
      <c r="AG2189" s="1153"/>
      <c r="AH2189" s="1153"/>
      <c r="AI2189" s="732">
        <f t="shared" si="283"/>
        <v>200448660</v>
      </c>
      <c r="AJ2189" s="733">
        <f t="shared" si="284"/>
        <v>196953320</v>
      </c>
    </row>
    <row r="2190" spans="1:36">
      <c r="A2190" s="894" t="s">
        <v>747</v>
      </c>
      <c r="B2190" s="888" t="s">
        <v>64</v>
      </c>
      <c r="C2190" s="893" t="s">
        <v>334</v>
      </c>
      <c r="D2190" s="890"/>
      <c r="E2190" s="891">
        <v>220075</v>
      </c>
      <c r="F2190" s="892">
        <v>2</v>
      </c>
      <c r="G2190" s="1152"/>
      <c r="H2190" s="1153"/>
      <c r="I2190" s="1152"/>
      <c r="J2190" s="1153"/>
      <c r="K2190" s="1152"/>
      <c r="L2190" s="1153"/>
      <c r="M2190" s="1152">
        <v>0</v>
      </c>
      <c r="N2190" s="1152">
        <v>0</v>
      </c>
      <c r="O2190" s="732">
        <f t="shared" si="277"/>
        <v>0</v>
      </c>
      <c r="P2190" s="1153"/>
      <c r="Q2190" s="1153"/>
      <c r="R2190" s="733">
        <f t="shared" si="280"/>
        <v>0</v>
      </c>
      <c r="S2190" s="732">
        <f t="shared" si="281"/>
        <v>0</v>
      </c>
      <c r="T2190" s="733">
        <f t="shared" si="282"/>
        <v>0</v>
      </c>
      <c r="U2190" s="1152"/>
      <c r="V2190" s="1153"/>
      <c r="W2190" s="1152"/>
      <c r="X2190" s="1152"/>
      <c r="Y2190" s="732">
        <f t="shared" si="278"/>
        <v>0</v>
      </c>
      <c r="Z2190" s="1153"/>
      <c r="AA2190" s="1153"/>
      <c r="AB2190" s="733">
        <f t="shared" si="279"/>
        <v>0</v>
      </c>
      <c r="AC2190" s="1152">
        <v>43359800</v>
      </c>
      <c r="AD2190" s="1153">
        <v>45223100</v>
      </c>
      <c r="AE2190" s="1152">
        <v>21326000</v>
      </c>
      <c r="AF2190" s="1152">
        <v>98300</v>
      </c>
      <c r="AG2190" s="1153">
        <v>20072750</v>
      </c>
      <c r="AH2190" s="1155">
        <v>230580</v>
      </c>
      <c r="AI2190" s="732">
        <f t="shared" si="283"/>
        <v>64685800</v>
      </c>
      <c r="AJ2190" s="733">
        <f t="shared" si="284"/>
        <v>65295850</v>
      </c>
    </row>
    <row r="2191" spans="1:36" customFormat="1" ht="15" customHeight="1">
      <c r="A2191" s="901" t="s">
        <v>747</v>
      </c>
      <c r="B2191" s="883" t="s">
        <v>62</v>
      </c>
      <c r="C2191" s="893" t="s">
        <v>1079</v>
      </c>
      <c r="D2191" s="1096"/>
      <c r="E2191" s="886">
        <v>220978</v>
      </c>
      <c r="F2191" s="892">
        <v>2</v>
      </c>
      <c r="G2191" s="1152">
        <v>109956800</v>
      </c>
      <c r="H2191" s="1153">
        <v>111009000</v>
      </c>
      <c r="I2191" s="1152"/>
      <c r="J2191" s="1153"/>
      <c r="K2191" s="1152"/>
      <c r="L2191" s="1153"/>
      <c r="M2191" s="1152">
        <v>175206862</v>
      </c>
      <c r="N2191" s="1152">
        <v>7939400</v>
      </c>
      <c r="O2191" s="732">
        <f t="shared" si="277"/>
        <v>183146262</v>
      </c>
      <c r="P2191" s="1154">
        <v>174741862</v>
      </c>
      <c r="Q2191" s="1154">
        <v>7939400</v>
      </c>
      <c r="R2191" s="733">
        <f t="shared" si="280"/>
        <v>182681262</v>
      </c>
      <c r="S2191" s="732">
        <f t="shared" si="281"/>
        <v>285163662</v>
      </c>
      <c r="T2191" s="733">
        <f t="shared" si="282"/>
        <v>285750862</v>
      </c>
      <c r="U2191" s="1152"/>
      <c r="V2191" s="1153"/>
      <c r="W2191" s="1152"/>
      <c r="X2191" s="1152"/>
      <c r="Y2191" s="732">
        <f t="shared" si="278"/>
        <v>0</v>
      </c>
      <c r="Z2191" s="1153"/>
      <c r="AA2191" s="1153"/>
      <c r="AB2191" s="733">
        <f t="shared" si="279"/>
        <v>0</v>
      </c>
      <c r="AC2191" s="1152"/>
      <c r="AD2191" s="1153"/>
      <c r="AE2191" s="1152"/>
      <c r="AF2191" s="1152"/>
      <c r="AG2191" s="1153"/>
      <c r="AH2191" s="1153"/>
      <c r="AI2191" s="732">
        <f t="shared" si="283"/>
        <v>285163662</v>
      </c>
      <c r="AJ2191" s="733">
        <f t="shared" si="284"/>
        <v>285750862</v>
      </c>
    </row>
    <row r="2192" spans="1:36">
      <c r="A2192" s="894" t="s">
        <v>747</v>
      </c>
      <c r="B2192" s="888" t="s">
        <v>62</v>
      </c>
      <c r="C2192" s="893" t="s">
        <v>1080</v>
      </c>
      <c r="D2192" s="890"/>
      <c r="E2192" s="891">
        <v>221838</v>
      </c>
      <c r="F2192" s="892">
        <v>2</v>
      </c>
      <c r="G2192" s="1152">
        <v>47017600</v>
      </c>
      <c r="H2192" s="1153">
        <v>45055100</v>
      </c>
      <c r="I2192" s="1152"/>
      <c r="J2192" s="1153"/>
      <c r="K2192" s="1152"/>
      <c r="L2192" s="1153"/>
      <c r="M2192" s="1152">
        <v>64524500</v>
      </c>
      <c r="N2192" s="1152">
        <v>1368900</v>
      </c>
      <c r="O2192" s="732">
        <f t="shared" si="277"/>
        <v>65893400</v>
      </c>
      <c r="P2192" s="1154">
        <v>62525900</v>
      </c>
      <c r="Q2192" s="1154">
        <v>1300500</v>
      </c>
      <c r="R2192" s="733">
        <f t="shared" si="280"/>
        <v>63826400</v>
      </c>
      <c r="S2192" s="732">
        <f t="shared" si="281"/>
        <v>111542100</v>
      </c>
      <c r="T2192" s="733">
        <f t="shared" si="282"/>
        <v>107581000</v>
      </c>
      <c r="U2192" s="1152"/>
      <c r="V2192" s="1153"/>
      <c r="W2192" s="1152"/>
      <c r="X2192" s="1152"/>
      <c r="Y2192" s="732">
        <f t="shared" si="278"/>
        <v>0</v>
      </c>
      <c r="Z2192" s="1153"/>
      <c r="AA2192" s="1153"/>
      <c r="AB2192" s="733">
        <f t="shared" si="279"/>
        <v>0</v>
      </c>
      <c r="AC2192" s="1152"/>
      <c r="AD2192" s="1153"/>
      <c r="AE2192" s="1152"/>
      <c r="AF2192" s="1152"/>
      <c r="AG2192" s="1153"/>
      <c r="AH2192" s="1153"/>
      <c r="AI2192" s="732">
        <f t="shared" si="283"/>
        <v>111542100</v>
      </c>
      <c r="AJ2192" s="733">
        <f t="shared" si="284"/>
        <v>107581000</v>
      </c>
    </row>
    <row r="2193" spans="1:36">
      <c r="A2193" s="894" t="s">
        <v>747</v>
      </c>
      <c r="B2193" s="888" t="s">
        <v>74</v>
      </c>
      <c r="C2193" s="893" t="s">
        <v>77</v>
      </c>
      <c r="D2193" s="890"/>
      <c r="E2193" s="891">
        <v>221838</v>
      </c>
      <c r="F2193" s="892">
        <v>2</v>
      </c>
      <c r="G2193" s="1152"/>
      <c r="H2193" s="1153"/>
      <c r="I2193" s="1152"/>
      <c r="J2193" s="1153"/>
      <c r="K2193" s="1152"/>
      <c r="L2193" s="1153"/>
      <c r="M2193" s="1152">
        <v>0</v>
      </c>
      <c r="N2193" s="1152">
        <v>0</v>
      </c>
      <c r="O2193" s="732">
        <f t="shared" si="277"/>
        <v>0</v>
      </c>
      <c r="P2193" s="1153"/>
      <c r="Q2193" s="1153"/>
      <c r="R2193" s="733">
        <f t="shared" si="280"/>
        <v>0</v>
      </c>
      <c r="S2193" s="732">
        <f t="shared" si="281"/>
        <v>0</v>
      </c>
      <c r="T2193" s="733">
        <f t="shared" si="282"/>
        <v>0</v>
      </c>
      <c r="U2193" s="1152"/>
      <c r="V2193" s="1153"/>
      <c r="W2193" s="1152"/>
      <c r="X2193" s="1152"/>
      <c r="Y2193" s="732">
        <f t="shared" si="278"/>
        <v>0</v>
      </c>
      <c r="Z2193" s="1153"/>
      <c r="AA2193" s="1153"/>
      <c r="AB2193" s="733">
        <f t="shared" si="279"/>
        <v>0</v>
      </c>
      <c r="AC2193" s="1152"/>
      <c r="AD2193" s="1153"/>
      <c r="AE2193" s="1152"/>
      <c r="AF2193" s="1152"/>
      <c r="AG2193" s="1153"/>
      <c r="AH2193" s="1153"/>
      <c r="AI2193" s="732">
        <f t="shared" si="283"/>
        <v>0</v>
      </c>
      <c r="AJ2193" s="733">
        <f t="shared" si="284"/>
        <v>0</v>
      </c>
    </row>
    <row r="2194" spans="1:36">
      <c r="A2194" s="894" t="s">
        <v>747</v>
      </c>
      <c r="B2194" s="888" t="s">
        <v>74</v>
      </c>
      <c r="C2194" s="893" t="s">
        <v>1081</v>
      </c>
      <c r="D2194" s="890"/>
      <c r="E2194" s="891">
        <v>221838</v>
      </c>
      <c r="F2194" s="892">
        <v>2</v>
      </c>
      <c r="G2194" s="1152"/>
      <c r="H2194" s="1153"/>
      <c r="I2194" s="1152">
        <v>1429200</v>
      </c>
      <c r="J2194" s="1153">
        <v>1438900</v>
      </c>
      <c r="K2194" s="1152"/>
      <c r="L2194" s="1153"/>
      <c r="M2194" s="1152">
        <v>0</v>
      </c>
      <c r="N2194" s="1152">
        <v>0</v>
      </c>
      <c r="O2194" s="732">
        <f t="shared" si="277"/>
        <v>0</v>
      </c>
      <c r="P2194" s="1153"/>
      <c r="Q2194" s="1153"/>
      <c r="R2194" s="733">
        <f t="shared" si="280"/>
        <v>0</v>
      </c>
      <c r="S2194" s="732">
        <f t="shared" si="281"/>
        <v>1429200</v>
      </c>
      <c r="T2194" s="733">
        <f t="shared" si="282"/>
        <v>1438900</v>
      </c>
      <c r="U2194" s="1152"/>
      <c r="V2194" s="1153"/>
      <c r="W2194" s="1152"/>
      <c r="X2194" s="1152"/>
      <c r="Y2194" s="732">
        <f t="shared" si="278"/>
        <v>0</v>
      </c>
      <c r="Z2194" s="1153"/>
      <c r="AA2194" s="1153"/>
      <c r="AB2194" s="733">
        <f t="shared" si="279"/>
        <v>0</v>
      </c>
      <c r="AC2194" s="1152"/>
      <c r="AD2194" s="1153"/>
      <c r="AE2194" s="1152"/>
      <c r="AF2194" s="1152"/>
      <c r="AG2194" s="1153"/>
      <c r="AH2194" s="1153"/>
      <c r="AI2194" s="732">
        <f t="shared" si="283"/>
        <v>1429200</v>
      </c>
      <c r="AJ2194" s="733">
        <f t="shared" si="284"/>
        <v>1438900</v>
      </c>
    </row>
    <row r="2195" spans="1:36">
      <c r="A2195" s="894" t="s">
        <v>747</v>
      </c>
      <c r="B2195" s="888" t="s">
        <v>74</v>
      </c>
      <c r="C2195" s="893" t="s">
        <v>1082</v>
      </c>
      <c r="D2195" s="890"/>
      <c r="E2195" s="891">
        <v>221838</v>
      </c>
      <c r="F2195" s="892">
        <v>2</v>
      </c>
      <c r="G2195" s="1152"/>
      <c r="H2195" s="1153"/>
      <c r="I2195" s="1152">
        <v>4771800</v>
      </c>
      <c r="J2195" s="1153">
        <v>4793700</v>
      </c>
      <c r="K2195" s="1152"/>
      <c r="L2195" s="1153"/>
      <c r="M2195" s="1152">
        <v>0</v>
      </c>
      <c r="N2195" s="1152">
        <v>0</v>
      </c>
      <c r="O2195" s="732">
        <f t="shared" si="277"/>
        <v>0</v>
      </c>
      <c r="P2195" s="1153"/>
      <c r="Q2195" s="1153"/>
      <c r="R2195" s="733">
        <f t="shared" si="280"/>
        <v>0</v>
      </c>
      <c r="S2195" s="732">
        <f t="shared" si="281"/>
        <v>4771800</v>
      </c>
      <c r="T2195" s="733">
        <f t="shared" si="282"/>
        <v>4793700</v>
      </c>
      <c r="U2195" s="1152"/>
      <c r="V2195" s="1153"/>
      <c r="W2195" s="1152"/>
      <c r="X2195" s="1152"/>
      <c r="Y2195" s="732">
        <f t="shared" si="278"/>
        <v>0</v>
      </c>
      <c r="Z2195" s="1153"/>
      <c r="AA2195" s="1153"/>
      <c r="AB2195" s="733">
        <f t="shared" si="279"/>
        <v>0</v>
      </c>
      <c r="AC2195" s="1152"/>
      <c r="AD2195" s="1153"/>
      <c r="AE2195" s="1152"/>
      <c r="AF2195" s="1152"/>
      <c r="AG2195" s="1153"/>
      <c r="AH2195" s="1153"/>
      <c r="AI2195" s="732">
        <f t="shared" si="283"/>
        <v>4771800</v>
      </c>
      <c r="AJ2195" s="733">
        <f t="shared" si="284"/>
        <v>4793700</v>
      </c>
    </row>
    <row r="2196" spans="1:36">
      <c r="A2196" s="894" t="s">
        <v>747</v>
      </c>
      <c r="B2196" s="888" t="s">
        <v>74</v>
      </c>
      <c r="C2196" s="895" t="s">
        <v>1083</v>
      </c>
      <c r="D2196" s="896"/>
      <c r="E2196" s="891">
        <v>221838</v>
      </c>
      <c r="F2196" s="892">
        <v>2</v>
      </c>
      <c r="G2196" s="1152"/>
      <c r="H2196" s="1153"/>
      <c r="I2196" s="1152">
        <v>3703500</v>
      </c>
      <c r="J2196" s="1153">
        <v>3745700</v>
      </c>
      <c r="K2196" s="1152"/>
      <c r="L2196" s="1153"/>
      <c r="M2196" s="1152">
        <v>0</v>
      </c>
      <c r="N2196" s="1152">
        <v>0</v>
      </c>
      <c r="O2196" s="732">
        <f t="shared" si="277"/>
        <v>0</v>
      </c>
      <c r="P2196" s="1153"/>
      <c r="Q2196" s="1153"/>
      <c r="R2196" s="733">
        <f t="shared" si="280"/>
        <v>0</v>
      </c>
      <c r="S2196" s="732">
        <f t="shared" si="281"/>
        <v>3703500</v>
      </c>
      <c r="T2196" s="733">
        <f t="shared" si="282"/>
        <v>3745700</v>
      </c>
      <c r="U2196" s="1152"/>
      <c r="V2196" s="1153"/>
      <c r="W2196" s="1152"/>
      <c r="X2196" s="1152"/>
      <c r="Y2196" s="732">
        <f t="shared" si="278"/>
        <v>0</v>
      </c>
      <c r="Z2196" s="1153"/>
      <c r="AA2196" s="1153"/>
      <c r="AB2196" s="733">
        <f t="shared" si="279"/>
        <v>0</v>
      </c>
      <c r="AC2196" s="1152"/>
      <c r="AD2196" s="1153"/>
      <c r="AE2196" s="1152"/>
      <c r="AF2196" s="1152"/>
      <c r="AG2196" s="1153"/>
      <c r="AH2196" s="1153"/>
      <c r="AI2196" s="732">
        <f t="shared" si="283"/>
        <v>3703500</v>
      </c>
      <c r="AJ2196" s="733">
        <f t="shared" si="284"/>
        <v>3745700</v>
      </c>
    </row>
    <row r="2197" spans="1:36">
      <c r="A2197" s="897" t="s">
        <v>747</v>
      </c>
      <c r="B2197" s="883" t="s">
        <v>74</v>
      </c>
      <c r="C2197" s="898" t="s">
        <v>1084</v>
      </c>
      <c r="D2197" s="1097"/>
      <c r="E2197" s="886">
        <v>221838</v>
      </c>
      <c r="F2197" s="887">
        <v>2</v>
      </c>
      <c r="G2197" s="1152"/>
      <c r="H2197" s="1153"/>
      <c r="I2197" s="1152">
        <v>198900</v>
      </c>
      <c r="J2197" s="1153">
        <v>201100</v>
      </c>
      <c r="K2197" s="1152"/>
      <c r="L2197" s="1153"/>
      <c r="M2197" s="1152">
        <v>0</v>
      </c>
      <c r="N2197" s="1152">
        <v>0</v>
      </c>
      <c r="O2197" s="732">
        <f t="shared" si="277"/>
        <v>0</v>
      </c>
      <c r="P2197" s="1153"/>
      <c r="Q2197" s="1153"/>
      <c r="R2197" s="733">
        <f t="shared" si="280"/>
        <v>0</v>
      </c>
      <c r="S2197" s="732">
        <f t="shared" si="281"/>
        <v>198900</v>
      </c>
      <c r="T2197" s="733">
        <f t="shared" si="282"/>
        <v>201100</v>
      </c>
      <c r="U2197" s="1152"/>
      <c r="V2197" s="1153"/>
      <c r="W2197" s="1152"/>
      <c r="X2197" s="1152"/>
      <c r="Y2197" s="732">
        <f t="shared" si="278"/>
        <v>0</v>
      </c>
      <c r="Z2197" s="1153"/>
      <c r="AA2197" s="1153"/>
      <c r="AB2197" s="733">
        <f t="shared" si="279"/>
        <v>0</v>
      </c>
      <c r="AC2197" s="1152"/>
      <c r="AD2197" s="1153"/>
      <c r="AE2197" s="1152"/>
      <c r="AF2197" s="1152"/>
      <c r="AG2197" s="1153"/>
      <c r="AH2197" s="1153"/>
      <c r="AI2197" s="732">
        <f t="shared" si="283"/>
        <v>198900</v>
      </c>
      <c r="AJ2197" s="733">
        <f t="shared" si="284"/>
        <v>201100</v>
      </c>
    </row>
    <row r="2198" spans="1:36">
      <c r="A2198" s="894" t="s">
        <v>747</v>
      </c>
      <c r="B2198" s="883" t="s">
        <v>62</v>
      </c>
      <c r="C2198" s="885" t="s">
        <v>1085</v>
      </c>
      <c r="D2198" s="885"/>
      <c r="E2198" s="886">
        <v>219602</v>
      </c>
      <c r="F2198" s="887">
        <v>3</v>
      </c>
      <c r="G2198" s="1152">
        <v>51910500</v>
      </c>
      <c r="H2198" s="1153">
        <v>52931600</v>
      </c>
      <c r="I2198" s="1152"/>
      <c r="J2198" s="1153"/>
      <c r="K2198" s="1152"/>
      <c r="L2198" s="1153"/>
      <c r="M2198" s="1152">
        <v>74491900</v>
      </c>
      <c r="N2198" s="1152">
        <v>2316300</v>
      </c>
      <c r="O2198" s="732">
        <f t="shared" si="277"/>
        <v>76808200</v>
      </c>
      <c r="P2198" s="1153">
        <v>70613400</v>
      </c>
      <c r="Q2198" s="1153">
        <v>2260500</v>
      </c>
      <c r="R2198" s="733">
        <f t="shared" si="280"/>
        <v>72873900</v>
      </c>
      <c r="S2198" s="732">
        <f t="shared" si="281"/>
        <v>126402400</v>
      </c>
      <c r="T2198" s="733">
        <f t="shared" si="282"/>
        <v>123545000</v>
      </c>
      <c r="U2198" s="1152"/>
      <c r="V2198" s="1153"/>
      <c r="W2198" s="1152"/>
      <c r="X2198" s="1152"/>
      <c r="Y2198" s="732">
        <f t="shared" si="278"/>
        <v>0</v>
      </c>
      <c r="Z2198" s="1153"/>
      <c r="AA2198" s="1153"/>
      <c r="AB2198" s="733">
        <f t="shared" si="279"/>
        <v>0</v>
      </c>
      <c r="AC2198" s="1152"/>
      <c r="AD2198" s="1153"/>
      <c r="AE2198" s="1152"/>
      <c r="AF2198" s="1152"/>
      <c r="AG2198" s="1153"/>
      <c r="AH2198" s="1153"/>
      <c r="AI2198" s="732">
        <f t="shared" si="283"/>
        <v>126402400</v>
      </c>
      <c r="AJ2198" s="733">
        <f t="shared" si="284"/>
        <v>123545000</v>
      </c>
    </row>
    <row r="2199" spans="1:36">
      <c r="A2199" s="894" t="s">
        <v>747</v>
      </c>
      <c r="B2199" s="883" t="s">
        <v>62</v>
      </c>
      <c r="C2199" s="893" t="s">
        <v>1086</v>
      </c>
      <c r="D2199" s="890"/>
      <c r="E2199" s="886">
        <v>221847</v>
      </c>
      <c r="F2199" s="887">
        <v>3</v>
      </c>
      <c r="G2199" s="1152">
        <v>64671400</v>
      </c>
      <c r="H2199" s="1153">
        <v>65968200</v>
      </c>
      <c r="I2199" s="1152"/>
      <c r="J2199" s="1153"/>
      <c r="K2199" s="1152"/>
      <c r="L2199" s="1153"/>
      <c r="M2199" s="1152">
        <v>84121350</v>
      </c>
      <c r="N2199" s="1152">
        <v>2285500</v>
      </c>
      <c r="O2199" s="732">
        <f t="shared" si="277"/>
        <v>86406850</v>
      </c>
      <c r="P2199" s="1153">
        <v>83380998</v>
      </c>
      <c r="Q2199" s="1153">
        <v>2458120</v>
      </c>
      <c r="R2199" s="733">
        <f t="shared" si="280"/>
        <v>85839118</v>
      </c>
      <c r="S2199" s="732">
        <f t="shared" si="281"/>
        <v>148792750</v>
      </c>
      <c r="T2199" s="733">
        <f t="shared" si="282"/>
        <v>149349198</v>
      </c>
      <c r="U2199" s="1152"/>
      <c r="V2199" s="1153"/>
      <c r="W2199" s="1152"/>
      <c r="X2199" s="1152"/>
      <c r="Y2199" s="732">
        <f t="shared" si="278"/>
        <v>0</v>
      </c>
      <c r="Z2199" s="1153"/>
      <c r="AA2199" s="1153"/>
      <c r="AB2199" s="733">
        <f t="shared" si="279"/>
        <v>0</v>
      </c>
      <c r="AC2199" s="1152"/>
      <c r="AD2199" s="1153"/>
      <c r="AE2199" s="1152"/>
      <c r="AF2199" s="1152"/>
      <c r="AG2199" s="1153"/>
      <c r="AH2199" s="1153"/>
      <c r="AI2199" s="732">
        <f t="shared" si="283"/>
        <v>148792750</v>
      </c>
      <c r="AJ2199" s="733">
        <f t="shared" si="284"/>
        <v>149349198</v>
      </c>
    </row>
    <row r="2200" spans="1:36">
      <c r="A2200" s="894" t="s">
        <v>747</v>
      </c>
      <c r="B2200" s="883" t="s">
        <v>62</v>
      </c>
      <c r="C2200" s="893" t="s">
        <v>1087</v>
      </c>
      <c r="D2200" s="890"/>
      <c r="E2200" s="886">
        <v>221740</v>
      </c>
      <c r="F2200" s="887">
        <v>3</v>
      </c>
      <c r="G2200" s="1152">
        <v>61093800</v>
      </c>
      <c r="H2200" s="1153">
        <v>62388400</v>
      </c>
      <c r="I2200" s="1152"/>
      <c r="J2200" s="1153"/>
      <c r="K2200" s="1152"/>
      <c r="L2200" s="1153"/>
      <c r="M2200" s="1152">
        <v>92633392</v>
      </c>
      <c r="N2200" s="1152">
        <v>3090000</v>
      </c>
      <c r="O2200" s="732">
        <f t="shared" si="277"/>
        <v>95723392</v>
      </c>
      <c r="P2200" s="1153">
        <v>94833392</v>
      </c>
      <c r="Q2200" s="1153">
        <v>3090000</v>
      </c>
      <c r="R2200" s="733">
        <f t="shared" si="280"/>
        <v>97923392</v>
      </c>
      <c r="S2200" s="732">
        <f t="shared" si="281"/>
        <v>153727192</v>
      </c>
      <c r="T2200" s="733">
        <f t="shared" si="282"/>
        <v>157221792</v>
      </c>
      <c r="U2200" s="1152"/>
      <c r="V2200" s="1153"/>
      <c r="W2200" s="1152"/>
      <c r="X2200" s="1152"/>
      <c r="Y2200" s="732">
        <f t="shared" si="278"/>
        <v>0</v>
      </c>
      <c r="Z2200" s="1153"/>
      <c r="AA2200" s="1153"/>
      <c r="AB2200" s="733">
        <f t="shared" si="279"/>
        <v>0</v>
      </c>
      <c r="AC2200" s="1152"/>
      <c r="AD2200" s="1153"/>
      <c r="AE2200" s="1152"/>
      <c r="AF2200" s="1152"/>
      <c r="AG2200" s="1153"/>
      <c r="AH2200" s="1153"/>
      <c r="AI2200" s="732">
        <f t="shared" si="283"/>
        <v>153727192</v>
      </c>
      <c r="AJ2200" s="733">
        <f t="shared" si="284"/>
        <v>157221792</v>
      </c>
    </row>
    <row r="2201" spans="1:36" customFormat="1" ht="15" customHeight="1">
      <c r="A2201" s="894" t="s">
        <v>747</v>
      </c>
      <c r="B2201" s="883" t="s">
        <v>62</v>
      </c>
      <c r="C2201" s="885" t="s">
        <v>1088</v>
      </c>
      <c r="D2201" s="1096" t="s">
        <v>1782</v>
      </c>
      <c r="E2201" s="892">
        <v>221768</v>
      </c>
      <c r="F2201" s="1098">
        <v>4</v>
      </c>
      <c r="G2201" s="1152">
        <v>36930500</v>
      </c>
      <c r="H2201" s="1153">
        <v>36212200</v>
      </c>
      <c r="I2201" s="1152"/>
      <c r="J2201" s="1153"/>
      <c r="K2201" s="1152"/>
      <c r="L2201" s="1153"/>
      <c r="M2201" s="1152">
        <v>54847182</v>
      </c>
      <c r="N2201" s="1152">
        <v>1730000</v>
      </c>
      <c r="O2201" s="732">
        <f t="shared" si="277"/>
        <v>56577182</v>
      </c>
      <c r="P2201" s="1153">
        <v>54936182</v>
      </c>
      <c r="Q2201" s="1153">
        <v>1700000</v>
      </c>
      <c r="R2201" s="733">
        <f t="shared" si="280"/>
        <v>56636182</v>
      </c>
      <c r="S2201" s="732">
        <f t="shared" si="281"/>
        <v>91777682</v>
      </c>
      <c r="T2201" s="733">
        <f t="shared" si="282"/>
        <v>91148382</v>
      </c>
      <c r="U2201" s="1152"/>
      <c r="V2201" s="1153"/>
      <c r="W2201" s="1152"/>
      <c r="X2201" s="1152"/>
      <c r="Y2201" s="732">
        <f t="shared" si="278"/>
        <v>0</v>
      </c>
      <c r="Z2201" s="1153"/>
      <c r="AA2201" s="1153"/>
      <c r="AB2201" s="733">
        <f t="shared" si="279"/>
        <v>0</v>
      </c>
      <c r="AC2201" s="1152"/>
      <c r="AD2201" s="1153"/>
      <c r="AE2201" s="1152"/>
      <c r="AF2201" s="1152"/>
      <c r="AG2201" s="1153"/>
      <c r="AH2201" s="1153"/>
      <c r="AI2201" s="732">
        <f t="shared" si="283"/>
        <v>91777682</v>
      </c>
      <c r="AJ2201" s="733">
        <f t="shared" si="284"/>
        <v>91148382</v>
      </c>
    </row>
    <row r="2202" spans="1:36">
      <c r="A2202" s="894" t="s">
        <v>747</v>
      </c>
      <c r="B2202" s="883" t="s">
        <v>62</v>
      </c>
      <c r="C2202" s="902" t="s">
        <v>1089</v>
      </c>
      <c r="D2202" s="903"/>
      <c r="E2202" s="886">
        <v>219824</v>
      </c>
      <c r="F2202" s="887">
        <v>8</v>
      </c>
      <c r="G2202" s="1152">
        <v>34194100</v>
      </c>
      <c r="H2202" s="1153">
        <v>33701100</v>
      </c>
      <c r="I2202" s="1152"/>
      <c r="J2202" s="1153"/>
      <c r="K2202" s="1152"/>
      <c r="L2202" s="1153"/>
      <c r="M2202" s="1152">
        <v>28520000</v>
      </c>
      <c r="N2202" s="1152">
        <v>0</v>
      </c>
      <c r="O2202" s="732">
        <f t="shared" si="277"/>
        <v>28520000</v>
      </c>
      <c r="P2202" s="1153">
        <v>26750000</v>
      </c>
      <c r="Q2202" s="1153">
        <v>0</v>
      </c>
      <c r="R2202" s="733">
        <f t="shared" si="280"/>
        <v>26750000</v>
      </c>
      <c r="S2202" s="732">
        <f t="shared" si="281"/>
        <v>62714100</v>
      </c>
      <c r="T2202" s="733">
        <f t="shared" si="282"/>
        <v>60451100</v>
      </c>
      <c r="U2202" s="1152"/>
      <c r="V2202" s="1153"/>
      <c r="W2202" s="1152"/>
      <c r="X2202" s="1152"/>
      <c r="Y2202" s="732">
        <f t="shared" si="278"/>
        <v>0</v>
      </c>
      <c r="Z2202" s="1153"/>
      <c r="AA2202" s="1153"/>
      <c r="AB2202" s="733">
        <f t="shared" si="279"/>
        <v>0</v>
      </c>
      <c r="AC2202" s="1152"/>
      <c r="AD2202" s="1153"/>
      <c r="AE2202" s="1152"/>
      <c r="AF2202" s="1152"/>
      <c r="AG2202" s="1153"/>
      <c r="AH2202" s="1153"/>
      <c r="AI2202" s="732">
        <f t="shared" si="283"/>
        <v>62714100</v>
      </c>
      <c r="AJ2202" s="733">
        <f t="shared" si="284"/>
        <v>60451100</v>
      </c>
    </row>
    <row r="2203" spans="1:36">
      <c r="A2203" s="894" t="s">
        <v>747</v>
      </c>
      <c r="B2203" s="883" t="s">
        <v>62</v>
      </c>
      <c r="C2203" s="904" t="s">
        <v>1090</v>
      </c>
      <c r="D2203" s="903"/>
      <c r="E2203" s="886">
        <v>221184</v>
      </c>
      <c r="F2203" s="887">
        <v>8</v>
      </c>
      <c r="G2203" s="1152">
        <v>23847100</v>
      </c>
      <c r="H2203" s="1153">
        <v>23195600</v>
      </c>
      <c r="I2203" s="1152"/>
      <c r="J2203" s="1153"/>
      <c r="K2203" s="1152"/>
      <c r="L2203" s="1153"/>
      <c r="M2203" s="1152">
        <v>25508600</v>
      </c>
      <c r="N2203" s="1152">
        <v>0</v>
      </c>
      <c r="O2203" s="732">
        <f t="shared" si="277"/>
        <v>25508600</v>
      </c>
      <c r="P2203" s="1153">
        <v>23190700</v>
      </c>
      <c r="Q2203" s="1153">
        <v>0</v>
      </c>
      <c r="R2203" s="733">
        <f t="shared" si="280"/>
        <v>23190700</v>
      </c>
      <c r="S2203" s="732">
        <f t="shared" si="281"/>
        <v>49355700</v>
      </c>
      <c r="T2203" s="733">
        <f t="shared" si="282"/>
        <v>46386300</v>
      </c>
      <c r="U2203" s="1152"/>
      <c r="V2203" s="1153"/>
      <c r="W2203" s="1152"/>
      <c r="X2203" s="1152"/>
      <c r="Y2203" s="732">
        <f t="shared" si="278"/>
        <v>0</v>
      </c>
      <c r="Z2203" s="1153"/>
      <c r="AA2203" s="1153"/>
      <c r="AB2203" s="733">
        <f t="shared" si="279"/>
        <v>0</v>
      </c>
      <c r="AC2203" s="1152"/>
      <c r="AD2203" s="1153"/>
      <c r="AE2203" s="1152"/>
      <c r="AF2203" s="1152"/>
      <c r="AG2203" s="1153"/>
      <c r="AH2203" s="1153"/>
      <c r="AI2203" s="732">
        <f t="shared" si="283"/>
        <v>49355700</v>
      </c>
      <c r="AJ2203" s="733">
        <f t="shared" si="284"/>
        <v>46386300</v>
      </c>
    </row>
    <row r="2204" spans="1:36">
      <c r="A2204" s="894" t="s">
        <v>747</v>
      </c>
      <c r="B2204" s="883" t="s">
        <v>62</v>
      </c>
      <c r="C2204" s="902" t="s">
        <v>1091</v>
      </c>
      <c r="D2204" s="903"/>
      <c r="E2204" s="886">
        <v>221643</v>
      </c>
      <c r="F2204" s="887">
        <v>8</v>
      </c>
      <c r="G2204" s="1152">
        <v>35319900</v>
      </c>
      <c r="H2204" s="1153">
        <v>35994000</v>
      </c>
      <c r="I2204" s="1152"/>
      <c r="J2204" s="1153"/>
      <c r="K2204" s="1152"/>
      <c r="L2204" s="1153"/>
      <c r="M2204" s="1152">
        <v>37000000</v>
      </c>
      <c r="N2204" s="1152">
        <v>300000</v>
      </c>
      <c r="O2204" s="732">
        <f t="shared" si="277"/>
        <v>37300000</v>
      </c>
      <c r="P2204" s="1153">
        <v>33615000</v>
      </c>
      <c r="Q2204" s="1154">
        <v>130000</v>
      </c>
      <c r="R2204" s="733">
        <f t="shared" si="280"/>
        <v>33745000</v>
      </c>
      <c r="S2204" s="732">
        <f t="shared" si="281"/>
        <v>72319900</v>
      </c>
      <c r="T2204" s="733">
        <f t="shared" si="282"/>
        <v>69609000</v>
      </c>
      <c r="U2204" s="1152"/>
      <c r="V2204" s="1153"/>
      <c r="W2204" s="1152"/>
      <c r="X2204" s="1152"/>
      <c r="Y2204" s="732">
        <f t="shared" si="278"/>
        <v>0</v>
      </c>
      <c r="Z2204" s="1153"/>
      <c r="AA2204" s="1153"/>
      <c r="AB2204" s="733">
        <f t="shared" si="279"/>
        <v>0</v>
      </c>
      <c r="AC2204" s="1152"/>
      <c r="AD2204" s="1153"/>
      <c r="AE2204" s="1152"/>
      <c r="AF2204" s="1152"/>
      <c r="AG2204" s="1153"/>
      <c r="AH2204" s="1153"/>
      <c r="AI2204" s="732">
        <f t="shared" si="283"/>
        <v>72319900</v>
      </c>
      <c r="AJ2204" s="733">
        <f t="shared" si="284"/>
        <v>69609000</v>
      </c>
    </row>
    <row r="2205" spans="1:36">
      <c r="A2205" s="894" t="s">
        <v>747</v>
      </c>
      <c r="B2205" s="883" t="s">
        <v>62</v>
      </c>
      <c r="C2205" s="904" t="s">
        <v>1092</v>
      </c>
      <c r="D2205" s="903"/>
      <c r="E2205" s="886">
        <v>221485</v>
      </c>
      <c r="F2205" s="887">
        <v>8</v>
      </c>
      <c r="G2205" s="1152">
        <v>31029500</v>
      </c>
      <c r="H2205" s="1153">
        <v>30720900</v>
      </c>
      <c r="I2205" s="1152"/>
      <c r="J2205" s="1153"/>
      <c r="K2205" s="1152"/>
      <c r="L2205" s="1153"/>
      <c r="M2205" s="1152">
        <v>29903300</v>
      </c>
      <c r="N2205" s="1152">
        <v>0</v>
      </c>
      <c r="O2205" s="732">
        <f t="shared" si="277"/>
        <v>29903300</v>
      </c>
      <c r="P2205" s="1153">
        <v>24980380</v>
      </c>
      <c r="Q2205" s="1153">
        <v>0</v>
      </c>
      <c r="R2205" s="733">
        <f t="shared" si="280"/>
        <v>24980380</v>
      </c>
      <c r="S2205" s="732">
        <f t="shared" si="281"/>
        <v>60932800</v>
      </c>
      <c r="T2205" s="733">
        <f t="shared" si="282"/>
        <v>55701280</v>
      </c>
      <c r="U2205" s="1152"/>
      <c r="V2205" s="1153"/>
      <c r="W2205" s="1152"/>
      <c r="X2205" s="1152"/>
      <c r="Y2205" s="732">
        <f t="shared" si="278"/>
        <v>0</v>
      </c>
      <c r="Z2205" s="1153"/>
      <c r="AA2205" s="1153"/>
      <c r="AB2205" s="733">
        <f t="shared" si="279"/>
        <v>0</v>
      </c>
      <c r="AC2205" s="1152"/>
      <c r="AD2205" s="1153"/>
      <c r="AE2205" s="1152"/>
      <c r="AF2205" s="1152"/>
      <c r="AG2205" s="1153"/>
      <c r="AH2205" s="1153"/>
      <c r="AI2205" s="732">
        <f t="shared" si="283"/>
        <v>60932800</v>
      </c>
      <c r="AJ2205" s="733">
        <f t="shared" si="284"/>
        <v>55701280</v>
      </c>
    </row>
    <row r="2206" spans="1:36">
      <c r="A2206" s="894" t="s">
        <v>747</v>
      </c>
      <c r="B2206" s="883" t="s">
        <v>62</v>
      </c>
      <c r="C2206" s="902" t="s">
        <v>1093</v>
      </c>
      <c r="D2206" s="903"/>
      <c r="E2206" s="886">
        <v>222053</v>
      </c>
      <c r="F2206" s="887">
        <v>8</v>
      </c>
      <c r="G2206" s="1152">
        <v>26730600</v>
      </c>
      <c r="H2206" s="1153">
        <v>28364800</v>
      </c>
      <c r="I2206" s="1152"/>
      <c r="J2206" s="1153"/>
      <c r="K2206" s="1152"/>
      <c r="L2206" s="1153"/>
      <c r="M2206" s="1152">
        <v>30903500</v>
      </c>
      <c r="N2206" s="1152">
        <v>0</v>
      </c>
      <c r="O2206" s="732">
        <f t="shared" si="277"/>
        <v>30903500</v>
      </c>
      <c r="P2206" s="1153">
        <v>29208163</v>
      </c>
      <c r="Q2206" s="1153">
        <v>0</v>
      </c>
      <c r="R2206" s="733">
        <f t="shared" si="280"/>
        <v>29208163</v>
      </c>
      <c r="S2206" s="732">
        <f t="shared" si="281"/>
        <v>57634100</v>
      </c>
      <c r="T2206" s="733">
        <f t="shared" si="282"/>
        <v>57572963</v>
      </c>
      <c r="U2206" s="1152"/>
      <c r="V2206" s="1153"/>
      <c r="W2206" s="1152"/>
      <c r="X2206" s="1152"/>
      <c r="Y2206" s="732">
        <f t="shared" si="278"/>
        <v>0</v>
      </c>
      <c r="Z2206" s="1153"/>
      <c r="AA2206" s="1153"/>
      <c r="AB2206" s="733">
        <f t="shared" si="279"/>
        <v>0</v>
      </c>
      <c r="AC2206" s="1152"/>
      <c r="AD2206" s="1153"/>
      <c r="AE2206" s="1152"/>
      <c r="AF2206" s="1152"/>
      <c r="AG2206" s="1153"/>
      <c r="AH2206" s="1153"/>
      <c r="AI2206" s="732">
        <f t="shared" si="283"/>
        <v>57634100</v>
      </c>
      <c r="AJ2206" s="733">
        <f t="shared" si="284"/>
        <v>57572963</v>
      </c>
    </row>
    <row r="2207" spans="1:36">
      <c r="A2207" s="894" t="s">
        <v>747</v>
      </c>
      <c r="B2207" s="883" t="s">
        <v>62</v>
      </c>
      <c r="C2207" s="904" t="s">
        <v>1094</v>
      </c>
      <c r="D2207" s="903"/>
      <c r="E2207" s="886">
        <v>219879</v>
      </c>
      <c r="F2207" s="887">
        <v>9</v>
      </c>
      <c r="G2207" s="1152">
        <v>12579200</v>
      </c>
      <c r="H2207" s="1153">
        <v>12241100</v>
      </c>
      <c r="I2207" s="1152"/>
      <c r="J2207" s="1153"/>
      <c r="K2207" s="1152"/>
      <c r="L2207" s="1153"/>
      <c r="M2207" s="1152">
        <v>11438000</v>
      </c>
      <c r="N2207" s="1152">
        <v>0</v>
      </c>
      <c r="O2207" s="732">
        <f t="shared" si="277"/>
        <v>11438000</v>
      </c>
      <c r="P2207" s="1153">
        <v>10624000</v>
      </c>
      <c r="Q2207" s="1153">
        <v>0</v>
      </c>
      <c r="R2207" s="733">
        <f t="shared" si="280"/>
        <v>10624000</v>
      </c>
      <c r="S2207" s="732">
        <f t="shared" si="281"/>
        <v>24017200</v>
      </c>
      <c r="T2207" s="733">
        <f t="shared" si="282"/>
        <v>22865100</v>
      </c>
      <c r="U2207" s="1152"/>
      <c r="V2207" s="1153"/>
      <c r="W2207" s="1152"/>
      <c r="X2207" s="1152"/>
      <c r="Y2207" s="732">
        <f t="shared" si="278"/>
        <v>0</v>
      </c>
      <c r="Z2207" s="1153"/>
      <c r="AA2207" s="1153"/>
      <c r="AB2207" s="733">
        <f t="shared" si="279"/>
        <v>0</v>
      </c>
      <c r="AC2207" s="1152"/>
      <c r="AD2207" s="1153"/>
      <c r="AE2207" s="1152"/>
      <c r="AF2207" s="1152"/>
      <c r="AG2207" s="1153"/>
      <c r="AH2207" s="1153"/>
      <c r="AI2207" s="732">
        <f t="shared" si="283"/>
        <v>24017200</v>
      </c>
      <c r="AJ2207" s="733">
        <f t="shared" si="284"/>
        <v>22865100</v>
      </c>
    </row>
    <row r="2208" spans="1:36">
      <c r="A2208" s="894" t="s">
        <v>747</v>
      </c>
      <c r="B2208" s="883" t="s">
        <v>62</v>
      </c>
      <c r="C2208" s="902" t="s">
        <v>1095</v>
      </c>
      <c r="D2208" s="903"/>
      <c r="E2208" s="886">
        <v>219888</v>
      </c>
      <c r="F2208" s="887">
        <v>9</v>
      </c>
      <c r="G2208" s="1152">
        <v>17238600</v>
      </c>
      <c r="H2208" s="1153">
        <v>18024500</v>
      </c>
      <c r="I2208" s="1152"/>
      <c r="J2208" s="1153"/>
      <c r="K2208" s="1152"/>
      <c r="L2208" s="1153"/>
      <c r="M2208" s="1152">
        <v>20427700</v>
      </c>
      <c r="N2208" s="1152">
        <v>230000</v>
      </c>
      <c r="O2208" s="732">
        <f t="shared" si="277"/>
        <v>20657700</v>
      </c>
      <c r="P2208" s="1153">
        <v>19692100</v>
      </c>
      <c r="Q2208" s="1153">
        <v>230000</v>
      </c>
      <c r="R2208" s="733">
        <f t="shared" si="280"/>
        <v>19922100</v>
      </c>
      <c r="S2208" s="732">
        <f t="shared" si="281"/>
        <v>37666300</v>
      </c>
      <c r="T2208" s="733">
        <f t="shared" si="282"/>
        <v>37716600</v>
      </c>
      <c r="U2208" s="1152"/>
      <c r="V2208" s="1153"/>
      <c r="W2208" s="1152"/>
      <c r="X2208" s="1152"/>
      <c r="Y2208" s="732">
        <f t="shared" si="278"/>
        <v>0</v>
      </c>
      <c r="Z2208" s="1153"/>
      <c r="AA2208" s="1153"/>
      <c r="AB2208" s="733">
        <f t="shared" si="279"/>
        <v>0</v>
      </c>
      <c r="AC2208" s="1152"/>
      <c r="AD2208" s="1153"/>
      <c r="AE2208" s="1152"/>
      <c r="AF2208" s="1152"/>
      <c r="AG2208" s="1153"/>
      <c r="AH2208" s="1153"/>
      <c r="AI2208" s="732">
        <f t="shared" si="283"/>
        <v>37666300</v>
      </c>
      <c r="AJ2208" s="733">
        <f t="shared" si="284"/>
        <v>37716600</v>
      </c>
    </row>
    <row r="2209" spans="1:36">
      <c r="A2209" s="894" t="s">
        <v>747</v>
      </c>
      <c r="B2209" s="883" t="s">
        <v>62</v>
      </c>
      <c r="C2209" s="885" t="s">
        <v>1096</v>
      </c>
      <c r="D2209" s="885"/>
      <c r="E2209" s="886">
        <v>220400</v>
      </c>
      <c r="F2209" s="887">
        <v>9</v>
      </c>
      <c r="G2209" s="1152">
        <v>15392100</v>
      </c>
      <c r="H2209" s="1153">
        <v>15240000</v>
      </c>
      <c r="I2209" s="1152"/>
      <c r="J2209" s="1153"/>
      <c r="K2209" s="1152"/>
      <c r="L2209" s="1153"/>
      <c r="M2209" s="1152">
        <v>15708300</v>
      </c>
      <c r="N2209" s="1152">
        <v>0</v>
      </c>
      <c r="O2209" s="732">
        <f t="shared" si="277"/>
        <v>15708300</v>
      </c>
      <c r="P2209" s="1153">
        <v>13851700</v>
      </c>
      <c r="Q2209" s="1153">
        <v>0</v>
      </c>
      <c r="R2209" s="733">
        <f t="shared" si="280"/>
        <v>13851700</v>
      </c>
      <c r="S2209" s="732">
        <f t="shared" si="281"/>
        <v>31100400</v>
      </c>
      <c r="T2209" s="733">
        <f t="shared" si="282"/>
        <v>29091700</v>
      </c>
      <c r="U2209" s="1152"/>
      <c r="V2209" s="1153"/>
      <c r="W2209" s="1152"/>
      <c r="X2209" s="1152"/>
      <c r="Y2209" s="732">
        <f t="shared" si="278"/>
        <v>0</v>
      </c>
      <c r="Z2209" s="1153"/>
      <c r="AA2209" s="1153"/>
      <c r="AB2209" s="733">
        <f t="shared" si="279"/>
        <v>0</v>
      </c>
      <c r="AC2209" s="1152"/>
      <c r="AD2209" s="1153"/>
      <c r="AE2209" s="1152"/>
      <c r="AF2209" s="1152"/>
      <c r="AG2209" s="1153"/>
      <c r="AH2209" s="1153"/>
      <c r="AI2209" s="732">
        <f t="shared" si="283"/>
        <v>31100400</v>
      </c>
      <c r="AJ2209" s="733">
        <f t="shared" si="284"/>
        <v>29091700</v>
      </c>
    </row>
    <row r="2210" spans="1:36">
      <c r="A2210" s="894" t="s">
        <v>747</v>
      </c>
      <c r="B2210" s="883" t="s">
        <v>62</v>
      </c>
      <c r="C2210" s="902" t="s">
        <v>1097</v>
      </c>
      <c r="D2210" s="903"/>
      <c r="E2210" s="886">
        <v>221096</v>
      </c>
      <c r="F2210" s="887">
        <v>9</v>
      </c>
      <c r="G2210" s="1152">
        <v>17884200</v>
      </c>
      <c r="H2210" s="1153">
        <v>19766500</v>
      </c>
      <c r="I2210" s="1152"/>
      <c r="J2210" s="1153"/>
      <c r="K2210" s="1152"/>
      <c r="L2210" s="1153"/>
      <c r="M2210" s="1152">
        <v>23504700</v>
      </c>
      <c r="N2210" s="1152">
        <v>0</v>
      </c>
      <c r="O2210" s="732">
        <f t="shared" si="277"/>
        <v>23504700</v>
      </c>
      <c r="P2210" s="1153">
        <v>20927600</v>
      </c>
      <c r="Q2210" s="1153">
        <v>0</v>
      </c>
      <c r="R2210" s="733">
        <f t="shared" si="280"/>
        <v>20927600</v>
      </c>
      <c r="S2210" s="732">
        <f t="shared" si="281"/>
        <v>41388900</v>
      </c>
      <c r="T2210" s="733">
        <f t="shared" si="282"/>
        <v>40694100</v>
      </c>
      <c r="U2210" s="1152"/>
      <c r="V2210" s="1153"/>
      <c r="W2210" s="1152"/>
      <c r="X2210" s="1152"/>
      <c r="Y2210" s="732">
        <f t="shared" si="278"/>
        <v>0</v>
      </c>
      <c r="Z2210" s="1153"/>
      <c r="AA2210" s="1153"/>
      <c r="AB2210" s="733">
        <f t="shared" si="279"/>
        <v>0</v>
      </c>
      <c r="AC2210" s="1152"/>
      <c r="AD2210" s="1153"/>
      <c r="AE2210" s="1152"/>
      <c r="AF2210" s="1152"/>
      <c r="AG2210" s="1153"/>
      <c r="AH2210" s="1153"/>
      <c r="AI2210" s="732">
        <f t="shared" si="283"/>
        <v>41388900</v>
      </c>
      <c r="AJ2210" s="733">
        <f t="shared" si="284"/>
        <v>40694100</v>
      </c>
    </row>
    <row r="2211" spans="1:36">
      <c r="A2211" s="894" t="s">
        <v>747</v>
      </c>
      <c r="B2211" s="883" t="s">
        <v>62</v>
      </c>
      <c r="C2211" s="893" t="s">
        <v>1098</v>
      </c>
      <c r="D2211" s="890"/>
      <c r="E2211" s="886">
        <v>221908</v>
      </c>
      <c r="F2211" s="887">
        <v>9</v>
      </c>
      <c r="G2211" s="1152">
        <v>21412200</v>
      </c>
      <c r="H2211" s="1153">
        <v>23451900</v>
      </c>
      <c r="I2211" s="1152"/>
      <c r="J2211" s="1153"/>
      <c r="K2211" s="1152"/>
      <c r="L2211" s="1153"/>
      <c r="M2211" s="1152">
        <v>19378971</v>
      </c>
      <c r="N2211" s="1152">
        <v>0</v>
      </c>
      <c r="O2211" s="732">
        <f t="shared" si="277"/>
        <v>19378971</v>
      </c>
      <c r="P2211" s="1153">
        <v>17138420</v>
      </c>
      <c r="Q2211" s="1153">
        <v>0</v>
      </c>
      <c r="R2211" s="733">
        <f t="shared" si="280"/>
        <v>17138420</v>
      </c>
      <c r="S2211" s="732">
        <f t="shared" si="281"/>
        <v>40791171</v>
      </c>
      <c r="T2211" s="733">
        <f t="shared" si="282"/>
        <v>40590320</v>
      </c>
      <c r="U2211" s="1152"/>
      <c r="V2211" s="1153"/>
      <c r="W2211" s="1152"/>
      <c r="X2211" s="1152"/>
      <c r="Y2211" s="732">
        <f t="shared" si="278"/>
        <v>0</v>
      </c>
      <c r="Z2211" s="1153"/>
      <c r="AA2211" s="1153"/>
      <c r="AB2211" s="733">
        <f t="shared" si="279"/>
        <v>0</v>
      </c>
      <c r="AC2211" s="1152"/>
      <c r="AD2211" s="1153"/>
      <c r="AE2211" s="1152"/>
      <c r="AF2211" s="1152"/>
      <c r="AG2211" s="1153"/>
      <c r="AH2211" s="1153"/>
      <c r="AI2211" s="732">
        <f t="shared" si="283"/>
        <v>40791171</v>
      </c>
      <c r="AJ2211" s="733">
        <f t="shared" si="284"/>
        <v>40590320</v>
      </c>
    </row>
    <row r="2212" spans="1:36">
      <c r="A2212" s="894" t="s">
        <v>747</v>
      </c>
      <c r="B2212" s="883" t="s">
        <v>62</v>
      </c>
      <c r="C2212" s="902" t="s">
        <v>1099</v>
      </c>
      <c r="D2212" s="903"/>
      <c r="E2212" s="886">
        <v>221397</v>
      </c>
      <c r="F2212" s="887">
        <v>9</v>
      </c>
      <c r="G2212" s="1152">
        <v>24403800</v>
      </c>
      <c r="H2212" s="1153">
        <v>24551100</v>
      </c>
      <c r="I2212" s="1152"/>
      <c r="J2212" s="1153"/>
      <c r="K2212" s="1152"/>
      <c r="L2212" s="1153"/>
      <c r="M2212" s="1152">
        <v>19383400</v>
      </c>
      <c r="N2212" s="1152">
        <v>0</v>
      </c>
      <c r="O2212" s="732">
        <f t="shared" si="277"/>
        <v>19383400</v>
      </c>
      <c r="P2212" s="1153">
        <v>17399670</v>
      </c>
      <c r="Q2212" s="1153">
        <v>0</v>
      </c>
      <c r="R2212" s="733">
        <f t="shared" si="280"/>
        <v>17399670</v>
      </c>
      <c r="S2212" s="732">
        <f t="shared" si="281"/>
        <v>43787200</v>
      </c>
      <c r="T2212" s="733">
        <f t="shared" si="282"/>
        <v>41950770</v>
      </c>
      <c r="U2212" s="1152"/>
      <c r="V2212" s="1153"/>
      <c r="W2212" s="1152"/>
      <c r="X2212" s="1152"/>
      <c r="Y2212" s="732">
        <f t="shared" si="278"/>
        <v>0</v>
      </c>
      <c r="Z2212" s="1153"/>
      <c r="AA2212" s="1153"/>
      <c r="AB2212" s="733">
        <f t="shared" si="279"/>
        <v>0</v>
      </c>
      <c r="AC2212" s="1152"/>
      <c r="AD2212" s="1153"/>
      <c r="AE2212" s="1152"/>
      <c r="AF2212" s="1152"/>
      <c r="AG2212" s="1153"/>
      <c r="AH2212" s="1153"/>
      <c r="AI2212" s="732">
        <f t="shared" si="283"/>
        <v>43787200</v>
      </c>
      <c r="AJ2212" s="733">
        <f t="shared" si="284"/>
        <v>41950770</v>
      </c>
    </row>
    <row r="2213" spans="1:36" customFormat="1" ht="15" customHeight="1">
      <c r="A2213" s="894" t="s">
        <v>747</v>
      </c>
      <c r="B2213" s="883" t="s">
        <v>62</v>
      </c>
      <c r="C2213" s="905" t="s">
        <v>1100</v>
      </c>
      <c r="D2213" s="906"/>
      <c r="E2213" s="886">
        <v>222062</v>
      </c>
      <c r="F2213" s="887">
        <v>9</v>
      </c>
      <c r="G2213" s="1152">
        <v>25911100</v>
      </c>
      <c r="H2213" s="1153">
        <v>25977000</v>
      </c>
      <c r="I2213" s="1152"/>
      <c r="J2213" s="1153"/>
      <c r="K2213" s="1152"/>
      <c r="L2213" s="1153"/>
      <c r="M2213" s="1152">
        <v>22557900</v>
      </c>
      <c r="N2213" s="1152">
        <v>0</v>
      </c>
      <c r="O2213" s="732">
        <f t="shared" si="277"/>
        <v>22557900</v>
      </c>
      <c r="P2213" s="1153">
        <v>20255800</v>
      </c>
      <c r="Q2213" s="1153">
        <v>0</v>
      </c>
      <c r="R2213" s="733">
        <f t="shared" si="280"/>
        <v>20255800</v>
      </c>
      <c r="S2213" s="732">
        <f t="shared" si="281"/>
        <v>48469000</v>
      </c>
      <c r="T2213" s="733">
        <f t="shared" si="282"/>
        <v>46232800</v>
      </c>
      <c r="U2213" s="1152"/>
      <c r="V2213" s="1153"/>
      <c r="W2213" s="1152"/>
      <c r="X2213" s="1152"/>
      <c r="Y2213" s="732">
        <f t="shared" si="278"/>
        <v>0</v>
      </c>
      <c r="Z2213" s="1153"/>
      <c r="AA2213" s="1153"/>
      <c r="AB2213" s="733">
        <f t="shared" si="279"/>
        <v>0</v>
      </c>
      <c r="AC2213" s="1152"/>
      <c r="AD2213" s="1153"/>
      <c r="AE2213" s="1152"/>
      <c r="AF2213" s="1152"/>
      <c r="AG2213" s="1153"/>
      <c r="AH2213" s="1153"/>
      <c r="AI2213" s="732">
        <f t="shared" si="283"/>
        <v>48469000</v>
      </c>
      <c r="AJ2213" s="733">
        <f t="shared" si="284"/>
        <v>46232800</v>
      </c>
    </row>
    <row r="2214" spans="1:36" customFormat="1" ht="15" customHeight="1">
      <c r="A2214" s="894" t="s">
        <v>747</v>
      </c>
      <c r="B2214" s="883" t="s">
        <v>62</v>
      </c>
      <c r="C2214" s="885" t="s">
        <v>1101</v>
      </c>
      <c r="D2214" s="1099"/>
      <c r="E2214" s="886">
        <v>220057</v>
      </c>
      <c r="F2214" s="887">
        <v>10</v>
      </c>
      <c r="G2214" s="1152">
        <v>10781300</v>
      </c>
      <c r="H2214" s="1153">
        <v>11049000</v>
      </c>
      <c r="I2214" s="1152"/>
      <c r="J2214" s="1153"/>
      <c r="K2214" s="1152"/>
      <c r="L2214" s="1153"/>
      <c r="M2214" s="1152">
        <v>9144900</v>
      </c>
      <c r="N2214" s="1152">
        <v>0</v>
      </c>
      <c r="O2214" s="732">
        <f t="shared" si="277"/>
        <v>9144900</v>
      </c>
      <c r="P2214" s="1153">
        <v>8579900</v>
      </c>
      <c r="Q2214" s="1153">
        <v>0</v>
      </c>
      <c r="R2214" s="733">
        <f t="shared" si="280"/>
        <v>8579900</v>
      </c>
      <c r="S2214" s="732">
        <f t="shared" si="281"/>
        <v>19926200</v>
      </c>
      <c r="T2214" s="733">
        <f t="shared" si="282"/>
        <v>19628900</v>
      </c>
      <c r="U2214" s="1152"/>
      <c r="V2214" s="1153"/>
      <c r="W2214" s="1152"/>
      <c r="X2214" s="1152"/>
      <c r="Y2214" s="732">
        <f t="shared" si="278"/>
        <v>0</v>
      </c>
      <c r="Z2214" s="1153"/>
      <c r="AA2214" s="1153"/>
      <c r="AB2214" s="733">
        <f t="shared" si="279"/>
        <v>0</v>
      </c>
      <c r="AC2214" s="1152"/>
      <c r="AD2214" s="1153"/>
      <c r="AE2214" s="1152"/>
      <c r="AF2214" s="1152"/>
      <c r="AG2214" s="1153"/>
      <c r="AH2214" s="1153"/>
      <c r="AI2214" s="732">
        <f t="shared" si="283"/>
        <v>19926200</v>
      </c>
      <c r="AJ2214" s="733">
        <f t="shared" si="284"/>
        <v>19628900</v>
      </c>
    </row>
    <row r="2215" spans="1:36">
      <c r="A2215" s="894" t="s">
        <v>747</v>
      </c>
      <c r="B2215" s="883" t="s">
        <v>62</v>
      </c>
      <c r="C2215" s="902" t="s">
        <v>1104</v>
      </c>
      <c r="D2215" s="903"/>
      <c r="E2215" s="886">
        <v>219596</v>
      </c>
      <c r="F2215" s="887">
        <v>13</v>
      </c>
      <c r="G2215" s="1152">
        <v>1947100</v>
      </c>
      <c r="H2215" s="1153">
        <v>1958200</v>
      </c>
      <c r="I2215" s="1152"/>
      <c r="J2215" s="1153"/>
      <c r="K2215" s="1152"/>
      <c r="L2215" s="1153"/>
      <c r="M2215" s="1152">
        <v>876600</v>
      </c>
      <c r="N2215" s="1152">
        <v>0</v>
      </c>
      <c r="O2215" s="732">
        <f t="shared" si="277"/>
        <v>876600</v>
      </c>
      <c r="P2215" s="1153">
        <v>862700</v>
      </c>
      <c r="Q2215" s="1153">
        <v>0</v>
      </c>
      <c r="R2215" s="733">
        <f t="shared" si="280"/>
        <v>862700</v>
      </c>
      <c r="S2215" s="732">
        <f t="shared" si="281"/>
        <v>2823700</v>
      </c>
      <c r="T2215" s="733">
        <f t="shared" si="282"/>
        <v>2820900</v>
      </c>
      <c r="U2215" s="1152"/>
      <c r="V2215" s="1153"/>
      <c r="W2215" s="1152"/>
      <c r="X2215" s="1152"/>
      <c r="Y2215" s="732">
        <f t="shared" si="278"/>
        <v>0</v>
      </c>
      <c r="Z2215" s="1153"/>
      <c r="AA2215" s="1153"/>
      <c r="AB2215" s="733">
        <f t="shared" si="279"/>
        <v>0</v>
      </c>
      <c r="AC2215" s="1152"/>
      <c r="AD2215" s="1153"/>
      <c r="AE2215" s="1152"/>
      <c r="AF2215" s="1152"/>
      <c r="AG2215" s="1153"/>
      <c r="AH2215" s="1153"/>
      <c r="AI2215" s="732">
        <f t="shared" si="283"/>
        <v>2823700</v>
      </c>
      <c r="AJ2215" s="733">
        <f t="shared" si="284"/>
        <v>2820900</v>
      </c>
    </row>
    <row r="2216" spans="1:36" customFormat="1" ht="15" customHeight="1">
      <c r="A2216" s="897" t="s">
        <v>747</v>
      </c>
      <c r="B2216" s="883" t="s">
        <v>62</v>
      </c>
      <c r="C2216" s="893" t="s">
        <v>1102</v>
      </c>
      <c r="D2216" s="1100"/>
      <c r="E2216" s="892" t="s">
        <v>1103</v>
      </c>
      <c r="F2216" s="1101">
        <v>13</v>
      </c>
      <c r="G2216" s="1152">
        <v>4476100</v>
      </c>
      <c r="H2216" s="1153">
        <v>4501500</v>
      </c>
      <c r="I2216" s="1152"/>
      <c r="J2216" s="1153"/>
      <c r="K2216" s="1152"/>
      <c r="L2216" s="1153"/>
      <c r="M2216" s="1152">
        <v>2679700</v>
      </c>
      <c r="N2216" s="1152">
        <v>0</v>
      </c>
      <c r="O2216" s="732">
        <f t="shared" si="277"/>
        <v>2679700</v>
      </c>
      <c r="P2216" s="1153">
        <v>2513000</v>
      </c>
      <c r="Q2216" s="1153">
        <v>0</v>
      </c>
      <c r="R2216" s="733">
        <f t="shared" si="280"/>
        <v>2513000</v>
      </c>
      <c r="S2216" s="732">
        <f t="shared" si="281"/>
        <v>7155800</v>
      </c>
      <c r="T2216" s="733">
        <f t="shared" si="282"/>
        <v>7014500</v>
      </c>
      <c r="U2216" s="1152"/>
      <c r="V2216" s="1153"/>
      <c r="W2216" s="1152"/>
      <c r="X2216" s="1152"/>
      <c r="Y2216" s="732">
        <f t="shared" si="278"/>
        <v>0</v>
      </c>
      <c r="Z2216" s="1153"/>
      <c r="AA2216" s="1153"/>
      <c r="AB2216" s="733">
        <f t="shared" si="279"/>
        <v>0</v>
      </c>
      <c r="AC2216" s="1152"/>
      <c r="AD2216" s="1153"/>
      <c r="AE2216" s="1152"/>
      <c r="AF2216" s="1152"/>
      <c r="AG2216" s="1153"/>
      <c r="AH2216" s="1153"/>
      <c r="AI2216" s="732">
        <f t="shared" si="283"/>
        <v>7155800</v>
      </c>
      <c r="AJ2216" s="733">
        <f t="shared" si="284"/>
        <v>7014500</v>
      </c>
    </row>
    <row r="2217" spans="1:36">
      <c r="A2217" s="894" t="s">
        <v>747</v>
      </c>
      <c r="B2217" s="883" t="s">
        <v>62</v>
      </c>
      <c r="C2217" s="885" t="s">
        <v>1105</v>
      </c>
      <c r="D2217" s="885"/>
      <c r="E2217" s="886">
        <v>219921</v>
      </c>
      <c r="F2217" s="887">
        <v>13</v>
      </c>
      <c r="G2217" s="1152">
        <v>1632900</v>
      </c>
      <c r="H2217" s="1153">
        <v>1642200</v>
      </c>
      <c r="I2217" s="1152"/>
      <c r="J2217" s="1153"/>
      <c r="K2217" s="1152"/>
      <c r="L2217" s="1153"/>
      <c r="M2217" s="1152">
        <v>1070400</v>
      </c>
      <c r="N2217" s="1152">
        <v>0</v>
      </c>
      <c r="O2217" s="732">
        <f t="shared" si="277"/>
        <v>1070400</v>
      </c>
      <c r="P2217" s="1153">
        <v>772300</v>
      </c>
      <c r="Q2217" s="1153">
        <v>0</v>
      </c>
      <c r="R2217" s="733">
        <f t="shared" si="280"/>
        <v>772300</v>
      </c>
      <c r="S2217" s="732">
        <f t="shared" si="281"/>
        <v>2703300</v>
      </c>
      <c r="T2217" s="733">
        <f t="shared" si="282"/>
        <v>2414500</v>
      </c>
      <c r="U2217" s="1152"/>
      <c r="V2217" s="1153"/>
      <c r="W2217" s="1152"/>
      <c r="X2217" s="1152"/>
      <c r="Y2217" s="732">
        <f t="shared" si="278"/>
        <v>0</v>
      </c>
      <c r="Z2217" s="1153"/>
      <c r="AA2217" s="1153"/>
      <c r="AB2217" s="733">
        <f t="shared" si="279"/>
        <v>0</v>
      </c>
      <c r="AC2217" s="1152"/>
      <c r="AD2217" s="1153"/>
      <c r="AE2217" s="1152"/>
      <c r="AF2217" s="1152"/>
      <c r="AG2217" s="1153"/>
      <c r="AH2217" s="1153"/>
      <c r="AI2217" s="732">
        <f t="shared" si="283"/>
        <v>2703300</v>
      </c>
      <c r="AJ2217" s="733">
        <f t="shared" si="284"/>
        <v>2414500</v>
      </c>
    </row>
    <row r="2218" spans="1:36">
      <c r="A2218" s="894" t="s">
        <v>747</v>
      </c>
      <c r="B2218" s="883" t="s">
        <v>62</v>
      </c>
      <c r="C2218" s="907" t="s">
        <v>1106</v>
      </c>
      <c r="D2218" s="908"/>
      <c r="E2218" s="886">
        <v>221591</v>
      </c>
      <c r="F2218" s="887">
        <v>13</v>
      </c>
      <c r="G2218" s="1152">
        <v>3266300</v>
      </c>
      <c r="H2218" s="1153">
        <v>3284900</v>
      </c>
      <c r="I2218" s="1152"/>
      <c r="J2218" s="1153"/>
      <c r="K2218" s="1152"/>
      <c r="L2218" s="1153"/>
      <c r="M2218" s="1152">
        <v>1542800</v>
      </c>
      <c r="N2218" s="1152">
        <v>0</v>
      </c>
      <c r="O2218" s="732">
        <f t="shared" si="277"/>
        <v>1542800</v>
      </c>
      <c r="P2218" s="1153">
        <v>1497700</v>
      </c>
      <c r="Q2218" s="1153">
        <v>0</v>
      </c>
      <c r="R2218" s="733">
        <f t="shared" si="280"/>
        <v>1497700</v>
      </c>
      <c r="S2218" s="732">
        <f t="shared" si="281"/>
        <v>4809100</v>
      </c>
      <c r="T2218" s="733">
        <f t="shared" si="282"/>
        <v>4782600</v>
      </c>
      <c r="U2218" s="1152"/>
      <c r="V2218" s="1153"/>
      <c r="W2218" s="1152"/>
      <c r="X2218" s="1152"/>
      <c r="Y2218" s="732">
        <f t="shared" si="278"/>
        <v>0</v>
      </c>
      <c r="Z2218" s="1153"/>
      <c r="AA2218" s="1153"/>
      <c r="AB2218" s="733">
        <f t="shared" si="279"/>
        <v>0</v>
      </c>
      <c r="AC2218" s="1152"/>
      <c r="AD2218" s="1153"/>
      <c r="AE2218" s="1152"/>
      <c r="AF2218" s="1152"/>
      <c r="AG2218" s="1153"/>
      <c r="AH2218" s="1153"/>
      <c r="AI2218" s="732">
        <f t="shared" si="283"/>
        <v>4809100</v>
      </c>
      <c r="AJ2218" s="733">
        <f t="shared" si="284"/>
        <v>4782600</v>
      </c>
    </row>
    <row r="2219" spans="1:36">
      <c r="A2219" s="894" t="s">
        <v>747</v>
      </c>
      <c r="B2219" s="883" t="s">
        <v>62</v>
      </c>
      <c r="C2219" s="909" t="s">
        <v>1107</v>
      </c>
      <c r="D2219" s="890"/>
      <c r="E2219" s="886">
        <v>221430</v>
      </c>
      <c r="F2219" s="887">
        <v>13</v>
      </c>
      <c r="G2219" s="1152">
        <v>2248300</v>
      </c>
      <c r="H2219" s="1153">
        <v>2261100</v>
      </c>
      <c r="I2219" s="1152"/>
      <c r="J2219" s="1153"/>
      <c r="K2219" s="1152"/>
      <c r="L2219" s="1153"/>
      <c r="M2219" s="1152">
        <v>897000</v>
      </c>
      <c r="N2219" s="1152">
        <v>0</v>
      </c>
      <c r="O2219" s="732">
        <f t="shared" si="277"/>
        <v>897000</v>
      </c>
      <c r="P2219" s="1153">
        <v>1183692</v>
      </c>
      <c r="Q2219" s="1153">
        <v>0</v>
      </c>
      <c r="R2219" s="733">
        <f t="shared" si="280"/>
        <v>1183692</v>
      </c>
      <c r="S2219" s="732">
        <f t="shared" si="281"/>
        <v>3145300</v>
      </c>
      <c r="T2219" s="733">
        <f t="shared" si="282"/>
        <v>3444792</v>
      </c>
      <c r="U2219" s="1152"/>
      <c r="V2219" s="1153"/>
      <c r="W2219" s="1152"/>
      <c r="X2219" s="1152"/>
      <c r="Y2219" s="732">
        <f t="shared" si="278"/>
        <v>0</v>
      </c>
      <c r="Z2219" s="1153"/>
      <c r="AA2219" s="1153"/>
      <c r="AB2219" s="733">
        <f t="shared" si="279"/>
        <v>0</v>
      </c>
      <c r="AC2219" s="1152"/>
      <c r="AD2219" s="1153"/>
      <c r="AE2219" s="1152"/>
      <c r="AF2219" s="1152"/>
      <c r="AG2219" s="1153"/>
      <c r="AH2219" s="1153"/>
      <c r="AI2219" s="732">
        <f t="shared" si="283"/>
        <v>3145300</v>
      </c>
      <c r="AJ2219" s="733">
        <f t="shared" si="284"/>
        <v>3444792</v>
      </c>
    </row>
    <row r="2220" spans="1:36">
      <c r="A2220" s="894" t="s">
        <v>747</v>
      </c>
      <c r="B2220" s="883" t="s">
        <v>62</v>
      </c>
      <c r="C2220" s="904" t="s">
        <v>1108</v>
      </c>
      <c r="D2220" s="903"/>
      <c r="E2220" s="886">
        <v>219994</v>
      </c>
      <c r="F2220" s="887">
        <v>13</v>
      </c>
      <c r="G2220" s="1152">
        <v>3328200</v>
      </c>
      <c r="H2220" s="1153">
        <v>3347200</v>
      </c>
      <c r="I2220" s="1152"/>
      <c r="J2220" s="1153"/>
      <c r="K2220" s="1152"/>
      <c r="L2220" s="1153"/>
      <c r="M2220" s="1152">
        <v>2265700</v>
      </c>
      <c r="N2220" s="1152">
        <v>0</v>
      </c>
      <c r="O2220" s="732">
        <f t="shared" si="277"/>
        <v>2265700</v>
      </c>
      <c r="P2220" s="1153">
        <v>2470000</v>
      </c>
      <c r="Q2220" s="1153">
        <v>0</v>
      </c>
      <c r="R2220" s="733">
        <f t="shared" si="280"/>
        <v>2470000</v>
      </c>
      <c r="S2220" s="732">
        <f t="shared" si="281"/>
        <v>5593900</v>
      </c>
      <c r="T2220" s="733">
        <f t="shared" si="282"/>
        <v>5817200</v>
      </c>
      <c r="U2220" s="1152"/>
      <c r="V2220" s="1153"/>
      <c r="W2220" s="1152"/>
      <c r="X2220" s="1152"/>
      <c r="Y2220" s="732">
        <f t="shared" si="278"/>
        <v>0</v>
      </c>
      <c r="Z2220" s="1153"/>
      <c r="AA2220" s="1153"/>
      <c r="AB2220" s="733">
        <f t="shared" si="279"/>
        <v>0</v>
      </c>
      <c r="AC2220" s="1152"/>
      <c r="AD2220" s="1153"/>
      <c r="AE2220" s="1152"/>
      <c r="AF2220" s="1152"/>
      <c r="AG2220" s="1153"/>
      <c r="AH2220" s="1153"/>
      <c r="AI2220" s="732">
        <f t="shared" si="283"/>
        <v>5593900</v>
      </c>
      <c r="AJ2220" s="733">
        <f t="shared" si="284"/>
        <v>5817200</v>
      </c>
    </row>
    <row r="2221" spans="1:36">
      <c r="A2221" s="894" t="s">
        <v>747</v>
      </c>
      <c r="B2221" s="883" t="s">
        <v>62</v>
      </c>
      <c r="C2221" s="904" t="s">
        <v>1109</v>
      </c>
      <c r="D2221" s="903"/>
      <c r="E2221" s="886">
        <v>220127</v>
      </c>
      <c r="F2221" s="887">
        <v>13</v>
      </c>
      <c r="G2221" s="1152">
        <v>2153100</v>
      </c>
      <c r="H2221" s="1153">
        <v>2165500</v>
      </c>
      <c r="I2221" s="1152"/>
      <c r="J2221" s="1153"/>
      <c r="K2221" s="1152"/>
      <c r="L2221" s="1153"/>
      <c r="M2221" s="1152">
        <v>1574500</v>
      </c>
      <c r="N2221" s="1152">
        <v>0</v>
      </c>
      <c r="O2221" s="732">
        <f t="shared" si="277"/>
        <v>1574500</v>
      </c>
      <c r="P2221" s="1153">
        <v>1514800</v>
      </c>
      <c r="Q2221" s="1153">
        <v>0</v>
      </c>
      <c r="R2221" s="733">
        <f t="shared" si="280"/>
        <v>1514800</v>
      </c>
      <c r="S2221" s="732">
        <f t="shared" si="281"/>
        <v>3727600</v>
      </c>
      <c r="T2221" s="733">
        <f t="shared" si="282"/>
        <v>3680300</v>
      </c>
      <c r="U2221" s="1152"/>
      <c r="V2221" s="1153"/>
      <c r="W2221" s="1152"/>
      <c r="X2221" s="1152"/>
      <c r="Y2221" s="732">
        <f t="shared" si="278"/>
        <v>0</v>
      </c>
      <c r="Z2221" s="1153"/>
      <c r="AA2221" s="1153"/>
      <c r="AB2221" s="733">
        <f t="shared" si="279"/>
        <v>0</v>
      </c>
      <c r="AC2221" s="1152"/>
      <c r="AD2221" s="1153"/>
      <c r="AE2221" s="1152"/>
      <c r="AF2221" s="1152"/>
      <c r="AG2221" s="1153"/>
      <c r="AH2221" s="1153"/>
      <c r="AI2221" s="732">
        <f t="shared" si="283"/>
        <v>3727600</v>
      </c>
      <c r="AJ2221" s="733">
        <f t="shared" si="284"/>
        <v>3680300</v>
      </c>
    </row>
    <row r="2222" spans="1:36">
      <c r="A2222" s="894" t="s">
        <v>747</v>
      </c>
      <c r="B2222" s="883" t="s">
        <v>62</v>
      </c>
      <c r="C2222" s="904" t="s">
        <v>1110</v>
      </c>
      <c r="D2222" s="903"/>
      <c r="E2222" s="886">
        <v>220251</v>
      </c>
      <c r="F2222" s="887">
        <v>13</v>
      </c>
      <c r="G2222" s="1152">
        <v>2009600</v>
      </c>
      <c r="H2222" s="1153">
        <v>2021000</v>
      </c>
      <c r="I2222" s="1152"/>
      <c r="J2222" s="1153"/>
      <c r="K2222" s="1152"/>
      <c r="L2222" s="1153"/>
      <c r="M2222" s="1152">
        <v>975200</v>
      </c>
      <c r="N2222" s="1152">
        <v>0</v>
      </c>
      <c r="O2222" s="732">
        <f t="shared" si="277"/>
        <v>975200</v>
      </c>
      <c r="P2222" s="1153">
        <v>899200</v>
      </c>
      <c r="Q2222" s="1153">
        <v>0</v>
      </c>
      <c r="R2222" s="733">
        <f t="shared" si="280"/>
        <v>899200</v>
      </c>
      <c r="S2222" s="732">
        <f t="shared" si="281"/>
        <v>2984800</v>
      </c>
      <c r="T2222" s="733">
        <f t="shared" si="282"/>
        <v>2920200</v>
      </c>
      <c r="U2222" s="1152"/>
      <c r="V2222" s="1153"/>
      <c r="W2222" s="1152"/>
      <c r="X2222" s="1152"/>
      <c r="Y2222" s="732">
        <f t="shared" si="278"/>
        <v>0</v>
      </c>
      <c r="Z2222" s="1153"/>
      <c r="AA2222" s="1153"/>
      <c r="AB2222" s="733">
        <f t="shared" si="279"/>
        <v>0</v>
      </c>
      <c r="AC2222" s="1152"/>
      <c r="AD2222" s="1153"/>
      <c r="AE2222" s="1152"/>
      <c r="AF2222" s="1152"/>
      <c r="AG2222" s="1153"/>
      <c r="AH2222" s="1153"/>
      <c r="AI2222" s="732">
        <f t="shared" si="283"/>
        <v>2984800</v>
      </c>
      <c r="AJ2222" s="733">
        <f t="shared" si="284"/>
        <v>2920200</v>
      </c>
    </row>
    <row r="2223" spans="1:36">
      <c r="A2223" s="894" t="s">
        <v>747</v>
      </c>
      <c r="B2223" s="883" t="s">
        <v>62</v>
      </c>
      <c r="C2223" s="904" t="s">
        <v>1111</v>
      </c>
      <c r="D2223" s="903"/>
      <c r="E2223" s="886">
        <v>220279</v>
      </c>
      <c r="F2223" s="887">
        <v>13</v>
      </c>
      <c r="G2223" s="1152">
        <v>1598500</v>
      </c>
      <c r="H2223" s="1153">
        <v>1607500</v>
      </c>
      <c r="I2223" s="1152"/>
      <c r="J2223" s="1153"/>
      <c r="K2223" s="1152"/>
      <c r="L2223" s="1153"/>
      <c r="M2223" s="1152">
        <v>1179000</v>
      </c>
      <c r="N2223" s="1152">
        <v>0</v>
      </c>
      <c r="O2223" s="732">
        <f t="shared" si="277"/>
        <v>1179000</v>
      </c>
      <c r="P2223" s="1153">
        <v>1215500</v>
      </c>
      <c r="Q2223" s="1153">
        <v>0</v>
      </c>
      <c r="R2223" s="733">
        <f t="shared" si="280"/>
        <v>1215500</v>
      </c>
      <c r="S2223" s="732">
        <f t="shared" si="281"/>
        <v>2777500</v>
      </c>
      <c r="T2223" s="733">
        <f t="shared" si="282"/>
        <v>2823000</v>
      </c>
      <c r="U2223" s="1152"/>
      <c r="V2223" s="1153"/>
      <c r="W2223" s="1152"/>
      <c r="X2223" s="1152"/>
      <c r="Y2223" s="732">
        <f t="shared" si="278"/>
        <v>0</v>
      </c>
      <c r="Z2223" s="1153"/>
      <c r="AA2223" s="1153"/>
      <c r="AB2223" s="733">
        <f t="shared" si="279"/>
        <v>0</v>
      </c>
      <c r="AC2223" s="1152"/>
      <c r="AD2223" s="1153"/>
      <c r="AE2223" s="1152"/>
      <c r="AF2223" s="1152"/>
      <c r="AG2223" s="1153"/>
      <c r="AH2223" s="1153"/>
      <c r="AI2223" s="732">
        <f t="shared" si="283"/>
        <v>2777500</v>
      </c>
      <c r="AJ2223" s="733">
        <f t="shared" si="284"/>
        <v>2823000</v>
      </c>
    </row>
    <row r="2224" spans="1:36">
      <c r="A2224" s="894" t="s">
        <v>747</v>
      </c>
      <c r="B2224" s="883" t="s">
        <v>62</v>
      </c>
      <c r="C2224" s="904" t="s">
        <v>1112</v>
      </c>
      <c r="D2224" s="903"/>
      <c r="E2224" s="886">
        <v>220321</v>
      </c>
      <c r="F2224" s="887">
        <v>13</v>
      </c>
      <c r="G2224" s="1152">
        <v>2186600</v>
      </c>
      <c r="H2224" s="1153">
        <v>2199000</v>
      </c>
      <c r="I2224" s="1152"/>
      <c r="J2224" s="1153"/>
      <c r="K2224" s="1152"/>
      <c r="L2224" s="1153"/>
      <c r="M2224" s="1152">
        <v>1370000</v>
      </c>
      <c r="N2224" s="1152">
        <v>0</v>
      </c>
      <c r="O2224" s="732">
        <f t="shared" si="277"/>
        <v>1370000</v>
      </c>
      <c r="P2224" s="1153">
        <v>1254200</v>
      </c>
      <c r="Q2224" s="1153">
        <v>0</v>
      </c>
      <c r="R2224" s="733">
        <f t="shared" si="280"/>
        <v>1254200</v>
      </c>
      <c r="S2224" s="732">
        <f t="shared" si="281"/>
        <v>3556600</v>
      </c>
      <c r="T2224" s="733">
        <f t="shared" si="282"/>
        <v>3453200</v>
      </c>
      <c r="U2224" s="1152"/>
      <c r="V2224" s="1153"/>
      <c r="W2224" s="1152"/>
      <c r="X2224" s="1152"/>
      <c r="Y2224" s="732">
        <f t="shared" si="278"/>
        <v>0</v>
      </c>
      <c r="Z2224" s="1153"/>
      <c r="AA2224" s="1153"/>
      <c r="AB2224" s="733">
        <f t="shared" si="279"/>
        <v>0</v>
      </c>
      <c r="AC2224" s="1152"/>
      <c r="AD2224" s="1153"/>
      <c r="AE2224" s="1152"/>
      <c r="AF2224" s="1152"/>
      <c r="AG2224" s="1153"/>
      <c r="AH2224" s="1153"/>
      <c r="AI2224" s="732">
        <f t="shared" si="283"/>
        <v>3556600</v>
      </c>
      <c r="AJ2224" s="733">
        <f t="shared" si="284"/>
        <v>3453200</v>
      </c>
    </row>
    <row r="2225" spans="1:36">
      <c r="A2225" s="894" t="s">
        <v>747</v>
      </c>
      <c r="B2225" s="883" t="s">
        <v>62</v>
      </c>
      <c r="C2225" s="904" t="s">
        <v>1113</v>
      </c>
      <c r="D2225" s="903"/>
      <c r="E2225" s="886">
        <v>220394</v>
      </c>
      <c r="F2225" s="887">
        <v>13</v>
      </c>
      <c r="G2225" s="1152">
        <v>1875300</v>
      </c>
      <c r="H2225" s="1153">
        <v>1885900</v>
      </c>
      <c r="I2225" s="1152"/>
      <c r="J2225" s="1153"/>
      <c r="K2225" s="1152"/>
      <c r="L2225" s="1153"/>
      <c r="M2225" s="1152">
        <v>652600</v>
      </c>
      <c r="N2225" s="1152">
        <v>0</v>
      </c>
      <c r="O2225" s="732">
        <f t="shared" si="277"/>
        <v>652600</v>
      </c>
      <c r="P2225" s="1153">
        <v>814100</v>
      </c>
      <c r="Q2225" s="1153">
        <v>0</v>
      </c>
      <c r="R2225" s="733">
        <f t="shared" si="280"/>
        <v>814100</v>
      </c>
      <c r="S2225" s="732">
        <f t="shared" si="281"/>
        <v>2527900</v>
      </c>
      <c r="T2225" s="733">
        <f t="shared" si="282"/>
        <v>2700000</v>
      </c>
      <c r="U2225" s="1152"/>
      <c r="V2225" s="1153"/>
      <c r="W2225" s="1152"/>
      <c r="X2225" s="1152"/>
      <c r="Y2225" s="732">
        <f t="shared" si="278"/>
        <v>0</v>
      </c>
      <c r="Z2225" s="1153"/>
      <c r="AA2225" s="1153"/>
      <c r="AB2225" s="733">
        <f t="shared" si="279"/>
        <v>0</v>
      </c>
      <c r="AC2225" s="1152"/>
      <c r="AD2225" s="1153"/>
      <c r="AE2225" s="1152"/>
      <c r="AF2225" s="1152"/>
      <c r="AG2225" s="1153"/>
      <c r="AH2225" s="1153"/>
      <c r="AI2225" s="732">
        <f t="shared" si="283"/>
        <v>2527900</v>
      </c>
      <c r="AJ2225" s="733">
        <f t="shared" si="284"/>
        <v>2700000</v>
      </c>
    </row>
    <row r="2226" spans="1:36">
      <c r="A2226" s="894" t="s">
        <v>747</v>
      </c>
      <c r="B2226" s="883" t="s">
        <v>62</v>
      </c>
      <c r="C2226" s="909" t="s">
        <v>1114</v>
      </c>
      <c r="D2226" s="890"/>
      <c r="E2226" s="886">
        <v>221616</v>
      </c>
      <c r="F2226" s="887">
        <v>13</v>
      </c>
      <c r="G2226" s="1152">
        <v>4320800</v>
      </c>
      <c r="H2226" s="1153">
        <v>4345400</v>
      </c>
      <c r="I2226" s="1152"/>
      <c r="J2226" s="1153"/>
      <c r="K2226" s="1152"/>
      <c r="L2226" s="1153"/>
      <c r="M2226" s="1152">
        <v>1539300</v>
      </c>
      <c r="N2226" s="1152">
        <v>0</v>
      </c>
      <c r="O2226" s="732">
        <f t="shared" si="277"/>
        <v>1539300</v>
      </c>
      <c r="P2226" s="1153">
        <v>1765400</v>
      </c>
      <c r="Q2226" s="1153">
        <v>0</v>
      </c>
      <c r="R2226" s="733">
        <f t="shared" si="280"/>
        <v>1765400</v>
      </c>
      <c r="S2226" s="732">
        <f t="shared" si="281"/>
        <v>5860100</v>
      </c>
      <c r="T2226" s="733">
        <f t="shared" si="282"/>
        <v>6110800</v>
      </c>
      <c r="U2226" s="1152"/>
      <c r="V2226" s="1153"/>
      <c r="W2226" s="1152"/>
      <c r="X2226" s="1152"/>
      <c r="Y2226" s="732">
        <f t="shared" si="278"/>
        <v>0</v>
      </c>
      <c r="Z2226" s="1153"/>
      <c r="AA2226" s="1153"/>
      <c r="AB2226" s="733">
        <f t="shared" si="279"/>
        <v>0</v>
      </c>
      <c r="AC2226" s="1152"/>
      <c r="AD2226" s="1153"/>
      <c r="AE2226" s="1152"/>
      <c r="AF2226" s="1152"/>
      <c r="AG2226" s="1153"/>
      <c r="AH2226" s="1153"/>
      <c r="AI2226" s="732">
        <f t="shared" si="283"/>
        <v>5860100</v>
      </c>
      <c r="AJ2226" s="733">
        <f t="shared" si="284"/>
        <v>6110800</v>
      </c>
    </row>
    <row r="2227" spans="1:36">
      <c r="A2227" s="894" t="s">
        <v>747</v>
      </c>
      <c r="B2227" s="883" t="s">
        <v>62</v>
      </c>
      <c r="C2227" s="904" t="s">
        <v>1115</v>
      </c>
      <c r="D2227" s="903"/>
      <c r="E2227" s="886">
        <v>221625</v>
      </c>
      <c r="F2227" s="887">
        <v>13</v>
      </c>
      <c r="G2227" s="1152">
        <v>4524300</v>
      </c>
      <c r="H2227" s="1153">
        <v>4550000</v>
      </c>
      <c r="I2227" s="1152"/>
      <c r="J2227" s="1153"/>
      <c r="K2227" s="1152"/>
      <c r="L2227" s="1153"/>
      <c r="M2227" s="1152">
        <v>2556600</v>
      </c>
      <c r="N2227" s="1152">
        <v>0</v>
      </c>
      <c r="O2227" s="732">
        <f t="shared" si="277"/>
        <v>2556600</v>
      </c>
      <c r="P2227" s="1153">
        <v>2958000</v>
      </c>
      <c r="Q2227" s="1153">
        <v>0</v>
      </c>
      <c r="R2227" s="733">
        <f t="shared" si="280"/>
        <v>2958000</v>
      </c>
      <c r="S2227" s="732">
        <f t="shared" si="281"/>
        <v>7080900</v>
      </c>
      <c r="T2227" s="733">
        <f t="shared" si="282"/>
        <v>7508000</v>
      </c>
      <c r="U2227" s="1152"/>
      <c r="V2227" s="1153"/>
      <c r="W2227" s="1152"/>
      <c r="X2227" s="1152"/>
      <c r="Y2227" s="732">
        <f t="shared" si="278"/>
        <v>0</v>
      </c>
      <c r="Z2227" s="1153"/>
      <c r="AA2227" s="1153"/>
      <c r="AB2227" s="733">
        <f t="shared" si="279"/>
        <v>0</v>
      </c>
      <c r="AC2227" s="1152"/>
      <c r="AD2227" s="1153"/>
      <c r="AE2227" s="1152"/>
      <c r="AF2227" s="1152"/>
      <c r="AG2227" s="1153"/>
      <c r="AH2227" s="1153"/>
      <c r="AI2227" s="732">
        <f t="shared" si="283"/>
        <v>7080900</v>
      </c>
      <c r="AJ2227" s="733">
        <f t="shared" si="284"/>
        <v>7508000</v>
      </c>
    </row>
    <row r="2228" spans="1:36">
      <c r="A2228" s="894" t="s">
        <v>747</v>
      </c>
      <c r="B2228" s="883" t="s">
        <v>62</v>
      </c>
      <c r="C2228" s="904" t="s">
        <v>1116</v>
      </c>
      <c r="D2228" s="903"/>
      <c r="E2228" s="886">
        <v>220640</v>
      </c>
      <c r="F2228" s="887">
        <v>13</v>
      </c>
      <c r="G2228" s="1152">
        <v>3010100</v>
      </c>
      <c r="H2228" s="1153">
        <v>3027200</v>
      </c>
      <c r="I2228" s="1152"/>
      <c r="J2228" s="1153"/>
      <c r="K2228" s="1152"/>
      <c r="L2228" s="1153"/>
      <c r="M2228" s="1152">
        <v>1355100</v>
      </c>
      <c r="N2228" s="1152">
        <v>0</v>
      </c>
      <c r="O2228" s="732">
        <f t="shared" si="277"/>
        <v>1355100</v>
      </c>
      <c r="P2228" s="1153">
        <v>1379100</v>
      </c>
      <c r="Q2228" s="1153">
        <v>0</v>
      </c>
      <c r="R2228" s="733">
        <f t="shared" si="280"/>
        <v>1379100</v>
      </c>
      <c r="S2228" s="732">
        <f t="shared" si="281"/>
        <v>4365200</v>
      </c>
      <c r="T2228" s="733">
        <f t="shared" si="282"/>
        <v>4406300</v>
      </c>
      <c r="U2228" s="1152"/>
      <c r="V2228" s="1153"/>
      <c r="W2228" s="1152"/>
      <c r="X2228" s="1152"/>
      <c r="Y2228" s="732">
        <f t="shared" si="278"/>
        <v>0</v>
      </c>
      <c r="Z2228" s="1153"/>
      <c r="AA2228" s="1153"/>
      <c r="AB2228" s="733">
        <f t="shared" si="279"/>
        <v>0</v>
      </c>
      <c r="AC2228" s="1152"/>
      <c r="AD2228" s="1153"/>
      <c r="AE2228" s="1152"/>
      <c r="AF2228" s="1152"/>
      <c r="AG2228" s="1153"/>
      <c r="AH2228" s="1153"/>
      <c r="AI2228" s="732">
        <f t="shared" si="283"/>
        <v>4365200</v>
      </c>
      <c r="AJ2228" s="733">
        <f t="shared" si="284"/>
        <v>4406300</v>
      </c>
    </row>
    <row r="2229" spans="1:36">
      <c r="A2229" s="894" t="s">
        <v>747</v>
      </c>
      <c r="B2229" s="883" t="s">
        <v>62</v>
      </c>
      <c r="C2229" s="904" t="s">
        <v>1117</v>
      </c>
      <c r="D2229" s="903"/>
      <c r="E2229" s="886">
        <v>220756</v>
      </c>
      <c r="F2229" s="887">
        <v>13</v>
      </c>
      <c r="G2229" s="1152">
        <v>1803200</v>
      </c>
      <c r="H2229" s="1153">
        <v>1813400</v>
      </c>
      <c r="I2229" s="1152"/>
      <c r="J2229" s="1153"/>
      <c r="K2229" s="1152"/>
      <c r="L2229" s="1153"/>
      <c r="M2229" s="1152">
        <v>506900</v>
      </c>
      <c r="N2229" s="1152">
        <v>0</v>
      </c>
      <c r="O2229" s="732">
        <f t="shared" si="277"/>
        <v>506900</v>
      </c>
      <c r="P2229" s="1153">
        <v>455500</v>
      </c>
      <c r="Q2229" s="1153">
        <v>0</v>
      </c>
      <c r="R2229" s="733">
        <f t="shared" si="280"/>
        <v>455500</v>
      </c>
      <c r="S2229" s="732">
        <f t="shared" si="281"/>
        <v>2310100</v>
      </c>
      <c r="T2229" s="733">
        <f t="shared" si="282"/>
        <v>2268900</v>
      </c>
      <c r="U2229" s="1152"/>
      <c r="V2229" s="1153"/>
      <c r="W2229" s="1152"/>
      <c r="X2229" s="1152"/>
      <c r="Y2229" s="732">
        <f t="shared" si="278"/>
        <v>0</v>
      </c>
      <c r="Z2229" s="1153"/>
      <c r="AA2229" s="1153"/>
      <c r="AB2229" s="733">
        <f t="shared" si="279"/>
        <v>0</v>
      </c>
      <c r="AC2229" s="1152"/>
      <c r="AD2229" s="1153"/>
      <c r="AE2229" s="1152"/>
      <c r="AF2229" s="1152"/>
      <c r="AG2229" s="1153"/>
      <c r="AH2229" s="1153"/>
      <c r="AI2229" s="732">
        <f t="shared" si="283"/>
        <v>2310100</v>
      </c>
      <c r="AJ2229" s="733">
        <f t="shared" si="284"/>
        <v>2268900</v>
      </c>
    </row>
    <row r="2230" spans="1:36">
      <c r="A2230" s="894" t="s">
        <v>747</v>
      </c>
      <c r="B2230" s="883" t="s">
        <v>62</v>
      </c>
      <c r="C2230" s="904" t="s">
        <v>1118</v>
      </c>
      <c r="D2230" s="903"/>
      <c r="E2230" s="886">
        <v>221607</v>
      </c>
      <c r="F2230" s="887">
        <v>13</v>
      </c>
      <c r="G2230" s="1152">
        <v>1976300</v>
      </c>
      <c r="H2230" s="1153">
        <v>1987600</v>
      </c>
      <c r="I2230" s="1152"/>
      <c r="J2230" s="1153"/>
      <c r="K2230" s="1152"/>
      <c r="L2230" s="1153"/>
      <c r="M2230" s="1152">
        <v>792700</v>
      </c>
      <c r="N2230" s="1152">
        <v>0</v>
      </c>
      <c r="O2230" s="732">
        <f t="shared" si="277"/>
        <v>792700</v>
      </c>
      <c r="P2230" s="1153">
        <v>922141</v>
      </c>
      <c r="Q2230" s="1153">
        <v>0</v>
      </c>
      <c r="R2230" s="733">
        <f t="shared" si="280"/>
        <v>922141</v>
      </c>
      <c r="S2230" s="732">
        <f t="shared" si="281"/>
        <v>2769000</v>
      </c>
      <c r="T2230" s="733">
        <f t="shared" si="282"/>
        <v>2909741</v>
      </c>
      <c r="U2230" s="1152"/>
      <c r="V2230" s="1153"/>
      <c r="W2230" s="1152"/>
      <c r="X2230" s="1152"/>
      <c r="Y2230" s="732">
        <f t="shared" si="278"/>
        <v>0</v>
      </c>
      <c r="Z2230" s="1153"/>
      <c r="AA2230" s="1153"/>
      <c r="AB2230" s="733">
        <f t="shared" si="279"/>
        <v>0</v>
      </c>
      <c r="AC2230" s="1152"/>
      <c r="AD2230" s="1153"/>
      <c r="AE2230" s="1152"/>
      <c r="AF2230" s="1152"/>
      <c r="AG2230" s="1153"/>
      <c r="AH2230" s="1153"/>
      <c r="AI2230" s="732">
        <f t="shared" si="283"/>
        <v>2769000</v>
      </c>
      <c r="AJ2230" s="733">
        <f t="shared" si="284"/>
        <v>2909741</v>
      </c>
    </row>
    <row r="2231" spans="1:36">
      <c r="A2231" s="894" t="s">
        <v>747</v>
      </c>
      <c r="B2231" s="883" t="s">
        <v>62</v>
      </c>
      <c r="C2231" s="904" t="s">
        <v>1119</v>
      </c>
      <c r="D2231" s="1102" t="s">
        <v>1804</v>
      </c>
      <c r="E2231" s="892">
        <v>220853</v>
      </c>
      <c r="F2231" s="892">
        <v>13</v>
      </c>
      <c r="G2231" s="1152">
        <v>5982600</v>
      </c>
      <c r="H2231" s="1153">
        <v>6016700</v>
      </c>
      <c r="I2231" s="1152"/>
      <c r="J2231" s="1153"/>
      <c r="K2231" s="1152"/>
      <c r="L2231" s="1153"/>
      <c r="M2231" s="1152">
        <v>3431850</v>
      </c>
      <c r="N2231" s="1152">
        <v>0</v>
      </c>
      <c r="O2231" s="732">
        <f t="shared" si="277"/>
        <v>3431850</v>
      </c>
      <c r="P2231" s="1153">
        <v>3470794</v>
      </c>
      <c r="Q2231" s="1153">
        <v>0</v>
      </c>
      <c r="R2231" s="733">
        <f t="shared" si="280"/>
        <v>3470794</v>
      </c>
      <c r="S2231" s="732">
        <f t="shared" si="281"/>
        <v>9414450</v>
      </c>
      <c r="T2231" s="733">
        <f t="shared" si="282"/>
        <v>9487494</v>
      </c>
      <c r="U2231" s="1152"/>
      <c r="V2231" s="1153"/>
      <c r="W2231" s="1152"/>
      <c r="X2231" s="1152"/>
      <c r="Y2231" s="732">
        <f t="shared" si="278"/>
        <v>0</v>
      </c>
      <c r="Z2231" s="1153"/>
      <c r="AA2231" s="1153"/>
      <c r="AB2231" s="733">
        <f t="shared" si="279"/>
        <v>0</v>
      </c>
      <c r="AC2231" s="1152"/>
      <c r="AD2231" s="1153"/>
      <c r="AE2231" s="1152"/>
      <c r="AF2231" s="1152"/>
      <c r="AG2231" s="1153"/>
      <c r="AH2231" s="1153"/>
      <c r="AI2231" s="732">
        <f t="shared" si="283"/>
        <v>9414450</v>
      </c>
      <c r="AJ2231" s="733">
        <f t="shared" si="284"/>
        <v>9487494</v>
      </c>
    </row>
    <row r="2232" spans="1:36">
      <c r="A2232" s="894" t="s">
        <v>747</v>
      </c>
      <c r="B2232" s="883" t="s">
        <v>62</v>
      </c>
      <c r="C2232" s="904" t="s">
        <v>1120</v>
      </c>
      <c r="D2232" s="903"/>
      <c r="E2232" s="886">
        <v>221050</v>
      </c>
      <c r="F2232" s="887">
        <v>13</v>
      </c>
      <c r="G2232" s="1152">
        <v>5525100</v>
      </c>
      <c r="H2232" s="1153">
        <v>5556600</v>
      </c>
      <c r="I2232" s="1152"/>
      <c r="J2232" s="1153"/>
      <c r="K2232" s="1152"/>
      <c r="L2232" s="1153"/>
      <c r="M2232" s="1152">
        <v>2592100</v>
      </c>
      <c r="N2232" s="1152">
        <v>0</v>
      </c>
      <c r="O2232" s="732">
        <f t="shared" si="277"/>
        <v>2592100</v>
      </c>
      <c r="P2232" s="1153">
        <v>2363900</v>
      </c>
      <c r="Q2232" s="1153">
        <v>0</v>
      </c>
      <c r="R2232" s="733">
        <f t="shared" si="280"/>
        <v>2363900</v>
      </c>
      <c r="S2232" s="732">
        <f t="shared" si="281"/>
        <v>8117200</v>
      </c>
      <c r="T2232" s="733">
        <f t="shared" si="282"/>
        <v>7920500</v>
      </c>
      <c r="U2232" s="1152"/>
      <c r="V2232" s="1153"/>
      <c r="W2232" s="1152"/>
      <c r="X2232" s="1152"/>
      <c r="Y2232" s="732">
        <f t="shared" si="278"/>
        <v>0</v>
      </c>
      <c r="Z2232" s="1153"/>
      <c r="AA2232" s="1153"/>
      <c r="AB2232" s="733">
        <f t="shared" si="279"/>
        <v>0</v>
      </c>
      <c r="AC2232" s="1152"/>
      <c r="AD2232" s="1153"/>
      <c r="AE2232" s="1152"/>
      <c r="AF2232" s="1152"/>
      <c r="AG2232" s="1153"/>
      <c r="AH2232" s="1153"/>
      <c r="AI2232" s="732">
        <f t="shared" si="283"/>
        <v>8117200</v>
      </c>
      <c r="AJ2232" s="733">
        <f t="shared" si="284"/>
        <v>7920500</v>
      </c>
    </row>
    <row r="2233" spans="1:36">
      <c r="A2233" s="894" t="s">
        <v>747</v>
      </c>
      <c r="B2233" s="883" t="s">
        <v>62</v>
      </c>
      <c r="C2233" s="909" t="s">
        <v>1121</v>
      </c>
      <c r="D2233" s="890"/>
      <c r="E2233" s="886">
        <v>221102</v>
      </c>
      <c r="F2233" s="887">
        <v>13</v>
      </c>
      <c r="G2233" s="1152">
        <v>2446800</v>
      </c>
      <c r="H2233" s="1153">
        <v>2460800</v>
      </c>
      <c r="I2233" s="1152"/>
      <c r="J2233" s="1153"/>
      <c r="K2233" s="1152"/>
      <c r="L2233" s="1153"/>
      <c r="M2233" s="1152">
        <v>1785200</v>
      </c>
      <c r="N2233" s="1152">
        <v>0</v>
      </c>
      <c r="O2233" s="732">
        <f t="shared" si="277"/>
        <v>1785200</v>
      </c>
      <c r="P2233" s="1153">
        <v>1860200</v>
      </c>
      <c r="Q2233" s="1153">
        <v>0</v>
      </c>
      <c r="R2233" s="733">
        <f t="shared" si="280"/>
        <v>1860200</v>
      </c>
      <c r="S2233" s="732">
        <f t="shared" si="281"/>
        <v>4232000</v>
      </c>
      <c r="T2233" s="733">
        <f t="shared" si="282"/>
        <v>4321000</v>
      </c>
      <c r="U2233" s="1152"/>
      <c r="V2233" s="1153"/>
      <c r="W2233" s="1152"/>
      <c r="X2233" s="1152"/>
      <c r="Y2233" s="732">
        <f t="shared" si="278"/>
        <v>0</v>
      </c>
      <c r="Z2233" s="1153"/>
      <c r="AA2233" s="1153"/>
      <c r="AB2233" s="733">
        <f t="shared" si="279"/>
        <v>0</v>
      </c>
      <c r="AC2233" s="1152"/>
      <c r="AD2233" s="1153"/>
      <c r="AE2233" s="1152"/>
      <c r="AF2233" s="1152"/>
      <c r="AG2233" s="1153"/>
      <c r="AH2233" s="1153"/>
      <c r="AI2233" s="732">
        <f t="shared" si="283"/>
        <v>4232000</v>
      </c>
      <c r="AJ2233" s="733">
        <f t="shared" si="284"/>
        <v>4321000</v>
      </c>
    </row>
    <row r="2234" spans="1:36">
      <c r="A2234" s="894" t="s">
        <v>747</v>
      </c>
      <c r="B2234" s="883" t="s">
        <v>62</v>
      </c>
      <c r="C2234" s="904" t="s">
        <v>1122</v>
      </c>
      <c r="D2234" s="903"/>
      <c r="E2234" s="886">
        <v>248925</v>
      </c>
      <c r="F2234" s="887">
        <v>13</v>
      </c>
      <c r="G2234" s="1152">
        <v>5179600</v>
      </c>
      <c r="H2234" s="1153">
        <v>5209100</v>
      </c>
      <c r="I2234" s="1152"/>
      <c r="J2234" s="1153"/>
      <c r="K2234" s="1152"/>
      <c r="L2234" s="1153"/>
      <c r="M2234" s="1152">
        <v>2859500</v>
      </c>
      <c r="N2234" s="1152">
        <v>0</v>
      </c>
      <c r="O2234" s="732">
        <f t="shared" si="277"/>
        <v>2859500</v>
      </c>
      <c r="P2234" s="1153">
        <v>2851500</v>
      </c>
      <c r="Q2234" s="1153">
        <v>0</v>
      </c>
      <c r="R2234" s="733">
        <f t="shared" si="280"/>
        <v>2851500</v>
      </c>
      <c r="S2234" s="732">
        <f t="shared" si="281"/>
        <v>8039100</v>
      </c>
      <c r="T2234" s="733">
        <f t="shared" si="282"/>
        <v>8060600</v>
      </c>
      <c r="U2234" s="1152"/>
      <c r="V2234" s="1153"/>
      <c r="W2234" s="1152"/>
      <c r="X2234" s="1152"/>
      <c r="Y2234" s="732">
        <f t="shared" si="278"/>
        <v>0</v>
      </c>
      <c r="Z2234" s="1153"/>
      <c r="AA2234" s="1153"/>
      <c r="AB2234" s="733">
        <f t="shared" si="279"/>
        <v>0</v>
      </c>
      <c r="AC2234" s="1152"/>
      <c r="AD2234" s="1153"/>
      <c r="AE2234" s="1152"/>
      <c r="AF2234" s="1152"/>
      <c r="AG2234" s="1153"/>
      <c r="AH2234" s="1153"/>
      <c r="AI2234" s="732">
        <f t="shared" si="283"/>
        <v>8039100</v>
      </c>
      <c r="AJ2234" s="733">
        <f t="shared" si="284"/>
        <v>8060600</v>
      </c>
    </row>
    <row r="2235" spans="1:36">
      <c r="A2235" s="894" t="s">
        <v>747</v>
      </c>
      <c r="B2235" s="883" t="s">
        <v>62</v>
      </c>
      <c r="C2235" s="904" t="s">
        <v>1123</v>
      </c>
      <c r="D2235" s="903"/>
      <c r="E2235" s="886">
        <v>221236</v>
      </c>
      <c r="F2235" s="887">
        <v>13</v>
      </c>
      <c r="G2235" s="1152">
        <v>1962100</v>
      </c>
      <c r="H2235" s="1153">
        <v>1973200</v>
      </c>
      <c r="I2235" s="1152"/>
      <c r="J2235" s="1153"/>
      <c r="K2235" s="1152"/>
      <c r="L2235" s="1153"/>
      <c r="M2235" s="1152">
        <v>1284700</v>
      </c>
      <c r="N2235" s="1152">
        <v>0</v>
      </c>
      <c r="O2235" s="732">
        <f t="shared" si="277"/>
        <v>1284700</v>
      </c>
      <c r="P2235" s="1153">
        <v>1253700</v>
      </c>
      <c r="Q2235" s="1153">
        <v>0</v>
      </c>
      <c r="R2235" s="733">
        <f t="shared" si="280"/>
        <v>1253700</v>
      </c>
      <c r="S2235" s="732">
        <f t="shared" si="281"/>
        <v>3246800</v>
      </c>
      <c r="T2235" s="733">
        <f t="shared" si="282"/>
        <v>3226900</v>
      </c>
      <c r="U2235" s="1152"/>
      <c r="V2235" s="1153"/>
      <c r="W2235" s="1152"/>
      <c r="X2235" s="1152"/>
      <c r="Y2235" s="732">
        <f t="shared" si="278"/>
        <v>0</v>
      </c>
      <c r="Z2235" s="1153"/>
      <c r="AA2235" s="1153"/>
      <c r="AB2235" s="733">
        <f t="shared" si="279"/>
        <v>0</v>
      </c>
      <c r="AC2235" s="1152"/>
      <c r="AD2235" s="1153"/>
      <c r="AE2235" s="1152"/>
      <c r="AF2235" s="1152"/>
      <c r="AG2235" s="1153"/>
      <c r="AH2235" s="1153"/>
      <c r="AI2235" s="732">
        <f t="shared" si="283"/>
        <v>3246800</v>
      </c>
      <c r="AJ2235" s="733">
        <f t="shared" si="284"/>
        <v>3226900</v>
      </c>
    </row>
    <row r="2236" spans="1:36">
      <c r="A2236" s="894" t="s">
        <v>747</v>
      </c>
      <c r="B2236" s="883" t="s">
        <v>62</v>
      </c>
      <c r="C2236" s="904" t="s">
        <v>1124</v>
      </c>
      <c r="D2236" s="903"/>
      <c r="E2236" s="886">
        <v>221582</v>
      </c>
      <c r="F2236" s="887">
        <v>13</v>
      </c>
      <c r="G2236" s="1152">
        <v>1875400</v>
      </c>
      <c r="H2236" s="1153">
        <v>1886200</v>
      </c>
      <c r="I2236" s="1152"/>
      <c r="J2236" s="1153"/>
      <c r="K2236" s="1152"/>
      <c r="L2236" s="1153"/>
      <c r="M2236" s="1152">
        <v>581900</v>
      </c>
      <c r="N2236" s="1152">
        <v>0</v>
      </c>
      <c r="O2236" s="732">
        <f t="shared" si="277"/>
        <v>581900</v>
      </c>
      <c r="P2236" s="1153">
        <v>621600</v>
      </c>
      <c r="Q2236" s="1153">
        <v>0</v>
      </c>
      <c r="R2236" s="733">
        <f t="shared" si="280"/>
        <v>621600</v>
      </c>
      <c r="S2236" s="732">
        <f t="shared" si="281"/>
        <v>2457300</v>
      </c>
      <c r="T2236" s="733">
        <f t="shared" si="282"/>
        <v>2507800</v>
      </c>
      <c r="U2236" s="1152"/>
      <c r="V2236" s="1153"/>
      <c r="W2236" s="1152"/>
      <c r="X2236" s="1152"/>
      <c r="Y2236" s="732">
        <f t="shared" si="278"/>
        <v>0</v>
      </c>
      <c r="Z2236" s="1153"/>
      <c r="AA2236" s="1153"/>
      <c r="AB2236" s="733">
        <f t="shared" si="279"/>
        <v>0</v>
      </c>
      <c r="AC2236" s="1152"/>
      <c r="AD2236" s="1153"/>
      <c r="AE2236" s="1152"/>
      <c r="AF2236" s="1152"/>
      <c r="AG2236" s="1153"/>
      <c r="AH2236" s="1153"/>
      <c r="AI2236" s="732">
        <f t="shared" si="283"/>
        <v>2457300</v>
      </c>
      <c r="AJ2236" s="733">
        <f t="shared" si="284"/>
        <v>2507800</v>
      </c>
    </row>
    <row r="2237" spans="1:36">
      <c r="A2237" s="894" t="s">
        <v>747</v>
      </c>
      <c r="B2237" s="883" t="s">
        <v>62</v>
      </c>
      <c r="C2237" s="904" t="s">
        <v>1125</v>
      </c>
      <c r="D2237" s="903"/>
      <c r="E2237" s="886">
        <v>221281</v>
      </c>
      <c r="F2237" s="887">
        <v>13</v>
      </c>
      <c r="G2237" s="1152">
        <v>2510500</v>
      </c>
      <c r="H2237" s="1153">
        <v>2524800</v>
      </c>
      <c r="I2237" s="1152"/>
      <c r="J2237" s="1153"/>
      <c r="K2237" s="1152"/>
      <c r="L2237" s="1153"/>
      <c r="M2237" s="1152">
        <v>844300</v>
      </c>
      <c r="N2237" s="1152">
        <v>0</v>
      </c>
      <c r="O2237" s="732">
        <f t="shared" si="277"/>
        <v>844300</v>
      </c>
      <c r="P2237" s="1153">
        <v>827000</v>
      </c>
      <c r="Q2237" s="1153">
        <v>0</v>
      </c>
      <c r="R2237" s="733">
        <f t="shared" si="280"/>
        <v>827000</v>
      </c>
      <c r="S2237" s="732">
        <f t="shared" si="281"/>
        <v>3354800</v>
      </c>
      <c r="T2237" s="733">
        <f t="shared" si="282"/>
        <v>3351800</v>
      </c>
      <c r="U2237" s="1152"/>
      <c r="V2237" s="1153"/>
      <c r="W2237" s="1152"/>
      <c r="X2237" s="1152"/>
      <c r="Y2237" s="732">
        <f t="shared" si="278"/>
        <v>0</v>
      </c>
      <c r="Z2237" s="1153"/>
      <c r="AA2237" s="1153"/>
      <c r="AB2237" s="733">
        <f t="shared" si="279"/>
        <v>0</v>
      </c>
      <c r="AC2237" s="1152"/>
      <c r="AD2237" s="1153"/>
      <c r="AE2237" s="1152"/>
      <c r="AF2237" s="1152"/>
      <c r="AG2237" s="1153"/>
      <c r="AH2237" s="1153"/>
      <c r="AI2237" s="732">
        <f t="shared" si="283"/>
        <v>3354800</v>
      </c>
      <c r="AJ2237" s="733">
        <f t="shared" si="284"/>
        <v>3351800</v>
      </c>
    </row>
    <row r="2238" spans="1:36">
      <c r="A2238" s="894" t="s">
        <v>747</v>
      </c>
      <c r="B2238" s="883" t="s">
        <v>62</v>
      </c>
      <c r="C2238" s="904" t="s">
        <v>1126</v>
      </c>
      <c r="D2238" s="903"/>
      <c r="E2238" s="886">
        <v>221333</v>
      </c>
      <c r="F2238" s="887">
        <v>13</v>
      </c>
      <c r="G2238" s="1152">
        <v>1991700</v>
      </c>
      <c r="H2238" s="1153">
        <v>2003100</v>
      </c>
      <c r="I2238" s="1152"/>
      <c r="J2238" s="1153"/>
      <c r="K2238" s="1152"/>
      <c r="L2238" s="1153"/>
      <c r="M2238" s="1152">
        <v>1125000</v>
      </c>
      <c r="N2238" s="1152">
        <v>0</v>
      </c>
      <c r="O2238" s="732">
        <f t="shared" si="277"/>
        <v>1125000</v>
      </c>
      <c r="P2238" s="1153">
        <v>1151500</v>
      </c>
      <c r="Q2238" s="1153">
        <v>0</v>
      </c>
      <c r="R2238" s="733">
        <f t="shared" si="280"/>
        <v>1151500</v>
      </c>
      <c r="S2238" s="732">
        <f t="shared" si="281"/>
        <v>3116700</v>
      </c>
      <c r="T2238" s="733">
        <f t="shared" si="282"/>
        <v>3154600</v>
      </c>
      <c r="U2238" s="1152"/>
      <c r="V2238" s="1153"/>
      <c r="W2238" s="1152"/>
      <c r="X2238" s="1152"/>
      <c r="Y2238" s="732">
        <f t="shared" si="278"/>
        <v>0</v>
      </c>
      <c r="Z2238" s="1153"/>
      <c r="AA2238" s="1153"/>
      <c r="AB2238" s="733">
        <f t="shared" si="279"/>
        <v>0</v>
      </c>
      <c r="AC2238" s="1152"/>
      <c r="AD2238" s="1153"/>
      <c r="AE2238" s="1152"/>
      <c r="AF2238" s="1152"/>
      <c r="AG2238" s="1153"/>
      <c r="AH2238" s="1153"/>
      <c r="AI2238" s="732">
        <f t="shared" si="283"/>
        <v>3116700</v>
      </c>
      <c r="AJ2238" s="733">
        <f t="shared" si="284"/>
        <v>3154600</v>
      </c>
    </row>
    <row r="2239" spans="1:36">
      <c r="A2239" s="894" t="s">
        <v>747</v>
      </c>
      <c r="B2239" s="883" t="s">
        <v>62</v>
      </c>
      <c r="C2239" s="904" t="s">
        <v>1127</v>
      </c>
      <c r="D2239" s="903"/>
      <c r="E2239" s="886">
        <v>221388</v>
      </c>
      <c r="F2239" s="887">
        <v>13</v>
      </c>
      <c r="G2239" s="1152">
        <v>1597400</v>
      </c>
      <c r="H2239" s="1153">
        <v>1607000</v>
      </c>
      <c r="I2239" s="1152"/>
      <c r="J2239" s="1153"/>
      <c r="K2239" s="1152"/>
      <c r="L2239" s="1153"/>
      <c r="M2239" s="1152">
        <v>630000</v>
      </c>
      <c r="N2239" s="1152">
        <v>0</v>
      </c>
      <c r="O2239" s="732">
        <f t="shared" si="277"/>
        <v>630000</v>
      </c>
      <c r="P2239" s="1153">
        <v>613467</v>
      </c>
      <c r="Q2239" s="1153">
        <v>0</v>
      </c>
      <c r="R2239" s="733">
        <f t="shared" si="280"/>
        <v>613467</v>
      </c>
      <c r="S2239" s="732">
        <f t="shared" si="281"/>
        <v>2227400</v>
      </c>
      <c r="T2239" s="733">
        <f t="shared" si="282"/>
        <v>2220467</v>
      </c>
      <c r="U2239" s="1152"/>
      <c r="V2239" s="1153"/>
      <c r="W2239" s="1152"/>
      <c r="X2239" s="1152"/>
      <c r="Y2239" s="732">
        <f t="shared" si="278"/>
        <v>0</v>
      </c>
      <c r="Z2239" s="1153"/>
      <c r="AA2239" s="1153"/>
      <c r="AB2239" s="733">
        <f t="shared" si="279"/>
        <v>0</v>
      </c>
      <c r="AC2239" s="1152"/>
      <c r="AD2239" s="1153"/>
      <c r="AE2239" s="1152"/>
      <c r="AF2239" s="1152"/>
      <c r="AG2239" s="1153"/>
      <c r="AH2239" s="1153"/>
      <c r="AI2239" s="732">
        <f t="shared" si="283"/>
        <v>2227400</v>
      </c>
      <c r="AJ2239" s="733">
        <f t="shared" si="284"/>
        <v>2220467</v>
      </c>
    </row>
    <row r="2240" spans="1:36">
      <c r="A2240" s="894" t="s">
        <v>747</v>
      </c>
      <c r="B2240" s="883" t="s">
        <v>62</v>
      </c>
      <c r="C2240" s="909" t="s">
        <v>1128</v>
      </c>
      <c r="D2240" s="890"/>
      <c r="E2240" s="886">
        <v>221494</v>
      </c>
      <c r="F2240" s="887">
        <v>13</v>
      </c>
      <c r="G2240" s="1152">
        <v>2812100</v>
      </c>
      <c r="H2240" s="1153">
        <v>2828100</v>
      </c>
      <c r="I2240" s="1152"/>
      <c r="J2240" s="1153"/>
      <c r="K2240" s="1152"/>
      <c r="L2240" s="1153"/>
      <c r="M2240" s="1152">
        <v>1672100</v>
      </c>
      <c r="N2240" s="1152">
        <v>0</v>
      </c>
      <c r="O2240" s="732">
        <f t="shared" si="277"/>
        <v>1672100</v>
      </c>
      <c r="P2240" s="1153">
        <v>1563900</v>
      </c>
      <c r="Q2240" s="1153">
        <v>0</v>
      </c>
      <c r="R2240" s="733">
        <f t="shared" si="280"/>
        <v>1563900</v>
      </c>
      <c r="S2240" s="732">
        <f t="shared" si="281"/>
        <v>4484200</v>
      </c>
      <c r="T2240" s="733">
        <f t="shared" si="282"/>
        <v>4392000</v>
      </c>
      <c r="U2240" s="1152"/>
      <c r="V2240" s="1153"/>
      <c r="W2240" s="1152"/>
      <c r="X2240" s="1152"/>
      <c r="Y2240" s="732">
        <f t="shared" si="278"/>
        <v>0</v>
      </c>
      <c r="Z2240" s="1153"/>
      <c r="AA2240" s="1153"/>
      <c r="AB2240" s="733">
        <f t="shared" si="279"/>
        <v>0</v>
      </c>
      <c r="AC2240" s="1152"/>
      <c r="AD2240" s="1153"/>
      <c r="AE2240" s="1152"/>
      <c r="AF2240" s="1152"/>
      <c r="AG2240" s="1153"/>
      <c r="AH2240" s="1153"/>
      <c r="AI2240" s="732">
        <f t="shared" si="283"/>
        <v>4484200</v>
      </c>
      <c r="AJ2240" s="733">
        <f t="shared" si="284"/>
        <v>4392000</v>
      </c>
    </row>
    <row r="2241" spans="1:36">
      <c r="A2241" s="894" t="s">
        <v>747</v>
      </c>
      <c r="B2241" s="883" t="s">
        <v>62</v>
      </c>
      <c r="C2241" s="904" t="s">
        <v>1129</v>
      </c>
      <c r="D2241" s="903"/>
      <c r="E2241" s="886">
        <v>221634</v>
      </c>
      <c r="F2241" s="887">
        <v>13</v>
      </c>
      <c r="G2241" s="1152">
        <v>1836100</v>
      </c>
      <c r="H2241" s="1153">
        <v>1846600</v>
      </c>
      <c r="I2241" s="1152"/>
      <c r="J2241" s="1153"/>
      <c r="K2241" s="1152"/>
      <c r="L2241" s="1153"/>
      <c r="M2241" s="1152">
        <v>514800</v>
      </c>
      <c r="N2241" s="1152">
        <v>0</v>
      </c>
      <c r="O2241" s="732">
        <f t="shared" si="277"/>
        <v>514800</v>
      </c>
      <c r="P2241" s="1153">
        <v>625700</v>
      </c>
      <c r="Q2241" s="1153">
        <v>0</v>
      </c>
      <c r="R2241" s="733">
        <f t="shared" si="280"/>
        <v>625700</v>
      </c>
      <c r="S2241" s="732">
        <f t="shared" si="281"/>
        <v>2350900</v>
      </c>
      <c r="T2241" s="733">
        <f t="shared" si="282"/>
        <v>2472300</v>
      </c>
      <c r="U2241" s="1152"/>
      <c r="V2241" s="1153"/>
      <c r="W2241" s="1152"/>
      <c r="X2241" s="1152"/>
      <c r="Y2241" s="732">
        <f t="shared" si="278"/>
        <v>0</v>
      </c>
      <c r="Z2241" s="1153"/>
      <c r="AA2241" s="1153"/>
      <c r="AB2241" s="733">
        <f t="shared" si="279"/>
        <v>0</v>
      </c>
      <c r="AC2241" s="1152"/>
      <c r="AD2241" s="1153"/>
      <c r="AE2241" s="1152"/>
      <c r="AF2241" s="1152"/>
      <c r="AG2241" s="1153"/>
      <c r="AH2241" s="1153"/>
      <c r="AI2241" s="732">
        <f t="shared" si="283"/>
        <v>2350900</v>
      </c>
      <c r="AJ2241" s="733">
        <f t="shared" si="284"/>
        <v>2472300</v>
      </c>
    </row>
    <row r="2242" spans="1:36">
      <c r="A2242" s="894" t="s">
        <v>747</v>
      </c>
      <c r="B2242" s="883" t="s">
        <v>238</v>
      </c>
      <c r="C2242" s="904" t="s">
        <v>1130</v>
      </c>
      <c r="D2242" s="903"/>
      <c r="E2242" s="886">
        <v>221704</v>
      </c>
      <c r="F2242" s="887">
        <v>15</v>
      </c>
      <c r="G2242" s="1152"/>
      <c r="H2242" s="1153"/>
      <c r="I2242" s="1152"/>
      <c r="J2242" s="1153"/>
      <c r="K2242" s="1152"/>
      <c r="L2242" s="1153"/>
      <c r="M2242" s="1152">
        <v>0</v>
      </c>
      <c r="N2242" s="1152">
        <v>0</v>
      </c>
      <c r="O2242" s="732">
        <f t="shared" si="277"/>
        <v>0</v>
      </c>
      <c r="P2242" s="1153"/>
      <c r="Q2242" s="1153"/>
      <c r="R2242" s="733">
        <f t="shared" si="280"/>
        <v>0</v>
      </c>
      <c r="S2242" s="732">
        <f t="shared" si="281"/>
        <v>0</v>
      </c>
      <c r="T2242" s="733">
        <f t="shared" si="282"/>
        <v>0</v>
      </c>
      <c r="U2242" s="1152"/>
      <c r="V2242" s="1153"/>
      <c r="W2242" s="1152"/>
      <c r="X2242" s="1152"/>
      <c r="Y2242" s="732">
        <f t="shared" si="278"/>
        <v>0</v>
      </c>
      <c r="Z2242" s="1153"/>
      <c r="AA2242" s="1153"/>
      <c r="AB2242" s="733">
        <f t="shared" si="279"/>
        <v>0</v>
      </c>
      <c r="AC2242" s="1152"/>
      <c r="AD2242" s="1153"/>
      <c r="AE2242" s="1152"/>
      <c r="AF2242" s="1152"/>
      <c r="AG2242" s="1153"/>
      <c r="AH2242" s="1153"/>
      <c r="AI2242" s="732">
        <f t="shared" si="283"/>
        <v>0</v>
      </c>
      <c r="AJ2242" s="733">
        <f t="shared" si="284"/>
        <v>0</v>
      </c>
    </row>
    <row r="2243" spans="1:36">
      <c r="A2243" s="894" t="s">
        <v>747</v>
      </c>
      <c r="B2243" s="883" t="s">
        <v>238</v>
      </c>
      <c r="C2243" s="904" t="s">
        <v>495</v>
      </c>
      <c r="D2243" s="903"/>
      <c r="E2243" s="886">
        <v>221704</v>
      </c>
      <c r="F2243" s="887">
        <v>15</v>
      </c>
      <c r="G2243" s="1152"/>
      <c r="H2243" s="1153"/>
      <c r="I2243" s="1152"/>
      <c r="J2243" s="1153"/>
      <c r="K2243" s="1152"/>
      <c r="L2243" s="1153"/>
      <c r="M2243" s="1152">
        <v>0</v>
      </c>
      <c r="N2243" s="1152">
        <v>0</v>
      </c>
      <c r="O2243" s="732">
        <f t="shared" si="277"/>
        <v>0</v>
      </c>
      <c r="P2243" s="1153"/>
      <c r="Q2243" s="1153"/>
      <c r="R2243" s="733">
        <f t="shared" si="280"/>
        <v>0</v>
      </c>
      <c r="S2243" s="732">
        <f t="shared" si="281"/>
        <v>0</v>
      </c>
      <c r="T2243" s="733">
        <f t="shared" si="282"/>
        <v>0</v>
      </c>
      <c r="U2243" s="1152"/>
      <c r="V2243" s="1153"/>
      <c r="W2243" s="1152"/>
      <c r="X2243" s="1152"/>
      <c r="Y2243" s="732">
        <f t="shared" si="278"/>
        <v>0</v>
      </c>
      <c r="Z2243" s="1153"/>
      <c r="AA2243" s="1153"/>
      <c r="AB2243" s="733">
        <f t="shared" si="279"/>
        <v>0</v>
      </c>
      <c r="AC2243" s="1152">
        <v>166232400</v>
      </c>
      <c r="AD2243" s="1153">
        <v>169135500</v>
      </c>
      <c r="AE2243" s="1152">
        <v>81983794</v>
      </c>
      <c r="AF2243" s="1152">
        <v>169500</v>
      </c>
      <c r="AG2243" s="1153">
        <v>81983794</v>
      </c>
      <c r="AH2243" s="1153">
        <v>169500</v>
      </c>
      <c r="AI2243" s="732">
        <f t="shared" si="283"/>
        <v>248216194</v>
      </c>
      <c r="AJ2243" s="733">
        <f t="shared" si="284"/>
        <v>251119294</v>
      </c>
    </row>
    <row r="2244" spans="1:36">
      <c r="A2244" s="894" t="s">
        <v>747</v>
      </c>
      <c r="B2244" s="883" t="s">
        <v>238</v>
      </c>
      <c r="C2244" s="904" t="s">
        <v>334</v>
      </c>
      <c r="D2244" s="903"/>
      <c r="E2244" s="886">
        <v>221704</v>
      </c>
      <c r="F2244" s="887">
        <v>15</v>
      </c>
      <c r="G2244" s="1152"/>
      <c r="H2244" s="1153"/>
      <c r="I2244" s="1152"/>
      <c r="J2244" s="1153"/>
      <c r="K2244" s="1152"/>
      <c r="L2244" s="1153"/>
      <c r="M2244" s="1152">
        <v>0</v>
      </c>
      <c r="N2244" s="1152">
        <v>0</v>
      </c>
      <c r="O2244" s="732">
        <f t="shared" si="277"/>
        <v>0</v>
      </c>
      <c r="P2244" s="1153"/>
      <c r="Q2244" s="1153"/>
      <c r="R2244" s="733">
        <f t="shared" si="280"/>
        <v>0</v>
      </c>
      <c r="S2244" s="732">
        <f t="shared" si="281"/>
        <v>0</v>
      </c>
      <c r="T2244" s="733">
        <f t="shared" si="282"/>
        <v>0</v>
      </c>
      <c r="U2244" s="1152"/>
      <c r="V2244" s="1153"/>
      <c r="W2244" s="1152"/>
      <c r="X2244" s="1152"/>
      <c r="Y2244" s="732">
        <f t="shared" si="278"/>
        <v>0</v>
      </c>
      <c r="Z2244" s="1153"/>
      <c r="AA2244" s="1153"/>
      <c r="AB2244" s="733">
        <f t="shared" si="279"/>
        <v>0</v>
      </c>
      <c r="AC2244" s="1152"/>
      <c r="AD2244" s="1153"/>
      <c r="AE2244" s="1152"/>
      <c r="AF2244" s="1152"/>
      <c r="AG2244" s="1153"/>
      <c r="AH2244" s="1153"/>
      <c r="AI2244" s="732">
        <f t="shared" si="283"/>
        <v>0</v>
      </c>
      <c r="AJ2244" s="733">
        <f t="shared" si="284"/>
        <v>0</v>
      </c>
    </row>
    <row r="2245" spans="1:36">
      <c r="A2245" s="894" t="s">
        <v>747</v>
      </c>
      <c r="B2245" s="883" t="s">
        <v>238</v>
      </c>
      <c r="C2245" s="904" t="s">
        <v>66</v>
      </c>
      <c r="D2245" s="903"/>
      <c r="E2245" s="886">
        <v>221704</v>
      </c>
      <c r="F2245" s="887">
        <v>15</v>
      </c>
      <c r="G2245" s="1152"/>
      <c r="H2245" s="1153"/>
      <c r="I2245" s="1152"/>
      <c r="J2245" s="1153"/>
      <c r="K2245" s="1152"/>
      <c r="L2245" s="1153"/>
      <c r="M2245" s="1152">
        <v>0</v>
      </c>
      <c r="N2245" s="1152">
        <v>0</v>
      </c>
      <c r="O2245" s="732">
        <f t="shared" si="277"/>
        <v>0</v>
      </c>
      <c r="P2245" s="1153"/>
      <c r="Q2245" s="1153"/>
      <c r="R2245" s="733">
        <f t="shared" si="280"/>
        <v>0</v>
      </c>
      <c r="S2245" s="732">
        <f t="shared" si="281"/>
        <v>0</v>
      </c>
      <c r="T2245" s="733">
        <f t="shared" si="282"/>
        <v>0</v>
      </c>
      <c r="U2245" s="1152"/>
      <c r="V2245" s="1153"/>
      <c r="W2245" s="1152"/>
      <c r="X2245" s="1152"/>
      <c r="Y2245" s="732">
        <f t="shared" si="278"/>
        <v>0</v>
      </c>
      <c r="Z2245" s="1153"/>
      <c r="AA2245" s="1153"/>
      <c r="AB2245" s="733">
        <f t="shared" si="279"/>
        <v>0</v>
      </c>
      <c r="AC2245" s="1152">
        <v>23041900</v>
      </c>
      <c r="AD2245" s="1153">
        <v>23476800</v>
      </c>
      <c r="AE2245" s="1152">
        <v>12902961</v>
      </c>
      <c r="AF2245" s="1152">
        <v>0</v>
      </c>
      <c r="AG2245" s="1153">
        <v>12600028</v>
      </c>
      <c r="AH2245" s="1153">
        <v>0</v>
      </c>
      <c r="AI2245" s="732">
        <f t="shared" si="283"/>
        <v>35944861</v>
      </c>
      <c r="AJ2245" s="733">
        <f t="shared" si="284"/>
        <v>36076828</v>
      </c>
    </row>
    <row r="2246" spans="1:36">
      <c r="A2246" s="894" t="s">
        <v>747</v>
      </c>
      <c r="B2246" s="883" t="s">
        <v>116</v>
      </c>
      <c r="C2246" s="904" t="s">
        <v>1131</v>
      </c>
      <c r="D2246" s="903"/>
      <c r="E2246" s="886">
        <v>221704</v>
      </c>
      <c r="F2246" s="887">
        <v>15</v>
      </c>
      <c r="G2246" s="1152"/>
      <c r="H2246" s="1153"/>
      <c r="I2246" s="1152"/>
      <c r="J2246" s="1153"/>
      <c r="K2246" s="1152"/>
      <c r="L2246" s="1153"/>
      <c r="M2246" s="1152">
        <v>0</v>
      </c>
      <c r="N2246" s="1152">
        <v>0</v>
      </c>
      <c r="O2246" s="732">
        <f t="shared" si="277"/>
        <v>0</v>
      </c>
      <c r="P2246" s="1153"/>
      <c r="Q2246" s="1153"/>
      <c r="R2246" s="733">
        <f t="shared" si="280"/>
        <v>0</v>
      </c>
      <c r="S2246" s="732">
        <f t="shared" si="281"/>
        <v>0</v>
      </c>
      <c r="T2246" s="733">
        <f t="shared" si="282"/>
        <v>0</v>
      </c>
      <c r="U2246" s="1152">
        <v>10340800</v>
      </c>
      <c r="V2246" s="1153">
        <v>10914900</v>
      </c>
      <c r="W2246" s="1152">
        <v>1095000</v>
      </c>
      <c r="X2246" s="1152">
        <v>0</v>
      </c>
      <c r="Y2246" s="732">
        <f t="shared" si="278"/>
        <v>1095000</v>
      </c>
      <c r="Z2246" s="1153">
        <v>997918</v>
      </c>
      <c r="AA2246" s="1153">
        <v>0</v>
      </c>
      <c r="AB2246" s="733">
        <f t="shared" si="279"/>
        <v>997918</v>
      </c>
      <c r="AC2246" s="1152"/>
      <c r="AD2246" s="1153"/>
      <c r="AE2246" s="1152"/>
      <c r="AF2246" s="1152"/>
      <c r="AG2246" s="1153"/>
      <c r="AH2246" s="1153"/>
      <c r="AI2246" s="732">
        <f t="shared" si="283"/>
        <v>11435800</v>
      </c>
      <c r="AJ2246" s="733">
        <f t="shared" si="284"/>
        <v>11912818</v>
      </c>
    </row>
    <row r="2247" spans="1:36">
      <c r="A2247" s="894" t="s">
        <v>747</v>
      </c>
      <c r="B2247" s="883" t="s">
        <v>132</v>
      </c>
      <c r="C2247" s="909" t="s">
        <v>1071</v>
      </c>
      <c r="D2247" s="890"/>
      <c r="E2247" s="899"/>
      <c r="F2247" s="900">
        <v>99</v>
      </c>
      <c r="G2247" s="1152"/>
      <c r="H2247" s="1153"/>
      <c r="I2247" s="1152"/>
      <c r="J2247" s="1153"/>
      <c r="K2247" s="1152"/>
      <c r="L2247" s="1153"/>
      <c r="M2247" s="1152">
        <v>0</v>
      </c>
      <c r="N2247" s="1152">
        <v>0</v>
      </c>
      <c r="O2247" s="732">
        <f t="shared" si="277"/>
        <v>0</v>
      </c>
      <c r="P2247" s="1153"/>
      <c r="Q2247" s="1153"/>
      <c r="R2247" s="733">
        <f t="shared" si="280"/>
        <v>0</v>
      </c>
      <c r="S2247" s="732">
        <f t="shared" si="281"/>
        <v>0</v>
      </c>
      <c r="T2247" s="733">
        <f t="shared" si="282"/>
        <v>0</v>
      </c>
      <c r="U2247" s="1152"/>
      <c r="V2247" s="1153"/>
      <c r="W2247" s="1152"/>
      <c r="X2247" s="1152"/>
      <c r="Y2247" s="732">
        <f t="shared" si="278"/>
        <v>0</v>
      </c>
      <c r="Z2247" s="1153"/>
      <c r="AA2247" s="1153"/>
      <c r="AB2247" s="733">
        <f t="shared" si="279"/>
        <v>0</v>
      </c>
      <c r="AC2247" s="1152"/>
      <c r="AD2247" s="1153"/>
      <c r="AE2247" s="1152"/>
      <c r="AF2247" s="1152"/>
      <c r="AG2247" s="1153"/>
      <c r="AH2247" s="1153"/>
      <c r="AI2247" s="732">
        <f t="shared" si="283"/>
        <v>0</v>
      </c>
      <c r="AJ2247" s="733">
        <f t="shared" si="284"/>
        <v>0</v>
      </c>
    </row>
    <row r="2248" spans="1:36">
      <c r="A2248" s="894" t="s">
        <v>747</v>
      </c>
      <c r="B2248" s="883" t="s">
        <v>132</v>
      </c>
      <c r="C2248" s="904" t="s">
        <v>1132</v>
      </c>
      <c r="D2248" s="903"/>
      <c r="E2248" s="899"/>
      <c r="F2248" s="900">
        <v>99</v>
      </c>
      <c r="G2248" s="1152"/>
      <c r="H2248" s="1153"/>
      <c r="I2248" s="1152">
        <v>719900</v>
      </c>
      <c r="J2248" s="1153">
        <v>741800</v>
      </c>
      <c r="K2248" s="1152"/>
      <c r="L2248" s="1153"/>
      <c r="M2248" s="1152">
        <v>0</v>
      </c>
      <c r="N2248" s="1152">
        <v>0</v>
      </c>
      <c r="O2248" s="732">
        <f t="shared" si="277"/>
        <v>0</v>
      </c>
      <c r="P2248" s="1153"/>
      <c r="Q2248" s="1153"/>
      <c r="R2248" s="733">
        <f t="shared" si="280"/>
        <v>0</v>
      </c>
      <c r="S2248" s="732">
        <f t="shared" si="281"/>
        <v>719900</v>
      </c>
      <c r="T2248" s="733">
        <f t="shared" si="282"/>
        <v>741800</v>
      </c>
      <c r="U2248" s="1152"/>
      <c r="V2248" s="1153"/>
      <c r="W2248" s="1152"/>
      <c r="X2248" s="1152"/>
      <c r="Y2248" s="732">
        <f t="shared" si="278"/>
        <v>0</v>
      </c>
      <c r="Z2248" s="1153"/>
      <c r="AA2248" s="1153"/>
      <c r="AB2248" s="733">
        <f t="shared" si="279"/>
        <v>0</v>
      </c>
      <c r="AC2248" s="1152"/>
      <c r="AD2248" s="1153"/>
      <c r="AE2248" s="1152"/>
      <c r="AF2248" s="1152"/>
      <c r="AG2248" s="1153"/>
      <c r="AH2248" s="1153"/>
      <c r="AI2248" s="732">
        <f t="shared" si="283"/>
        <v>719900</v>
      </c>
      <c r="AJ2248" s="733">
        <f t="shared" si="284"/>
        <v>741800</v>
      </c>
    </row>
    <row r="2249" spans="1:36">
      <c r="A2249" s="894" t="s">
        <v>747</v>
      </c>
      <c r="B2249" s="883" t="s">
        <v>138</v>
      </c>
      <c r="C2249" s="904" t="s">
        <v>139</v>
      </c>
      <c r="D2249" s="903"/>
      <c r="E2249" s="899"/>
      <c r="F2249" s="900">
        <v>99</v>
      </c>
      <c r="G2249" s="1152"/>
      <c r="H2249" s="1153"/>
      <c r="I2249" s="1152"/>
      <c r="J2249" s="1153"/>
      <c r="K2249" s="1152"/>
      <c r="L2249" s="1153"/>
      <c r="M2249" s="1152">
        <v>0</v>
      </c>
      <c r="N2249" s="1152">
        <v>0</v>
      </c>
      <c r="O2249" s="732">
        <f t="shared" si="277"/>
        <v>0</v>
      </c>
      <c r="P2249" s="1153"/>
      <c r="Q2249" s="1153"/>
      <c r="R2249" s="733">
        <f t="shared" si="280"/>
        <v>0</v>
      </c>
      <c r="S2249" s="732">
        <f t="shared" si="281"/>
        <v>0</v>
      </c>
      <c r="T2249" s="733">
        <f t="shared" si="282"/>
        <v>0</v>
      </c>
      <c r="U2249" s="1152"/>
      <c r="V2249" s="1153"/>
      <c r="W2249" s="1152"/>
      <c r="X2249" s="1152"/>
      <c r="Y2249" s="732">
        <f t="shared" si="278"/>
        <v>0</v>
      </c>
      <c r="Z2249" s="1153"/>
      <c r="AA2249" s="1153"/>
      <c r="AB2249" s="733">
        <f t="shared" si="279"/>
        <v>0</v>
      </c>
      <c r="AC2249" s="1152"/>
      <c r="AD2249" s="1153"/>
      <c r="AE2249" s="1152"/>
      <c r="AF2249" s="1152"/>
      <c r="AG2249" s="1153"/>
      <c r="AH2249" s="1153"/>
      <c r="AI2249" s="732">
        <f t="shared" si="283"/>
        <v>0</v>
      </c>
      <c r="AJ2249" s="733">
        <f t="shared" si="284"/>
        <v>0</v>
      </c>
    </row>
    <row r="2250" spans="1:36">
      <c r="A2250" s="894" t="s">
        <v>747</v>
      </c>
      <c r="B2250" s="883" t="s">
        <v>140</v>
      </c>
      <c r="C2250" s="904" t="s">
        <v>141</v>
      </c>
      <c r="D2250" s="903"/>
      <c r="E2250" s="899"/>
      <c r="F2250" s="900">
        <v>99</v>
      </c>
      <c r="G2250" s="1152"/>
      <c r="H2250" s="1153"/>
      <c r="I2250" s="1152"/>
      <c r="J2250" s="1153"/>
      <c r="K2250" s="1152"/>
      <c r="L2250" s="1153"/>
      <c r="M2250" s="1152">
        <v>0</v>
      </c>
      <c r="N2250" s="1152">
        <v>0</v>
      </c>
      <c r="O2250" s="732">
        <f t="shared" ref="O2250:O2313" si="285">SUM(M2250:N2250)</f>
        <v>0</v>
      </c>
      <c r="P2250" s="1153"/>
      <c r="Q2250" s="1153"/>
      <c r="R2250" s="733">
        <f t="shared" si="280"/>
        <v>0</v>
      </c>
      <c r="S2250" s="732">
        <f t="shared" si="281"/>
        <v>0</v>
      </c>
      <c r="T2250" s="733">
        <f t="shared" si="282"/>
        <v>0</v>
      </c>
      <c r="U2250" s="1152"/>
      <c r="V2250" s="1153"/>
      <c r="W2250" s="1152"/>
      <c r="X2250" s="1152"/>
      <c r="Y2250" s="732">
        <f t="shared" ref="Y2250:Y2313" si="286">SUM(W2250:X2250)</f>
        <v>0</v>
      </c>
      <c r="Z2250" s="1153"/>
      <c r="AA2250" s="1153"/>
      <c r="AB2250" s="733">
        <f t="shared" ref="AB2250:AB2313" si="287">SUM(Z2250:AA2250)</f>
        <v>0</v>
      </c>
      <c r="AC2250" s="1152"/>
      <c r="AD2250" s="1153"/>
      <c r="AE2250" s="1152"/>
      <c r="AF2250" s="1152"/>
      <c r="AG2250" s="1153"/>
      <c r="AH2250" s="1153"/>
      <c r="AI2250" s="732">
        <f t="shared" si="283"/>
        <v>0</v>
      </c>
      <c r="AJ2250" s="733">
        <f t="shared" si="284"/>
        <v>0</v>
      </c>
    </row>
    <row r="2251" spans="1:36">
      <c r="A2251" s="894" t="s">
        <v>747</v>
      </c>
      <c r="B2251" s="883" t="s">
        <v>140</v>
      </c>
      <c r="C2251" s="904" t="s">
        <v>1133</v>
      </c>
      <c r="D2251" s="903"/>
      <c r="E2251" s="899"/>
      <c r="F2251" s="900">
        <v>99</v>
      </c>
      <c r="G2251" s="1152"/>
      <c r="H2251" s="1153"/>
      <c r="I2251" s="1152"/>
      <c r="J2251" s="1153"/>
      <c r="K2251" s="1152"/>
      <c r="L2251" s="1153"/>
      <c r="M2251" s="1152">
        <v>0</v>
      </c>
      <c r="N2251" s="1152">
        <v>0</v>
      </c>
      <c r="O2251" s="732">
        <f t="shared" si="285"/>
        <v>0</v>
      </c>
      <c r="P2251" s="1153"/>
      <c r="Q2251" s="1153"/>
      <c r="R2251" s="733">
        <f t="shared" ref="R2251:R2314" si="288">SUM(P2251:Q2251)</f>
        <v>0</v>
      </c>
      <c r="S2251" s="732">
        <f t="shared" ref="S2251:S2314" si="289">SUM(G2251,I2251,K2251,M2251)</f>
        <v>0</v>
      </c>
      <c r="T2251" s="733">
        <f t="shared" ref="T2251:T2314" si="290">SUM(H2251,J2251,L2251,P2251)</f>
        <v>0</v>
      </c>
      <c r="U2251" s="1152">
        <v>3879800</v>
      </c>
      <c r="V2251" s="1153">
        <v>3715400</v>
      </c>
      <c r="W2251" s="1152">
        <v>0</v>
      </c>
      <c r="X2251" s="1152">
        <v>0</v>
      </c>
      <c r="Y2251" s="732">
        <f t="shared" si="286"/>
        <v>0</v>
      </c>
      <c r="Z2251" s="1153">
        <v>0</v>
      </c>
      <c r="AA2251" s="1153">
        <v>0</v>
      </c>
      <c r="AB2251" s="733">
        <f t="shared" si="287"/>
        <v>0</v>
      </c>
      <c r="AC2251" s="1152"/>
      <c r="AD2251" s="1153"/>
      <c r="AE2251" s="1152"/>
      <c r="AF2251" s="1152"/>
      <c r="AG2251" s="1153"/>
      <c r="AH2251" s="1153"/>
      <c r="AI2251" s="732">
        <f t="shared" ref="AI2251:AI2314" si="291">SUM(S2251,U2251,W2251,AC2251,AE2251)</f>
        <v>3879800</v>
      </c>
      <c r="AJ2251" s="733">
        <f t="shared" ref="AJ2251:AJ2314" si="292">SUM(T2251,V2251,Z2251,AD2251,AG2251)</f>
        <v>3715400</v>
      </c>
    </row>
    <row r="2252" spans="1:36">
      <c r="A2252" s="894" t="s">
        <v>747</v>
      </c>
      <c r="B2252" s="883" t="s">
        <v>140</v>
      </c>
      <c r="C2252" s="904" t="s">
        <v>1134</v>
      </c>
      <c r="D2252" s="903"/>
      <c r="E2252" s="899"/>
      <c r="F2252" s="900">
        <v>99</v>
      </c>
      <c r="G2252" s="1152"/>
      <c r="H2252" s="1153"/>
      <c r="I2252" s="1152"/>
      <c r="J2252" s="1153"/>
      <c r="K2252" s="1152"/>
      <c r="L2252" s="1153"/>
      <c r="M2252" s="1152">
        <v>0</v>
      </c>
      <c r="N2252" s="1152">
        <v>0</v>
      </c>
      <c r="O2252" s="732">
        <f t="shared" si="285"/>
        <v>0</v>
      </c>
      <c r="P2252" s="1153"/>
      <c r="Q2252" s="1153"/>
      <c r="R2252" s="733">
        <f t="shared" si="288"/>
        <v>0</v>
      </c>
      <c r="S2252" s="732">
        <f t="shared" si="289"/>
        <v>0</v>
      </c>
      <c r="T2252" s="733">
        <f t="shared" si="290"/>
        <v>0</v>
      </c>
      <c r="U2252" s="1152">
        <v>28638000</v>
      </c>
      <c r="V2252" s="1153">
        <v>23381400</v>
      </c>
      <c r="W2252" s="1152">
        <v>0</v>
      </c>
      <c r="X2252" s="1152">
        <v>0</v>
      </c>
      <c r="Y2252" s="732">
        <f t="shared" si="286"/>
        <v>0</v>
      </c>
      <c r="Z2252" s="1153">
        <v>0</v>
      </c>
      <c r="AA2252" s="1153">
        <v>0</v>
      </c>
      <c r="AB2252" s="733">
        <f t="shared" si="287"/>
        <v>0</v>
      </c>
      <c r="AC2252" s="1152"/>
      <c r="AD2252" s="1153"/>
      <c r="AE2252" s="1152"/>
      <c r="AF2252" s="1152"/>
      <c r="AG2252" s="1153"/>
      <c r="AH2252" s="1153"/>
      <c r="AI2252" s="732">
        <f t="shared" si="291"/>
        <v>28638000</v>
      </c>
      <c r="AJ2252" s="733">
        <f t="shared" si="292"/>
        <v>23381400</v>
      </c>
    </row>
    <row r="2253" spans="1:36">
      <c r="A2253" s="894" t="s">
        <v>747</v>
      </c>
      <c r="B2253" s="883" t="s">
        <v>145</v>
      </c>
      <c r="C2253" s="904" t="s">
        <v>146</v>
      </c>
      <c r="D2253" s="903"/>
      <c r="E2253" s="899"/>
      <c r="F2253" s="900">
        <v>99</v>
      </c>
      <c r="G2253" s="1152"/>
      <c r="H2253" s="1153"/>
      <c r="I2253" s="1152"/>
      <c r="J2253" s="1153"/>
      <c r="K2253" s="1152"/>
      <c r="L2253" s="1153"/>
      <c r="M2253" s="1152">
        <v>0</v>
      </c>
      <c r="N2253" s="1152">
        <v>0</v>
      </c>
      <c r="O2253" s="732">
        <f t="shared" si="285"/>
        <v>0</v>
      </c>
      <c r="P2253" s="1153"/>
      <c r="Q2253" s="1153"/>
      <c r="R2253" s="733">
        <f t="shared" si="288"/>
        <v>0</v>
      </c>
      <c r="S2253" s="732">
        <f t="shared" si="289"/>
        <v>0</v>
      </c>
      <c r="T2253" s="733">
        <f t="shared" si="290"/>
        <v>0</v>
      </c>
      <c r="U2253" s="1152"/>
      <c r="V2253" s="1153"/>
      <c r="W2253" s="1152"/>
      <c r="X2253" s="1152"/>
      <c r="Y2253" s="732">
        <f t="shared" si="286"/>
        <v>0</v>
      </c>
      <c r="Z2253" s="1153"/>
      <c r="AA2253" s="1153"/>
      <c r="AB2253" s="733">
        <f t="shared" si="287"/>
        <v>0</v>
      </c>
      <c r="AC2253" s="1152"/>
      <c r="AD2253" s="1153"/>
      <c r="AE2253" s="1152"/>
      <c r="AF2253" s="1152"/>
      <c r="AG2253" s="1153"/>
      <c r="AH2253" s="1153"/>
      <c r="AI2253" s="732">
        <f t="shared" si="291"/>
        <v>0</v>
      </c>
      <c r="AJ2253" s="733">
        <f t="shared" si="292"/>
        <v>0</v>
      </c>
    </row>
    <row r="2254" spans="1:36">
      <c r="A2254" s="894" t="s">
        <v>747</v>
      </c>
      <c r="B2254" s="883" t="s">
        <v>145</v>
      </c>
      <c r="C2254" s="909" t="s">
        <v>304</v>
      </c>
      <c r="D2254" s="890"/>
      <c r="E2254" s="899"/>
      <c r="F2254" s="900">
        <v>99</v>
      </c>
      <c r="G2254" s="1152"/>
      <c r="H2254" s="1153"/>
      <c r="I2254" s="1152"/>
      <c r="J2254" s="1153"/>
      <c r="K2254" s="1152"/>
      <c r="L2254" s="1153"/>
      <c r="M2254" s="1152">
        <v>0</v>
      </c>
      <c r="N2254" s="1152">
        <v>0</v>
      </c>
      <c r="O2254" s="732">
        <f t="shared" si="285"/>
        <v>0</v>
      </c>
      <c r="P2254" s="1153"/>
      <c r="Q2254" s="1153"/>
      <c r="R2254" s="733">
        <f t="shared" si="288"/>
        <v>0</v>
      </c>
      <c r="S2254" s="732">
        <f t="shared" si="289"/>
        <v>0</v>
      </c>
      <c r="T2254" s="733">
        <f t="shared" si="290"/>
        <v>0</v>
      </c>
      <c r="U2254" s="1152"/>
      <c r="V2254" s="1153"/>
      <c r="W2254" s="1152"/>
      <c r="X2254" s="1152"/>
      <c r="Y2254" s="732">
        <f t="shared" si="286"/>
        <v>0</v>
      </c>
      <c r="Z2254" s="1153"/>
      <c r="AA2254" s="1153"/>
      <c r="AB2254" s="733">
        <f t="shared" si="287"/>
        <v>0</v>
      </c>
      <c r="AC2254" s="1152"/>
      <c r="AD2254" s="1153"/>
      <c r="AE2254" s="1152"/>
      <c r="AF2254" s="1152"/>
      <c r="AG2254" s="1153"/>
      <c r="AH2254" s="1153"/>
      <c r="AI2254" s="732">
        <f t="shared" si="291"/>
        <v>0</v>
      </c>
      <c r="AJ2254" s="733">
        <f t="shared" si="292"/>
        <v>0</v>
      </c>
    </row>
    <row r="2255" spans="1:36">
      <c r="A2255" s="894" t="s">
        <v>747</v>
      </c>
      <c r="B2255" s="883" t="s">
        <v>149</v>
      </c>
      <c r="C2255" s="904" t="s">
        <v>247</v>
      </c>
      <c r="D2255" s="903"/>
      <c r="E2255" s="899"/>
      <c r="F2255" s="900">
        <v>99</v>
      </c>
      <c r="G2255" s="1152"/>
      <c r="H2255" s="1153"/>
      <c r="I2255" s="1152"/>
      <c r="J2255" s="1153"/>
      <c r="K2255" s="1152"/>
      <c r="L2255" s="1153"/>
      <c r="M2255" s="1152">
        <v>0</v>
      </c>
      <c r="N2255" s="1152">
        <v>0</v>
      </c>
      <c r="O2255" s="732">
        <f t="shared" si="285"/>
        <v>0</v>
      </c>
      <c r="P2255" s="1153"/>
      <c r="Q2255" s="1153"/>
      <c r="R2255" s="733">
        <f t="shared" si="288"/>
        <v>0</v>
      </c>
      <c r="S2255" s="732">
        <f t="shared" si="289"/>
        <v>0</v>
      </c>
      <c r="T2255" s="733">
        <f t="shared" si="290"/>
        <v>0</v>
      </c>
      <c r="U2255" s="1152">
        <v>2136400</v>
      </c>
      <c r="V2255" s="1153">
        <v>2161300</v>
      </c>
      <c r="W2255" s="1152">
        <v>0</v>
      </c>
      <c r="X2255" s="1152">
        <v>0</v>
      </c>
      <c r="Y2255" s="732">
        <f t="shared" si="286"/>
        <v>0</v>
      </c>
      <c r="Z2255" s="1153">
        <v>0</v>
      </c>
      <c r="AA2255" s="1153">
        <v>0</v>
      </c>
      <c r="AB2255" s="733">
        <f t="shared" si="287"/>
        <v>0</v>
      </c>
      <c r="AC2255" s="1152"/>
      <c r="AD2255" s="1153"/>
      <c r="AE2255" s="1152"/>
      <c r="AF2255" s="1152"/>
      <c r="AG2255" s="1153"/>
      <c r="AH2255" s="1153"/>
      <c r="AI2255" s="732">
        <f t="shared" si="291"/>
        <v>2136400</v>
      </c>
      <c r="AJ2255" s="733">
        <f t="shared" si="292"/>
        <v>2161300</v>
      </c>
    </row>
    <row r="2256" spans="1:36">
      <c r="A2256" s="894" t="s">
        <v>747</v>
      </c>
      <c r="B2256" s="883" t="s">
        <v>151</v>
      </c>
      <c r="C2256" s="904" t="s">
        <v>152</v>
      </c>
      <c r="D2256" s="903"/>
      <c r="E2256" s="899"/>
      <c r="F2256" s="900">
        <v>99</v>
      </c>
      <c r="G2256" s="1152"/>
      <c r="H2256" s="1153"/>
      <c r="I2256" s="1152"/>
      <c r="J2256" s="1153"/>
      <c r="K2256" s="1152"/>
      <c r="L2256" s="1153"/>
      <c r="M2256" s="1152">
        <v>0</v>
      </c>
      <c r="N2256" s="1152">
        <v>0</v>
      </c>
      <c r="O2256" s="732">
        <f t="shared" si="285"/>
        <v>0</v>
      </c>
      <c r="P2256" s="1153"/>
      <c r="Q2256" s="1153"/>
      <c r="R2256" s="733">
        <f t="shared" si="288"/>
        <v>0</v>
      </c>
      <c r="S2256" s="732">
        <f t="shared" si="289"/>
        <v>0</v>
      </c>
      <c r="T2256" s="733">
        <f t="shared" si="290"/>
        <v>0</v>
      </c>
      <c r="U2256" s="1152"/>
      <c r="V2256" s="1153"/>
      <c r="W2256" s="1152"/>
      <c r="X2256" s="1152"/>
      <c r="Y2256" s="732">
        <f t="shared" si="286"/>
        <v>0</v>
      </c>
      <c r="Z2256" s="1153"/>
      <c r="AA2256" s="1153"/>
      <c r="AB2256" s="733">
        <f t="shared" si="287"/>
        <v>0</v>
      </c>
      <c r="AC2256" s="1152"/>
      <c r="AD2256" s="1153"/>
      <c r="AE2256" s="1152"/>
      <c r="AF2256" s="1152"/>
      <c r="AG2256" s="1153"/>
      <c r="AH2256" s="1153"/>
      <c r="AI2256" s="732">
        <f t="shared" si="291"/>
        <v>0</v>
      </c>
      <c r="AJ2256" s="733">
        <f t="shared" si="292"/>
        <v>0</v>
      </c>
    </row>
    <row r="2257" spans="1:36">
      <c r="A2257" s="894" t="s">
        <v>747</v>
      </c>
      <c r="B2257" s="883" t="s">
        <v>248</v>
      </c>
      <c r="C2257" s="904" t="s">
        <v>249</v>
      </c>
      <c r="D2257" s="903"/>
      <c r="E2257" s="899"/>
      <c r="F2257" s="900">
        <v>99</v>
      </c>
      <c r="G2257" s="1152"/>
      <c r="H2257" s="1153"/>
      <c r="I2257" s="1152"/>
      <c r="J2257" s="1153"/>
      <c r="K2257" s="1152"/>
      <c r="L2257" s="1153"/>
      <c r="M2257" s="1152">
        <v>0</v>
      </c>
      <c r="N2257" s="1152">
        <v>0</v>
      </c>
      <c r="O2257" s="732">
        <f t="shared" si="285"/>
        <v>0</v>
      </c>
      <c r="P2257" s="1153"/>
      <c r="Q2257" s="1153"/>
      <c r="R2257" s="733">
        <f t="shared" si="288"/>
        <v>0</v>
      </c>
      <c r="S2257" s="732">
        <f t="shared" si="289"/>
        <v>0</v>
      </c>
      <c r="T2257" s="733">
        <f t="shared" si="290"/>
        <v>0</v>
      </c>
      <c r="U2257" s="1152"/>
      <c r="V2257" s="1153"/>
      <c r="W2257" s="1152"/>
      <c r="X2257" s="1152"/>
      <c r="Y2257" s="732">
        <f t="shared" si="286"/>
        <v>0</v>
      </c>
      <c r="Z2257" s="1153"/>
      <c r="AA2257" s="1153"/>
      <c r="AB2257" s="733">
        <f t="shared" si="287"/>
        <v>0</v>
      </c>
      <c r="AC2257" s="1152"/>
      <c r="AD2257" s="1153"/>
      <c r="AE2257" s="1152"/>
      <c r="AF2257" s="1152"/>
      <c r="AG2257" s="1153"/>
      <c r="AH2257" s="1153"/>
      <c r="AI2257" s="732">
        <f t="shared" si="291"/>
        <v>0</v>
      </c>
      <c r="AJ2257" s="733">
        <f t="shared" si="292"/>
        <v>0</v>
      </c>
    </row>
    <row r="2258" spans="1:36">
      <c r="A2258" s="894" t="s">
        <v>747</v>
      </c>
      <c r="B2258" s="883" t="s">
        <v>250</v>
      </c>
      <c r="C2258" s="904" t="s">
        <v>251</v>
      </c>
      <c r="D2258" s="903"/>
      <c r="E2258" s="899"/>
      <c r="F2258" s="900">
        <v>99</v>
      </c>
      <c r="G2258" s="1152"/>
      <c r="H2258" s="1153"/>
      <c r="I2258" s="1152"/>
      <c r="J2258" s="1153"/>
      <c r="K2258" s="1152"/>
      <c r="L2258" s="1153"/>
      <c r="M2258" s="1152">
        <v>0</v>
      </c>
      <c r="N2258" s="1152">
        <v>0</v>
      </c>
      <c r="O2258" s="732">
        <f t="shared" si="285"/>
        <v>0</v>
      </c>
      <c r="P2258" s="1153"/>
      <c r="Q2258" s="1153"/>
      <c r="R2258" s="733">
        <f t="shared" si="288"/>
        <v>0</v>
      </c>
      <c r="S2258" s="732">
        <f t="shared" si="289"/>
        <v>0</v>
      </c>
      <c r="T2258" s="733">
        <f t="shared" si="290"/>
        <v>0</v>
      </c>
      <c r="U2258" s="1152">
        <v>2037900</v>
      </c>
      <c r="V2258" s="1153">
        <v>2037900</v>
      </c>
      <c r="W2258" s="1152">
        <v>0</v>
      </c>
      <c r="X2258" s="1152">
        <v>0</v>
      </c>
      <c r="Y2258" s="732">
        <f t="shared" si="286"/>
        <v>0</v>
      </c>
      <c r="Z2258" s="1153">
        <v>0</v>
      </c>
      <c r="AA2258" s="1153">
        <v>0</v>
      </c>
      <c r="AB2258" s="733">
        <f t="shared" si="287"/>
        <v>0</v>
      </c>
      <c r="AC2258" s="1152"/>
      <c r="AD2258" s="1153"/>
      <c r="AE2258" s="1152"/>
      <c r="AF2258" s="1152"/>
      <c r="AG2258" s="1153"/>
      <c r="AH2258" s="1153"/>
      <c r="AI2258" s="732">
        <f t="shared" si="291"/>
        <v>2037900</v>
      </c>
      <c r="AJ2258" s="733">
        <f t="shared" si="292"/>
        <v>2037900</v>
      </c>
    </row>
    <row r="2259" spans="1:36">
      <c r="A2259" s="894" t="s">
        <v>747</v>
      </c>
      <c r="B2259" s="883" t="s">
        <v>250</v>
      </c>
      <c r="C2259" s="904" t="s">
        <v>664</v>
      </c>
      <c r="D2259" s="903"/>
      <c r="E2259" s="899"/>
      <c r="F2259" s="900">
        <v>99</v>
      </c>
      <c r="G2259" s="1152"/>
      <c r="H2259" s="1153"/>
      <c r="I2259" s="1152"/>
      <c r="J2259" s="1153"/>
      <c r="K2259" s="1152"/>
      <c r="L2259" s="1153"/>
      <c r="M2259" s="1152">
        <v>0</v>
      </c>
      <c r="N2259" s="1152">
        <v>0</v>
      </c>
      <c r="O2259" s="732">
        <f t="shared" si="285"/>
        <v>0</v>
      </c>
      <c r="P2259" s="1153"/>
      <c r="Q2259" s="1153"/>
      <c r="R2259" s="733">
        <f t="shared" si="288"/>
        <v>0</v>
      </c>
      <c r="S2259" s="732">
        <f t="shared" si="289"/>
        <v>0</v>
      </c>
      <c r="T2259" s="733">
        <f t="shared" si="290"/>
        <v>0</v>
      </c>
      <c r="U2259" s="1152"/>
      <c r="V2259" s="1153"/>
      <c r="W2259" s="1152"/>
      <c r="X2259" s="1152"/>
      <c r="Y2259" s="732">
        <f t="shared" si="286"/>
        <v>0</v>
      </c>
      <c r="Z2259" s="1153"/>
      <c r="AA2259" s="1153"/>
      <c r="AB2259" s="733">
        <f t="shared" si="287"/>
        <v>0</v>
      </c>
      <c r="AC2259" s="1152"/>
      <c r="AD2259" s="1153"/>
      <c r="AE2259" s="1152"/>
      <c r="AF2259" s="1152"/>
      <c r="AG2259" s="1153"/>
      <c r="AH2259" s="1153"/>
      <c r="AI2259" s="732">
        <f t="shared" si="291"/>
        <v>0</v>
      </c>
      <c r="AJ2259" s="733">
        <f t="shared" si="292"/>
        <v>0</v>
      </c>
    </row>
    <row r="2260" spans="1:36">
      <c r="A2260" s="894" t="s">
        <v>747</v>
      </c>
      <c r="B2260" s="883" t="s">
        <v>250</v>
      </c>
      <c r="C2260" s="904" t="s">
        <v>255</v>
      </c>
      <c r="D2260" s="903"/>
      <c r="E2260" s="899"/>
      <c r="F2260" s="900">
        <v>99</v>
      </c>
      <c r="G2260" s="1152"/>
      <c r="H2260" s="1153"/>
      <c r="I2260" s="1152"/>
      <c r="J2260" s="1153"/>
      <c r="K2260" s="1152"/>
      <c r="L2260" s="1153"/>
      <c r="M2260" s="1152">
        <v>0</v>
      </c>
      <c r="N2260" s="1152">
        <v>0</v>
      </c>
      <c r="O2260" s="732">
        <f t="shared" si="285"/>
        <v>0</v>
      </c>
      <c r="P2260" s="1153"/>
      <c r="Q2260" s="1153"/>
      <c r="R2260" s="733">
        <f t="shared" si="288"/>
        <v>0</v>
      </c>
      <c r="S2260" s="732">
        <f t="shared" si="289"/>
        <v>0</v>
      </c>
      <c r="T2260" s="733">
        <f t="shared" si="290"/>
        <v>0</v>
      </c>
      <c r="U2260" s="1152"/>
      <c r="V2260" s="1153"/>
      <c r="W2260" s="1152"/>
      <c r="X2260" s="1152"/>
      <c r="Y2260" s="732">
        <f t="shared" si="286"/>
        <v>0</v>
      </c>
      <c r="Z2260" s="1153"/>
      <c r="AA2260" s="1153"/>
      <c r="AB2260" s="733">
        <f t="shared" si="287"/>
        <v>0</v>
      </c>
      <c r="AC2260" s="1152"/>
      <c r="AD2260" s="1153"/>
      <c r="AE2260" s="1152"/>
      <c r="AF2260" s="1152"/>
      <c r="AG2260" s="1153"/>
      <c r="AH2260" s="1153"/>
      <c r="AI2260" s="732">
        <f t="shared" si="291"/>
        <v>0</v>
      </c>
      <c r="AJ2260" s="733">
        <f t="shared" si="292"/>
        <v>0</v>
      </c>
    </row>
    <row r="2261" spans="1:36">
      <c r="A2261" s="894" t="s">
        <v>747</v>
      </c>
      <c r="B2261" s="883" t="s">
        <v>258</v>
      </c>
      <c r="C2261" s="909" t="s">
        <v>259</v>
      </c>
      <c r="D2261" s="890"/>
      <c r="E2261" s="899"/>
      <c r="F2261" s="900">
        <v>99</v>
      </c>
      <c r="G2261" s="1152"/>
      <c r="H2261" s="1153"/>
      <c r="I2261" s="1152"/>
      <c r="J2261" s="1153"/>
      <c r="K2261" s="1152"/>
      <c r="L2261" s="1153"/>
      <c r="M2261" s="1152">
        <v>0</v>
      </c>
      <c r="N2261" s="1152">
        <v>0</v>
      </c>
      <c r="O2261" s="732">
        <f t="shared" si="285"/>
        <v>0</v>
      </c>
      <c r="P2261" s="1153"/>
      <c r="Q2261" s="1153"/>
      <c r="R2261" s="733">
        <f t="shared" si="288"/>
        <v>0</v>
      </c>
      <c r="S2261" s="732">
        <f t="shared" si="289"/>
        <v>0</v>
      </c>
      <c r="T2261" s="733">
        <f t="shared" si="290"/>
        <v>0</v>
      </c>
      <c r="U2261" s="1152"/>
      <c r="V2261" s="1153"/>
      <c r="W2261" s="1152"/>
      <c r="X2261" s="1152"/>
      <c r="Y2261" s="732">
        <f t="shared" si="286"/>
        <v>0</v>
      </c>
      <c r="Z2261" s="1153"/>
      <c r="AA2261" s="1153"/>
      <c r="AB2261" s="733">
        <f t="shared" si="287"/>
        <v>0</v>
      </c>
      <c r="AC2261" s="1152"/>
      <c r="AD2261" s="1153"/>
      <c r="AE2261" s="1152"/>
      <c r="AF2261" s="1152"/>
      <c r="AG2261" s="1153"/>
      <c r="AH2261" s="1153"/>
      <c r="AI2261" s="732">
        <f t="shared" si="291"/>
        <v>0</v>
      </c>
      <c r="AJ2261" s="733">
        <f t="shared" si="292"/>
        <v>0</v>
      </c>
    </row>
    <row r="2262" spans="1:36">
      <c r="A2262" s="894" t="s">
        <v>747</v>
      </c>
      <c r="B2262" s="883" t="s">
        <v>157</v>
      </c>
      <c r="C2262" s="904" t="s">
        <v>158</v>
      </c>
      <c r="D2262" s="903"/>
      <c r="E2262" s="899"/>
      <c r="F2262" s="900">
        <v>99</v>
      </c>
      <c r="G2262" s="1152"/>
      <c r="H2262" s="1153"/>
      <c r="I2262" s="1152"/>
      <c r="J2262" s="1153"/>
      <c r="K2262" s="1152"/>
      <c r="L2262" s="1153"/>
      <c r="M2262" s="1152">
        <v>0</v>
      </c>
      <c r="N2262" s="1152">
        <v>0</v>
      </c>
      <c r="O2262" s="732">
        <f t="shared" si="285"/>
        <v>0</v>
      </c>
      <c r="P2262" s="1153"/>
      <c r="Q2262" s="1153"/>
      <c r="R2262" s="733">
        <f t="shared" si="288"/>
        <v>0</v>
      </c>
      <c r="S2262" s="732">
        <f t="shared" si="289"/>
        <v>0</v>
      </c>
      <c r="T2262" s="733">
        <f t="shared" si="290"/>
        <v>0</v>
      </c>
      <c r="U2262" s="1152"/>
      <c r="V2262" s="1153"/>
      <c r="W2262" s="1152"/>
      <c r="X2262" s="1152"/>
      <c r="Y2262" s="732">
        <f t="shared" si="286"/>
        <v>0</v>
      </c>
      <c r="Z2262" s="1153"/>
      <c r="AA2262" s="1153"/>
      <c r="AB2262" s="733">
        <f t="shared" si="287"/>
        <v>0</v>
      </c>
      <c r="AC2262" s="1152"/>
      <c r="AD2262" s="1153"/>
      <c r="AE2262" s="1152"/>
      <c r="AF2262" s="1152"/>
      <c r="AG2262" s="1153"/>
      <c r="AH2262" s="1153"/>
      <c r="AI2262" s="732">
        <f t="shared" si="291"/>
        <v>0</v>
      </c>
      <c r="AJ2262" s="733">
        <f t="shared" si="292"/>
        <v>0</v>
      </c>
    </row>
    <row r="2263" spans="1:36">
      <c r="A2263" s="894" t="s">
        <v>747</v>
      </c>
      <c r="B2263" s="883" t="s">
        <v>159</v>
      </c>
      <c r="C2263" s="904" t="s">
        <v>160</v>
      </c>
      <c r="D2263" s="903"/>
      <c r="E2263" s="899"/>
      <c r="F2263" s="900">
        <v>99</v>
      </c>
      <c r="G2263" s="1152"/>
      <c r="H2263" s="1153"/>
      <c r="I2263" s="1152"/>
      <c r="J2263" s="1153"/>
      <c r="K2263" s="1152"/>
      <c r="L2263" s="1153"/>
      <c r="M2263" s="1152">
        <v>0</v>
      </c>
      <c r="N2263" s="1152">
        <v>0</v>
      </c>
      <c r="O2263" s="732">
        <f t="shared" si="285"/>
        <v>0</v>
      </c>
      <c r="P2263" s="1153"/>
      <c r="Q2263" s="1153"/>
      <c r="R2263" s="733">
        <f t="shared" si="288"/>
        <v>0</v>
      </c>
      <c r="S2263" s="732">
        <f t="shared" si="289"/>
        <v>0</v>
      </c>
      <c r="T2263" s="733">
        <f t="shared" si="290"/>
        <v>0</v>
      </c>
      <c r="U2263" s="1152"/>
      <c r="V2263" s="1153"/>
      <c r="W2263" s="1152"/>
      <c r="X2263" s="1152"/>
      <c r="Y2263" s="732">
        <f t="shared" si="286"/>
        <v>0</v>
      </c>
      <c r="Z2263" s="1153"/>
      <c r="AA2263" s="1153"/>
      <c r="AB2263" s="733">
        <f t="shared" si="287"/>
        <v>0</v>
      </c>
      <c r="AC2263" s="1152"/>
      <c r="AD2263" s="1153"/>
      <c r="AE2263" s="1152"/>
      <c r="AF2263" s="1152"/>
      <c r="AG2263" s="1153"/>
      <c r="AH2263" s="1153"/>
      <c r="AI2263" s="732">
        <f t="shared" si="291"/>
        <v>0</v>
      </c>
      <c r="AJ2263" s="733">
        <f t="shared" si="292"/>
        <v>0</v>
      </c>
    </row>
    <row r="2264" spans="1:36">
      <c r="A2264" s="894" t="s">
        <v>747</v>
      </c>
      <c r="B2264" s="883" t="s">
        <v>161</v>
      </c>
      <c r="C2264" s="904" t="s">
        <v>162</v>
      </c>
      <c r="D2264" s="903"/>
      <c r="E2264" s="899"/>
      <c r="F2264" s="900">
        <v>99</v>
      </c>
      <c r="G2264" s="1152"/>
      <c r="H2264" s="1153"/>
      <c r="I2264" s="1152"/>
      <c r="J2264" s="1153"/>
      <c r="K2264" s="1152"/>
      <c r="L2264" s="1153"/>
      <c r="M2264" s="1152">
        <v>0</v>
      </c>
      <c r="N2264" s="1152">
        <v>0</v>
      </c>
      <c r="O2264" s="732">
        <f t="shared" si="285"/>
        <v>0</v>
      </c>
      <c r="P2264" s="1153"/>
      <c r="Q2264" s="1153"/>
      <c r="R2264" s="733">
        <f t="shared" si="288"/>
        <v>0</v>
      </c>
      <c r="S2264" s="732">
        <f t="shared" si="289"/>
        <v>0</v>
      </c>
      <c r="T2264" s="733">
        <f t="shared" si="290"/>
        <v>0</v>
      </c>
      <c r="U2264" s="1152"/>
      <c r="V2264" s="1153"/>
      <c r="W2264" s="1152"/>
      <c r="X2264" s="1152"/>
      <c r="Y2264" s="732">
        <f t="shared" si="286"/>
        <v>0</v>
      </c>
      <c r="Z2264" s="1153"/>
      <c r="AA2264" s="1153"/>
      <c r="AB2264" s="733">
        <f t="shared" si="287"/>
        <v>0</v>
      </c>
      <c r="AC2264" s="1152"/>
      <c r="AD2264" s="1153"/>
      <c r="AE2264" s="1152"/>
      <c r="AF2264" s="1152"/>
      <c r="AG2264" s="1153"/>
      <c r="AH2264" s="1153"/>
      <c r="AI2264" s="732">
        <f t="shared" si="291"/>
        <v>0</v>
      </c>
      <c r="AJ2264" s="733">
        <f t="shared" si="292"/>
        <v>0</v>
      </c>
    </row>
    <row r="2265" spans="1:36">
      <c r="A2265" s="894" t="s">
        <v>747</v>
      </c>
      <c r="B2265" s="883" t="s">
        <v>161</v>
      </c>
      <c r="C2265" s="904" t="s">
        <v>1135</v>
      </c>
      <c r="D2265" s="903"/>
      <c r="E2265" s="899"/>
      <c r="F2265" s="900">
        <v>99</v>
      </c>
      <c r="G2265" s="1152"/>
      <c r="H2265" s="1153"/>
      <c r="I2265" s="1152"/>
      <c r="J2265" s="1153"/>
      <c r="K2265" s="1152"/>
      <c r="L2265" s="1153"/>
      <c r="M2265" s="1152">
        <v>0</v>
      </c>
      <c r="N2265" s="1152">
        <v>0</v>
      </c>
      <c r="O2265" s="732">
        <f t="shared" si="285"/>
        <v>0</v>
      </c>
      <c r="P2265" s="1153"/>
      <c r="Q2265" s="1153"/>
      <c r="R2265" s="733">
        <f t="shared" si="288"/>
        <v>0</v>
      </c>
      <c r="S2265" s="732">
        <f t="shared" si="289"/>
        <v>0</v>
      </c>
      <c r="T2265" s="733">
        <f t="shared" si="290"/>
        <v>0</v>
      </c>
      <c r="U2265" s="1152"/>
      <c r="V2265" s="1153"/>
      <c r="W2265" s="1152"/>
      <c r="X2265" s="1152"/>
      <c r="Y2265" s="732">
        <f t="shared" si="286"/>
        <v>0</v>
      </c>
      <c r="Z2265" s="1153"/>
      <c r="AA2265" s="1153"/>
      <c r="AB2265" s="733">
        <f t="shared" si="287"/>
        <v>0</v>
      </c>
      <c r="AC2265" s="1152"/>
      <c r="AD2265" s="1153"/>
      <c r="AE2265" s="1152"/>
      <c r="AF2265" s="1152"/>
      <c r="AG2265" s="1153"/>
      <c r="AH2265" s="1153"/>
      <c r="AI2265" s="732">
        <f t="shared" si="291"/>
        <v>0</v>
      </c>
      <c r="AJ2265" s="733">
        <f t="shared" si="292"/>
        <v>0</v>
      </c>
    </row>
    <row r="2266" spans="1:36">
      <c r="A2266" s="894" t="s">
        <v>747</v>
      </c>
      <c r="B2266" s="883" t="s">
        <v>170</v>
      </c>
      <c r="C2266" s="904" t="s">
        <v>171</v>
      </c>
      <c r="D2266" s="903"/>
      <c r="E2266" s="899"/>
      <c r="F2266" s="900">
        <v>99</v>
      </c>
      <c r="G2266" s="1152"/>
      <c r="H2266" s="1153"/>
      <c r="I2266" s="1152"/>
      <c r="J2266" s="1153"/>
      <c r="K2266" s="1152"/>
      <c r="L2266" s="1153"/>
      <c r="M2266" s="1152">
        <v>0</v>
      </c>
      <c r="N2266" s="1152">
        <v>0</v>
      </c>
      <c r="O2266" s="732">
        <f t="shared" si="285"/>
        <v>0</v>
      </c>
      <c r="P2266" s="1153"/>
      <c r="Q2266" s="1153"/>
      <c r="R2266" s="733">
        <f t="shared" si="288"/>
        <v>0</v>
      </c>
      <c r="S2266" s="732">
        <f t="shared" si="289"/>
        <v>0</v>
      </c>
      <c r="T2266" s="733">
        <f t="shared" si="290"/>
        <v>0</v>
      </c>
      <c r="U2266" s="1152"/>
      <c r="V2266" s="1153"/>
      <c r="W2266" s="1152"/>
      <c r="X2266" s="1152"/>
      <c r="Y2266" s="732">
        <f t="shared" si="286"/>
        <v>0</v>
      </c>
      <c r="Z2266" s="1153"/>
      <c r="AA2266" s="1153"/>
      <c r="AB2266" s="733">
        <f t="shared" si="287"/>
        <v>0</v>
      </c>
      <c r="AC2266" s="1152"/>
      <c r="AD2266" s="1153"/>
      <c r="AE2266" s="1152"/>
      <c r="AF2266" s="1152"/>
      <c r="AG2266" s="1153"/>
      <c r="AH2266" s="1153"/>
      <c r="AI2266" s="732">
        <f t="shared" si="291"/>
        <v>0</v>
      </c>
      <c r="AJ2266" s="733">
        <f t="shared" si="292"/>
        <v>0</v>
      </c>
    </row>
    <row r="2267" spans="1:36">
      <c r="A2267" s="894" t="s">
        <v>747</v>
      </c>
      <c r="B2267" s="883" t="s">
        <v>172</v>
      </c>
      <c r="C2267" s="904" t="s">
        <v>165</v>
      </c>
      <c r="D2267" s="903"/>
      <c r="E2267" s="899"/>
      <c r="F2267" s="900">
        <v>99</v>
      </c>
      <c r="G2267" s="1152"/>
      <c r="H2267" s="1153"/>
      <c r="I2267" s="1152"/>
      <c r="J2267" s="1153"/>
      <c r="K2267" s="1152"/>
      <c r="L2267" s="1153"/>
      <c r="M2267" s="1152">
        <v>0</v>
      </c>
      <c r="N2267" s="1152">
        <v>0</v>
      </c>
      <c r="O2267" s="732">
        <f t="shared" si="285"/>
        <v>0</v>
      </c>
      <c r="P2267" s="1153"/>
      <c r="Q2267" s="1153"/>
      <c r="R2267" s="733">
        <f t="shared" si="288"/>
        <v>0</v>
      </c>
      <c r="S2267" s="732">
        <f t="shared" si="289"/>
        <v>0</v>
      </c>
      <c r="T2267" s="733">
        <f t="shared" si="290"/>
        <v>0</v>
      </c>
      <c r="U2267" s="1152">
        <v>138340729</v>
      </c>
      <c r="V2267" s="1153">
        <v>136635597.43000001</v>
      </c>
      <c r="W2267" s="1152"/>
      <c r="X2267" s="1152"/>
      <c r="Y2267" s="732">
        <f t="shared" si="286"/>
        <v>0</v>
      </c>
      <c r="Z2267" s="1153"/>
      <c r="AA2267" s="1153"/>
      <c r="AB2267" s="733">
        <f t="shared" si="287"/>
        <v>0</v>
      </c>
      <c r="AC2267" s="1152"/>
      <c r="AD2267" s="1153"/>
      <c r="AE2267" s="1152"/>
      <c r="AF2267" s="1152"/>
      <c r="AG2267" s="1153"/>
      <c r="AH2267" s="1153"/>
      <c r="AI2267" s="732">
        <f t="shared" si="291"/>
        <v>138340729</v>
      </c>
      <c r="AJ2267" s="733">
        <f t="shared" si="292"/>
        <v>136635597.43000001</v>
      </c>
    </row>
    <row r="2268" spans="1:36">
      <c r="A2268" s="894" t="s">
        <v>747</v>
      </c>
      <c r="B2268" s="883" t="s">
        <v>173</v>
      </c>
      <c r="C2268" s="909" t="s">
        <v>167</v>
      </c>
      <c r="D2268" s="890"/>
      <c r="E2268" s="899"/>
      <c r="F2268" s="900">
        <v>99</v>
      </c>
      <c r="G2268" s="1152"/>
      <c r="H2268" s="1153"/>
      <c r="I2268" s="1152"/>
      <c r="J2268" s="1153"/>
      <c r="K2268" s="1152"/>
      <c r="L2268" s="1153"/>
      <c r="M2268" s="1152">
        <v>0</v>
      </c>
      <c r="N2268" s="1152">
        <v>0</v>
      </c>
      <c r="O2268" s="732">
        <f t="shared" si="285"/>
        <v>0</v>
      </c>
      <c r="P2268" s="1153"/>
      <c r="Q2268" s="1153"/>
      <c r="R2268" s="733">
        <f t="shared" si="288"/>
        <v>0</v>
      </c>
      <c r="S2268" s="732">
        <f t="shared" si="289"/>
        <v>0</v>
      </c>
      <c r="T2268" s="733">
        <f t="shared" si="290"/>
        <v>0</v>
      </c>
      <c r="U2268" s="1152">
        <v>269743500</v>
      </c>
      <c r="V2268" s="1153">
        <v>244148861.30000001</v>
      </c>
      <c r="W2268" s="1152"/>
      <c r="X2268" s="1152"/>
      <c r="Y2268" s="732">
        <f t="shared" si="286"/>
        <v>0</v>
      </c>
      <c r="Z2268" s="1153"/>
      <c r="AA2268" s="1153"/>
      <c r="AB2268" s="733">
        <f t="shared" si="287"/>
        <v>0</v>
      </c>
      <c r="AC2268" s="1152"/>
      <c r="AD2268" s="1153"/>
      <c r="AE2268" s="1152"/>
      <c r="AF2268" s="1152"/>
      <c r="AG2268" s="1153"/>
      <c r="AH2268" s="1153"/>
      <c r="AI2268" s="732">
        <f t="shared" si="291"/>
        <v>269743500</v>
      </c>
      <c r="AJ2268" s="733">
        <f t="shared" si="292"/>
        <v>244148861.30000001</v>
      </c>
    </row>
    <row r="2269" spans="1:36">
      <c r="A2269" s="894" t="s">
        <v>747</v>
      </c>
      <c r="B2269" s="883" t="s">
        <v>176</v>
      </c>
      <c r="C2269" s="904" t="s">
        <v>177</v>
      </c>
      <c r="D2269" s="903"/>
      <c r="E2269" s="899"/>
      <c r="F2269" s="900">
        <v>99</v>
      </c>
      <c r="G2269" s="1152"/>
      <c r="H2269" s="1153"/>
      <c r="I2269" s="1152"/>
      <c r="J2269" s="1153"/>
      <c r="K2269" s="1152"/>
      <c r="L2269" s="1153"/>
      <c r="M2269" s="1152">
        <v>0</v>
      </c>
      <c r="N2269" s="1152">
        <v>0</v>
      </c>
      <c r="O2269" s="732">
        <f t="shared" si="285"/>
        <v>0</v>
      </c>
      <c r="P2269" s="1153"/>
      <c r="Q2269" s="1153"/>
      <c r="R2269" s="733">
        <f t="shared" si="288"/>
        <v>0</v>
      </c>
      <c r="S2269" s="732">
        <f t="shared" si="289"/>
        <v>0</v>
      </c>
      <c r="T2269" s="733">
        <f t="shared" si="290"/>
        <v>0</v>
      </c>
      <c r="U2269" s="1152"/>
      <c r="V2269" s="1153"/>
      <c r="W2269" s="1152"/>
      <c r="X2269" s="1152"/>
      <c r="Y2269" s="732">
        <f t="shared" si="286"/>
        <v>0</v>
      </c>
      <c r="Z2269" s="1153"/>
      <c r="AA2269" s="1153"/>
      <c r="AB2269" s="733">
        <f t="shared" si="287"/>
        <v>0</v>
      </c>
      <c r="AC2269" s="1152"/>
      <c r="AD2269" s="1153"/>
      <c r="AE2269" s="1152"/>
      <c r="AF2269" s="1152"/>
      <c r="AG2269" s="1153"/>
      <c r="AH2269" s="1153"/>
      <c r="AI2269" s="732">
        <f t="shared" si="291"/>
        <v>0</v>
      </c>
      <c r="AJ2269" s="733">
        <f t="shared" si="292"/>
        <v>0</v>
      </c>
    </row>
    <row r="2270" spans="1:36">
      <c r="A2270" s="894" t="s">
        <v>747</v>
      </c>
      <c r="B2270" s="883" t="s">
        <v>180</v>
      </c>
      <c r="C2270" s="904" t="s">
        <v>165</v>
      </c>
      <c r="D2270" s="903"/>
      <c r="E2270" s="899"/>
      <c r="F2270" s="900">
        <v>99</v>
      </c>
      <c r="G2270" s="1152"/>
      <c r="H2270" s="1153"/>
      <c r="I2270" s="1152"/>
      <c r="J2270" s="1153"/>
      <c r="K2270" s="1152"/>
      <c r="L2270" s="1153"/>
      <c r="M2270" s="1152">
        <v>0</v>
      </c>
      <c r="N2270" s="1152">
        <v>0</v>
      </c>
      <c r="O2270" s="732">
        <f t="shared" si="285"/>
        <v>0</v>
      </c>
      <c r="P2270" s="1153"/>
      <c r="Q2270" s="1153"/>
      <c r="R2270" s="733">
        <f t="shared" si="288"/>
        <v>0</v>
      </c>
      <c r="S2270" s="732">
        <f t="shared" si="289"/>
        <v>0</v>
      </c>
      <c r="T2270" s="733">
        <f t="shared" si="290"/>
        <v>0</v>
      </c>
      <c r="U2270" s="1152">
        <v>53229771</v>
      </c>
      <c r="V2270" s="1153">
        <v>54122207.359999999</v>
      </c>
      <c r="W2270" s="1152"/>
      <c r="X2270" s="1152"/>
      <c r="Y2270" s="732">
        <f t="shared" si="286"/>
        <v>0</v>
      </c>
      <c r="Z2270" s="1153"/>
      <c r="AA2270" s="1153"/>
      <c r="AB2270" s="733">
        <f t="shared" si="287"/>
        <v>0</v>
      </c>
      <c r="AC2270" s="1152"/>
      <c r="AD2270" s="1153"/>
      <c r="AE2270" s="1152"/>
      <c r="AF2270" s="1152"/>
      <c r="AG2270" s="1153"/>
      <c r="AH2270" s="1153"/>
      <c r="AI2270" s="732">
        <f t="shared" si="291"/>
        <v>53229771</v>
      </c>
      <c r="AJ2270" s="733">
        <f t="shared" si="292"/>
        <v>54122207.359999999</v>
      </c>
    </row>
    <row r="2271" spans="1:36">
      <c r="A2271" s="894" t="s">
        <v>747</v>
      </c>
      <c r="B2271" s="883" t="s">
        <v>178</v>
      </c>
      <c r="C2271" s="904" t="s">
        <v>167</v>
      </c>
      <c r="D2271" s="903"/>
      <c r="E2271" s="899"/>
      <c r="F2271" s="900">
        <v>99</v>
      </c>
      <c r="G2271" s="1152"/>
      <c r="H2271" s="1153"/>
      <c r="I2271" s="1152"/>
      <c r="J2271" s="1153"/>
      <c r="K2271" s="1152"/>
      <c r="L2271" s="1153"/>
      <c r="M2271" s="1152">
        <v>0</v>
      </c>
      <c r="N2271" s="1152">
        <v>0</v>
      </c>
      <c r="O2271" s="732">
        <f t="shared" si="285"/>
        <v>0</v>
      </c>
      <c r="P2271" s="1153"/>
      <c r="Q2271" s="1153"/>
      <c r="R2271" s="733">
        <f t="shared" si="288"/>
        <v>0</v>
      </c>
      <c r="S2271" s="732">
        <f t="shared" si="289"/>
        <v>0</v>
      </c>
      <c r="T2271" s="733">
        <f t="shared" si="290"/>
        <v>0</v>
      </c>
      <c r="U2271" s="1152">
        <v>48992790</v>
      </c>
      <c r="V2271" s="1153">
        <v>50104097.490000002</v>
      </c>
      <c r="W2271" s="1152"/>
      <c r="X2271" s="1152"/>
      <c r="Y2271" s="732">
        <f t="shared" si="286"/>
        <v>0</v>
      </c>
      <c r="Z2271" s="1153"/>
      <c r="AA2271" s="1153"/>
      <c r="AB2271" s="733">
        <f t="shared" si="287"/>
        <v>0</v>
      </c>
      <c r="AC2271" s="1152"/>
      <c r="AD2271" s="1153"/>
      <c r="AE2271" s="1152"/>
      <c r="AF2271" s="1152"/>
      <c r="AG2271" s="1153"/>
      <c r="AH2271" s="1153"/>
      <c r="AI2271" s="732">
        <f t="shared" si="291"/>
        <v>48992790</v>
      </c>
      <c r="AJ2271" s="733">
        <f t="shared" si="292"/>
        <v>50104097.490000002</v>
      </c>
    </row>
    <row r="2272" spans="1:36">
      <c r="A2272" s="894" t="s">
        <v>747</v>
      </c>
      <c r="B2272" s="883" t="s">
        <v>187</v>
      </c>
      <c r="C2272" s="904" t="s">
        <v>188</v>
      </c>
      <c r="D2272" s="903"/>
      <c r="E2272" s="899"/>
      <c r="F2272" s="900">
        <v>99</v>
      </c>
      <c r="G2272" s="1152"/>
      <c r="H2272" s="1153"/>
      <c r="I2272" s="1152"/>
      <c r="J2272" s="1153"/>
      <c r="K2272" s="1152"/>
      <c r="L2272" s="1153"/>
      <c r="M2272" s="1152">
        <v>0</v>
      </c>
      <c r="N2272" s="1152">
        <v>0</v>
      </c>
      <c r="O2272" s="732">
        <f t="shared" si="285"/>
        <v>0</v>
      </c>
      <c r="P2272" s="1153"/>
      <c r="Q2272" s="1153"/>
      <c r="R2272" s="733">
        <f t="shared" si="288"/>
        <v>0</v>
      </c>
      <c r="S2272" s="732">
        <f t="shared" si="289"/>
        <v>0</v>
      </c>
      <c r="T2272" s="733">
        <f t="shared" si="290"/>
        <v>0</v>
      </c>
      <c r="U2272" s="1152"/>
      <c r="V2272" s="1153"/>
      <c r="W2272" s="1152"/>
      <c r="X2272" s="1152"/>
      <c r="Y2272" s="732">
        <f t="shared" si="286"/>
        <v>0</v>
      </c>
      <c r="Z2272" s="1153"/>
      <c r="AA2272" s="1153"/>
      <c r="AB2272" s="733">
        <f t="shared" si="287"/>
        <v>0</v>
      </c>
      <c r="AC2272" s="1152"/>
      <c r="AD2272" s="1153"/>
      <c r="AE2272" s="1152"/>
      <c r="AF2272" s="1152"/>
      <c r="AG2272" s="1153"/>
      <c r="AH2272" s="1153"/>
      <c r="AI2272" s="732">
        <f t="shared" si="291"/>
        <v>0</v>
      </c>
      <c r="AJ2272" s="733">
        <f t="shared" si="292"/>
        <v>0</v>
      </c>
    </row>
    <row r="2273" spans="1:36">
      <c r="A2273" s="894" t="s">
        <v>747</v>
      </c>
      <c r="B2273" s="883" t="s">
        <v>190</v>
      </c>
      <c r="C2273" s="904" t="s">
        <v>165</v>
      </c>
      <c r="D2273" s="903"/>
      <c r="E2273" s="899"/>
      <c r="F2273" s="900">
        <v>99</v>
      </c>
      <c r="G2273" s="1152"/>
      <c r="H2273" s="1153"/>
      <c r="I2273" s="1152"/>
      <c r="J2273" s="1153"/>
      <c r="K2273" s="1152"/>
      <c r="L2273" s="1153"/>
      <c r="M2273" s="1152">
        <v>0</v>
      </c>
      <c r="N2273" s="1152">
        <v>0</v>
      </c>
      <c r="O2273" s="732">
        <f t="shared" si="285"/>
        <v>0</v>
      </c>
      <c r="P2273" s="1153"/>
      <c r="Q2273" s="1153"/>
      <c r="R2273" s="733">
        <f t="shared" si="288"/>
        <v>0</v>
      </c>
      <c r="S2273" s="732">
        <f t="shared" si="289"/>
        <v>0</v>
      </c>
      <c r="T2273" s="733">
        <f t="shared" si="290"/>
        <v>0</v>
      </c>
      <c r="U2273" s="1152"/>
      <c r="V2273" s="1153"/>
      <c r="W2273" s="1152"/>
      <c r="X2273" s="1152"/>
      <c r="Y2273" s="732">
        <f t="shared" si="286"/>
        <v>0</v>
      </c>
      <c r="Z2273" s="1153"/>
      <c r="AA2273" s="1153"/>
      <c r="AB2273" s="733">
        <f t="shared" si="287"/>
        <v>0</v>
      </c>
      <c r="AC2273" s="1152"/>
      <c r="AD2273" s="1153"/>
      <c r="AE2273" s="1152"/>
      <c r="AF2273" s="1152"/>
      <c r="AG2273" s="1153"/>
      <c r="AH2273" s="1153"/>
      <c r="AI2273" s="732">
        <f t="shared" si="291"/>
        <v>0</v>
      </c>
      <c r="AJ2273" s="733">
        <f t="shared" si="292"/>
        <v>0</v>
      </c>
    </row>
    <row r="2274" spans="1:36">
      <c r="A2274" s="894" t="s">
        <v>747</v>
      </c>
      <c r="B2274" s="883" t="s">
        <v>191</v>
      </c>
      <c r="C2274" s="904" t="s">
        <v>167</v>
      </c>
      <c r="D2274" s="903"/>
      <c r="E2274" s="899"/>
      <c r="F2274" s="900">
        <v>99</v>
      </c>
      <c r="G2274" s="1152"/>
      <c r="H2274" s="1153"/>
      <c r="I2274" s="1152"/>
      <c r="J2274" s="1153"/>
      <c r="K2274" s="1152"/>
      <c r="L2274" s="1153"/>
      <c r="M2274" s="1152">
        <v>0</v>
      </c>
      <c r="N2274" s="1152">
        <v>0</v>
      </c>
      <c r="O2274" s="732">
        <f t="shared" si="285"/>
        <v>0</v>
      </c>
      <c r="P2274" s="1153"/>
      <c r="Q2274" s="1153"/>
      <c r="R2274" s="733">
        <f t="shared" si="288"/>
        <v>0</v>
      </c>
      <c r="S2274" s="732">
        <f t="shared" si="289"/>
        <v>0</v>
      </c>
      <c r="T2274" s="733">
        <f t="shared" si="290"/>
        <v>0</v>
      </c>
      <c r="U2274" s="1152"/>
      <c r="V2274" s="1153"/>
      <c r="W2274" s="1152"/>
      <c r="X2274" s="1152"/>
      <c r="Y2274" s="732">
        <f t="shared" si="286"/>
        <v>0</v>
      </c>
      <c r="Z2274" s="1153"/>
      <c r="AA2274" s="1153"/>
      <c r="AB2274" s="733">
        <f t="shared" si="287"/>
        <v>0</v>
      </c>
      <c r="AC2274" s="1152"/>
      <c r="AD2274" s="1153"/>
      <c r="AE2274" s="1152"/>
      <c r="AF2274" s="1152"/>
      <c r="AG2274" s="1153"/>
      <c r="AH2274" s="1153"/>
      <c r="AI2274" s="732">
        <f t="shared" si="291"/>
        <v>0</v>
      </c>
      <c r="AJ2274" s="733">
        <f t="shared" si="292"/>
        <v>0</v>
      </c>
    </row>
    <row r="2275" spans="1:36">
      <c r="A2275" s="894" t="s">
        <v>747</v>
      </c>
      <c r="B2275" s="883" t="s">
        <v>192</v>
      </c>
      <c r="C2275" s="909" t="s">
        <v>332</v>
      </c>
      <c r="D2275" s="890"/>
      <c r="E2275" s="899"/>
      <c r="F2275" s="900">
        <v>99</v>
      </c>
      <c r="G2275" s="1152"/>
      <c r="H2275" s="1153"/>
      <c r="I2275" s="1152"/>
      <c r="J2275" s="1153"/>
      <c r="K2275" s="1152"/>
      <c r="L2275" s="1153"/>
      <c r="M2275" s="1152">
        <v>0</v>
      </c>
      <c r="N2275" s="1152">
        <v>0</v>
      </c>
      <c r="O2275" s="732">
        <f t="shared" si="285"/>
        <v>0</v>
      </c>
      <c r="P2275" s="1153"/>
      <c r="Q2275" s="1153"/>
      <c r="R2275" s="733">
        <f t="shared" si="288"/>
        <v>0</v>
      </c>
      <c r="S2275" s="732">
        <f t="shared" si="289"/>
        <v>0</v>
      </c>
      <c r="T2275" s="733">
        <f t="shared" si="290"/>
        <v>0</v>
      </c>
      <c r="U2275" s="1152"/>
      <c r="V2275" s="1153"/>
      <c r="W2275" s="1152"/>
      <c r="X2275" s="1152"/>
      <c r="Y2275" s="732">
        <f t="shared" si="286"/>
        <v>0</v>
      </c>
      <c r="Z2275" s="1153"/>
      <c r="AA2275" s="1153"/>
      <c r="AB2275" s="733">
        <f t="shared" si="287"/>
        <v>0</v>
      </c>
      <c r="AC2275" s="1152"/>
      <c r="AD2275" s="1153"/>
      <c r="AE2275" s="1152"/>
      <c r="AF2275" s="1152"/>
      <c r="AG2275" s="1153"/>
      <c r="AH2275" s="1153"/>
      <c r="AI2275" s="732">
        <f t="shared" si="291"/>
        <v>0</v>
      </c>
      <c r="AJ2275" s="733">
        <f t="shared" si="292"/>
        <v>0</v>
      </c>
    </row>
    <row r="2276" spans="1:36">
      <c r="A2276" s="894" t="s">
        <v>747</v>
      </c>
      <c r="B2276" s="883" t="s">
        <v>195</v>
      </c>
      <c r="C2276" s="904" t="s">
        <v>165</v>
      </c>
      <c r="D2276" s="903"/>
      <c r="E2276" s="899"/>
      <c r="F2276" s="900">
        <v>99</v>
      </c>
      <c r="G2276" s="1152"/>
      <c r="H2276" s="1153"/>
      <c r="I2276" s="1152"/>
      <c r="J2276" s="1153"/>
      <c r="K2276" s="1152"/>
      <c r="L2276" s="1153"/>
      <c r="M2276" s="1152">
        <v>0</v>
      </c>
      <c r="N2276" s="1152">
        <v>0</v>
      </c>
      <c r="O2276" s="732">
        <f t="shared" si="285"/>
        <v>0</v>
      </c>
      <c r="P2276" s="1153"/>
      <c r="Q2276" s="1153"/>
      <c r="R2276" s="733">
        <f t="shared" si="288"/>
        <v>0</v>
      </c>
      <c r="S2276" s="732">
        <f t="shared" si="289"/>
        <v>0</v>
      </c>
      <c r="T2276" s="733">
        <f t="shared" si="290"/>
        <v>0</v>
      </c>
      <c r="U2276" s="1152"/>
      <c r="V2276" s="1153"/>
      <c r="W2276" s="1152"/>
      <c r="X2276" s="1152"/>
      <c r="Y2276" s="732">
        <f t="shared" si="286"/>
        <v>0</v>
      </c>
      <c r="Z2276" s="1153"/>
      <c r="AA2276" s="1153"/>
      <c r="AB2276" s="733">
        <f t="shared" si="287"/>
        <v>0</v>
      </c>
      <c r="AC2276" s="1152"/>
      <c r="AD2276" s="1153"/>
      <c r="AE2276" s="1152"/>
      <c r="AF2276" s="1152"/>
      <c r="AG2276" s="1153"/>
      <c r="AH2276" s="1153"/>
      <c r="AI2276" s="732">
        <f t="shared" si="291"/>
        <v>0</v>
      </c>
      <c r="AJ2276" s="733">
        <f t="shared" si="292"/>
        <v>0</v>
      </c>
    </row>
    <row r="2277" spans="1:36">
      <c r="A2277" s="894" t="s">
        <v>747</v>
      </c>
      <c r="B2277" s="883" t="s">
        <v>196</v>
      </c>
      <c r="C2277" s="904" t="s">
        <v>167</v>
      </c>
      <c r="D2277" s="903"/>
      <c r="E2277" s="899"/>
      <c r="F2277" s="900">
        <v>99</v>
      </c>
      <c r="G2277" s="1152"/>
      <c r="H2277" s="1153"/>
      <c r="I2277" s="1152"/>
      <c r="J2277" s="1153"/>
      <c r="K2277" s="1152"/>
      <c r="L2277" s="1153"/>
      <c r="M2277" s="1152">
        <v>0</v>
      </c>
      <c r="N2277" s="1152">
        <v>0</v>
      </c>
      <c r="O2277" s="732">
        <f t="shared" si="285"/>
        <v>0</v>
      </c>
      <c r="P2277" s="1153"/>
      <c r="Q2277" s="1153"/>
      <c r="R2277" s="733">
        <f t="shared" si="288"/>
        <v>0</v>
      </c>
      <c r="S2277" s="732">
        <f t="shared" si="289"/>
        <v>0</v>
      </c>
      <c r="T2277" s="733">
        <f t="shared" si="290"/>
        <v>0</v>
      </c>
      <c r="U2277" s="1152"/>
      <c r="V2277" s="1153"/>
      <c r="W2277" s="1152"/>
      <c r="X2277" s="1152"/>
      <c r="Y2277" s="732">
        <f t="shared" si="286"/>
        <v>0</v>
      </c>
      <c r="Z2277" s="1153"/>
      <c r="AA2277" s="1153"/>
      <c r="AB2277" s="733">
        <f t="shared" si="287"/>
        <v>0</v>
      </c>
      <c r="AC2277" s="1152"/>
      <c r="AD2277" s="1153"/>
      <c r="AE2277" s="1152"/>
      <c r="AF2277" s="1152"/>
      <c r="AG2277" s="1153"/>
      <c r="AH2277" s="1153"/>
      <c r="AI2277" s="732">
        <f t="shared" si="291"/>
        <v>0</v>
      </c>
      <c r="AJ2277" s="733">
        <f t="shared" si="292"/>
        <v>0</v>
      </c>
    </row>
    <row r="2278" spans="1:36" ht="12.5">
      <c r="A2278" s="719" t="s">
        <v>748</v>
      </c>
      <c r="B2278" s="717" t="s">
        <v>62</v>
      </c>
      <c r="C2278" s="770" t="s">
        <v>1136</v>
      </c>
      <c r="D2278" s="782"/>
      <c r="E2278" s="719">
        <v>228723</v>
      </c>
      <c r="F2278" s="719">
        <v>1</v>
      </c>
      <c r="G2278" s="1152">
        <v>549514986</v>
      </c>
      <c r="H2278" s="1166">
        <v>536147820</v>
      </c>
      <c r="I2278" s="1152"/>
      <c r="J2278" s="1166"/>
      <c r="K2278" s="1152"/>
      <c r="L2278" s="1153"/>
      <c r="M2278" s="1152">
        <v>570145267</v>
      </c>
      <c r="N2278" s="1152"/>
      <c r="O2278" s="732">
        <f t="shared" si="285"/>
        <v>570145267</v>
      </c>
      <c r="P2278" s="1166">
        <v>606100402.94066203</v>
      </c>
      <c r="Q2278" s="1153"/>
      <c r="R2278" s="733">
        <f t="shared" si="288"/>
        <v>606100402.94066203</v>
      </c>
      <c r="S2278" s="732">
        <f t="shared" si="289"/>
        <v>1119660253</v>
      </c>
      <c r="T2278" s="733">
        <f t="shared" si="290"/>
        <v>1142248222.9406619</v>
      </c>
      <c r="U2278" s="1152"/>
      <c r="V2278" s="1153"/>
      <c r="W2278" s="1152"/>
      <c r="X2278" s="1152"/>
      <c r="Y2278" s="732">
        <f t="shared" si="286"/>
        <v>0</v>
      </c>
      <c r="Z2278" s="1153"/>
      <c r="AA2278" s="1153"/>
      <c r="AB2278" s="733">
        <f t="shared" si="287"/>
        <v>0</v>
      </c>
      <c r="AC2278" s="1152">
        <v>33529665</v>
      </c>
      <c r="AD2278" s="1166">
        <v>33519987</v>
      </c>
      <c r="AE2278" s="1152">
        <v>22581829</v>
      </c>
      <c r="AF2278" s="1152"/>
      <c r="AG2278" s="1166">
        <v>24470880.0593381</v>
      </c>
      <c r="AH2278" s="1153"/>
      <c r="AI2278" s="732">
        <f t="shared" si="291"/>
        <v>1175771747</v>
      </c>
      <c r="AJ2278" s="733">
        <f t="shared" si="292"/>
        <v>1200239090</v>
      </c>
    </row>
    <row r="2279" spans="1:36" ht="12.5">
      <c r="A2279" s="719" t="s">
        <v>748</v>
      </c>
      <c r="B2279" s="717" t="s">
        <v>64</v>
      </c>
      <c r="C2279" s="774" t="s">
        <v>495</v>
      </c>
      <c r="D2279" s="783"/>
      <c r="E2279" s="719">
        <v>228723</v>
      </c>
      <c r="F2279" s="719">
        <v>1</v>
      </c>
      <c r="G2279" s="1152"/>
      <c r="H2279" s="1166"/>
      <c r="I2279" s="1152"/>
      <c r="J2279" s="1166"/>
      <c r="K2279" s="1152"/>
      <c r="L2279" s="1153"/>
      <c r="M2279" s="1152"/>
      <c r="N2279" s="1152"/>
      <c r="O2279" s="732">
        <f t="shared" si="285"/>
        <v>0</v>
      </c>
      <c r="P2279" s="1166"/>
      <c r="Q2279" s="1153"/>
      <c r="R2279" s="733">
        <f t="shared" si="288"/>
        <v>0</v>
      </c>
      <c r="S2279" s="732">
        <f t="shared" si="289"/>
        <v>0</v>
      </c>
      <c r="T2279" s="733">
        <f t="shared" si="290"/>
        <v>0</v>
      </c>
      <c r="U2279" s="1152"/>
      <c r="V2279" s="1153"/>
      <c r="W2279" s="1152"/>
      <c r="X2279" s="1152"/>
      <c r="Y2279" s="732">
        <f t="shared" si="286"/>
        <v>0</v>
      </c>
      <c r="Z2279" s="1153"/>
      <c r="AA2279" s="1153"/>
      <c r="AB2279" s="733">
        <f t="shared" si="287"/>
        <v>0</v>
      </c>
      <c r="AC2279" s="1152"/>
      <c r="AD2279" s="1153"/>
      <c r="AE2279" s="1152"/>
      <c r="AF2279" s="1152"/>
      <c r="AG2279" s="1153"/>
      <c r="AH2279" s="1153"/>
      <c r="AI2279" s="732">
        <f t="shared" si="291"/>
        <v>0</v>
      </c>
      <c r="AJ2279" s="733">
        <f t="shared" si="292"/>
        <v>0</v>
      </c>
    </row>
    <row r="2280" spans="1:36" ht="12.5">
      <c r="A2280" s="719" t="s">
        <v>748</v>
      </c>
      <c r="B2280" s="717" t="s">
        <v>64</v>
      </c>
      <c r="C2280" s="772" t="s">
        <v>1137</v>
      </c>
      <c r="D2280" s="783"/>
      <c r="E2280" s="719">
        <v>228723</v>
      </c>
      <c r="F2280" s="719">
        <v>1</v>
      </c>
      <c r="G2280" s="1152"/>
      <c r="H2280" s="1166"/>
      <c r="I2280" s="1152"/>
      <c r="J2280" s="1166"/>
      <c r="K2280" s="1152"/>
      <c r="L2280" s="1153"/>
      <c r="M2280" s="1152"/>
      <c r="N2280" s="1152"/>
      <c r="O2280" s="732">
        <f t="shared" si="285"/>
        <v>0</v>
      </c>
      <c r="P2280" s="1166"/>
      <c r="Q2280" s="1153"/>
      <c r="R2280" s="733">
        <f t="shared" si="288"/>
        <v>0</v>
      </c>
      <c r="S2280" s="732">
        <f t="shared" si="289"/>
        <v>0</v>
      </c>
      <c r="T2280" s="733">
        <f t="shared" si="290"/>
        <v>0</v>
      </c>
      <c r="U2280" s="1152"/>
      <c r="V2280" s="1153"/>
      <c r="W2280" s="1152"/>
      <c r="X2280" s="1152"/>
      <c r="Y2280" s="732">
        <f t="shared" si="286"/>
        <v>0</v>
      </c>
      <c r="Z2280" s="1153"/>
      <c r="AA2280" s="1153"/>
      <c r="AB2280" s="733">
        <f t="shared" si="287"/>
        <v>0</v>
      </c>
      <c r="AC2280" s="1152"/>
      <c r="AD2280" s="1153"/>
      <c r="AE2280" s="1152"/>
      <c r="AF2280" s="1152"/>
      <c r="AG2280" s="1153"/>
      <c r="AH2280" s="1153"/>
      <c r="AI2280" s="732">
        <f t="shared" si="291"/>
        <v>0</v>
      </c>
      <c r="AJ2280" s="733">
        <f t="shared" si="292"/>
        <v>0</v>
      </c>
    </row>
    <row r="2281" spans="1:36" ht="12.5">
      <c r="A2281" s="719" t="s">
        <v>748</v>
      </c>
      <c r="B2281" s="717" t="s">
        <v>76</v>
      </c>
      <c r="C2281" s="772" t="s">
        <v>1138</v>
      </c>
      <c r="D2281" s="783"/>
      <c r="E2281" s="719">
        <v>228723</v>
      </c>
      <c r="F2281" s="719">
        <v>1</v>
      </c>
      <c r="G2281" s="1152"/>
      <c r="H2281" s="1166"/>
      <c r="I2281" s="1152">
        <v>67793667</v>
      </c>
      <c r="J2281" s="1166">
        <v>67516728</v>
      </c>
      <c r="K2281" s="1152"/>
      <c r="L2281" s="1153"/>
      <c r="M2281" s="1152"/>
      <c r="N2281" s="1152"/>
      <c r="O2281" s="732">
        <f t="shared" si="285"/>
        <v>0</v>
      </c>
      <c r="P2281" s="1166"/>
      <c r="Q2281" s="1153"/>
      <c r="R2281" s="733">
        <f t="shared" si="288"/>
        <v>0</v>
      </c>
      <c r="S2281" s="732">
        <f t="shared" si="289"/>
        <v>67793667</v>
      </c>
      <c r="T2281" s="733">
        <f t="shared" si="290"/>
        <v>67516728</v>
      </c>
      <c r="U2281" s="1152"/>
      <c r="V2281" s="1153"/>
      <c r="W2281" s="1152"/>
      <c r="X2281" s="1152"/>
      <c r="Y2281" s="732">
        <f t="shared" si="286"/>
        <v>0</v>
      </c>
      <c r="Z2281" s="1153"/>
      <c r="AA2281" s="1153"/>
      <c r="AB2281" s="733">
        <f t="shared" si="287"/>
        <v>0</v>
      </c>
      <c r="AC2281" s="1152"/>
      <c r="AD2281" s="1153"/>
      <c r="AE2281" s="1152"/>
      <c r="AF2281" s="1152"/>
      <c r="AG2281" s="1153"/>
      <c r="AH2281" s="1153"/>
      <c r="AI2281" s="732">
        <f t="shared" si="291"/>
        <v>67793667</v>
      </c>
      <c r="AJ2281" s="733">
        <f t="shared" si="292"/>
        <v>67516728</v>
      </c>
    </row>
    <row r="2282" spans="1:36" ht="12.5">
      <c r="A2282" s="719" t="s">
        <v>748</v>
      </c>
      <c r="B2282" s="717" t="s">
        <v>74</v>
      </c>
      <c r="C2282" s="772" t="s">
        <v>1139</v>
      </c>
      <c r="D2282" s="783"/>
      <c r="E2282" s="719">
        <v>228723</v>
      </c>
      <c r="F2282" s="719">
        <v>1</v>
      </c>
      <c r="G2282" s="1152"/>
      <c r="H2282" s="1166"/>
      <c r="I2282" s="1152">
        <v>67302119</v>
      </c>
      <c r="J2282" s="1166">
        <v>66040528</v>
      </c>
      <c r="K2282" s="1152"/>
      <c r="L2282" s="1153"/>
      <c r="M2282" s="1152"/>
      <c r="N2282" s="1152"/>
      <c r="O2282" s="732">
        <f t="shared" si="285"/>
        <v>0</v>
      </c>
      <c r="P2282" s="1166"/>
      <c r="Q2282" s="1153"/>
      <c r="R2282" s="733">
        <f t="shared" si="288"/>
        <v>0</v>
      </c>
      <c r="S2282" s="732">
        <f t="shared" si="289"/>
        <v>67302119</v>
      </c>
      <c r="T2282" s="733">
        <f t="shared" si="290"/>
        <v>66040528</v>
      </c>
      <c r="U2282" s="1152"/>
      <c r="V2282" s="1153"/>
      <c r="W2282" s="1152"/>
      <c r="X2282" s="1152"/>
      <c r="Y2282" s="732">
        <f t="shared" si="286"/>
        <v>0</v>
      </c>
      <c r="Z2282" s="1153"/>
      <c r="AA2282" s="1153"/>
      <c r="AB2282" s="733">
        <f t="shared" si="287"/>
        <v>0</v>
      </c>
      <c r="AC2282" s="1152"/>
      <c r="AD2282" s="1153"/>
      <c r="AE2282" s="1152"/>
      <c r="AF2282" s="1152"/>
      <c r="AG2282" s="1153"/>
      <c r="AH2282" s="1153"/>
      <c r="AI2282" s="732">
        <f t="shared" si="291"/>
        <v>67302119</v>
      </c>
      <c r="AJ2282" s="733">
        <f t="shared" si="292"/>
        <v>66040528</v>
      </c>
    </row>
    <row r="2283" spans="1:36" ht="12.5">
      <c r="A2283" s="719" t="s">
        <v>748</v>
      </c>
      <c r="B2283" s="717" t="s">
        <v>381</v>
      </c>
      <c r="C2283" s="772" t="s">
        <v>1140</v>
      </c>
      <c r="D2283" s="783"/>
      <c r="E2283" s="719">
        <v>228723</v>
      </c>
      <c r="F2283" s="719">
        <v>1</v>
      </c>
      <c r="G2283" s="1152"/>
      <c r="H2283" s="1166"/>
      <c r="I2283" s="1152">
        <v>24445695</v>
      </c>
      <c r="J2283" s="1166">
        <v>26992096</v>
      </c>
      <c r="K2283" s="1152"/>
      <c r="L2283" s="1153"/>
      <c r="M2283" s="1152"/>
      <c r="N2283" s="1152"/>
      <c r="O2283" s="732">
        <f t="shared" si="285"/>
        <v>0</v>
      </c>
      <c r="P2283" s="1166"/>
      <c r="Q2283" s="1153"/>
      <c r="R2283" s="733">
        <f t="shared" si="288"/>
        <v>0</v>
      </c>
      <c r="S2283" s="732">
        <f t="shared" si="289"/>
        <v>24445695</v>
      </c>
      <c r="T2283" s="733">
        <f t="shared" si="290"/>
        <v>26992096</v>
      </c>
      <c r="U2283" s="1152"/>
      <c r="V2283" s="1153"/>
      <c r="W2283" s="1152"/>
      <c r="X2283" s="1152"/>
      <c r="Y2283" s="732">
        <f t="shared" si="286"/>
        <v>0</v>
      </c>
      <c r="Z2283" s="1153"/>
      <c r="AA2283" s="1153"/>
      <c r="AB2283" s="733">
        <f t="shared" si="287"/>
        <v>0</v>
      </c>
      <c r="AC2283" s="1152"/>
      <c r="AD2283" s="1153"/>
      <c r="AE2283" s="1152"/>
      <c r="AF2283" s="1152"/>
      <c r="AG2283" s="1153"/>
      <c r="AH2283" s="1153"/>
      <c r="AI2283" s="732">
        <f t="shared" si="291"/>
        <v>24445695</v>
      </c>
      <c r="AJ2283" s="733">
        <f t="shared" si="292"/>
        <v>26992096</v>
      </c>
    </row>
    <row r="2284" spans="1:36" ht="12.5">
      <c r="A2284" s="719" t="s">
        <v>748</v>
      </c>
      <c r="B2284" s="717" t="s">
        <v>69</v>
      </c>
      <c r="C2284" s="772" t="s">
        <v>1141</v>
      </c>
      <c r="D2284" s="783"/>
      <c r="E2284" s="719">
        <v>228723</v>
      </c>
      <c r="F2284" s="719">
        <v>1</v>
      </c>
      <c r="G2284" s="1152"/>
      <c r="H2284" s="1166"/>
      <c r="I2284" s="1152">
        <v>11887991</v>
      </c>
      <c r="J2284" s="1166">
        <v>11930780</v>
      </c>
      <c r="K2284" s="1152"/>
      <c r="L2284" s="1153"/>
      <c r="M2284" s="1152"/>
      <c r="N2284" s="1152"/>
      <c r="O2284" s="732">
        <f t="shared" si="285"/>
        <v>0</v>
      </c>
      <c r="P2284" s="1166"/>
      <c r="Q2284" s="1153"/>
      <c r="R2284" s="733">
        <f t="shared" si="288"/>
        <v>0</v>
      </c>
      <c r="S2284" s="732">
        <f t="shared" si="289"/>
        <v>11887991</v>
      </c>
      <c r="T2284" s="733">
        <f t="shared" si="290"/>
        <v>11930780</v>
      </c>
      <c r="U2284" s="1152"/>
      <c r="V2284" s="1153"/>
      <c r="W2284" s="1152"/>
      <c r="X2284" s="1152"/>
      <c r="Y2284" s="732">
        <f t="shared" si="286"/>
        <v>0</v>
      </c>
      <c r="Z2284" s="1153"/>
      <c r="AA2284" s="1153"/>
      <c r="AB2284" s="733">
        <f t="shared" si="287"/>
        <v>0</v>
      </c>
      <c r="AC2284" s="1152"/>
      <c r="AD2284" s="1153"/>
      <c r="AE2284" s="1152"/>
      <c r="AF2284" s="1152"/>
      <c r="AG2284" s="1153"/>
      <c r="AH2284" s="1153"/>
      <c r="AI2284" s="732">
        <f t="shared" si="291"/>
        <v>11887991</v>
      </c>
      <c r="AJ2284" s="733">
        <f t="shared" si="292"/>
        <v>11930780</v>
      </c>
    </row>
    <row r="2285" spans="1:36" ht="12.5">
      <c r="A2285" s="719" t="s">
        <v>748</v>
      </c>
      <c r="B2285" s="717" t="s">
        <v>749</v>
      </c>
      <c r="C2285" s="772" t="s">
        <v>1142</v>
      </c>
      <c r="D2285" s="783"/>
      <c r="E2285" s="719">
        <v>228723</v>
      </c>
      <c r="F2285" s="719">
        <v>1</v>
      </c>
      <c r="G2285" s="1152"/>
      <c r="H2285" s="1166"/>
      <c r="I2285" s="1152">
        <v>9680819</v>
      </c>
      <c r="J2285" s="1166">
        <v>9698523</v>
      </c>
      <c r="K2285" s="1152"/>
      <c r="L2285" s="1153"/>
      <c r="M2285" s="1152"/>
      <c r="N2285" s="1152"/>
      <c r="O2285" s="732">
        <f t="shared" si="285"/>
        <v>0</v>
      </c>
      <c r="P2285" s="1166"/>
      <c r="Q2285" s="1153"/>
      <c r="R2285" s="733">
        <f t="shared" si="288"/>
        <v>0</v>
      </c>
      <c r="S2285" s="732">
        <f t="shared" si="289"/>
        <v>9680819</v>
      </c>
      <c r="T2285" s="733">
        <f t="shared" si="290"/>
        <v>9698523</v>
      </c>
      <c r="U2285" s="1152"/>
      <c r="V2285" s="1153"/>
      <c r="W2285" s="1152"/>
      <c r="X2285" s="1152"/>
      <c r="Y2285" s="732">
        <f t="shared" si="286"/>
        <v>0</v>
      </c>
      <c r="Z2285" s="1153"/>
      <c r="AA2285" s="1153"/>
      <c r="AB2285" s="733">
        <f t="shared" si="287"/>
        <v>0</v>
      </c>
      <c r="AC2285" s="1152"/>
      <c r="AD2285" s="1153"/>
      <c r="AE2285" s="1152"/>
      <c r="AF2285" s="1152"/>
      <c r="AG2285" s="1153"/>
      <c r="AH2285" s="1153"/>
      <c r="AI2285" s="732">
        <f t="shared" si="291"/>
        <v>9680819</v>
      </c>
      <c r="AJ2285" s="733">
        <f t="shared" si="292"/>
        <v>9698523</v>
      </c>
    </row>
    <row r="2286" spans="1:36" ht="12.5">
      <c r="A2286" s="719" t="s">
        <v>748</v>
      </c>
      <c r="B2286" s="717" t="s">
        <v>69</v>
      </c>
      <c r="C2286" s="772" t="s">
        <v>1143</v>
      </c>
      <c r="D2286" s="783"/>
      <c r="E2286" s="719">
        <v>228723</v>
      </c>
      <c r="F2286" s="719">
        <v>1</v>
      </c>
      <c r="G2286" s="1152"/>
      <c r="H2286" s="1166"/>
      <c r="I2286" s="1152">
        <v>39759133</v>
      </c>
      <c r="J2286" s="1166">
        <v>37805724</v>
      </c>
      <c r="K2286" s="1152"/>
      <c r="L2286" s="1153"/>
      <c r="M2286" s="1152"/>
      <c r="N2286" s="1152"/>
      <c r="O2286" s="732">
        <f t="shared" si="285"/>
        <v>0</v>
      </c>
      <c r="P2286" s="1166"/>
      <c r="Q2286" s="1153"/>
      <c r="R2286" s="733">
        <f t="shared" si="288"/>
        <v>0</v>
      </c>
      <c r="S2286" s="732">
        <f t="shared" si="289"/>
        <v>39759133</v>
      </c>
      <c r="T2286" s="733">
        <f t="shared" si="290"/>
        <v>37805724</v>
      </c>
      <c r="U2286" s="1152"/>
      <c r="V2286" s="1153"/>
      <c r="W2286" s="1152"/>
      <c r="X2286" s="1152"/>
      <c r="Y2286" s="732">
        <f t="shared" si="286"/>
        <v>0</v>
      </c>
      <c r="Z2286" s="1153"/>
      <c r="AA2286" s="1153"/>
      <c r="AB2286" s="733">
        <f t="shared" si="287"/>
        <v>0</v>
      </c>
      <c r="AC2286" s="1152"/>
      <c r="AD2286" s="1153"/>
      <c r="AE2286" s="1152"/>
      <c r="AF2286" s="1152"/>
      <c r="AG2286" s="1153"/>
      <c r="AH2286" s="1153"/>
      <c r="AI2286" s="732">
        <f t="shared" si="291"/>
        <v>39759133</v>
      </c>
      <c r="AJ2286" s="733">
        <f t="shared" si="292"/>
        <v>37805724</v>
      </c>
    </row>
    <row r="2287" spans="1:36" ht="12.5">
      <c r="A2287" s="719" t="s">
        <v>748</v>
      </c>
      <c r="B2287" s="717" t="s">
        <v>69</v>
      </c>
      <c r="C2287" s="772" t="s">
        <v>1144</v>
      </c>
      <c r="D2287" s="783"/>
      <c r="E2287" s="719">
        <v>228723</v>
      </c>
      <c r="F2287" s="719">
        <v>1</v>
      </c>
      <c r="G2287" s="1152"/>
      <c r="H2287" s="1166"/>
      <c r="I2287" s="1152">
        <v>10072694</v>
      </c>
      <c r="J2287" s="1166">
        <v>9702638</v>
      </c>
      <c r="K2287" s="1152"/>
      <c r="L2287" s="1153"/>
      <c r="M2287" s="1152"/>
      <c r="N2287" s="1152"/>
      <c r="O2287" s="732">
        <f t="shared" si="285"/>
        <v>0</v>
      </c>
      <c r="P2287" s="1166"/>
      <c r="Q2287" s="1153"/>
      <c r="R2287" s="733">
        <f t="shared" si="288"/>
        <v>0</v>
      </c>
      <c r="S2287" s="732">
        <f t="shared" si="289"/>
        <v>10072694</v>
      </c>
      <c r="T2287" s="733">
        <f t="shared" si="290"/>
        <v>9702638</v>
      </c>
      <c r="U2287" s="1152"/>
      <c r="V2287" s="1153"/>
      <c r="W2287" s="1152"/>
      <c r="X2287" s="1152"/>
      <c r="Y2287" s="732">
        <f t="shared" si="286"/>
        <v>0</v>
      </c>
      <c r="Z2287" s="1153"/>
      <c r="AA2287" s="1153"/>
      <c r="AB2287" s="733">
        <f t="shared" si="287"/>
        <v>0</v>
      </c>
      <c r="AC2287" s="1152"/>
      <c r="AD2287" s="1153"/>
      <c r="AE2287" s="1152"/>
      <c r="AF2287" s="1152"/>
      <c r="AG2287" s="1153"/>
      <c r="AH2287" s="1153"/>
      <c r="AI2287" s="732">
        <f t="shared" si="291"/>
        <v>10072694</v>
      </c>
      <c r="AJ2287" s="733">
        <f t="shared" si="292"/>
        <v>9702638</v>
      </c>
    </row>
    <row r="2288" spans="1:36" ht="12.5">
      <c r="A2288" s="719" t="s">
        <v>748</v>
      </c>
      <c r="B2288" s="717" t="s">
        <v>69</v>
      </c>
      <c r="C2288" s="772" t="s">
        <v>1456</v>
      </c>
      <c r="D2288" s="783"/>
      <c r="E2288" s="719">
        <v>228723</v>
      </c>
      <c r="F2288" s="719">
        <v>1</v>
      </c>
      <c r="G2288" s="1152"/>
      <c r="H2288" s="1166"/>
      <c r="I2288" s="1152">
        <v>22183968</v>
      </c>
      <c r="J2288" s="1167">
        <v>11012098</v>
      </c>
      <c r="K2288" s="1152"/>
      <c r="L2288" s="1153"/>
      <c r="M2288" s="1152"/>
      <c r="N2288" s="1152"/>
      <c r="O2288" s="732">
        <f t="shared" si="285"/>
        <v>0</v>
      </c>
      <c r="P2288" s="1166"/>
      <c r="Q2288" s="1153"/>
      <c r="R2288" s="733">
        <f t="shared" si="288"/>
        <v>0</v>
      </c>
      <c r="S2288" s="732">
        <f t="shared" si="289"/>
        <v>22183968</v>
      </c>
      <c r="T2288" s="733">
        <f t="shared" si="290"/>
        <v>11012098</v>
      </c>
      <c r="U2288" s="1152"/>
      <c r="V2288" s="1153"/>
      <c r="W2288" s="1152"/>
      <c r="X2288" s="1152"/>
      <c r="Y2288" s="732">
        <f t="shared" si="286"/>
        <v>0</v>
      </c>
      <c r="Z2288" s="1153"/>
      <c r="AA2288" s="1153"/>
      <c r="AB2288" s="733">
        <f t="shared" si="287"/>
        <v>0</v>
      </c>
      <c r="AC2288" s="1152"/>
      <c r="AD2288" s="1153"/>
      <c r="AE2288" s="1152"/>
      <c r="AF2288" s="1152"/>
      <c r="AG2288" s="1153"/>
      <c r="AH2288" s="1153"/>
      <c r="AI2288" s="732">
        <f t="shared" si="291"/>
        <v>22183968</v>
      </c>
      <c r="AJ2288" s="733">
        <f t="shared" si="292"/>
        <v>11012098</v>
      </c>
    </row>
    <row r="2289" spans="1:36" ht="12.5">
      <c r="A2289" s="719" t="s">
        <v>748</v>
      </c>
      <c r="B2289" s="717" t="s">
        <v>69</v>
      </c>
      <c r="C2289" s="774" t="s">
        <v>70</v>
      </c>
      <c r="D2289" s="783"/>
      <c r="E2289" s="719">
        <v>228723</v>
      </c>
      <c r="F2289" s="719">
        <v>1</v>
      </c>
      <c r="G2289" s="1152"/>
      <c r="H2289" s="1166"/>
      <c r="I2289" s="1152"/>
      <c r="J2289" s="1166"/>
      <c r="K2289" s="1152"/>
      <c r="L2289" s="1153"/>
      <c r="M2289" s="1152"/>
      <c r="N2289" s="1152"/>
      <c r="O2289" s="732">
        <f t="shared" si="285"/>
        <v>0</v>
      </c>
      <c r="P2289" s="1166"/>
      <c r="Q2289" s="1153"/>
      <c r="R2289" s="733">
        <f t="shared" si="288"/>
        <v>0</v>
      </c>
      <c r="S2289" s="732">
        <f t="shared" si="289"/>
        <v>0</v>
      </c>
      <c r="T2289" s="733">
        <f t="shared" si="290"/>
        <v>0</v>
      </c>
      <c r="U2289" s="1152"/>
      <c r="V2289" s="1153"/>
      <c r="W2289" s="1152"/>
      <c r="X2289" s="1152"/>
      <c r="Y2289" s="732">
        <f t="shared" si="286"/>
        <v>0</v>
      </c>
      <c r="Z2289" s="1153"/>
      <c r="AA2289" s="1153"/>
      <c r="AB2289" s="733">
        <f t="shared" si="287"/>
        <v>0</v>
      </c>
      <c r="AC2289" s="1152"/>
      <c r="AD2289" s="1153"/>
      <c r="AE2289" s="1152"/>
      <c r="AF2289" s="1152"/>
      <c r="AG2289" s="1153"/>
      <c r="AH2289" s="1153"/>
      <c r="AI2289" s="732">
        <f t="shared" si="291"/>
        <v>0</v>
      </c>
      <c r="AJ2289" s="733">
        <f t="shared" si="292"/>
        <v>0</v>
      </c>
    </row>
    <row r="2290" spans="1:36" ht="12.5">
      <c r="A2290" s="719" t="s">
        <v>748</v>
      </c>
      <c r="B2290" s="717" t="s">
        <v>62</v>
      </c>
      <c r="C2290" s="770" t="s">
        <v>1145</v>
      </c>
      <c r="D2290" s="782"/>
      <c r="E2290" s="719">
        <v>229115</v>
      </c>
      <c r="F2290" s="719">
        <v>1</v>
      </c>
      <c r="G2290" s="1152">
        <v>200011119</v>
      </c>
      <c r="H2290" s="1166">
        <v>177409462</v>
      </c>
      <c r="I2290" s="1152">
        <v>4646618.49</v>
      </c>
      <c r="J2290" s="1166">
        <v>5887434.4800000004</v>
      </c>
      <c r="K2290" s="1152"/>
      <c r="L2290" s="1153"/>
      <c r="M2290" s="1152">
        <v>312261175</v>
      </c>
      <c r="N2290" s="1152"/>
      <c r="O2290" s="732">
        <f t="shared" si="285"/>
        <v>312261175</v>
      </c>
      <c r="P2290" s="1166">
        <v>329894807</v>
      </c>
      <c r="Q2290" s="1153"/>
      <c r="R2290" s="733">
        <f t="shared" si="288"/>
        <v>329894807</v>
      </c>
      <c r="S2290" s="732">
        <f t="shared" si="289"/>
        <v>516918912.49000001</v>
      </c>
      <c r="T2290" s="733">
        <f t="shared" si="290"/>
        <v>513191703.48000002</v>
      </c>
      <c r="U2290" s="1152"/>
      <c r="V2290" s="1153"/>
      <c r="W2290" s="1152"/>
      <c r="X2290" s="1152"/>
      <c r="Y2290" s="732">
        <f t="shared" si="286"/>
        <v>0</v>
      </c>
      <c r="Z2290" s="1153"/>
      <c r="AA2290" s="1153"/>
      <c r="AB2290" s="733">
        <f t="shared" si="287"/>
        <v>0</v>
      </c>
      <c r="AC2290" s="1152">
        <v>7500000</v>
      </c>
      <c r="AD2290" s="1166">
        <v>9850000</v>
      </c>
      <c r="AE2290" s="1152"/>
      <c r="AF2290" s="1152"/>
      <c r="AG2290" s="1153"/>
      <c r="AH2290" s="1153"/>
      <c r="AI2290" s="732">
        <f t="shared" si="291"/>
        <v>524418912.49000001</v>
      </c>
      <c r="AJ2290" s="733">
        <f t="shared" si="292"/>
        <v>523041703.48000002</v>
      </c>
    </row>
    <row r="2291" spans="1:36" ht="12.5">
      <c r="A2291" s="719" t="s">
        <v>748</v>
      </c>
      <c r="B2291" s="717" t="s">
        <v>62</v>
      </c>
      <c r="C2291" s="770" t="s">
        <v>1146</v>
      </c>
      <c r="D2291" s="782"/>
      <c r="E2291" s="719">
        <v>225511</v>
      </c>
      <c r="F2291" s="719">
        <v>1</v>
      </c>
      <c r="G2291" s="1152">
        <v>240407008</v>
      </c>
      <c r="H2291" s="1166">
        <v>195811472</v>
      </c>
      <c r="I2291" s="1152">
        <v>5109773.5</v>
      </c>
      <c r="J2291" s="1166">
        <v>2850000</v>
      </c>
      <c r="K2291" s="1152"/>
      <c r="L2291" s="1153"/>
      <c r="M2291" s="1152">
        <v>360651617</v>
      </c>
      <c r="N2291" s="1152"/>
      <c r="O2291" s="732">
        <f t="shared" si="285"/>
        <v>360651617</v>
      </c>
      <c r="P2291" s="1166">
        <v>367253363</v>
      </c>
      <c r="Q2291" s="1153"/>
      <c r="R2291" s="733">
        <f t="shared" si="288"/>
        <v>367253363</v>
      </c>
      <c r="S2291" s="732">
        <f t="shared" si="289"/>
        <v>606168398.5</v>
      </c>
      <c r="T2291" s="733">
        <f t="shared" si="290"/>
        <v>565914835</v>
      </c>
      <c r="U2291" s="1152"/>
      <c r="V2291" s="1153"/>
      <c r="W2291" s="1152"/>
      <c r="X2291" s="1152"/>
      <c r="Y2291" s="732">
        <f t="shared" si="286"/>
        <v>0</v>
      </c>
      <c r="Z2291" s="1153"/>
      <c r="AA2291" s="1153"/>
      <c r="AB2291" s="733">
        <f t="shared" si="287"/>
        <v>0</v>
      </c>
      <c r="AC2291" s="1152"/>
      <c r="AD2291" s="1153"/>
      <c r="AE2291" s="1152"/>
      <c r="AF2291" s="1152"/>
      <c r="AG2291" s="1153"/>
      <c r="AH2291" s="1153"/>
      <c r="AI2291" s="732">
        <f t="shared" si="291"/>
        <v>606168398.5</v>
      </c>
      <c r="AJ2291" s="733">
        <f t="shared" si="292"/>
        <v>565914835</v>
      </c>
    </row>
    <row r="2292" spans="1:36" ht="12.5">
      <c r="A2292" s="719" t="s">
        <v>748</v>
      </c>
      <c r="B2292" s="717" t="s">
        <v>62</v>
      </c>
      <c r="C2292" s="770" t="s">
        <v>1147</v>
      </c>
      <c r="D2292" s="782"/>
      <c r="E2292" s="719">
        <v>227216</v>
      </c>
      <c r="F2292" s="719">
        <v>1</v>
      </c>
      <c r="G2292" s="1152">
        <v>134079372</v>
      </c>
      <c r="H2292" s="1166">
        <v>130171463</v>
      </c>
      <c r="I2292" s="1152">
        <v>2317750</v>
      </c>
      <c r="J2292" s="1167">
        <v>934955.38</v>
      </c>
      <c r="K2292" s="1152"/>
      <c r="L2292" s="1153"/>
      <c r="M2292" s="1152">
        <v>310215849</v>
      </c>
      <c r="N2292" s="1152"/>
      <c r="O2292" s="732">
        <f t="shared" si="285"/>
        <v>310215849</v>
      </c>
      <c r="P2292" s="1166">
        <v>331219265</v>
      </c>
      <c r="Q2292" s="1153"/>
      <c r="R2292" s="733">
        <f t="shared" si="288"/>
        <v>331219265</v>
      </c>
      <c r="S2292" s="732">
        <f t="shared" si="289"/>
        <v>446612971</v>
      </c>
      <c r="T2292" s="733">
        <f t="shared" si="290"/>
        <v>462325683.38</v>
      </c>
      <c r="U2292" s="1152"/>
      <c r="V2292" s="1153"/>
      <c r="W2292" s="1152"/>
      <c r="X2292" s="1152"/>
      <c r="Y2292" s="732">
        <f t="shared" si="286"/>
        <v>0</v>
      </c>
      <c r="Z2292" s="1153"/>
      <c r="AA2292" s="1153"/>
      <c r="AB2292" s="733">
        <f t="shared" si="287"/>
        <v>0</v>
      </c>
      <c r="AC2292" s="1152"/>
      <c r="AD2292" s="1153"/>
      <c r="AE2292" s="1152"/>
      <c r="AF2292" s="1152"/>
      <c r="AG2292" s="1153"/>
      <c r="AH2292" s="1153"/>
      <c r="AI2292" s="732">
        <f t="shared" si="291"/>
        <v>446612971</v>
      </c>
      <c r="AJ2292" s="733">
        <f t="shared" si="292"/>
        <v>462325683.38</v>
      </c>
    </row>
    <row r="2293" spans="1:36" ht="12.5">
      <c r="A2293" s="719" t="s">
        <v>748</v>
      </c>
      <c r="B2293" s="717" t="s">
        <v>62</v>
      </c>
      <c r="C2293" s="770" t="s">
        <v>1148</v>
      </c>
      <c r="D2293" s="782"/>
      <c r="E2293" s="719">
        <v>228769</v>
      </c>
      <c r="F2293" s="719">
        <v>1</v>
      </c>
      <c r="G2293" s="1152">
        <v>142428216</v>
      </c>
      <c r="H2293" s="1166">
        <v>133912204</v>
      </c>
      <c r="I2293" s="1152">
        <v>275000</v>
      </c>
      <c r="J2293" s="1167">
        <v>487500</v>
      </c>
      <c r="K2293" s="1152"/>
      <c r="L2293" s="1153"/>
      <c r="M2293" s="1152">
        <v>311918978</v>
      </c>
      <c r="N2293" s="1152"/>
      <c r="O2293" s="732">
        <f t="shared" si="285"/>
        <v>311918978</v>
      </c>
      <c r="P2293" s="1166">
        <v>326687549</v>
      </c>
      <c r="Q2293" s="1153"/>
      <c r="R2293" s="733">
        <f t="shared" si="288"/>
        <v>326687549</v>
      </c>
      <c r="S2293" s="732">
        <f t="shared" si="289"/>
        <v>454622194</v>
      </c>
      <c r="T2293" s="733">
        <f t="shared" si="290"/>
        <v>461087253</v>
      </c>
      <c r="U2293" s="1152"/>
      <c r="V2293" s="1153"/>
      <c r="W2293" s="1152"/>
      <c r="X2293" s="1152"/>
      <c r="Y2293" s="732">
        <f t="shared" si="286"/>
        <v>0</v>
      </c>
      <c r="Z2293" s="1153"/>
      <c r="AA2293" s="1153"/>
      <c r="AB2293" s="733">
        <f t="shared" si="287"/>
        <v>0</v>
      </c>
      <c r="AC2293" s="1152"/>
      <c r="AD2293" s="1153"/>
      <c r="AE2293" s="1152"/>
      <c r="AF2293" s="1152"/>
      <c r="AG2293" s="1153"/>
      <c r="AH2293" s="1153"/>
      <c r="AI2293" s="732">
        <f t="shared" si="291"/>
        <v>454622194</v>
      </c>
      <c r="AJ2293" s="733">
        <f t="shared" si="292"/>
        <v>461087253</v>
      </c>
    </row>
    <row r="2294" spans="1:36" ht="12.5">
      <c r="A2294" s="719" t="s">
        <v>748</v>
      </c>
      <c r="B2294" s="717" t="s">
        <v>62</v>
      </c>
      <c r="C2294" s="770" t="s">
        <v>1149</v>
      </c>
      <c r="D2294" s="782"/>
      <c r="E2294" s="719">
        <v>228778</v>
      </c>
      <c r="F2294" s="719">
        <v>1</v>
      </c>
      <c r="G2294" s="1152">
        <v>736765944</v>
      </c>
      <c r="H2294" s="1166">
        <v>933830369</v>
      </c>
      <c r="I2294" s="1152"/>
      <c r="J2294" s="1166"/>
      <c r="K2294" s="1152"/>
      <c r="L2294" s="1153"/>
      <c r="M2294" s="1152">
        <v>477601226</v>
      </c>
      <c r="N2294" s="1152"/>
      <c r="O2294" s="732">
        <f t="shared" si="285"/>
        <v>477601226</v>
      </c>
      <c r="P2294" s="1166">
        <v>473882428</v>
      </c>
      <c r="Q2294" s="1153"/>
      <c r="R2294" s="733">
        <f t="shared" si="288"/>
        <v>473882428</v>
      </c>
      <c r="S2294" s="732">
        <f t="shared" si="289"/>
        <v>1214367170</v>
      </c>
      <c r="T2294" s="733">
        <f t="shared" si="290"/>
        <v>1407712797</v>
      </c>
      <c r="U2294" s="1152"/>
      <c r="V2294" s="1153"/>
      <c r="W2294" s="1152"/>
      <c r="X2294" s="1152"/>
      <c r="Y2294" s="732">
        <f t="shared" si="286"/>
        <v>0</v>
      </c>
      <c r="Z2294" s="1153"/>
      <c r="AA2294" s="1153"/>
      <c r="AB2294" s="733">
        <f t="shared" si="287"/>
        <v>0</v>
      </c>
      <c r="AC2294" s="1152"/>
      <c r="AD2294" s="1153"/>
      <c r="AE2294" s="1152"/>
      <c r="AF2294" s="1152"/>
      <c r="AG2294" s="1153"/>
      <c r="AH2294" s="1153"/>
      <c r="AI2294" s="732">
        <f t="shared" si="291"/>
        <v>1214367170</v>
      </c>
      <c r="AJ2294" s="733">
        <f t="shared" si="292"/>
        <v>1407712797</v>
      </c>
    </row>
    <row r="2295" spans="1:36" ht="12.5">
      <c r="A2295" s="719" t="s">
        <v>748</v>
      </c>
      <c r="B2295" s="717" t="s">
        <v>62</v>
      </c>
      <c r="C2295" s="770" t="s">
        <v>1150</v>
      </c>
      <c r="D2295" s="782"/>
      <c r="E2295" s="719">
        <v>228787</v>
      </c>
      <c r="F2295" s="719">
        <v>1</v>
      </c>
      <c r="G2295" s="1152">
        <v>118254508</v>
      </c>
      <c r="H2295" s="1166">
        <v>109350714</v>
      </c>
      <c r="I2295" s="1152">
        <v>3885819.42</v>
      </c>
      <c r="J2295" s="1166">
        <v>2184180.58</v>
      </c>
      <c r="K2295" s="1152"/>
      <c r="L2295" s="1153"/>
      <c r="M2295" s="1152">
        <v>272494083</v>
      </c>
      <c r="N2295" s="1152"/>
      <c r="O2295" s="732">
        <f t="shared" si="285"/>
        <v>272494083</v>
      </c>
      <c r="P2295" s="1166">
        <v>294638433</v>
      </c>
      <c r="Q2295" s="1153"/>
      <c r="R2295" s="733">
        <f t="shared" si="288"/>
        <v>294638433</v>
      </c>
      <c r="S2295" s="732">
        <f t="shared" si="289"/>
        <v>394634410.42000002</v>
      </c>
      <c r="T2295" s="733">
        <f t="shared" si="290"/>
        <v>406173327.57999998</v>
      </c>
      <c r="U2295" s="1152"/>
      <c r="V2295" s="1153"/>
      <c r="W2295" s="1152"/>
      <c r="X2295" s="1152"/>
      <c r="Y2295" s="732">
        <f t="shared" si="286"/>
        <v>0</v>
      </c>
      <c r="Z2295" s="1153"/>
      <c r="AA2295" s="1153"/>
      <c r="AB2295" s="733">
        <f t="shared" si="287"/>
        <v>0</v>
      </c>
      <c r="AC2295" s="1152"/>
      <c r="AD2295" s="1153"/>
      <c r="AE2295" s="1152"/>
      <c r="AF2295" s="1152"/>
      <c r="AG2295" s="1153"/>
      <c r="AH2295" s="1153"/>
      <c r="AI2295" s="732">
        <f t="shared" si="291"/>
        <v>394634410.42000002</v>
      </c>
      <c r="AJ2295" s="733">
        <f t="shared" si="292"/>
        <v>406173327.57999998</v>
      </c>
    </row>
    <row r="2296" spans="1:36" customFormat="1" ht="15" customHeight="1">
      <c r="A2296" s="719" t="s">
        <v>748</v>
      </c>
      <c r="B2296" s="717" t="s">
        <v>62</v>
      </c>
      <c r="C2296" s="717" t="s">
        <v>1151</v>
      </c>
      <c r="D2296" s="784"/>
      <c r="E2296" s="719">
        <v>229027</v>
      </c>
      <c r="F2296" s="719">
        <v>1</v>
      </c>
      <c r="G2296" s="1152">
        <v>131769532</v>
      </c>
      <c r="H2296" s="1166">
        <v>124012514</v>
      </c>
      <c r="I2296" s="1152">
        <v>780186.82</v>
      </c>
      <c r="J2296" s="1167">
        <v>1225000</v>
      </c>
      <c r="K2296" s="1152"/>
      <c r="L2296" s="1153"/>
      <c r="M2296" s="1152">
        <v>183418781</v>
      </c>
      <c r="N2296" s="1152"/>
      <c r="O2296" s="732">
        <f t="shared" si="285"/>
        <v>183418781</v>
      </c>
      <c r="P2296" s="1166">
        <v>203601417</v>
      </c>
      <c r="Q2296" s="1153"/>
      <c r="R2296" s="733">
        <f t="shared" si="288"/>
        <v>203601417</v>
      </c>
      <c r="S2296" s="732">
        <f t="shared" si="289"/>
        <v>315968499.81999999</v>
      </c>
      <c r="T2296" s="733">
        <f t="shared" si="290"/>
        <v>328838931</v>
      </c>
      <c r="U2296" s="1152"/>
      <c r="V2296" s="1153"/>
      <c r="W2296" s="1152"/>
      <c r="X2296" s="1152"/>
      <c r="Y2296" s="732">
        <f t="shared" si="286"/>
        <v>0</v>
      </c>
      <c r="Z2296" s="1153"/>
      <c r="AA2296" s="1153"/>
      <c r="AB2296" s="733">
        <f t="shared" si="287"/>
        <v>0</v>
      </c>
      <c r="AC2296" s="1152"/>
      <c r="AD2296" s="1153"/>
      <c r="AE2296" s="1152"/>
      <c r="AF2296" s="1152"/>
      <c r="AG2296" s="1153"/>
      <c r="AH2296" s="1153"/>
      <c r="AI2296" s="732">
        <f t="shared" si="291"/>
        <v>315968499.81999999</v>
      </c>
      <c r="AJ2296" s="733">
        <f t="shared" si="292"/>
        <v>328838931</v>
      </c>
    </row>
    <row r="2297" spans="1:36" ht="12.5">
      <c r="A2297" s="719" t="s">
        <v>748</v>
      </c>
      <c r="B2297" s="717" t="s">
        <v>62</v>
      </c>
      <c r="C2297" s="770" t="s">
        <v>1152</v>
      </c>
      <c r="D2297" s="784"/>
      <c r="E2297" s="719">
        <v>228459</v>
      </c>
      <c r="F2297" s="719">
        <v>2</v>
      </c>
      <c r="G2297" s="1152">
        <v>136203378</v>
      </c>
      <c r="H2297" s="1166">
        <v>127000442</v>
      </c>
      <c r="I2297" s="1152">
        <v>200000</v>
      </c>
      <c r="J2297" s="1168">
        <v>3549162.08</v>
      </c>
      <c r="K2297" s="1152"/>
      <c r="L2297" s="1153"/>
      <c r="M2297" s="1152">
        <v>238678109</v>
      </c>
      <c r="N2297" s="1152"/>
      <c r="O2297" s="732">
        <f t="shared" si="285"/>
        <v>238678109</v>
      </c>
      <c r="P2297" s="1166">
        <v>242885556</v>
      </c>
      <c r="Q2297" s="1153"/>
      <c r="R2297" s="733">
        <f t="shared" si="288"/>
        <v>242885556</v>
      </c>
      <c r="S2297" s="732">
        <f t="shared" si="289"/>
        <v>375081487</v>
      </c>
      <c r="T2297" s="733">
        <f t="shared" si="290"/>
        <v>373435160.07999998</v>
      </c>
      <c r="U2297" s="1152"/>
      <c r="V2297" s="1153"/>
      <c r="W2297" s="1152"/>
      <c r="X2297" s="1152"/>
      <c r="Y2297" s="732">
        <f t="shared" si="286"/>
        <v>0</v>
      </c>
      <c r="Z2297" s="1153"/>
      <c r="AA2297" s="1153"/>
      <c r="AB2297" s="733">
        <f t="shared" si="287"/>
        <v>0</v>
      </c>
      <c r="AC2297" s="1152"/>
      <c r="AD2297" s="1153"/>
      <c r="AE2297" s="1152"/>
      <c r="AF2297" s="1152"/>
      <c r="AG2297" s="1153"/>
      <c r="AH2297" s="1153"/>
      <c r="AI2297" s="732">
        <f t="shared" si="291"/>
        <v>375081487</v>
      </c>
      <c r="AJ2297" s="733">
        <f t="shared" si="292"/>
        <v>373435160.07999998</v>
      </c>
    </row>
    <row r="2298" spans="1:36" customFormat="1" ht="15" customHeight="1">
      <c r="A2298" s="719" t="s">
        <v>748</v>
      </c>
      <c r="B2298" s="717" t="s">
        <v>62</v>
      </c>
      <c r="C2298" s="717" t="s">
        <v>1153</v>
      </c>
      <c r="D2298" s="1141" t="s">
        <v>1805</v>
      </c>
      <c r="E2298" s="719">
        <v>229179</v>
      </c>
      <c r="F2298" s="719">
        <v>2</v>
      </c>
      <c r="G2298" s="1152">
        <v>68663479</v>
      </c>
      <c r="H2298" s="1166">
        <v>71173472</v>
      </c>
      <c r="I2298" s="1152"/>
      <c r="J2298" s="1166"/>
      <c r="K2298" s="1152"/>
      <c r="L2298" s="1153"/>
      <c r="M2298" s="1152">
        <v>77541183</v>
      </c>
      <c r="N2298" s="1152"/>
      <c r="O2298" s="732">
        <f t="shared" si="285"/>
        <v>77541183</v>
      </c>
      <c r="P2298" s="1166">
        <v>87137532</v>
      </c>
      <c r="Q2298" s="1153"/>
      <c r="R2298" s="733">
        <f t="shared" si="288"/>
        <v>87137532</v>
      </c>
      <c r="S2298" s="732">
        <f t="shared" si="289"/>
        <v>146204662</v>
      </c>
      <c r="T2298" s="733">
        <f t="shared" si="290"/>
        <v>158311004</v>
      </c>
      <c r="U2298" s="1152"/>
      <c r="V2298" s="1153"/>
      <c r="W2298" s="1152"/>
      <c r="X2298" s="1152"/>
      <c r="Y2298" s="732">
        <f t="shared" si="286"/>
        <v>0</v>
      </c>
      <c r="Z2298" s="1153"/>
      <c r="AA2298" s="1153"/>
      <c r="AB2298" s="733">
        <f t="shared" si="287"/>
        <v>0</v>
      </c>
      <c r="AC2298" s="1152"/>
      <c r="AD2298" s="1153"/>
      <c r="AE2298" s="1152"/>
      <c r="AF2298" s="1152"/>
      <c r="AG2298" s="1153"/>
      <c r="AH2298" s="1153"/>
      <c r="AI2298" s="732">
        <f t="shared" si="291"/>
        <v>146204662</v>
      </c>
      <c r="AJ2298" s="733">
        <f t="shared" si="292"/>
        <v>158311004</v>
      </c>
    </row>
    <row r="2299" spans="1:36" customFormat="1" ht="15" customHeight="1">
      <c r="A2299" s="719" t="s">
        <v>748</v>
      </c>
      <c r="B2299" s="717" t="s">
        <v>62</v>
      </c>
      <c r="C2299" s="770" t="s">
        <v>1154</v>
      </c>
      <c r="D2299" s="1142" t="s">
        <v>1806</v>
      </c>
      <c r="E2299" s="719">
        <v>228796</v>
      </c>
      <c r="F2299" s="719">
        <v>2</v>
      </c>
      <c r="G2299" s="1152">
        <v>106731294</v>
      </c>
      <c r="H2299" s="1166">
        <v>99457064</v>
      </c>
      <c r="I2299" s="1152">
        <v>284851.77</v>
      </c>
      <c r="J2299" s="1166">
        <v>381767.48</v>
      </c>
      <c r="K2299" s="1152"/>
      <c r="L2299" s="1153"/>
      <c r="M2299" s="1152">
        <v>130124360</v>
      </c>
      <c r="N2299" s="1152"/>
      <c r="O2299" s="732">
        <f t="shared" si="285"/>
        <v>130124360</v>
      </c>
      <c r="P2299" s="1166">
        <v>139315793</v>
      </c>
      <c r="Q2299" s="1153"/>
      <c r="R2299" s="733">
        <f t="shared" si="288"/>
        <v>139315793</v>
      </c>
      <c r="S2299" s="732">
        <f t="shared" si="289"/>
        <v>237140505.76999998</v>
      </c>
      <c r="T2299" s="733">
        <f t="shared" si="290"/>
        <v>239154624.48000002</v>
      </c>
      <c r="U2299" s="1152"/>
      <c r="V2299" s="1153"/>
      <c r="W2299" s="1152"/>
      <c r="X2299" s="1152"/>
      <c r="Y2299" s="732">
        <f t="shared" si="286"/>
        <v>0</v>
      </c>
      <c r="Z2299" s="1153"/>
      <c r="AA2299" s="1153"/>
      <c r="AB2299" s="733">
        <f t="shared" si="287"/>
        <v>0</v>
      </c>
      <c r="AC2299" s="1152"/>
      <c r="AD2299" s="1153"/>
      <c r="AE2299" s="1152"/>
      <c r="AF2299" s="1152"/>
      <c r="AG2299" s="1153"/>
      <c r="AH2299" s="1153"/>
      <c r="AI2299" s="732">
        <f t="shared" si="291"/>
        <v>237140505.76999998</v>
      </c>
      <c r="AJ2299" s="733">
        <f t="shared" si="292"/>
        <v>239154624.48000002</v>
      </c>
    </row>
    <row r="2300" spans="1:36" ht="12.5">
      <c r="A2300" s="719" t="s">
        <v>748</v>
      </c>
      <c r="B2300" s="717" t="s">
        <v>62</v>
      </c>
      <c r="C2300" s="770" t="s">
        <v>1155</v>
      </c>
      <c r="D2300" s="782"/>
      <c r="E2300" s="719">
        <v>222831</v>
      </c>
      <c r="F2300" s="719">
        <v>3</v>
      </c>
      <c r="G2300" s="1152">
        <v>36220412</v>
      </c>
      <c r="H2300" s="1166">
        <v>33639285</v>
      </c>
      <c r="I2300" s="1152"/>
      <c r="J2300" s="1166"/>
      <c r="K2300" s="1152"/>
      <c r="L2300" s="1153"/>
      <c r="M2300" s="1152">
        <v>41562764</v>
      </c>
      <c r="N2300" s="1152"/>
      <c r="O2300" s="732">
        <f t="shared" si="285"/>
        <v>41562764</v>
      </c>
      <c r="P2300" s="1166">
        <v>41367534</v>
      </c>
      <c r="Q2300" s="1153"/>
      <c r="R2300" s="733">
        <f t="shared" si="288"/>
        <v>41367534</v>
      </c>
      <c r="S2300" s="732">
        <f t="shared" si="289"/>
        <v>77783176</v>
      </c>
      <c r="T2300" s="733">
        <f t="shared" si="290"/>
        <v>75006819</v>
      </c>
      <c r="U2300" s="1152"/>
      <c r="V2300" s="1153"/>
      <c r="W2300" s="1152"/>
      <c r="X2300" s="1152"/>
      <c r="Y2300" s="732">
        <f t="shared" si="286"/>
        <v>0</v>
      </c>
      <c r="Z2300" s="1153"/>
      <c r="AA2300" s="1153"/>
      <c r="AB2300" s="733">
        <f t="shared" si="287"/>
        <v>0</v>
      </c>
      <c r="AC2300" s="1152"/>
      <c r="AD2300" s="1153"/>
      <c r="AE2300" s="1152"/>
      <c r="AF2300" s="1152"/>
      <c r="AG2300" s="1153"/>
      <c r="AH2300" s="1153"/>
      <c r="AI2300" s="732">
        <f t="shared" si="291"/>
        <v>77783176</v>
      </c>
      <c r="AJ2300" s="733">
        <f t="shared" si="292"/>
        <v>75006819</v>
      </c>
    </row>
    <row r="2301" spans="1:36" ht="12.5">
      <c r="A2301" s="719" t="s">
        <v>748</v>
      </c>
      <c r="B2301" s="717" t="s">
        <v>62</v>
      </c>
      <c r="C2301" s="770" t="s">
        <v>1156</v>
      </c>
      <c r="D2301" s="782"/>
      <c r="E2301" s="719">
        <v>226091</v>
      </c>
      <c r="F2301" s="719">
        <v>3</v>
      </c>
      <c r="G2301" s="1152">
        <v>57580069</v>
      </c>
      <c r="H2301" s="1166">
        <v>53383059</v>
      </c>
      <c r="I2301" s="1152"/>
      <c r="J2301" s="1166"/>
      <c r="K2301" s="1152"/>
      <c r="L2301" s="1153"/>
      <c r="M2301" s="1152">
        <v>83931633</v>
      </c>
      <c r="N2301" s="1152"/>
      <c r="O2301" s="732">
        <f t="shared" si="285"/>
        <v>83931633</v>
      </c>
      <c r="P2301" s="1166">
        <v>87889027</v>
      </c>
      <c r="Q2301" s="1153"/>
      <c r="R2301" s="733">
        <f t="shared" si="288"/>
        <v>87889027</v>
      </c>
      <c r="S2301" s="732">
        <f t="shared" si="289"/>
        <v>141511702</v>
      </c>
      <c r="T2301" s="733">
        <f t="shared" si="290"/>
        <v>141272086</v>
      </c>
      <c r="U2301" s="1152"/>
      <c r="V2301" s="1153"/>
      <c r="W2301" s="1152"/>
      <c r="X2301" s="1152"/>
      <c r="Y2301" s="732">
        <f t="shared" si="286"/>
        <v>0</v>
      </c>
      <c r="Z2301" s="1153"/>
      <c r="AA2301" s="1153"/>
      <c r="AB2301" s="733">
        <f t="shared" si="287"/>
        <v>0</v>
      </c>
      <c r="AC2301" s="1152"/>
      <c r="AD2301" s="1153"/>
      <c r="AE2301" s="1152"/>
      <c r="AF2301" s="1152"/>
      <c r="AG2301" s="1153"/>
      <c r="AH2301" s="1153"/>
      <c r="AI2301" s="732">
        <f t="shared" si="291"/>
        <v>141511702</v>
      </c>
      <c r="AJ2301" s="733">
        <f t="shared" si="292"/>
        <v>141272086</v>
      </c>
    </row>
    <row r="2302" spans="1:36" ht="12.5">
      <c r="A2302" s="719" t="s">
        <v>748</v>
      </c>
      <c r="B2302" s="717" t="s">
        <v>62</v>
      </c>
      <c r="C2302" s="770" t="s">
        <v>1157</v>
      </c>
      <c r="D2302" s="782"/>
      <c r="E2302" s="719">
        <v>226833</v>
      </c>
      <c r="F2302" s="719">
        <v>3</v>
      </c>
      <c r="G2302" s="1152">
        <v>21965064</v>
      </c>
      <c r="H2302" s="1166">
        <v>20457875</v>
      </c>
      <c r="I2302" s="1152"/>
      <c r="J2302" s="1166"/>
      <c r="K2302" s="1152"/>
      <c r="L2302" s="1153"/>
      <c r="M2302" s="1152">
        <v>35183763</v>
      </c>
      <c r="N2302" s="1152"/>
      <c r="O2302" s="732">
        <f t="shared" si="285"/>
        <v>35183763</v>
      </c>
      <c r="P2302" s="1166">
        <v>36834617</v>
      </c>
      <c r="Q2302" s="1153"/>
      <c r="R2302" s="733">
        <f t="shared" si="288"/>
        <v>36834617</v>
      </c>
      <c r="S2302" s="732">
        <f t="shared" si="289"/>
        <v>57148827</v>
      </c>
      <c r="T2302" s="733">
        <f t="shared" si="290"/>
        <v>57292492</v>
      </c>
      <c r="U2302" s="1152"/>
      <c r="V2302" s="1153"/>
      <c r="W2302" s="1152"/>
      <c r="X2302" s="1152"/>
      <c r="Y2302" s="732">
        <f t="shared" si="286"/>
        <v>0</v>
      </c>
      <c r="Z2302" s="1153"/>
      <c r="AA2302" s="1153"/>
      <c r="AB2302" s="733">
        <f t="shared" si="287"/>
        <v>0</v>
      </c>
      <c r="AC2302" s="1152"/>
      <c r="AD2302" s="1153"/>
      <c r="AE2302" s="1152"/>
      <c r="AF2302" s="1152"/>
      <c r="AG2302" s="1153"/>
      <c r="AH2302" s="1153"/>
      <c r="AI2302" s="732">
        <f t="shared" si="291"/>
        <v>57148827</v>
      </c>
      <c r="AJ2302" s="733">
        <f t="shared" si="292"/>
        <v>57292492</v>
      </c>
    </row>
    <row r="2303" spans="1:36" ht="12.5">
      <c r="A2303" s="719" t="s">
        <v>748</v>
      </c>
      <c r="B2303" s="717" t="s">
        <v>62</v>
      </c>
      <c r="C2303" s="770" t="s">
        <v>1158</v>
      </c>
      <c r="D2303" s="782"/>
      <c r="E2303" s="719">
        <v>227526</v>
      </c>
      <c r="F2303" s="719">
        <v>3</v>
      </c>
      <c r="G2303" s="1152">
        <v>80421854</v>
      </c>
      <c r="H2303" s="1166">
        <v>79700711</v>
      </c>
      <c r="I2303" s="1152"/>
      <c r="J2303" s="1166"/>
      <c r="K2303" s="1152"/>
      <c r="L2303" s="1153"/>
      <c r="M2303" s="1152">
        <v>40878006</v>
      </c>
      <c r="N2303" s="1152"/>
      <c r="O2303" s="732">
        <f t="shared" si="285"/>
        <v>40878006</v>
      </c>
      <c r="P2303" s="1166">
        <v>45000109</v>
      </c>
      <c r="Q2303" s="1153"/>
      <c r="R2303" s="733">
        <f t="shared" si="288"/>
        <v>45000109</v>
      </c>
      <c r="S2303" s="732">
        <f t="shared" si="289"/>
        <v>121299860</v>
      </c>
      <c r="T2303" s="733">
        <f t="shared" si="290"/>
        <v>124700820</v>
      </c>
      <c r="U2303" s="1152"/>
      <c r="V2303" s="1153"/>
      <c r="W2303" s="1152"/>
      <c r="X2303" s="1152"/>
      <c r="Y2303" s="732">
        <f t="shared" si="286"/>
        <v>0</v>
      </c>
      <c r="Z2303" s="1153"/>
      <c r="AA2303" s="1153"/>
      <c r="AB2303" s="733">
        <f t="shared" si="287"/>
        <v>0</v>
      </c>
      <c r="AC2303" s="1152"/>
      <c r="AD2303" s="1153"/>
      <c r="AE2303" s="1152"/>
      <c r="AF2303" s="1152"/>
      <c r="AG2303" s="1153"/>
      <c r="AH2303" s="1153"/>
      <c r="AI2303" s="732">
        <f t="shared" si="291"/>
        <v>121299860</v>
      </c>
      <c r="AJ2303" s="733">
        <f t="shared" si="292"/>
        <v>124700820</v>
      </c>
    </row>
    <row r="2304" spans="1:36" ht="12.5">
      <c r="A2304" s="719" t="s">
        <v>748</v>
      </c>
      <c r="B2304" s="717" t="s">
        <v>62</v>
      </c>
      <c r="C2304" s="770" t="s">
        <v>1159</v>
      </c>
      <c r="D2304" s="782"/>
      <c r="E2304" s="719">
        <v>227881</v>
      </c>
      <c r="F2304" s="719">
        <v>3</v>
      </c>
      <c r="G2304" s="1152">
        <v>72913124</v>
      </c>
      <c r="H2304" s="1166">
        <v>69036132</v>
      </c>
      <c r="I2304" s="1152"/>
      <c r="J2304" s="1166"/>
      <c r="K2304" s="1152"/>
      <c r="L2304" s="1153"/>
      <c r="M2304" s="1152">
        <v>154563100</v>
      </c>
      <c r="N2304" s="1152"/>
      <c r="O2304" s="732">
        <f t="shared" si="285"/>
        <v>154563100</v>
      </c>
      <c r="P2304" s="1166">
        <v>158792596</v>
      </c>
      <c r="Q2304" s="1153"/>
      <c r="R2304" s="733">
        <f t="shared" si="288"/>
        <v>158792596</v>
      </c>
      <c r="S2304" s="732">
        <f t="shared" si="289"/>
        <v>227476224</v>
      </c>
      <c r="T2304" s="733">
        <f t="shared" si="290"/>
        <v>227828728</v>
      </c>
      <c r="U2304" s="1152"/>
      <c r="V2304" s="1153"/>
      <c r="W2304" s="1152"/>
      <c r="X2304" s="1152"/>
      <c r="Y2304" s="732">
        <f t="shared" si="286"/>
        <v>0</v>
      </c>
      <c r="Z2304" s="1153"/>
      <c r="AA2304" s="1153"/>
      <c r="AB2304" s="733">
        <f t="shared" si="287"/>
        <v>0</v>
      </c>
      <c r="AC2304" s="1152"/>
      <c r="AD2304" s="1153"/>
      <c r="AE2304" s="1152"/>
      <c r="AF2304" s="1152"/>
      <c r="AG2304" s="1153"/>
      <c r="AH2304" s="1153"/>
      <c r="AI2304" s="732">
        <f t="shared" si="291"/>
        <v>227476224</v>
      </c>
      <c r="AJ2304" s="733">
        <f t="shared" si="292"/>
        <v>227828728</v>
      </c>
    </row>
    <row r="2305" spans="1:36" ht="12.5">
      <c r="A2305" s="719" t="s">
        <v>748</v>
      </c>
      <c r="B2305" s="717" t="s">
        <v>62</v>
      </c>
      <c r="C2305" s="770" t="s">
        <v>1160</v>
      </c>
      <c r="D2305" s="782"/>
      <c r="E2305" s="719">
        <v>228431</v>
      </c>
      <c r="F2305" s="719">
        <v>3</v>
      </c>
      <c r="G2305" s="1152">
        <v>43810077</v>
      </c>
      <c r="H2305" s="1166">
        <v>43930552</v>
      </c>
      <c r="I2305" s="1152"/>
      <c r="J2305" s="1166"/>
      <c r="K2305" s="1152"/>
      <c r="L2305" s="1153"/>
      <c r="M2305" s="1152">
        <v>83460589</v>
      </c>
      <c r="N2305" s="1152"/>
      <c r="O2305" s="732">
        <f t="shared" si="285"/>
        <v>83460589</v>
      </c>
      <c r="P2305" s="1166">
        <v>83822895</v>
      </c>
      <c r="Q2305" s="1153"/>
      <c r="R2305" s="733">
        <f t="shared" si="288"/>
        <v>83822895</v>
      </c>
      <c r="S2305" s="732">
        <f t="shared" si="289"/>
        <v>127270666</v>
      </c>
      <c r="T2305" s="733">
        <f t="shared" si="290"/>
        <v>127753447</v>
      </c>
      <c r="U2305" s="1152"/>
      <c r="V2305" s="1153"/>
      <c r="W2305" s="1152"/>
      <c r="X2305" s="1152"/>
      <c r="Y2305" s="732">
        <f t="shared" si="286"/>
        <v>0</v>
      </c>
      <c r="Z2305" s="1153"/>
      <c r="AA2305" s="1153"/>
      <c r="AB2305" s="733">
        <f t="shared" si="287"/>
        <v>0</v>
      </c>
      <c r="AC2305" s="1152"/>
      <c r="AD2305" s="1153"/>
      <c r="AE2305" s="1152"/>
      <c r="AF2305" s="1152"/>
      <c r="AG2305" s="1153"/>
      <c r="AH2305" s="1153"/>
      <c r="AI2305" s="732">
        <f t="shared" si="291"/>
        <v>127270666</v>
      </c>
      <c r="AJ2305" s="733">
        <f t="shared" si="292"/>
        <v>127753447</v>
      </c>
    </row>
    <row r="2306" spans="1:36" ht="12.5">
      <c r="A2306" s="719" t="s">
        <v>748</v>
      </c>
      <c r="B2306" s="717" t="s">
        <v>62</v>
      </c>
      <c r="C2306" s="770" t="s">
        <v>1161</v>
      </c>
      <c r="D2306" s="782"/>
      <c r="E2306" s="719">
        <v>228501</v>
      </c>
      <c r="F2306" s="719">
        <v>3</v>
      </c>
      <c r="G2306" s="1152">
        <v>13644158</v>
      </c>
      <c r="H2306" s="1166">
        <v>12733413</v>
      </c>
      <c r="I2306" s="1152"/>
      <c r="J2306" s="1166"/>
      <c r="K2306" s="1152"/>
      <c r="L2306" s="1153"/>
      <c r="M2306" s="1152">
        <v>5952891</v>
      </c>
      <c r="N2306" s="1152"/>
      <c r="O2306" s="732">
        <f t="shared" si="285"/>
        <v>5952891</v>
      </c>
      <c r="P2306" s="1167">
        <v>10392039</v>
      </c>
      <c r="Q2306" s="1153"/>
      <c r="R2306" s="733">
        <f t="shared" si="288"/>
        <v>10392039</v>
      </c>
      <c r="S2306" s="732">
        <f t="shared" si="289"/>
        <v>19597049</v>
      </c>
      <c r="T2306" s="733">
        <f t="shared" si="290"/>
        <v>23125452</v>
      </c>
      <c r="U2306" s="1152"/>
      <c r="V2306" s="1153"/>
      <c r="W2306" s="1152"/>
      <c r="X2306" s="1152"/>
      <c r="Y2306" s="732">
        <f t="shared" si="286"/>
        <v>0</v>
      </c>
      <c r="Z2306" s="1153"/>
      <c r="AA2306" s="1153"/>
      <c r="AB2306" s="733">
        <f t="shared" si="287"/>
        <v>0</v>
      </c>
      <c r="AC2306" s="1152"/>
      <c r="AD2306" s="1153"/>
      <c r="AE2306" s="1152"/>
      <c r="AF2306" s="1152"/>
      <c r="AG2306" s="1153"/>
      <c r="AH2306" s="1153"/>
      <c r="AI2306" s="732">
        <f t="shared" si="291"/>
        <v>19597049</v>
      </c>
      <c r="AJ2306" s="733">
        <f t="shared" si="292"/>
        <v>23125452</v>
      </c>
    </row>
    <row r="2307" spans="1:36" ht="12.5">
      <c r="A2307" s="719" t="s">
        <v>748</v>
      </c>
      <c r="B2307" s="717" t="s">
        <v>62</v>
      </c>
      <c r="C2307" s="770" t="s">
        <v>1162</v>
      </c>
      <c r="D2307" s="782"/>
      <c r="E2307" s="719">
        <v>228529</v>
      </c>
      <c r="F2307" s="719">
        <v>3</v>
      </c>
      <c r="G2307" s="1152">
        <v>45570237</v>
      </c>
      <c r="H2307" s="1166">
        <v>44254626</v>
      </c>
      <c r="I2307" s="1152"/>
      <c r="J2307" s="1166"/>
      <c r="K2307" s="1152"/>
      <c r="L2307" s="1153"/>
      <c r="M2307" s="1152">
        <v>71174877</v>
      </c>
      <c r="N2307" s="1152"/>
      <c r="O2307" s="732">
        <f t="shared" si="285"/>
        <v>71174877</v>
      </c>
      <c r="P2307" s="1166">
        <v>76547125</v>
      </c>
      <c r="Q2307" s="1153"/>
      <c r="R2307" s="733">
        <f t="shared" si="288"/>
        <v>76547125</v>
      </c>
      <c r="S2307" s="732">
        <f t="shared" si="289"/>
        <v>116745114</v>
      </c>
      <c r="T2307" s="733">
        <f t="shared" si="290"/>
        <v>120801751</v>
      </c>
      <c r="U2307" s="1152"/>
      <c r="V2307" s="1153"/>
      <c r="W2307" s="1152"/>
      <c r="X2307" s="1152"/>
      <c r="Y2307" s="732">
        <f t="shared" si="286"/>
        <v>0</v>
      </c>
      <c r="Z2307" s="1153"/>
      <c r="AA2307" s="1153"/>
      <c r="AB2307" s="733">
        <f t="shared" si="287"/>
        <v>0</v>
      </c>
      <c r="AC2307" s="1152"/>
      <c r="AD2307" s="1153"/>
      <c r="AE2307" s="1152"/>
      <c r="AF2307" s="1152"/>
      <c r="AG2307" s="1153"/>
      <c r="AH2307" s="1153"/>
      <c r="AI2307" s="732">
        <f t="shared" si="291"/>
        <v>116745114</v>
      </c>
      <c r="AJ2307" s="733">
        <f t="shared" si="292"/>
        <v>120801751</v>
      </c>
    </row>
    <row r="2308" spans="1:36" ht="12.5">
      <c r="A2308" s="719" t="s">
        <v>748</v>
      </c>
      <c r="B2308" s="717" t="s">
        <v>62</v>
      </c>
      <c r="C2308" s="717" t="s">
        <v>1163</v>
      </c>
      <c r="D2308" s="785"/>
      <c r="E2308" s="719">
        <v>226152</v>
      </c>
      <c r="F2308" s="719">
        <v>3</v>
      </c>
      <c r="G2308" s="1152">
        <v>29521741</v>
      </c>
      <c r="H2308" s="1166">
        <v>29508267</v>
      </c>
      <c r="I2308" s="1152"/>
      <c r="J2308" s="1166"/>
      <c r="K2308" s="1152"/>
      <c r="L2308" s="1153"/>
      <c r="M2308" s="1152">
        <v>23789547</v>
      </c>
      <c r="N2308" s="1152"/>
      <c r="O2308" s="732">
        <f t="shared" si="285"/>
        <v>23789547</v>
      </c>
      <c r="P2308" s="1166">
        <v>27797374</v>
      </c>
      <c r="Q2308" s="1153"/>
      <c r="R2308" s="733">
        <f t="shared" si="288"/>
        <v>27797374</v>
      </c>
      <c r="S2308" s="732">
        <f t="shared" si="289"/>
        <v>53311288</v>
      </c>
      <c r="T2308" s="733">
        <f t="shared" si="290"/>
        <v>57305641</v>
      </c>
      <c r="U2308" s="1152"/>
      <c r="V2308" s="1153"/>
      <c r="W2308" s="1152"/>
      <c r="X2308" s="1152"/>
      <c r="Y2308" s="732">
        <f t="shared" si="286"/>
        <v>0</v>
      </c>
      <c r="Z2308" s="1153"/>
      <c r="AA2308" s="1153"/>
      <c r="AB2308" s="733">
        <f t="shared" si="287"/>
        <v>0</v>
      </c>
      <c r="AC2308" s="1152"/>
      <c r="AD2308" s="1153"/>
      <c r="AE2308" s="1152"/>
      <c r="AF2308" s="1152"/>
      <c r="AG2308" s="1153"/>
      <c r="AH2308" s="1153"/>
      <c r="AI2308" s="732">
        <f t="shared" si="291"/>
        <v>53311288</v>
      </c>
      <c r="AJ2308" s="733">
        <f t="shared" si="292"/>
        <v>57305641</v>
      </c>
    </row>
    <row r="2309" spans="1:36" ht="12.5">
      <c r="A2309" s="719" t="s">
        <v>748</v>
      </c>
      <c r="B2309" s="717" t="s">
        <v>62</v>
      </c>
      <c r="C2309" s="770" t="s">
        <v>1164</v>
      </c>
      <c r="D2309" s="782"/>
      <c r="E2309" s="719">
        <v>224554</v>
      </c>
      <c r="F2309" s="719">
        <v>3</v>
      </c>
      <c r="G2309" s="1152">
        <v>47958846</v>
      </c>
      <c r="H2309" s="1166">
        <v>48048688</v>
      </c>
      <c r="I2309" s="1152"/>
      <c r="J2309" s="1166"/>
      <c r="K2309" s="1152"/>
      <c r="L2309" s="1153"/>
      <c r="M2309" s="1152">
        <v>52643350</v>
      </c>
      <c r="N2309" s="1152"/>
      <c r="O2309" s="732">
        <f t="shared" si="285"/>
        <v>52643350</v>
      </c>
      <c r="P2309" s="1166">
        <v>55834421</v>
      </c>
      <c r="Q2309" s="1153"/>
      <c r="R2309" s="733">
        <f t="shared" si="288"/>
        <v>55834421</v>
      </c>
      <c r="S2309" s="732">
        <f t="shared" si="289"/>
        <v>100602196</v>
      </c>
      <c r="T2309" s="733">
        <f t="shared" si="290"/>
        <v>103883109</v>
      </c>
      <c r="U2309" s="1152"/>
      <c r="V2309" s="1153"/>
      <c r="W2309" s="1152"/>
      <c r="X2309" s="1152"/>
      <c r="Y2309" s="732">
        <f t="shared" si="286"/>
        <v>0</v>
      </c>
      <c r="Z2309" s="1153"/>
      <c r="AA2309" s="1153"/>
      <c r="AB2309" s="733">
        <f t="shared" si="287"/>
        <v>0</v>
      </c>
      <c r="AC2309" s="1152"/>
      <c r="AD2309" s="1153"/>
      <c r="AE2309" s="1152"/>
      <c r="AF2309" s="1152"/>
      <c r="AG2309" s="1153"/>
      <c r="AH2309" s="1153"/>
      <c r="AI2309" s="732">
        <f t="shared" si="291"/>
        <v>100602196</v>
      </c>
      <c r="AJ2309" s="733">
        <f t="shared" si="292"/>
        <v>103883109</v>
      </c>
    </row>
    <row r="2310" spans="1:36" customFormat="1" ht="15" customHeight="1">
      <c r="A2310" s="719" t="s">
        <v>748</v>
      </c>
      <c r="B2310" s="717" t="s">
        <v>62</v>
      </c>
      <c r="C2310" s="770" t="s">
        <v>1165</v>
      </c>
      <c r="D2310" s="786" t="s">
        <v>1439</v>
      </c>
      <c r="E2310" s="787">
        <v>224147</v>
      </c>
      <c r="F2310" s="719">
        <v>3</v>
      </c>
      <c r="G2310" s="1152">
        <v>51743616</v>
      </c>
      <c r="H2310" s="1166">
        <v>51885338</v>
      </c>
      <c r="I2310" s="1152"/>
      <c r="J2310" s="1166"/>
      <c r="K2310" s="1152"/>
      <c r="L2310" s="1153"/>
      <c r="M2310" s="1152">
        <v>64350604</v>
      </c>
      <c r="N2310" s="1152"/>
      <c r="O2310" s="732">
        <f t="shared" si="285"/>
        <v>64350604</v>
      </c>
      <c r="P2310" s="1166">
        <v>67396925</v>
      </c>
      <c r="Q2310" s="1153"/>
      <c r="R2310" s="733">
        <f t="shared" si="288"/>
        <v>67396925</v>
      </c>
      <c r="S2310" s="732">
        <f t="shared" si="289"/>
        <v>116094220</v>
      </c>
      <c r="T2310" s="733">
        <f t="shared" si="290"/>
        <v>119282263</v>
      </c>
      <c r="U2310" s="1152"/>
      <c r="V2310" s="1153"/>
      <c r="W2310" s="1152"/>
      <c r="X2310" s="1152"/>
      <c r="Y2310" s="732">
        <f t="shared" si="286"/>
        <v>0</v>
      </c>
      <c r="Z2310" s="1153"/>
      <c r="AA2310" s="1153"/>
      <c r="AB2310" s="733">
        <f t="shared" si="287"/>
        <v>0</v>
      </c>
      <c r="AC2310" s="1152"/>
      <c r="AD2310" s="1153"/>
      <c r="AE2310" s="1152"/>
      <c r="AF2310" s="1152"/>
      <c r="AG2310" s="1153"/>
      <c r="AH2310" s="1153"/>
      <c r="AI2310" s="732">
        <f t="shared" si="291"/>
        <v>116094220</v>
      </c>
      <c r="AJ2310" s="733">
        <f t="shared" si="292"/>
        <v>119282263</v>
      </c>
    </row>
    <row r="2311" spans="1:36" ht="12.5">
      <c r="A2311" s="719" t="s">
        <v>748</v>
      </c>
      <c r="B2311" s="717" t="s">
        <v>62</v>
      </c>
      <c r="C2311" s="770" t="s">
        <v>1166</v>
      </c>
      <c r="D2311" s="782"/>
      <c r="E2311" s="787">
        <v>228705</v>
      </c>
      <c r="F2311" s="719">
        <v>3</v>
      </c>
      <c r="G2311" s="1152">
        <v>43283570</v>
      </c>
      <c r="H2311" s="1166">
        <v>40967615</v>
      </c>
      <c r="I2311" s="1152"/>
      <c r="J2311" s="1166"/>
      <c r="K2311" s="1152"/>
      <c r="L2311" s="1153"/>
      <c r="M2311" s="1152">
        <v>40437658</v>
      </c>
      <c r="N2311" s="1152"/>
      <c r="O2311" s="732">
        <f t="shared" si="285"/>
        <v>40437658</v>
      </c>
      <c r="P2311" s="1166">
        <v>38038936</v>
      </c>
      <c r="Q2311" s="1153"/>
      <c r="R2311" s="733">
        <f t="shared" si="288"/>
        <v>38038936</v>
      </c>
      <c r="S2311" s="732">
        <f t="shared" si="289"/>
        <v>83721228</v>
      </c>
      <c r="T2311" s="733">
        <f t="shared" si="290"/>
        <v>79006551</v>
      </c>
      <c r="U2311" s="1152"/>
      <c r="V2311" s="1153"/>
      <c r="W2311" s="1152"/>
      <c r="X2311" s="1152"/>
      <c r="Y2311" s="732">
        <f t="shared" si="286"/>
        <v>0</v>
      </c>
      <c r="Z2311" s="1153"/>
      <c r="AA2311" s="1153"/>
      <c r="AB2311" s="733">
        <f t="shared" si="287"/>
        <v>0</v>
      </c>
      <c r="AC2311" s="1152"/>
      <c r="AD2311" s="1153"/>
      <c r="AE2311" s="1152"/>
      <c r="AF2311" s="1152"/>
      <c r="AG2311" s="1153"/>
      <c r="AH2311" s="1153"/>
      <c r="AI2311" s="732">
        <f t="shared" si="291"/>
        <v>83721228</v>
      </c>
      <c r="AJ2311" s="733">
        <f t="shared" si="292"/>
        <v>79006551</v>
      </c>
    </row>
    <row r="2312" spans="1:36" customFormat="1" ht="15" customHeight="1">
      <c r="A2312" s="719" t="s">
        <v>748</v>
      </c>
      <c r="B2312" s="717" t="s">
        <v>62</v>
      </c>
      <c r="C2312" s="770" t="s">
        <v>1167</v>
      </c>
      <c r="D2312" s="786"/>
      <c r="E2312" s="787">
        <v>229063</v>
      </c>
      <c r="F2312" s="719">
        <v>3</v>
      </c>
      <c r="G2312" s="1152">
        <v>49630970</v>
      </c>
      <c r="H2312" s="1166">
        <v>49588558</v>
      </c>
      <c r="I2312" s="1152"/>
      <c r="J2312" s="1166"/>
      <c r="K2312" s="1152"/>
      <c r="L2312" s="1153"/>
      <c r="M2312" s="1152">
        <v>62210273</v>
      </c>
      <c r="N2312" s="1152"/>
      <c r="O2312" s="732">
        <f t="shared" si="285"/>
        <v>62210273</v>
      </c>
      <c r="P2312" s="1166">
        <v>55891658</v>
      </c>
      <c r="Q2312" s="1153"/>
      <c r="R2312" s="733">
        <f t="shared" si="288"/>
        <v>55891658</v>
      </c>
      <c r="S2312" s="732">
        <f t="shared" si="289"/>
        <v>111841243</v>
      </c>
      <c r="T2312" s="733">
        <f t="shared" si="290"/>
        <v>105480216</v>
      </c>
      <c r="U2312" s="1152"/>
      <c r="V2312" s="1153"/>
      <c r="W2312" s="1152"/>
      <c r="X2312" s="1152"/>
      <c r="Y2312" s="732">
        <f t="shared" si="286"/>
        <v>0</v>
      </c>
      <c r="Z2312" s="1153"/>
      <c r="AA2312" s="1153"/>
      <c r="AB2312" s="733">
        <f t="shared" si="287"/>
        <v>0</v>
      </c>
      <c r="AC2312" s="1152"/>
      <c r="AD2312" s="1153"/>
      <c r="AE2312" s="1152"/>
      <c r="AF2312" s="1152"/>
      <c r="AG2312" s="1153"/>
      <c r="AH2312" s="1153"/>
      <c r="AI2312" s="732">
        <f t="shared" si="291"/>
        <v>111841243</v>
      </c>
      <c r="AJ2312" s="733">
        <f t="shared" si="292"/>
        <v>105480216</v>
      </c>
    </row>
    <row r="2313" spans="1:36" ht="12.5">
      <c r="A2313" s="719" t="s">
        <v>748</v>
      </c>
      <c r="B2313" s="717" t="s">
        <v>62</v>
      </c>
      <c r="C2313" s="770" t="s">
        <v>1168</v>
      </c>
      <c r="D2313" s="782"/>
      <c r="E2313" s="787">
        <v>225414</v>
      </c>
      <c r="F2313" s="719">
        <v>3</v>
      </c>
      <c r="G2313" s="1152">
        <v>28195119</v>
      </c>
      <c r="H2313" s="1166">
        <v>28256366</v>
      </c>
      <c r="I2313" s="1152"/>
      <c r="J2313" s="1166"/>
      <c r="K2313" s="1152"/>
      <c r="L2313" s="1153"/>
      <c r="M2313" s="1152">
        <v>53589439</v>
      </c>
      <c r="N2313" s="1152"/>
      <c r="O2313" s="732">
        <f t="shared" si="285"/>
        <v>53589439</v>
      </c>
      <c r="P2313" s="1166">
        <v>57843777</v>
      </c>
      <c r="Q2313" s="1153"/>
      <c r="R2313" s="733">
        <f t="shared" si="288"/>
        <v>57843777</v>
      </c>
      <c r="S2313" s="732">
        <f t="shared" si="289"/>
        <v>81784558</v>
      </c>
      <c r="T2313" s="733">
        <f t="shared" si="290"/>
        <v>86100143</v>
      </c>
      <c r="U2313" s="1152"/>
      <c r="V2313" s="1153"/>
      <c r="W2313" s="1152"/>
      <c r="X2313" s="1152"/>
      <c r="Y2313" s="732">
        <f t="shared" si="286"/>
        <v>0</v>
      </c>
      <c r="Z2313" s="1153"/>
      <c r="AA2313" s="1153"/>
      <c r="AB2313" s="733">
        <f t="shared" si="287"/>
        <v>0</v>
      </c>
      <c r="AC2313" s="1152"/>
      <c r="AD2313" s="1153"/>
      <c r="AE2313" s="1152"/>
      <c r="AF2313" s="1152"/>
      <c r="AG2313" s="1153"/>
      <c r="AH2313" s="1153"/>
      <c r="AI2313" s="732">
        <f t="shared" si="291"/>
        <v>81784558</v>
      </c>
      <c r="AJ2313" s="733">
        <f t="shared" si="292"/>
        <v>86100143</v>
      </c>
    </row>
    <row r="2314" spans="1:36" ht="12.5">
      <c r="A2314" s="719" t="s">
        <v>748</v>
      </c>
      <c r="B2314" s="717" t="s">
        <v>62</v>
      </c>
      <c r="C2314" s="717" t="s">
        <v>1169</v>
      </c>
      <c r="D2314" s="782"/>
      <c r="E2314" s="787">
        <v>227368</v>
      </c>
      <c r="F2314" s="719">
        <v>3</v>
      </c>
      <c r="G2314" s="1152">
        <v>104756028</v>
      </c>
      <c r="H2314" s="1166">
        <v>97137320</v>
      </c>
      <c r="I2314" s="1152"/>
      <c r="J2314" s="1166"/>
      <c r="K2314" s="1152"/>
      <c r="L2314" s="1153"/>
      <c r="M2314" s="1152">
        <v>90949003</v>
      </c>
      <c r="N2314" s="1152"/>
      <c r="O2314" s="732">
        <f t="shared" ref="O2314:O2377" si="293">SUM(M2314:N2314)</f>
        <v>90949003</v>
      </c>
      <c r="P2314" s="1166">
        <v>97578347</v>
      </c>
      <c r="Q2314" s="1153"/>
      <c r="R2314" s="733">
        <f t="shared" si="288"/>
        <v>97578347</v>
      </c>
      <c r="S2314" s="732">
        <f t="shared" si="289"/>
        <v>195705031</v>
      </c>
      <c r="T2314" s="733">
        <f t="shared" si="290"/>
        <v>194715667</v>
      </c>
      <c r="U2314" s="1152"/>
      <c r="V2314" s="1153"/>
      <c r="W2314" s="1152"/>
      <c r="X2314" s="1152"/>
      <c r="Y2314" s="732">
        <f t="shared" ref="Y2314:Y2377" si="294">SUM(W2314:X2314)</f>
        <v>0</v>
      </c>
      <c r="Z2314" s="1153"/>
      <c r="AA2314" s="1153"/>
      <c r="AB2314" s="733">
        <f t="shared" ref="AB2314:AB2377" si="295">SUM(Z2314:AA2314)</f>
        <v>0</v>
      </c>
      <c r="AC2314" s="1152"/>
      <c r="AD2314" s="1153"/>
      <c r="AE2314" s="1152"/>
      <c r="AF2314" s="1152"/>
      <c r="AG2314" s="1153"/>
      <c r="AH2314" s="1153"/>
      <c r="AI2314" s="732">
        <f t="shared" si="291"/>
        <v>195705031</v>
      </c>
      <c r="AJ2314" s="733">
        <f t="shared" si="292"/>
        <v>194715667</v>
      </c>
    </row>
    <row r="2315" spans="1:36" ht="12.5">
      <c r="A2315" s="719" t="s">
        <v>748</v>
      </c>
      <c r="B2315" s="717" t="s">
        <v>62</v>
      </c>
      <c r="C2315" s="770" t="s">
        <v>1170</v>
      </c>
      <c r="D2315" s="782"/>
      <c r="E2315" s="787">
        <v>228802</v>
      </c>
      <c r="F2315" s="719">
        <v>3</v>
      </c>
      <c r="G2315" s="1152">
        <v>34864772</v>
      </c>
      <c r="H2315" s="1166">
        <v>32343430</v>
      </c>
      <c r="I2315" s="1152"/>
      <c r="J2315" s="1166"/>
      <c r="K2315" s="1152"/>
      <c r="L2315" s="1153"/>
      <c r="M2315" s="1152">
        <v>47209824</v>
      </c>
      <c r="N2315" s="1152"/>
      <c r="O2315" s="732">
        <f t="shared" si="293"/>
        <v>47209824</v>
      </c>
      <c r="P2315" s="1166">
        <v>49913885</v>
      </c>
      <c r="Q2315" s="1153"/>
      <c r="R2315" s="733">
        <f t="shared" ref="R2315:R2378" si="296">SUM(P2315:Q2315)</f>
        <v>49913885</v>
      </c>
      <c r="S2315" s="732">
        <f t="shared" ref="S2315:S2378" si="297">SUM(G2315,I2315,K2315,M2315)</f>
        <v>82074596</v>
      </c>
      <c r="T2315" s="733">
        <f t="shared" ref="T2315:T2378" si="298">SUM(H2315,J2315,L2315,P2315)</f>
        <v>82257315</v>
      </c>
      <c r="U2315" s="1152"/>
      <c r="V2315" s="1153"/>
      <c r="W2315" s="1152"/>
      <c r="X2315" s="1152"/>
      <c r="Y2315" s="732">
        <f t="shared" si="294"/>
        <v>0</v>
      </c>
      <c r="Z2315" s="1153"/>
      <c r="AA2315" s="1153"/>
      <c r="AB2315" s="733">
        <f t="shared" si="295"/>
        <v>0</v>
      </c>
      <c r="AC2315" s="1152"/>
      <c r="AD2315" s="1153"/>
      <c r="AE2315" s="1152"/>
      <c r="AF2315" s="1152"/>
      <c r="AG2315" s="1153"/>
      <c r="AH2315" s="1153"/>
      <c r="AI2315" s="732">
        <f t="shared" ref="AI2315:AI2378" si="299">SUM(S2315,U2315,W2315,AC2315,AE2315)</f>
        <v>82074596</v>
      </c>
      <c r="AJ2315" s="733">
        <f t="shared" ref="AJ2315:AJ2378" si="300">SUM(T2315,V2315,Z2315,AD2315,AG2315)</f>
        <v>82257315</v>
      </c>
    </row>
    <row r="2316" spans="1:36" ht="12.5">
      <c r="A2316" s="719" t="s">
        <v>748</v>
      </c>
      <c r="B2316" s="717" t="s">
        <v>62</v>
      </c>
      <c r="C2316" s="717" t="s">
        <v>1171</v>
      </c>
      <c r="D2316" s="788"/>
      <c r="E2316" s="787">
        <v>229018</v>
      </c>
      <c r="F2316" s="719">
        <v>3</v>
      </c>
      <c r="G2316" s="1152">
        <v>24626547</v>
      </c>
      <c r="H2316" s="1166">
        <v>22886974</v>
      </c>
      <c r="I2316" s="1152"/>
      <c r="J2316" s="1166"/>
      <c r="K2316" s="1152"/>
      <c r="L2316" s="1153"/>
      <c r="M2316" s="1169">
        <v>-9101562</v>
      </c>
      <c r="N2316" s="1152"/>
      <c r="O2316" s="732">
        <f t="shared" si="293"/>
        <v>-9101562</v>
      </c>
      <c r="P2316" s="1166">
        <v>43756605</v>
      </c>
      <c r="Q2316" s="1153"/>
      <c r="R2316" s="733">
        <f t="shared" si="296"/>
        <v>43756605</v>
      </c>
      <c r="S2316" s="732">
        <f t="shared" si="297"/>
        <v>15524985</v>
      </c>
      <c r="T2316" s="733">
        <f t="shared" si="298"/>
        <v>66643579</v>
      </c>
      <c r="U2316" s="1152"/>
      <c r="V2316" s="1153"/>
      <c r="W2316" s="1152"/>
      <c r="X2316" s="1152"/>
      <c r="Y2316" s="732">
        <f t="shared" si="294"/>
        <v>0</v>
      </c>
      <c r="Z2316" s="1153"/>
      <c r="AA2316" s="1153"/>
      <c r="AB2316" s="733">
        <f t="shared" si="295"/>
        <v>0</v>
      </c>
      <c r="AC2316" s="1152"/>
      <c r="AD2316" s="1153"/>
      <c r="AE2316" s="1152"/>
      <c r="AF2316" s="1152"/>
      <c r="AG2316" s="1153"/>
      <c r="AH2316" s="1153"/>
      <c r="AI2316" s="732">
        <f t="shared" si="299"/>
        <v>15524985</v>
      </c>
      <c r="AJ2316" s="733">
        <f t="shared" si="300"/>
        <v>66643579</v>
      </c>
    </row>
    <row r="2317" spans="1:36" ht="12.5">
      <c r="A2317" s="719" t="s">
        <v>748</v>
      </c>
      <c r="B2317" s="717" t="s">
        <v>62</v>
      </c>
      <c r="C2317" s="770" t="s">
        <v>1172</v>
      </c>
      <c r="D2317" s="782"/>
      <c r="E2317" s="787">
        <v>229814</v>
      </c>
      <c r="F2317" s="719">
        <v>3</v>
      </c>
      <c r="G2317" s="1152">
        <v>38858310</v>
      </c>
      <c r="H2317" s="1166">
        <v>36051083</v>
      </c>
      <c r="I2317" s="1152"/>
      <c r="J2317" s="1166"/>
      <c r="K2317" s="1152"/>
      <c r="L2317" s="1153"/>
      <c r="M2317" s="1152">
        <v>49435605</v>
      </c>
      <c r="N2317" s="1152"/>
      <c r="O2317" s="732">
        <f t="shared" si="293"/>
        <v>49435605</v>
      </c>
      <c r="P2317" s="1166">
        <v>51511542</v>
      </c>
      <c r="Q2317" s="1153"/>
      <c r="R2317" s="733">
        <f t="shared" si="296"/>
        <v>51511542</v>
      </c>
      <c r="S2317" s="732">
        <f t="shared" si="297"/>
        <v>88293915</v>
      </c>
      <c r="T2317" s="733">
        <f t="shared" si="298"/>
        <v>87562625</v>
      </c>
      <c r="U2317" s="1152"/>
      <c r="V2317" s="1153"/>
      <c r="W2317" s="1152"/>
      <c r="X2317" s="1152"/>
      <c r="Y2317" s="732">
        <f t="shared" si="294"/>
        <v>0</v>
      </c>
      <c r="Z2317" s="1153"/>
      <c r="AA2317" s="1153"/>
      <c r="AB2317" s="733">
        <f t="shared" si="295"/>
        <v>0</v>
      </c>
      <c r="AC2317" s="1152"/>
      <c r="AD2317" s="1153"/>
      <c r="AE2317" s="1152"/>
      <c r="AF2317" s="1152"/>
      <c r="AG2317" s="1153"/>
      <c r="AH2317" s="1153"/>
      <c r="AI2317" s="732">
        <f t="shared" si="299"/>
        <v>88293915</v>
      </c>
      <c r="AJ2317" s="733">
        <f t="shared" si="300"/>
        <v>87562625</v>
      </c>
    </row>
    <row r="2318" spans="1:36" customFormat="1" ht="15" customHeight="1">
      <c r="A2318" s="719" t="s">
        <v>748</v>
      </c>
      <c r="B2318" s="717" t="s">
        <v>62</v>
      </c>
      <c r="C2318" s="717" t="s">
        <v>1173</v>
      </c>
      <c r="D2318" s="1103" t="s">
        <v>1789</v>
      </c>
      <c r="E2318" s="1104">
        <v>483036</v>
      </c>
      <c r="F2318" s="1105">
        <v>3</v>
      </c>
      <c r="G2318" s="1152">
        <v>15050938</v>
      </c>
      <c r="H2318" s="1166">
        <v>14126953</v>
      </c>
      <c r="I2318" s="1152"/>
      <c r="J2318" s="1166"/>
      <c r="K2318" s="1152"/>
      <c r="L2318" s="1153"/>
      <c r="M2318" s="1152">
        <v>11993667</v>
      </c>
      <c r="N2318" s="1152"/>
      <c r="O2318" s="732">
        <f t="shared" si="293"/>
        <v>11993667</v>
      </c>
      <c r="P2318" s="1166">
        <v>12557100</v>
      </c>
      <c r="Q2318" s="1153"/>
      <c r="R2318" s="733">
        <f t="shared" si="296"/>
        <v>12557100</v>
      </c>
      <c r="S2318" s="732">
        <f t="shared" si="297"/>
        <v>27044605</v>
      </c>
      <c r="T2318" s="733">
        <f t="shared" si="298"/>
        <v>26684053</v>
      </c>
      <c r="U2318" s="1152"/>
      <c r="V2318" s="1153"/>
      <c r="W2318" s="1152"/>
      <c r="X2318" s="1152"/>
      <c r="Y2318" s="732">
        <f t="shared" si="294"/>
        <v>0</v>
      </c>
      <c r="Z2318" s="1153"/>
      <c r="AA2318" s="1153"/>
      <c r="AB2318" s="733">
        <f t="shared" si="295"/>
        <v>0</v>
      </c>
      <c r="AC2318" s="1152"/>
      <c r="AD2318" s="1153"/>
      <c r="AE2318" s="1152"/>
      <c r="AF2318" s="1152"/>
      <c r="AG2318" s="1153"/>
      <c r="AH2318" s="1153"/>
      <c r="AI2318" s="732">
        <f t="shared" si="299"/>
        <v>27044605</v>
      </c>
      <c r="AJ2318" s="733">
        <f t="shared" si="300"/>
        <v>26684053</v>
      </c>
    </row>
    <row r="2319" spans="1:36" ht="12.5">
      <c r="A2319" s="719" t="s">
        <v>748</v>
      </c>
      <c r="B2319" s="717" t="s">
        <v>62</v>
      </c>
      <c r="C2319" s="770" t="s">
        <v>1174</v>
      </c>
      <c r="D2319" s="782"/>
      <c r="E2319" s="787">
        <v>224545</v>
      </c>
      <c r="F2319" s="719">
        <v>4</v>
      </c>
      <c r="G2319" s="1152">
        <v>18058357</v>
      </c>
      <c r="H2319" s="1166">
        <v>18103002</v>
      </c>
      <c r="I2319" s="1152"/>
      <c r="J2319" s="1166"/>
      <c r="K2319" s="1152"/>
      <c r="L2319" s="1153"/>
      <c r="M2319" s="1152">
        <v>10322235</v>
      </c>
      <c r="N2319" s="1152"/>
      <c r="O2319" s="732">
        <f t="shared" si="293"/>
        <v>10322235</v>
      </c>
      <c r="P2319" s="1166">
        <v>10594818</v>
      </c>
      <c r="Q2319" s="1153"/>
      <c r="R2319" s="733">
        <f t="shared" si="296"/>
        <v>10594818</v>
      </c>
      <c r="S2319" s="732">
        <f t="shared" si="297"/>
        <v>28380592</v>
      </c>
      <c r="T2319" s="733">
        <f t="shared" si="298"/>
        <v>28697820</v>
      </c>
      <c r="U2319" s="1152"/>
      <c r="V2319" s="1153"/>
      <c r="W2319" s="1152"/>
      <c r="X2319" s="1152"/>
      <c r="Y2319" s="732">
        <f t="shared" si="294"/>
        <v>0</v>
      </c>
      <c r="Z2319" s="1153"/>
      <c r="AA2319" s="1153"/>
      <c r="AB2319" s="733">
        <f t="shared" si="295"/>
        <v>0</v>
      </c>
      <c r="AC2319" s="1152"/>
      <c r="AD2319" s="1153"/>
      <c r="AE2319" s="1152"/>
      <c r="AF2319" s="1152"/>
      <c r="AG2319" s="1153"/>
      <c r="AH2319" s="1153"/>
      <c r="AI2319" s="732">
        <f t="shared" si="299"/>
        <v>28380592</v>
      </c>
      <c r="AJ2319" s="733">
        <f t="shared" si="300"/>
        <v>28697820</v>
      </c>
    </row>
    <row r="2320" spans="1:36" customFormat="1" ht="15" customHeight="1">
      <c r="A2320" s="719" t="s">
        <v>748</v>
      </c>
      <c r="B2320" s="717" t="s">
        <v>62</v>
      </c>
      <c r="C2320" s="770" t="s">
        <v>1178</v>
      </c>
      <c r="D2320" s="1106"/>
      <c r="E2320" s="787">
        <v>225432</v>
      </c>
      <c r="F2320" s="1107">
        <v>4</v>
      </c>
      <c r="G2320" s="1152">
        <v>25415822</v>
      </c>
      <c r="H2320" s="1166">
        <v>25862091</v>
      </c>
      <c r="I2320" s="1152"/>
      <c r="J2320" s="1166"/>
      <c r="K2320" s="1152"/>
      <c r="L2320" s="1153"/>
      <c r="M2320" s="1152">
        <v>65819688</v>
      </c>
      <c r="N2320" s="1152"/>
      <c r="O2320" s="732">
        <f t="shared" si="293"/>
        <v>65819688</v>
      </c>
      <c r="P2320" s="1166">
        <v>71113144</v>
      </c>
      <c r="Q2320" s="1153"/>
      <c r="R2320" s="733">
        <f t="shared" si="296"/>
        <v>71113144</v>
      </c>
      <c r="S2320" s="732">
        <f t="shared" si="297"/>
        <v>91235510</v>
      </c>
      <c r="T2320" s="733">
        <f t="shared" si="298"/>
        <v>96975235</v>
      </c>
      <c r="U2320" s="1152"/>
      <c r="V2320" s="1153"/>
      <c r="W2320" s="1152"/>
      <c r="X2320" s="1152"/>
      <c r="Y2320" s="732">
        <f t="shared" si="294"/>
        <v>0</v>
      </c>
      <c r="Z2320" s="1153"/>
      <c r="AA2320" s="1153"/>
      <c r="AB2320" s="733">
        <f t="shared" si="295"/>
        <v>0</v>
      </c>
      <c r="AC2320" s="1152"/>
      <c r="AD2320" s="1153"/>
      <c r="AE2320" s="1152"/>
      <c r="AF2320" s="1152"/>
      <c r="AG2320" s="1153"/>
      <c r="AH2320" s="1153"/>
      <c r="AI2320" s="732">
        <f t="shared" si="299"/>
        <v>91235510</v>
      </c>
      <c r="AJ2320" s="733">
        <f t="shared" si="300"/>
        <v>96975235</v>
      </c>
    </row>
    <row r="2321" spans="1:36" ht="12.5">
      <c r="A2321" s="719" t="s">
        <v>748</v>
      </c>
      <c r="B2321" s="717" t="s">
        <v>62</v>
      </c>
      <c r="C2321" s="717" t="s">
        <v>1175</v>
      </c>
      <c r="D2321" s="782"/>
      <c r="E2321" s="787">
        <v>225502</v>
      </c>
      <c r="F2321" s="719">
        <v>4</v>
      </c>
      <c r="G2321" s="1152">
        <v>14213814</v>
      </c>
      <c r="H2321" s="1166">
        <v>14266351</v>
      </c>
      <c r="I2321" s="1152"/>
      <c r="J2321" s="1166"/>
      <c r="K2321" s="1152"/>
      <c r="L2321" s="1153"/>
      <c r="M2321" s="1152">
        <v>19716905</v>
      </c>
      <c r="N2321" s="1152"/>
      <c r="O2321" s="732">
        <f t="shared" si="293"/>
        <v>19716905</v>
      </c>
      <c r="P2321" s="1166">
        <v>22004558</v>
      </c>
      <c r="Q2321" s="1153"/>
      <c r="R2321" s="733">
        <f t="shared" si="296"/>
        <v>22004558</v>
      </c>
      <c r="S2321" s="732">
        <f t="shared" si="297"/>
        <v>33930719</v>
      </c>
      <c r="T2321" s="733">
        <f t="shared" si="298"/>
        <v>36270909</v>
      </c>
      <c r="U2321" s="1152"/>
      <c r="V2321" s="1153"/>
      <c r="W2321" s="1152"/>
      <c r="X2321" s="1152"/>
      <c r="Y2321" s="732">
        <f t="shared" si="294"/>
        <v>0</v>
      </c>
      <c r="Z2321" s="1153"/>
      <c r="AA2321" s="1153"/>
      <c r="AB2321" s="733">
        <f t="shared" si="295"/>
        <v>0</v>
      </c>
      <c r="AC2321" s="1152"/>
      <c r="AD2321" s="1153"/>
      <c r="AE2321" s="1152"/>
      <c r="AF2321" s="1152"/>
      <c r="AG2321" s="1153"/>
      <c r="AH2321" s="1153"/>
      <c r="AI2321" s="732">
        <f t="shared" si="299"/>
        <v>33930719</v>
      </c>
      <c r="AJ2321" s="733">
        <f t="shared" si="300"/>
        <v>36270909</v>
      </c>
    </row>
    <row r="2322" spans="1:36" customFormat="1" ht="15" customHeight="1">
      <c r="A2322" s="719" t="s">
        <v>748</v>
      </c>
      <c r="B2322" s="717" t="s">
        <v>62</v>
      </c>
      <c r="C2322" s="770" t="s">
        <v>1176</v>
      </c>
      <c r="D2322" s="786"/>
      <c r="E2322" s="787">
        <v>227924</v>
      </c>
      <c r="F2322" s="719">
        <v>5</v>
      </c>
      <c r="G2322" s="1152">
        <v>5686792</v>
      </c>
      <c r="H2322" s="1166">
        <v>5190636</v>
      </c>
      <c r="I2322" s="1152"/>
      <c r="J2322" s="1166"/>
      <c r="K2322" s="1152"/>
      <c r="L2322" s="1153"/>
      <c r="M2322" s="1152"/>
      <c r="N2322" s="1152"/>
      <c r="O2322" s="732">
        <f t="shared" si="293"/>
        <v>0</v>
      </c>
      <c r="P2322" s="1166"/>
      <c r="Q2322" s="1153"/>
      <c r="R2322" s="733">
        <f t="shared" si="296"/>
        <v>0</v>
      </c>
      <c r="S2322" s="732">
        <f t="shared" si="297"/>
        <v>5686792</v>
      </c>
      <c r="T2322" s="733">
        <f t="shared" si="298"/>
        <v>5190636</v>
      </c>
      <c r="U2322" s="1152"/>
      <c r="V2322" s="1153"/>
      <c r="W2322" s="1152"/>
      <c r="X2322" s="1152"/>
      <c r="Y2322" s="732">
        <f t="shared" si="294"/>
        <v>0</v>
      </c>
      <c r="Z2322" s="1153"/>
      <c r="AA2322" s="1153"/>
      <c r="AB2322" s="733">
        <f t="shared" si="295"/>
        <v>0</v>
      </c>
      <c r="AC2322" s="1152"/>
      <c r="AD2322" s="1153"/>
      <c r="AE2322" s="1152"/>
      <c r="AF2322" s="1152"/>
      <c r="AG2322" s="1153"/>
      <c r="AH2322" s="1153"/>
      <c r="AI2322" s="732">
        <f t="shared" si="299"/>
        <v>5686792</v>
      </c>
      <c r="AJ2322" s="733">
        <f t="shared" si="300"/>
        <v>5190636</v>
      </c>
    </row>
    <row r="2323" spans="1:36" customFormat="1" ht="15" customHeight="1">
      <c r="A2323" s="719" t="s">
        <v>748</v>
      </c>
      <c r="B2323" s="717" t="s">
        <v>62</v>
      </c>
      <c r="C2323" s="717" t="s">
        <v>1177</v>
      </c>
      <c r="D2323" s="1103" t="s">
        <v>1790</v>
      </c>
      <c r="E2323" s="1104">
        <v>870501</v>
      </c>
      <c r="F2323" s="1105">
        <v>4</v>
      </c>
      <c r="G2323" s="1152">
        <v>28913598</v>
      </c>
      <c r="H2323" s="1166">
        <v>27516728</v>
      </c>
      <c r="I2323" s="1152"/>
      <c r="J2323" s="1166"/>
      <c r="K2323" s="1152"/>
      <c r="L2323" s="1153"/>
      <c r="M2323" s="1152">
        <v>30298894</v>
      </c>
      <c r="N2323" s="1152"/>
      <c r="O2323" s="732">
        <f t="shared" si="293"/>
        <v>30298894</v>
      </c>
      <c r="P2323" s="1166">
        <v>32078741</v>
      </c>
      <c r="Q2323" s="1153"/>
      <c r="R2323" s="733">
        <f t="shared" si="296"/>
        <v>32078741</v>
      </c>
      <c r="S2323" s="732">
        <f t="shared" si="297"/>
        <v>59212492</v>
      </c>
      <c r="T2323" s="733">
        <f t="shared" si="298"/>
        <v>59595469</v>
      </c>
      <c r="U2323" s="1152"/>
      <c r="V2323" s="1153"/>
      <c r="W2323" s="1152"/>
      <c r="X2323" s="1152"/>
      <c r="Y2323" s="732">
        <f t="shared" si="294"/>
        <v>0</v>
      </c>
      <c r="Z2323" s="1153"/>
      <c r="AA2323" s="1153"/>
      <c r="AB2323" s="733">
        <f t="shared" si="295"/>
        <v>0</v>
      </c>
      <c r="AC2323" s="1152"/>
      <c r="AD2323" s="1153"/>
      <c r="AE2323" s="1152"/>
      <c r="AF2323" s="1152"/>
      <c r="AG2323" s="1153"/>
      <c r="AH2323" s="1153"/>
      <c r="AI2323" s="732">
        <f t="shared" si="299"/>
        <v>59212492</v>
      </c>
      <c r="AJ2323" s="733">
        <f t="shared" si="300"/>
        <v>59595469</v>
      </c>
    </row>
    <row r="2324" spans="1:36">
      <c r="A2324" s="719" t="s">
        <v>748</v>
      </c>
      <c r="B2324" s="717" t="s">
        <v>62</v>
      </c>
      <c r="C2324" s="770" t="s">
        <v>1179</v>
      </c>
      <c r="D2324" s="1143"/>
      <c r="E2324" s="787">
        <v>228714</v>
      </c>
      <c r="F2324" s="719">
        <v>5</v>
      </c>
      <c r="G2324" s="1152">
        <v>17237536</v>
      </c>
      <c r="H2324" s="1166">
        <v>17280850</v>
      </c>
      <c r="I2324" s="1152"/>
      <c r="J2324" s="1166"/>
      <c r="K2324" s="1152"/>
      <c r="L2324" s="1153"/>
      <c r="M2324" s="1152">
        <v>21182278</v>
      </c>
      <c r="N2324" s="1152"/>
      <c r="O2324" s="732">
        <f t="shared" si="293"/>
        <v>21182278</v>
      </c>
      <c r="P2324" s="1166">
        <v>18625925</v>
      </c>
      <c r="Q2324" s="1153"/>
      <c r="R2324" s="733">
        <f t="shared" si="296"/>
        <v>18625925</v>
      </c>
      <c r="S2324" s="732">
        <f t="shared" si="297"/>
        <v>38419814</v>
      </c>
      <c r="T2324" s="733">
        <f t="shared" si="298"/>
        <v>35906775</v>
      </c>
      <c r="U2324" s="1152"/>
      <c r="V2324" s="1153"/>
      <c r="W2324" s="1152"/>
      <c r="X2324" s="1152"/>
      <c r="Y2324" s="732">
        <f t="shared" si="294"/>
        <v>0</v>
      </c>
      <c r="Z2324" s="1153"/>
      <c r="AA2324" s="1153"/>
      <c r="AB2324" s="733">
        <f t="shared" si="295"/>
        <v>0</v>
      </c>
      <c r="AC2324" s="1152"/>
      <c r="AD2324" s="1153"/>
      <c r="AE2324" s="1152"/>
      <c r="AF2324" s="1152"/>
      <c r="AG2324" s="1153"/>
      <c r="AH2324" s="1153"/>
      <c r="AI2324" s="732">
        <f t="shared" si="299"/>
        <v>38419814</v>
      </c>
      <c r="AJ2324" s="733">
        <f t="shared" si="300"/>
        <v>35906775</v>
      </c>
    </row>
    <row r="2325" spans="1:36">
      <c r="A2325" s="719" t="s">
        <v>748</v>
      </c>
      <c r="B2325" s="717" t="s">
        <v>62</v>
      </c>
      <c r="C2325" s="770" t="s">
        <v>1180</v>
      </c>
      <c r="D2325" s="1144" t="s">
        <v>1807</v>
      </c>
      <c r="E2325" s="787">
        <v>223506</v>
      </c>
      <c r="F2325" s="719">
        <v>7</v>
      </c>
      <c r="G2325" s="1152">
        <v>8485020</v>
      </c>
      <c r="H2325" s="1166">
        <v>8485019</v>
      </c>
      <c r="I2325" s="1152"/>
      <c r="J2325" s="1166"/>
      <c r="K2325" s="1152">
        <v>23510066</v>
      </c>
      <c r="L2325" s="1166">
        <v>24125631</v>
      </c>
      <c r="M2325" s="1152">
        <v>9099168</v>
      </c>
      <c r="N2325" s="1152"/>
      <c r="O2325" s="732">
        <f t="shared" si="293"/>
        <v>9099168</v>
      </c>
      <c r="P2325" s="1166">
        <v>7238949</v>
      </c>
      <c r="Q2325" s="1153"/>
      <c r="R2325" s="733">
        <f t="shared" si="296"/>
        <v>7238949</v>
      </c>
      <c r="S2325" s="732">
        <f t="shared" si="297"/>
        <v>41094254</v>
      </c>
      <c r="T2325" s="733">
        <f t="shared" si="298"/>
        <v>39849599</v>
      </c>
      <c r="U2325" s="1152"/>
      <c r="V2325" s="1153"/>
      <c r="W2325" s="1152"/>
      <c r="X2325" s="1152"/>
      <c r="Y2325" s="732">
        <f t="shared" si="294"/>
        <v>0</v>
      </c>
      <c r="Z2325" s="1153"/>
      <c r="AA2325" s="1153"/>
      <c r="AB2325" s="733">
        <f t="shared" si="295"/>
        <v>0</v>
      </c>
      <c r="AC2325" s="1152"/>
      <c r="AD2325" s="1153"/>
      <c r="AE2325" s="1152"/>
      <c r="AF2325" s="1152"/>
      <c r="AG2325" s="1153"/>
      <c r="AH2325" s="1153"/>
      <c r="AI2325" s="732">
        <f t="shared" si="299"/>
        <v>41094254</v>
      </c>
      <c r="AJ2325" s="733">
        <f t="shared" si="300"/>
        <v>39849599</v>
      </c>
    </row>
    <row r="2326" spans="1:36">
      <c r="A2326" s="719" t="s">
        <v>748</v>
      </c>
      <c r="B2326" s="717" t="s">
        <v>62</v>
      </c>
      <c r="C2326" s="770" t="s">
        <v>1181</v>
      </c>
      <c r="D2326" s="1144" t="s">
        <v>1807</v>
      </c>
      <c r="E2326" s="787">
        <v>226806</v>
      </c>
      <c r="F2326" s="719">
        <v>7</v>
      </c>
      <c r="G2326" s="1152">
        <v>11372635</v>
      </c>
      <c r="H2326" s="1166">
        <v>11372632</v>
      </c>
      <c r="I2326" s="1152"/>
      <c r="J2326" s="1166"/>
      <c r="K2326" s="1152">
        <v>28295755</v>
      </c>
      <c r="L2326" s="1166">
        <v>31160243</v>
      </c>
      <c r="M2326" s="1152">
        <v>9170673</v>
      </c>
      <c r="N2326" s="1152"/>
      <c r="O2326" s="732">
        <f t="shared" si="293"/>
        <v>9170673</v>
      </c>
      <c r="P2326" s="1166">
        <v>8360389</v>
      </c>
      <c r="Q2326" s="1153"/>
      <c r="R2326" s="733">
        <f t="shared" si="296"/>
        <v>8360389</v>
      </c>
      <c r="S2326" s="732">
        <f t="shared" si="297"/>
        <v>48839063</v>
      </c>
      <c r="T2326" s="733">
        <f t="shared" si="298"/>
        <v>50893264</v>
      </c>
      <c r="U2326" s="1152"/>
      <c r="V2326" s="1153"/>
      <c r="W2326" s="1152"/>
      <c r="X2326" s="1152"/>
      <c r="Y2326" s="732">
        <f t="shared" si="294"/>
        <v>0</v>
      </c>
      <c r="Z2326" s="1153"/>
      <c r="AA2326" s="1153"/>
      <c r="AB2326" s="733">
        <f t="shared" si="295"/>
        <v>0</v>
      </c>
      <c r="AC2326" s="1152"/>
      <c r="AD2326" s="1153"/>
      <c r="AE2326" s="1152"/>
      <c r="AF2326" s="1152"/>
      <c r="AG2326" s="1153"/>
      <c r="AH2326" s="1153"/>
      <c r="AI2326" s="732">
        <f t="shared" si="299"/>
        <v>48839063</v>
      </c>
      <c r="AJ2326" s="733">
        <f t="shared" si="300"/>
        <v>50893264</v>
      </c>
    </row>
    <row r="2327" spans="1:36">
      <c r="A2327" s="719" t="s">
        <v>748</v>
      </c>
      <c r="B2327" s="717" t="s">
        <v>62</v>
      </c>
      <c r="C2327" s="770" t="s">
        <v>1182</v>
      </c>
      <c r="D2327" s="1144" t="s">
        <v>1808</v>
      </c>
      <c r="E2327" s="787">
        <v>409315</v>
      </c>
      <c r="F2327" s="719">
        <v>7</v>
      </c>
      <c r="G2327" s="1152">
        <v>51861697</v>
      </c>
      <c r="H2327" s="1166">
        <v>51861695</v>
      </c>
      <c r="I2327" s="1152"/>
      <c r="J2327" s="1166"/>
      <c r="K2327" s="1152">
        <v>53934103</v>
      </c>
      <c r="L2327" s="1166">
        <v>56146535</v>
      </c>
      <c r="M2327" s="1152">
        <v>22589007</v>
      </c>
      <c r="N2327" s="1152"/>
      <c r="O2327" s="732">
        <f t="shared" si="293"/>
        <v>22589007</v>
      </c>
      <c r="P2327" s="1166">
        <v>23652462</v>
      </c>
      <c r="Q2327" s="1153"/>
      <c r="R2327" s="733">
        <f t="shared" si="296"/>
        <v>23652462</v>
      </c>
      <c r="S2327" s="732">
        <f t="shared" si="297"/>
        <v>128384807</v>
      </c>
      <c r="T2327" s="733">
        <f t="shared" si="298"/>
        <v>131660692</v>
      </c>
      <c r="U2327" s="1152"/>
      <c r="V2327" s="1153"/>
      <c r="W2327" s="1152"/>
      <c r="X2327" s="1152"/>
      <c r="Y2327" s="732">
        <f t="shared" si="294"/>
        <v>0</v>
      </c>
      <c r="Z2327" s="1153"/>
      <c r="AA2327" s="1153"/>
      <c r="AB2327" s="733">
        <f t="shared" si="295"/>
        <v>0</v>
      </c>
      <c r="AC2327" s="1152"/>
      <c r="AD2327" s="1153"/>
      <c r="AE2327" s="1152"/>
      <c r="AF2327" s="1152"/>
      <c r="AG2327" s="1153"/>
      <c r="AH2327" s="1153"/>
      <c r="AI2327" s="732">
        <f t="shared" si="299"/>
        <v>128384807</v>
      </c>
      <c r="AJ2327" s="733">
        <f t="shared" si="300"/>
        <v>131660692</v>
      </c>
    </row>
    <row r="2328" spans="1:36" ht="12.5">
      <c r="A2328" s="719" t="s">
        <v>748</v>
      </c>
      <c r="B2328" s="717" t="s">
        <v>62</v>
      </c>
      <c r="C2328" s="770" t="s">
        <v>1183</v>
      </c>
      <c r="D2328" s="782"/>
      <c r="E2328" s="787">
        <v>222576</v>
      </c>
      <c r="F2328" s="719">
        <v>8</v>
      </c>
      <c r="G2328" s="1152">
        <v>20499099</v>
      </c>
      <c r="H2328" s="1166">
        <v>20499097</v>
      </c>
      <c r="I2328" s="1152"/>
      <c r="J2328" s="1166"/>
      <c r="K2328" s="1152">
        <v>21067011</v>
      </c>
      <c r="L2328" s="1166">
        <v>21483476</v>
      </c>
      <c r="M2328" s="1152">
        <v>14506839</v>
      </c>
      <c r="N2328" s="1152"/>
      <c r="O2328" s="732">
        <f t="shared" si="293"/>
        <v>14506839</v>
      </c>
      <c r="P2328" s="1166">
        <v>13054088</v>
      </c>
      <c r="Q2328" s="1153"/>
      <c r="R2328" s="733">
        <f t="shared" si="296"/>
        <v>13054088</v>
      </c>
      <c r="S2328" s="732">
        <f t="shared" si="297"/>
        <v>56072949</v>
      </c>
      <c r="T2328" s="733">
        <f t="shared" si="298"/>
        <v>55036661</v>
      </c>
      <c r="U2328" s="1152"/>
      <c r="V2328" s="1153"/>
      <c r="W2328" s="1152"/>
      <c r="X2328" s="1152"/>
      <c r="Y2328" s="732">
        <f t="shared" si="294"/>
        <v>0</v>
      </c>
      <c r="Z2328" s="1153"/>
      <c r="AA2328" s="1153"/>
      <c r="AB2328" s="733">
        <f t="shared" si="295"/>
        <v>0</v>
      </c>
      <c r="AC2328" s="1152"/>
      <c r="AD2328" s="1153"/>
      <c r="AE2328" s="1152"/>
      <c r="AF2328" s="1152"/>
      <c r="AG2328" s="1153"/>
      <c r="AH2328" s="1153"/>
      <c r="AI2328" s="732">
        <f t="shared" si="299"/>
        <v>56072949</v>
      </c>
      <c r="AJ2328" s="733">
        <f t="shared" si="300"/>
        <v>55036661</v>
      </c>
    </row>
    <row r="2329" spans="1:36" customFormat="1" ht="15" customHeight="1">
      <c r="A2329" s="719" t="s">
        <v>748</v>
      </c>
      <c r="B2329" s="717" t="s">
        <v>62</v>
      </c>
      <c r="C2329" s="770" t="s">
        <v>1184</v>
      </c>
      <c r="D2329" s="786" t="s">
        <v>1457</v>
      </c>
      <c r="E2329" s="787">
        <v>222992</v>
      </c>
      <c r="F2329" s="719">
        <v>8</v>
      </c>
      <c r="G2329" s="1152">
        <v>68950258</v>
      </c>
      <c r="H2329" s="1166">
        <v>64390257</v>
      </c>
      <c r="I2329" s="1152"/>
      <c r="J2329" s="1166"/>
      <c r="K2329" s="1152">
        <v>196320613</v>
      </c>
      <c r="L2329" s="1166">
        <v>212591502</v>
      </c>
      <c r="M2329" s="1152">
        <v>66946013</v>
      </c>
      <c r="N2329" s="1152"/>
      <c r="O2329" s="732">
        <f t="shared" si="293"/>
        <v>66946013</v>
      </c>
      <c r="P2329" s="1166">
        <v>67650501</v>
      </c>
      <c r="Q2329" s="1153"/>
      <c r="R2329" s="733">
        <f t="shared" si="296"/>
        <v>67650501</v>
      </c>
      <c r="S2329" s="732">
        <f t="shared" si="297"/>
        <v>332216884</v>
      </c>
      <c r="T2329" s="733">
        <f t="shared" si="298"/>
        <v>344632260</v>
      </c>
      <c r="U2329" s="1152"/>
      <c r="V2329" s="1153"/>
      <c r="W2329" s="1152"/>
      <c r="X2329" s="1152"/>
      <c r="Y2329" s="732">
        <f t="shared" si="294"/>
        <v>0</v>
      </c>
      <c r="Z2329" s="1153"/>
      <c r="AA2329" s="1153"/>
      <c r="AB2329" s="733">
        <f t="shared" si="295"/>
        <v>0</v>
      </c>
      <c r="AC2329" s="1152"/>
      <c r="AD2329" s="1153"/>
      <c r="AE2329" s="1152"/>
      <c r="AF2329" s="1152"/>
      <c r="AG2329" s="1153"/>
      <c r="AH2329" s="1153"/>
      <c r="AI2329" s="732">
        <f t="shared" si="299"/>
        <v>332216884</v>
      </c>
      <c r="AJ2329" s="733">
        <f t="shared" si="300"/>
        <v>344632260</v>
      </c>
    </row>
    <row r="2330" spans="1:36" ht="12.5">
      <c r="A2330" s="719" t="s">
        <v>748</v>
      </c>
      <c r="B2330" s="717" t="s">
        <v>62</v>
      </c>
      <c r="C2330" s="770" t="s">
        <v>1185</v>
      </c>
      <c r="D2330" s="782"/>
      <c r="E2330" s="719">
        <v>223427</v>
      </c>
      <c r="F2330" s="719">
        <v>8</v>
      </c>
      <c r="G2330" s="1152">
        <v>30793166</v>
      </c>
      <c r="H2330" s="1166">
        <v>30656365</v>
      </c>
      <c r="I2330" s="1152"/>
      <c r="J2330" s="1166"/>
      <c r="K2330" s="1152">
        <v>1939201</v>
      </c>
      <c r="L2330" s="1166">
        <v>2190612</v>
      </c>
      <c r="M2330" s="1152">
        <v>60568848</v>
      </c>
      <c r="N2330" s="1152"/>
      <c r="O2330" s="732">
        <f t="shared" si="293"/>
        <v>60568848</v>
      </c>
      <c r="P2330" s="1166">
        <v>61999367</v>
      </c>
      <c r="Q2330" s="1153"/>
      <c r="R2330" s="733">
        <f t="shared" si="296"/>
        <v>61999367</v>
      </c>
      <c r="S2330" s="732">
        <f t="shared" si="297"/>
        <v>93301215</v>
      </c>
      <c r="T2330" s="733">
        <f t="shared" si="298"/>
        <v>94846344</v>
      </c>
      <c r="U2330" s="1152"/>
      <c r="V2330" s="1153"/>
      <c r="W2330" s="1152"/>
      <c r="X2330" s="1152"/>
      <c r="Y2330" s="732">
        <f t="shared" si="294"/>
        <v>0</v>
      </c>
      <c r="Z2330" s="1153"/>
      <c r="AA2330" s="1153"/>
      <c r="AB2330" s="733">
        <f t="shared" si="295"/>
        <v>0</v>
      </c>
      <c r="AC2330" s="1152"/>
      <c r="AD2330" s="1153"/>
      <c r="AE2330" s="1152"/>
      <c r="AF2330" s="1152"/>
      <c r="AG2330" s="1153"/>
      <c r="AH2330" s="1153"/>
      <c r="AI2330" s="732">
        <f t="shared" si="299"/>
        <v>93301215</v>
      </c>
      <c r="AJ2330" s="733">
        <f t="shared" si="300"/>
        <v>94846344</v>
      </c>
    </row>
    <row r="2331" spans="1:36" ht="12.5">
      <c r="A2331" s="719" t="s">
        <v>748</v>
      </c>
      <c r="B2331" s="717" t="s">
        <v>62</v>
      </c>
      <c r="C2331" s="789" t="s">
        <v>1186</v>
      </c>
      <c r="D2331" s="790"/>
      <c r="E2331" s="719">
        <v>223524</v>
      </c>
      <c r="F2331" s="719">
        <v>8</v>
      </c>
      <c r="G2331" s="1152">
        <v>0</v>
      </c>
      <c r="H2331" s="1166">
        <v>0</v>
      </c>
      <c r="I2331" s="1152"/>
      <c r="J2331" s="1166"/>
      <c r="K2331" s="1152"/>
      <c r="L2331" s="1166"/>
      <c r="M2331" s="1152"/>
      <c r="N2331" s="1152"/>
      <c r="O2331" s="732">
        <f t="shared" si="293"/>
        <v>0</v>
      </c>
      <c r="P2331" s="1166"/>
      <c r="Q2331" s="1153"/>
      <c r="R2331" s="733">
        <f t="shared" si="296"/>
        <v>0</v>
      </c>
      <c r="S2331" s="732">
        <f t="shared" si="297"/>
        <v>0</v>
      </c>
      <c r="T2331" s="733">
        <f t="shared" si="298"/>
        <v>0</v>
      </c>
      <c r="U2331" s="1152"/>
      <c r="V2331" s="1153"/>
      <c r="W2331" s="1152"/>
      <c r="X2331" s="1152"/>
      <c r="Y2331" s="732">
        <f t="shared" si="294"/>
        <v>0</v>
      </c>
      <c r="Z2331" s="1153"/>
      <c r="AA2331" s="1153"/>
      <c r="AB2331" s="733">
        <f t="shared" si="295"/>
        <v>0</v>
      </c>
      <c r="AC2331" s="1152"/>
      <c r="AD2331" s="1153"/>
      <c r="AE2331" s="1152"/>
      <c r="AF2331" s="1152"/>
      <c r="AG2331" s="1153"/>
      <c r="AH2331" s="1153"/>
      <c r="AI2331" s="732">
        <f t="shared" si="299"/>
        <v>0</v>
      </c>
      <c r="AJ2331" s="733">
        <f t="shared" si="300"/>
        <v>0</v>
      </c>
    </row>
    <row r="2332" spans="1:36" ht="12.5">
      <c r="A2332" s="719" t="s">
        <v>748</v>
      </c>
      <c r="B2332" s="717" t="s">
        <v>62</v>
      </c>
      <c r="C2332" s="770" t="s">
        <v>1187</v>
      </c>
      <c r="D2332" s="782"/>
      <c r="E2332" s="719">
        <v>223816</v>
      </c>
      <c r="F2332" s="719">
        <v>8</v>
      </c>
      <c r="G2332" s="1152">
        <v>20934796</v>
      </c>
      <c r="H2332" s="1166">
        <v>20934795</v>
      </c>
      <c r="I2332" s="1152"/>
      <c r="J2332" s="1166"/>
      <c r="K2332" s="1152">
        <v>13352061</v>
      </c>
      <c r="L2332" s="1166">
        <v>13371476</v>
      </c>
      <c r="M2332" s="1152">
        <v>39425313</v>
      </c>
      <c r="N2332" s="1152"/>
      <c r="O2332" s="732">
        <f t="shared" si="293"/>
        <v>39425313</v>
      </c>
      <c r="P2332" s="1166">
        <v>34774258</v>
      </c>
      <c r="Q2332" s="1153"/>
      <c r="R2332" s="733">
        <f t="shared" si="296"/>
        <v>34774258</v>
      </c>
      <c r="S2332" s="732">
        <f t="shared" si="297"/>
        <v>73712170</v>
      </c>
      <c r="T2332" s="733">
        <f t="shared" si="298"/>
        <v>69080529</v>
      </c>
      <c r="U2332" s="1152"/>
      <c r="V2332" s="1153"/>
      <c r="W2332" s="1152"/>
      <c r="X2332" s="1152"/>
      <c r="Y2332" s="732">
        <f t="shared" si="294"/>
        <v>0</v>
      </c>
      <c r="Z2332" s="1153"/>
      <c r="AA2332" s="1153"/>
      <c r="AB2332" s="733">
        <f t="shared" si="295"/>
        <v>0</v>
      </c>
      <c r="AC2332" s="1152"/>
      <c r="AD2332" s="1153"/>
      <c r="AE2332" s="1152"/>
      <c r="AF2332" s="1152"/>
      <c r="AG2332" s="1153"/>
      <c r="AH2332" s="1153"/>
      <c r="AI2332" s="732">
        <f t="shared" si="299"/>
        <v>73712170</v>
      </c>
      <c r="AJ2332" s="733">
        <f t="shared" si="300"/>
        <v>69080529</v>
      </c>
    </row>
    <row r="2333" spans="1:36" ht="12.5">
      <c r="A2333" s="719" t="s">
        <v>748</v>
      </c>
      <c r="B2333" s="717" t="s">
        <v>62</v>
      </c>
      <c r="C2333" s="770" t="s">
        <v>1188</v>
      </c>
      <c r="D2333" s="782"/>
      <c r="E2333" s="719">
        <v>247834</v>
      </c>
      <c r="F2333" s="719">
        <v>8</v>
      </c>
      <c r="G2333" s="1152">
        <v>49208836</v>
      </c>
      <c r="H2333" s="1166">
        <v>49208835</v>
      </c>
      <c r="I2333" s="1152"/>
      <c r="J2333" s="1166"/>
      <c r="K2333" s="1152">
        <v>106276226</v>
      </c>
      <c r="L2333" s="1166">
        <v>115221104</v>
      </c>
      <c r="M2333" s="1152">
        <v>40182049</v>
      </c>
      <c r="N2333" s="1152"/>
      <c r="O2333" s="732">
        <f t="shared" si="293"/>
        <v>40182049</v>
      </c>
      <c r="P2333" s="1166">
        <v>39230781</v>
      </c>
      <c r="Q2333" s="1153"/>
      <c r="R2333" s="733">
        <f t="shared" si="296"/>
        <v>39230781</v>
      </c>
      <c r="S2333" s="732">
        <f t="shared" si="297"/>
        <v>195667111</v>
      </c>
      <c r="T2333" s="733">
        <f t="shared" si="298"/>
        <v>203660720</v>
      </c>
      <c r="U2333" s="1152"/>
      <c r="V2333" s="1153"/>
      <c r="W2333" s="1152"/>
      <c r="X2333" s="1152"/>
      <c r="Y2333" s="732">
        <f t="shared" si="294"/>
        <v>0</v>
      </c>
      <c r="Z2333" s="1153"/>
      <c r="AA2333" s="1153"/>
      <c r="AB2333" s="733">
        <f t="shared" si="295"/>
        <v>0</v>
      </c>
      <c r="AC2333" s="1152"/>
      <c r="AD2333" s="1153"/>
      <c r="AE2333" s="1152"/>
      <c r="AF2333" s="1152"/>
      <c r="AG2333" s="1153"/>
      <c r="AH2333" s="1153"/>
      <c r="AI2333" s="732">
        <f t="shared" si="299"/>
        <v>195667111</v>
      </c>
      <c r="AJ2333" s="733">
        <f t="shared" si="300"/>
        <v>203660720</v>
      </c>
    </row>
    <row r="2334" spans="1:36" ht="12.5">
      <c r="A2334" s="719" t="s">
        <v>748</v>
      </c>
      <c r="B2334" s="717" t="s">
        <v>62</v>
      </c>
      <c r="C2334" s="770" t="s">
        <v>1189</v>
      </c>
      <c r="D2334" s="782"/>
      <c r="E2334" s="719">
        <v>224350</v>
      </c>
      <c r="F2334" s="719">
        <v>8</v>
      </c>
      <c r="G2334" s="1152">
        <v>23387601</v>
      </c>
      <c r="H2334" s="1166">
        <v>23387599</v>
      </c>
      <c r="I2334" s="1152"/>
      <c r="J2334" s="1166"/>
      <c r="K2334" s="1152">
        <v>54449297</v>
      </c>
      <c r="L2334" s="1166">
        <v>58318766</v>
      </c>
      <c r="M2334" s="1152">
        <v>12574086</v>
      </c>
      <c r="N2334" s="1152"/>
      <c r="O2334" s="732">
        <f t="shared" si="293"/>
        <v>12574086</v>
      </c>
      <c r="P2334" s="1166">
        <v>12540731</v>
      </c>
      <c r="Q2334" s="1153"/>
      <c r="R2334" s="733">
        <f t="shared" si="296"/>
        <v>12540731</v>
      </c>
      <c r="S2334" s="732">
        <f t="shared" si="297"/>
        <v>90410984</v>
      </c>
      <c r="T2334" s="733">
        <f t="shared" si="298"/>
        <v>94247096</v>
      </c>
      <c r="U2334" s="1152"/>
      <c r="V2334" s="1153"/>
      <c r="W2334" s="1152"/>
      <c r="X2334" s="1152"/>
      <c r="Y2334" s="732">
        <f t="shared" si="294"/>
        <v>0</v>
      </c>
      <c r="Z2334" s="1153"/>
      <c r="AA2334" s="1153"/>
      <c r="AB2334" s="733">
        <f t="shared" si="295"/>
        <v>0</v>
      </c>
      <c r="AC2334" s="1152"/>
      <c r="AD2334" s="1153"/>
      <c r="AE2334" s="1152"/>
      <c r="AF2334" s="1152"/>
      <c r="AG2334" s="1153"/>
      <c r="AH2334" s="1153"/>
      <c r="AI2334" s="732">
        <f t="shared" si="299"/>
        <v>90410984</v>
      </c>
      <c r="AJ2334" s="733">
        <f t="shared" si="300"/>
        <v>94247096</v>
      </c>
    </row>
    <row r="2335" spans="1:36" ht="12.5">
      <c r="A2335" s="719" t="s">
        <v>748</v>
      </c>
      <c r="B2335" s="717" t="s">
        <v>62</v>
      </c>
      <c r="C2335" s="789" t="s">
        <v>1190</v>
      </c>
      <c r="D2335" s="790"/>
      <c r="E2335" s="719">
        <v>224572</v>
      </c>
      <c r="F2335" s="719">
        <v>8</v>
      </c>
      <c r="G2335" s="1152">
        <v>0</v>
      </c>
      <c r="H2335" s="1166">
        <v>0</v>
      </c>
      <c r="I2335" s="1152"/>
      <c r="J2335" s="1166"/>
      <c r="K2335" s="1152"/>
      <c r="L2335" s="1166"/>
      <c r="M2335" s="1152"/>
      <c r="N2335" s="1152"/>
      <c r="O2335" s="732">
        <f t="shared" si="293"/>
        <v>0</v>
      </c>
      <c r="P2335" s="1166"/>
      <c r="Q2335" s="1153"/>
      <c r="R2335" s="733">
        <f t="shared" si="296"/>
        <v>0</v>
      </c>
      <c r="S2335" s="732">
        <f t="shared" si="297"/>
        <v>0</v>
      </c>
      <c r="T2335" s="733">
        <f t="shared" si="298"/>
        <v>0</v>
      </c>
      <c r="U2335" s="1152"/>
      <c r="V2335" s="1153"/>
      <c r="W2335" s="1152"/>
      <c r="X2335" s="1152"/>
      <c r="Y2335" s="732">
        <f t="shared" si="294"/>
        <v>0</v>
      </c>
      <c r="Z2335" s="1153"/>
      <c r="AA2335" s="1153"/>
      <c r="AB2335" s="733">
        <f t="shared" si="295"/>
        <v>0</v>
      </c>
      <c r="AC2335" s="1152"/>
      <c r="AD2335" s="1153"/>
      <c r="AE2335" s="1152"/>
      <c r="AF2335" s="1152"/>
      <c r="AG2335" s="1153"/>
      <c r="AH2335" s="1153"/>
      <c r="AI2335" s="732">
        <f t="shared" si="299"/>
        <v>0</v>
      </c>
      <c r="AJ2335" s="733">
        <f t="shared" si="300"/>
        <v>0</v>
      </c>
    </row>
    <row r="2336" spans="1:36" ht="12.5">
      <c r="A2336" s="719" t="s">
        <v>748</v>
      </c>
      <c r="B2336" s="717" t="s">
        <v>62</v>
      </c>
      <c r="C2336" s="789" t="s">
        <v>1191</v>
      </c>
      <c r="D2336" s="790"/>
      <c r="E2336" s="719">
        <v>224615</v>
      </c>
      <c r="F2336" s="719">
        <v>8</v>
      </c>
      <c r="G2336" s="1152">
        <v>0</v>
      </c>
      <c r="H2336" s="1166">
        <v>0</v>
      </c>
      <c r="I2336" s="1152"/>
      <c r="J2336" s="1166"/>
      <c r="K2336" s="1152"/>
      <c r="L2336" s="1166"/>
      <c r="M2336" s="1152"/>
      <c r="N2336" s="1152"/>
      <c r="O2336" s="732">
        <f t="shared" si="293"/>
        <v>0</v>
      </c>
      <c r="P2336" s="1166"/>
      <c r="Q2336" s="1153"/>
      <c r="R2336" s="733">
        <f t="shared" si="296"/>
        <v>0</v>
      </c>
      <c r="S2336" s="732">
        <f t="shared" si="297"/>
        <v>0</v>
      </c>
      <c r="T2336" s="733">
        <f t="shared" si="298"/>
        <v>0</v>
      </c>
      <c r="U2336" s="1152"/>
      <c r="V2336" s="1153"/>
      <c r="W2336" s="1152"/>
      <c r="X2336" s="1152"/>
      <c r="Y2336" s="732">
        <f t="shared" si="294"/>
        <v>0</v>
      </c>
      <c r="Z2336" s="1153"/>
      <c r="AA2336" s="1153"/>
      <c r="AB2336" s="733">
        <f t="shared" si="295"/>
        <v>0</v>
      </c>
      <c r="AC2336" s="1152"/>
      <c r="AD2336" s="1153"/>
      <c r="AE2336" s="1152"/>
      <c r="AF2336" s="1152"/>
      <c r="AG2336" s="1153"/>
      <c r="AH2336" s="1153"/>
      <c r="AI2336" s="732">
        <f t="shared" si="299"/>
        <v>0</v>
      </c>
      <c r="AJ2336" s="733">
        <f t="shared" si="300"/>
        <v>0</v>
      </c>
    </row>
    <row r="2337" spans="1:36" ht="12.5">
      <c r="A2337" s="719" t="s">
        <v>748</v>
      </c>
      <c r="B2337" s="717" t="s">
        <v>62</v>
      </c>
      <c r="C2337" s="770" t="s">
        <v>1192</v>
      </c>
      <c r="D2337" s="782"/>
      <c r="E2337" s="719">
        <v>224642</v>
      </c>
      <c r="F2337" s="719">
        <v>8</v>
      </c>
      <c r="G2337" s="1152">
        <v>43131993</v>
      </c>
      <c r="H2337" s="1166">
        <v>43131991</v>
      </c>
      <c r="I2337" s="1152"/>
      <c r="J2337" s="1166"/>
      <c r="K2337" s="1152">
        <v>61284007</v>
      </c>
      <c r="L2337" s="1166">
        <v>64101302</v>
      </c>
      <c r="M2337" s="1152">
        <v>25133302</v>
      </c>
      <c r="N2337" s="1152"/>
      <c r="O2337" s="732">
        <f t="shared" si="293"/>
        <v>25133302</v>
      </c>
      <c r="P2337" s="1166">
        <v>23292432</v>
      </c>
      <c r="Q2337" s="1153"/>
      <c r="R2337" s="733">
        <f t="shared" si="296"/>
        <v>23292432</v>
      </c>
      <c r="S2337" s="732">
        <f t="shared" si="297"/>
        <v>129549302</v>
      </c>
      <c r="T2337" s="733">
        <f t="shared" si="298"/>
        <v>130525725</v>
      </c>
      <c r="U2337" s="1152"/>
      <c r="V2337" s="1153"/>
      <c r="W2337" s="1152"/>
      <c r="X2337" s="1152"/>
      <c r="Y2337" s="732">
        <f t="shared" si="294"/>
        <v>0</v>
      </c>
      <c r="Z2337" s="1153"/>
      <c r="AA2337" s="1153"/>
      <c r="AB2337" s="733">
        <f t="shared" si="295"/>
        <v>0</v>
      </c>
      <c r="AC2337" s="1152"/>
      <c r="AD2337" s="1153"/>
      <c r="AE2337" s="1152"/>
      <c r="AF2337" s="1152"/>
      <c r="AG2337" s="1153"/>
      <c r="AH2337" s="1153"/>
      <c r="AI2337" s="732">
        <f t="shared" si="299"/>
        <v>129549302</v>
      </c>
      <c r="AJ2337" s="733">
        <f t="shared" si="300"/>
        <v>130525725</v>
      </c>
    </row>
    <row r="2338" spans="1:36" ht="12.5">
      <c r="A2338" s="719" t="s">
        <v>748</v>
      </c>
      <c r="B2338" s="717" t="s">
        <v>62</v>
      </c>
      <c r="C2338" s="770" t="s">
        <v>1193</v>
      </c>
      <c r="D2338" s="782"/>
      <c r="E2338" s="719">
        <v>225423</v>
      </c>
      <c r="F2338" s="719">
        <v>8</v>
      </c>
      <c r="G2338" s="1152">
        <v>89140367</v>
      </c>
      <c r="H2338" s="1166">
        <v>89140365</v>
      </c>
      <c r="I2338" s="1152"/>
      <c r="J2338" s="1166"/>
      <c r="K2338" s="1152">
        <v>152465955</v>
      </c>
      <c r="L2338" s="1166">
        <v>161157699</v>
      </c>
      <c r="M2338" s="1152">
        <v>76925390</v>
      </c>
      <c r="N2338" s="1152"/>
      <c r="O2338" s="732">
        <f t="shared" si="293"/>
        <v>76925390</v>
      </c>
      <c r="P2338" s="1166">
        <v>83937951</v>
      </c>
      <c r="Q2338" s="1153"/>
      <c r="R2338" s="733">
        <f t="shared" si="296"/>
        <v>83937951</v>
      </c>
      <c r="S2338" s="732">
        <f t="shared" si="297"/>
        <v>318531712</v>
      </c>
      <c r="T2338" s="733">
        <f t="shared" si="298"/>
        <v>334236015</v>
      </c>
      <c r="U2338" s="1152"/>
      <c r="V2338" s="1153"/>
      <c r="W2338" s="1152"/>
      <c r="X2338" s="1152"/>
      <c r="Y2338" s="732">
        <f t="shared" si="294"/>
        <v>0</v>
      </c>
      <c r="Z2338" s="1153"/>
      <c r="AA2338" s="1153"/>
      <c r="AB2338" s="733">
        <f t="shared" si="295"/>
        <v>0</v>
      </c>
      <c r="AC2338" s="1152"/>
      <c r="AD2338" s="1153"/>
      <c r="AE2338" s="1152"/>
      <c r="AF2338" s="1152"/>
      <c r="AG2338" s="1153"/>
      <c r="AH2338" s="1153"/>
      <c r="AI2338" s="732">
        <f t="shared" si="299"/>
        <v>318531712</v>
      </c>
      <c r="AJ2338" s="733">
        <f t="shared" si="300"/>
        <v>334236015</v>
      </c>
    </row>
    <row r="2339" spans="1:36" ht="12.5">
      <c r="A2339" s="719" t="s">
        <v>748</v>
      </c>
      <c r="B2339" s="717" t="s">
        <v>62</v>
      </c>
      <c r="C2339" s="770" t="s">
        <v>1194</v>
      </c>
      <c r="D2339" s="782"/>
      <c r="E2339" s="719">
        <v>226134</v>
      </c>
      <c r="F2339" s="719">
        <v>8</v>
      </c>
      <c r="G2339" s="1152">
        <v>16804487</v>
      </c>
      <c r="H2339" s="1166">
        <v>16804486</v>
      </c>
      <c r="I2339" s="1152"/>
      <c r="J2339" s="1166"/>
      <c r="K2339" s="1152">
        <v>35954285</v>
      </c>
      <c r="L2339" s="1166">
        <v>37652641</v>
      </c>
      <c r="M2339" s="1152">
        <v>7536617</v>
      </c>
      <c r="N2339" s="1152"/>
      <c r="O2339" s="732">
        <f t="shared" si="293"/>
        <v>7536617</v>
      </c>
      <c r="P2339" s="1166">
        <v>6481688</v>
      </c>
      <c r="Q2339" s="1153"/>
      <c r="R2339" s="733">
        <f t="shared" si="296"/>
        <v>6481688</v>
      </c>
      <c r="S2339" s="732">
        <f t="shared" si="297"/>
        <v>60295389</v>
      </c>
      <c r="T2339" s="733">
        <f t="shared" si="298"/>
        <v>60938815</v>
      </c>
      <c r="U2339" s="1152"/>
      <c r="V2339" s="1153"/>
      <c r="W2339" s="1152"/>
      <c r="X2339" s="1152"/>
      <c r="Y2339" s="732">
        <f t="shared" si="294"/>
        <v>0</v>
      </c>
      <c r="Z2339" s="1153"/>
      <c r="AA2339" s="1153"/>
      <c r="AB2339" s="733">
        <f t="shared" si="295"/>
        <v>0</v>
      </c>
      <c r="AC2339" s="1152"/>
      <c r="AD2339" s="1153"/>
      <c r="AE2339" s="1152"/>
      <c r="AF2339" s="1152"/>
      <c r="AG2339" s="1153"/>
      <c r="AH2339" s="1153"/>
      <c r="AI2339" s="732">
        <f t="shared" si="299"/>
        <v>60295389</v>
      </c>
      <c r="AJ2339" s="733">
        <f t="shared" si="300"/>
        <v>60938815</v>
      </c>
    </row>
    <row r="2340" spans="1:36" ht="12.5">
      <c r="A2340" s="719" t="s">
        <v>748</v>
      </c>
      <c r="B2340" s="717" t="s">
        <v>62</v>
      </c>
      <c r="C2340" s="717" t="s">
        <v>1195</v>
      </c>
      <c r="D2340" s="785"/>
      <c r="E2340" s="719">
        <v>227182</v>
      </c>
      <c r="F2340" s="719">
        <v>8</v>
      </c>
      <c r="G2340" s="1152">
        <v>98536062</v>
      </c>
      <c r="H2340" s="1166">
        <v>98536061</v>
      </c>
      <c r="I2340" s="1152"/>
      <c r="J2340" s="1166"/>
      <c r="K2340" s="1152">
        <v>152277079</v>
      </c>
      <c r="L2340" s="1166">
        <v>163311926</v>
      </c>
      <c r="M2340" s="1152">
        <v>80966660</v>
      </c>
      <c r="N2340" s="1152"/>
      <c r="O2340" s="732">
        <f t="shared" si="293"/>
        <v>80966660</v>
      </c>
      <c r="P2340" s="1166">
        <v>80820186</v>
      </c>
      <c r="Q2340" s="1153"/>
      <c r="R2340" s="733">
        <f t="shared" si="296"/>
        <v>80820186</v>
      </c>
      <c r="S2340" s="732">
        <f t="shared" si="297"/>
        <v>331779801</v>
      </c>
      <c r="T2340" s="733">
        <f t="shared" si="298"/>
        <v>342668173</v>
      </c>
      <c r="U2340" s="1152"/>
      <c r="V2340" s="1153"/>
      <c r="W2340" s="1152"/>
      <c r="X2340" s="1152"/>
      <c r="Y2340" s="732">
        <f t="shared" si="294"/>
        <v>0</v>
      </c>
      <c r="Z2340" s="1153"/>
      <c r="AA2340" s="1153"/>
      <c r="AB2340" s="733">
        <f t="shared" si="295"/>
        <v>0</v>
      </c>
      <c r="AC2340" s="1152"/>
      <c r="AD2340" s="1153"/>
      <c r="AE2340" s="1152"/>
      <c r="AF2340" s="1152"/>
      <c r="AG2340" s="1153"/>
      <c r="AH2340" s="1153"/>
      <c r="AI2340" s="732">
        <f t="shared" si="299"/>
        <v>331779801</v>
      </c>
      <c r="AJ2340" s="733">
        <f t="shared" si="300"/>
        <v>342668173</v>
      </c>
    </row>
    <row r="2341" spans="1:36" ht="12.5">
      <c r="A2341" s="719" t="s">
        <v>748</v>
      </c>
      <c r="B2341" s="717" t="s">
        <v>62</v>
      </c>
      <c r="C2341" s="770" t="s">
        <v>1196</v>
      </c>
      <c r="D2341" s="782"/>
      <c r="E2341" s="719">
        <v>226578</v>
      </c>
      <c r="F2341" s="719">
        <v>8</v>
      </c>
      <c r="G2341" s="1152">
        <v>17260795</v>
      </c>
      <c r="H2341" s="1166">
        <v>17260795</v>
      </c>
      <c r="I2341" s="1152"/>
      <c r="J2341" s="1166"/>
      <c r="K2341" s="1152">
        <v>20175004</v>
      </c>
      <c r="L2341" s="1166">
        <v>21809084</v>
      </c>
      <c r="M2341" s="1152">
        <v>13453670</v>
      </c>
      <c r="N2341" s="1152"/>
      <c r="O2341" s="732">
        <f t="shared" si="293"/>
        <v>13453670</v>
      </c>
      <c r="P2341" s="1166">
        <v>12671608</v>
      </c>
      <c r="Q2341" s="1153"/>
      <c r="R2341" s="733">
        <f t="shared" si="296"/>
        <v>12671608</v>
      </c>
      <c r="S2341" s="732">
        <f t="shared" si="297"/>
        <v>50889469</v>
      </c>
      <c r="T2341" s="733">
        <f t="shared" si="298"/>
        <v>51741487</v>
      </c>
      <c r="U2341" s="1152"/>
      <c r="V2341" s="1153"/>
      <c r="W2341" s="1152"/>
      <c r="X2341" s="1152"/>
      <c r="Y2341" s="732">
        <f t="shared" si="294"/>
        <v>0</v>
      </c>
      <c r="Z2341" s="1153"/>
      <c r="AA2341" s="1153"/>
      <c r="AB2341" s="733">
        <f t="shared" si="295"/>
        <v>0</v>
      </c>
      <c r="AC2341" s="1152"/>
      <c r="AD2341" s="1153"/>
      <c r="AE2341" s="1152"/>
      <c r="AF2341" s="1152"/>
      <c r="AG2341" s="1153"/>
      <c r="AH2341" s="1153"/>
      <c r="AI2341" s="732">
        <f t="shared" si="299"/>
        <v>50889469</v>
      </c>
      <c r="AJ2341" s="733">
        <f t="shared" si="300"/>
        <v>51741487</v>
      </c>
    </row>
    <row r="2342" spans="1:36" customFormat="1" ht="15" customHeight="1">
      <c r="A2342" s="719" t="s">
        <v>748</v>
      </c>
      <c r="B2342" s="717" t="s">
        <v>62</v>
      </c>
      <c r="C2342" s="789" t="s">
        <v>1222</v>
      </c>
      <c r="D2342" s="728"/>
      <c r="E2342" s="719">
        <v>226930</v>
      </c>
      <c r="F2342" s="719">
        <v>8</v>
      </c>
      <c r="G2342" s="1152">
        <v>0</v>
      </c>
      <c r="H2342" s="1166">
        <v>0</v>
      </c>
      <c r="I2342" s="1152"/>
      <c r="J2342" s="1166"/>
      <c r="K2342" s="1152"/>
      <c r="L2342" s="1166"/>
      <c r="M2342" s="1152"/>
      <c r="N2342" s="1152"/>
      <c r="O2342" s="732">
        <f t="shared" si="293"/>
        <v>0</v>
      </c>
      <c r="P2342" s="1166"/>
      <c r="Q2342" s="1153"/>
      <c r="R2342" s="733">
        <f t="shared" si="296"/>
        <v>0</v>
      </c>
      <c r="S2342" s="732">
        <f t="shared" si="297"/>
        <v>0</v>
      </c>
      <c r="T2342" s="733">
        <f t="shared" si="298"/>
        <v>0</v>
      </c>
      <c r="U2342" s="1152"/>
      <c r="V2342" s="1153"/>
      <c r="W2342" s="1152"/>
      <c r="X2342" s="1152"/>
      <c r="Y2342" s="732">
        <f t="shared" si="294"/>
        <v>0</v>
      </c>
      <c r="Z2342" s="1153"/>
      <c r="AA2342" s="1153"/>
      <c r="AB2342" s="733">
        <f t="shared" si="295"/>
        <v>0</v>
      </c>
      <c r="AC2342" s="1152"/>
      <c r="AD2342" s="1153"/>
      <c r="AE2342" s="1152"/>
      <c r="AF2342" s="1152"/>
      <c r="AG2342" s="1153"/>
      <c r="AH2342" s="1153"/>
      <c r="AI2342" s="732">
        <f t="shared" si="299"/>
        <v>0</v>
      </c>
      <c r="AJ2342" s="733">
        <f t="shared" si="300"/>
        <v>0</v>
      </c>
    </row>
    <row r="2343" spans="1:36" ht="12.5">
      <c r="A2343" s="719" t="s">
        <v>748</v>
      </c>
      <c r="B2343" s="717" t="s">
        <v>62</v>
      </c>
      <c r="C2343" s="770" t="s">
        <v>1197</v>
      </c>
      <c r="D2343" s="782"/>
      <c r="E2343" s="719">
        <v>227146</v>
      </c>
      <c r="F2343" s="719">
        <v>8</v>
      </c>
      <c r="G2343" s="1152">
        <v>16181989</v>
      </c>
      <c r="H2343" s="1166">
        <v>16181987</v>
      </c>
      <c r="I2343" s="1152"/>
      <c r="J2343" s="1166"/>
      <c r="K2343" s="1152">
        <v>4225699</v>
      </c>
      <c r="L2343" s="1166">
        <v>4757104</v>
      </c>
      <c r="M2343" s="1152">
        <v>14804719</v>
      </c>
      <c r="N2343" s="1152"/>
      <c r="O2343" s="732">
        <f t="shared" si="293"/>
        <v>14804719</v>
      </c>
      <c r="P2343" s="1166">
        <v>14857047</v>
      </c>
      <c r="Q2343" s="1153"/>
      <c r="R2343" s="733">
        <f t="shared" si="296"/>
        <v>14857047</v>
      </c>
      <c r="S2343" s="732">
        <f t="shared" si="297"/>
        <v>35212407</v>
      </c>
      <c r="T2343" s="733">
        <f t="shared" si="298"/>
        <v>35796138</v>
      </c>
      <c r="U2343" s="1152"/>
      <c r="V2343" s="1153"/>
      <c r="W2343" s="1152"/>
      <c r="X2343" s="1152"/>
      <c r="Y2343" s="732">
        <f t="shared" si="294"/>
        <v>0</v>
      </c>
      <c r="Z2343" s="1153"/>
      <c r="AA2343" s="1153"/>
      <c r="AB2343" s="733">
        <f t="shared" si="295"/>
        <v>0</v>
      </c>
      <c r="AC2343" s="1152"/>
      <c r="AD2343" s="1153"/>
      <c r="AE2343" s="1152"/>
      <c r="AF2343" s="1152"/>
      <c r="AG2343" s="1153"/>
      <c r="AH2343" s="1153"/>
      <c r="AI2343" s="732">
        <f t="shared" si="299"/>
        <v>35212407</v>
      </c>
      <c r="AJ2343" s="733">
        <f t="shared" si="300"/>
        <v>35796138</v>
      </c>
    </row>
    <row r="2344" spans="1:36">
      <c r="A2344" s="719" t="s">
        <v>748</v>
      </c>
      <c r="B2344" s="717" t="s">
        <v>62</v>
      </c>
      <c r="C2344" s="770" t="s">
        <v>1198</v>
      </c>
      <c r="D2344" s="1144" t="s">
        <v>1809</v>
      </c>
      <c r="E2344" s="719">
        <v>224110</v>
      </c>
      <c r="F2344" s="719">
        <v>8</v>
      </c>
      <c r="G2344" s="1152">
        <v>14578896</v>
      </c>
      <c r="H2344" s="1166">
        <v>14578896</v>
      </c>
      <c r="I2344" s="1152"/>
      <c r="J2344" s="1166"/>
      <c r="K2344" s="1152">
        <v>2994555</v>
      </c>
      <c r="L2344" s="1166">
        <v>3076441</v>
      </c>
      <c r="M2344" s="1152">
        <v>19735931</v>
      </c>
      <c r="N2344" s="1152"/>
      <c r="O2344" s="732">
        <f t="shared" si="293"/>
        <v>19735931</v>
      </c>
      <c r="P2344" s="1166">
        <v>21504682</v>
      </c>
      <c r="Q2344" s="1153"/>
      <c r="R2344" s="733">
        <f t="shared" si="296"/>
        <v>21504682</v>
      </c>
      <c r="S2344" s="732">
        <f t="shared" si="297"/>
        <v>37309382</v>
      </c>
      <c r="T2344" s="733">
        <f t="shared" si="298"/>
        <v>39160019</v>
      </c>
      <c r="U2344" s="1152"/>
      <c r="V2344" s="1153"/>
      <c r="W2344" s="1152"/>
      <c r="X2344" s="1152"/>
      <c r="Y2344" s="732">
        <f t="shared" si="294"/>
        <v>0</v>
      </c>
      <c r="Z2344" s="1153"/>
      <c r="AA2344" s="1153"/>
      <c r="AB2344" s="733">
        <f t="shared" si="295"/>
        <v>0</v>
      </c>
      <c r="AC2344" s="1152"/>
      <c r="AD2344" s="1153"/>
      <c r="AE2344" s="1152"/>
      <c r="AF2344" s="1152"/>
      <c r="AG2344" s="1153"/>
      <c r="AH2344" s="1153"/>
      <c r="AI2344" s="732">
        <f t="shared" si="299"/>
        <v>37309382</v>
      </c>
      <c r="AJ2344" s="733">
        <f t="shared" si="300"/>
        <v>39160019</v>
      </c>
    </row>
    <row r="2345" spans="1:36" ht="12.5">
      <c r="A2345" s="719" t="s">
        <v>748</v>
      </c>
      <c r="B2345" s="717" t="s">
        <v>62</v>
      </c>
      <c r="C2345" s="789" t="s">
        <v>1199</v>
      </c>
      <c r="D2345" s="790"/>
      <c r="E2345" s="719">
        <v>227191</v>
      </c>
      <c r="F2345" s="719">
        <v>8</v>
      </c>
      <c r="G2345" s="1152">
        <v>0</v>
      </c>
      <c r="H2345" s="1166">
        <v>0</v>
      </c>
      <c r="I2345" s="1152"/>
      <c r="J2345" s="1166"/>
      <c r="K2345" s="1152"/>
      <c r="L2345" s="1166"/>
      <c r="M2345" s="1152"/>
      <c r="N2345" s="1152"/>
      <c r="O2345" s="732">
        <f t="shared" si="293"/>
        <v>0</v>
      </c>
      <c r="P2345" s="1166"/>
      <c r="Q2345" s="1153"/>
      <c r="R2345" s="733">
        <f t="shared" si="296"/>
        <v>0</v>
      </c>
      <c r="S2345" s="732">
        <f t="shared" si="297"/>
        <v>0</v>
      </c>
      <c r="T2345" s="733">
        <f t="shared" si="298"/>
        <v>0</v>
      </c>
      <c r="U2345" s="1152"/>
      <c r="V2345" s="1153"/>
      <c r="W2345" s="1152"/>
      <c r="X2345" s="1152"/>
      <c r="Y2345" s="732">
        <f t="shared" si="294"/>
        <v>0</v>
      </c>
      <c r="Z2345" s="1153"/>
      <c r="AA2345" s="1153"/>
      <c r="AB2345" s="733">
        <f t="shared" si="295"/>
        <v>0</v>
      </c>
      <c r="AC2345" s="1152"/>
      <c r="AD2345" s="1153"/>
      <c r="AE2345" s="1152"/>
      <c r="AF2345" s="1152"/>
      <c r="AG2345" s="1153"/>
      <c r="AH2345" s="1153"/>
      <c r="AI2345" s="732">
        <f t="shared" si="299"/>
        <v>0</v>
      </c>
      <c r="AJ2345" s="733">
        <f t="shared" si="300"/>
        <v>0</v>
      </c>
    </row>
    <row r="2346" spans="1:36" ht="12.5">
      <c r="A2346" s="719" t="s">
        <v>748</v>
      </c>
      <c r="B2346" s="717" t="s">
        <v>62</v>
      </c>
      <c r="C2346" s="791" t="s">
        <v>1200</v>
      </c>
      <c r="D2346" s="792"/>
      <c r="E2346" s="719">
        <v>420398</v>
      </c>
      <c r="F2346" s="719">
        <v>8</v>
      </c>
      <c r="G2346" s="1152">
        <v>0</v>
      </c>
      <c r="H2346" s="1166">
        <v>0</v>
      </c>
      <c r="I2346" s="1152"/>
      <c r="J2346" s="1166"/>
      <c r="K2346" s="1152"/>
      <c r="L2346" s="1166"/>
      <c r="M2346" s="1152"/>
      <c r="N2346" s="1152"/>
      <c r="O2346" s="732">
        <f t="shared" si="293"/>
        <v>0</v>
      </c>
      <c r="P2346" s="1166"/>
      <c r="Q2346" s="1153"/>
      <c r="R2346" s="733">
        <f t="shared" si="296"/>
        <v>0</v>
      </c>
      <c r="S2346" s="732">
        <f t="shared" si="297"/>
        <v>0</v>
      </c>
      <c r="T2346" s="733">
        <f t="shared" si="298"/>
        <v>0</v>
      </c>
      <c r="U2346" s="1152"/>
      <c r="V2346" s="1153"/>
      <c r="W2346" s="1152"/>
      <c r="X2346" s="1152"/>
      <c r="Y2346" s="732">
        <f t="shared" si="294"/>
        <v>0</v>
      </c>
      <c r="Z2346" s="1153"/>
      <c r="AA2346" s="1153"/>
      <c r="AB2346" s="733">
        <f t="shared" si="295"/>
        <v>0</v>
      </c>
      <c r="AC2346" s="1152"/>
      <c r="AD2346" s="1153"/>
      <c r="AE2346" s="1152"/>
      <c r="AF2346" s="1152"/>
      <c r="AG2346" s="1153"/>
      <c r="AH2346" s="1153"/>
      <c r="AI2346" s="732">
        <f t="shared" si="299"/>
        <v>0</v>
      </c>
      <c r="AJ2346" s="733">
        <f t="shared" si="300"/>
        <v>0</v>
      </c>
    </row>
    <row r="2347" spans="1:36" ht="12.5">
      <c r="A2347" s="719" t="s">
        <v>748</v>
      </c>
      <c r="B2347" s="717" t="s">
        <v>62</v>
      </c>
      <c r="C2347" s="791" t="s">
        <v>1201</v>
      </c>
      <c r="D2347" s="785"/>
      <c r="E2347" s="719">
        <v>246354</v>
      </c>
      <c r="F2347" s="719">
        <v>8</v>
      </c>
      <c r="G2347" s="1152">
        <v>0</v>
      </c>
      <c r="H2347" s="1166">
        <v>0</v>
      </c>
      <c r="I2347" s="1152"/>
      <c r="J2347" s="1166"/>
      <c r="K2347" s="1152"/>
      <c r="L2347" s="1166"/>
      <c r="M2347" s="1152"/>
      <c r="N2347" s="1152"/>
      <c r="O2347" s="732">
        <f t="shared" si="293"/>
        <v>0</v>
      </c>
      <c r="P2347" s="1166"/>
      <c r="Q2347" s="1153"/>
      <c r="R2347" s="733">
        <f t="shared" si="296"/>
        <v>0</v>
      </c>
      <c r="S2347" s="732">
        <f t="shared" si="297"/>
        <v>0</v>
      </c>
      <c r="T2347" s="733">
        <f t="shared" si="298"/>
        <v>0</v>
      </c>
      <c r="U2347" s="1152"/>
      <c r="V2347" s="1153"/>
      <c r="W2347" s="1152"/>
      <c r="X2347" s="1152"/>
      <c r="Y2347" s="732">
        <f t="shared" si="294"/>
        <v>0</v>
      </c>
      <c r="Z2347" s="1153"/>
      <c r="AA2347" s="1153"/>
      <c r="AB2347" s="733">
        <f t="shared" si="295"/>
        <v>0</v>
      </c>
      <c r="AC2347" s="1152"/>
      <c r="AD2347" s="1153"/>
      <c r="AE2347" s="1152"/>
      <c r="AF2347" s="1152"/>
      <c r="AG2347" s="1153"/>
      <c r="AH2347" s="1153"/>
      <c r="AI2347" s="732">
        <f t="shared" si="299"/>
        <v>0</v>
      </c>
      <c r="AJ2347" s="733">
        <f t="shared" si="300"/>
        <v>0</v>
      </c>
    </row>
    <row r="2348" spans="1:36" ht="12.5">
      <c r="A2348" s="719" t="s">
        <v>748</v>
      </c>
      <c r="B2348" s="717" t="s">
        <v>62</v>
      </c>
      <c r="C2348" s="789" t="s">
        <v>1202</v>
      </c>
      <c r="D2348" s="790"/>
      <c r="E2348" s="719">
        <v>227766</v>
      </c>
      <c r="F2348" s="719">
        <v>8</v>
      </c>
      <c r="G2348" s="1152">
        <v>0</v>
      </c>
      <c r="H2348" s="1166">
        <v>0</v>
      </c>
      <c r="I2348" s="1152"/>
      <c r="J2348" s="1166"/>
      <c r="K2348" s="1152"/>
      <c r="L2348" s="1166"/>
      <c r="M2348" s="1152"/>
      <c r="N2348" s="1152"/>
      <c r="O2348" s="732">
        <f t="shared" si="293"/>
        <v>0</v>
      </c>
      <c r="P2348" s="1166"/>
      <c r="Q2348" s="1153"/>
      <c r="R2348" s="733">
        <f t="shared" si="296"/>
        <v>0</v>
      </c>
      <c r="S2348" s="732">
        <f t="shared" si="297"/>
        <v>0</v>
      </c>
      <c r="T2348" s="733">
        <f t="shared" si="298"/>
        <v>0</v>
      </c>
      <c r="U2348" s="1152"/>
      <c r="V2348" s="1153"/>
      <c r="W2348" s="1152"/>
      <c r="X2348" s="1152"/>
      <c r="Y2348" s="732">
        <f t="shared" si="294"/>
        <v>0</v>
      </c>
      <c r="Z2348" s="1153"/>
      <c r="AA2348" s="1153"/>
      <c r="AB2348" s="733">
        <f t="shared" si="295"/>
        <v>0</v>
      </c>
      <c r="AC2348" s="1152"/>
      <c r="AD2348" s="1153"/>
      <c r="AE2348" s="1152"/>
      <c r="AF2348" s="1152"/>
      <c r="AG2348" s="1153"/>
      <c r="AH2348" s="1153"/>
      <c r="AI2348" s="732">
        <f t="shared" si="299"/>
        <v>0</v>
      </c>
      <c r="AJ2348" s="733">
        <f t="shared" si="300"/>
        <v>0</v>
      </c>
    </row>
    <row r="2349" spans="1:36" ht="12.5">
      <c r="A2349" s="719" t="s">
        <v>748</v>
      </c>
      <c r="B2349" s="717" t="s">
        <v>62</v>
      </c>
      <c r="C2349" s="791" t="s">
        <v>1203</v>
      </c>
      <c r="D2349" s="792"/>
      <c r="E2349" s="719">
        <v>227924</v>
      </c>
      <c r="F2349" s="719">
        <v>8</v>
      </c>
      <c r="G2349" s="1152">
        <v>0</v>
      </c>
      <c r="H2349" s="1166">
        <v>0</v>
      </c>
      <c r="I2349" s="1152"/>
      <c r="J2349" s="1166"/>
      <c r="K2349" s="1152"/>
      <c r="L2349" s="1166"/>
      <c r="M2349" s="1152"/>
      <c r="N2349" s="1152"/>
      <c r="O2349" s="732">
        <f t="shared" si="293"/>
        <v>0</v>
      </c>
      <c r="P2349" s="1166"/>
      <c r="Q2349" s="1153"/>
      <c r="R2349" s="733">
        <f t="shared" si="296"/>
        <v>0</v>
      </c>
      <c r="S2349" s="732">
        <f t="shared" si="297"/>
        <v>0</v>
      </c>
      <c r="T2349" s="733">
        <f t="shared" si="298"/>
        <v>0</v>
      </c>
      <c r="U2349" s="1152"/>
      <c r="V2349" s="1153"/>
      <c r="W2349" s="1152"/>
      <c r="X2349" s="1152"/>
      <c r="Y2349" s="732">
        <f t="shared" si="294"/>
        <v>0</v>
      </c>
      <c r="Z2349" s="1153"/>
      <c r="AA2349" s="1153"/>
      <c r="AB2349" s="733">
        <f t="shared" si="295"/>
        <v>0</v>
      </c>
      <c r="AC2349" s="1152"/>
      <c r="AD2349" s="1153"/>
      <c r="AE2349" s="1152"/>
      <c r="AF2349" s="1152"/>
      <c r="AG2349" s="1153"/>
      <c r="AH2349" s="1153"/>
      <c r="AI2349" s="732">
        <f t="shared" si="299"/>
        <v>0</v>
      </c>
      <c r="AJ2349" s="733">
        <f t="shared" si="300"/>
        <v>0</v>
      </c>
    </row>
    <row r="2350" spans="1:36" ht="12.5">
      <c r="A2350" s="719" t="s">
        <v>748</v>
      </c>
      <c r="B2350" s="717" t="s">
        <v>62</v>
      </c>
      <c r="C2350" s="770" t="s">
        <v>1204</v>
      </c>
      <c r="D2350" s="782"/>
      <c r="E2350" s="719">
        <v>227979</v>
      </c>
      <c r="F2350" s="719">
        <v>8</v>
      </c>
      <c r="G2350" s="1152">
        <v>55078624</v>
      </c>
      <c r="H2350" s="1166">
        <v>55078624</v>
      </c>
      <c r="I2350" s="1152"/>
      <c r="J2350" s="1166"/>
      <c r="K2350" s="1152">
        <v>69383250</v>
      </c>
      <c r="L2350" s="1166">
        <v>71440051</v>
      </c>
      <c r="M2350" s="1152">
        <v>44940388</v>
      </c>
      <c r="N2350" s="1152"/>
      <c r="O2350" s="732">
        <f t="shared" si="293"/>
        <v>44940388</v>
      </c>
      <c r="P2350" s="1166">
        <v>44232735</v>
      </c>
      <c r="Q2350" s="1153"/>
      <c r="R2350" s="733">
        <f t="shared" si="296"/>
        <v>44232735</v>
      </c>
      <c r="S2350" s="732">
        <f t="shared" si="297"/>
        <v>169402262</v>
      </c>
      <c r="T2350" s="733">
        <f t="shared" si="298"/>
        <v>170751410</v>
      </c>
      <c r="U2350" s="1152"/>
      <c r="V2350" s="1153"/>
      <c r="W2350" s="1152"/>
      <c r="X2350" s="1152"/>
      <c r="Y2350" s="732">
        <f t="shared" si="294"/>
        <v>0</v>
      </c>
      <c r="Z2350" s="1153"/>
      <c r="AA2350" s="1153"/>
      <c r="AB2350" s="733">
        <f t="shared" si="295"/>
        <v>0</v>
      </c>
      <c r="AC2350" s="1152"/>
      <c r="AD2350" s="1153"/>
      <c r="AE2350" s="1152"/>
      <c r="AF2350" s="1152"/>
      <c r="AG2350" s="1153"/>
      <c r="AH2350" s="1153"/>
      <c r="AI2350" s="732">
        <f t="shared" si="299"/>
        <v>169402262</v>
      </c>
      <c r="AJ2350" s="733">
        <f t="shared" si="300"/>
        <v>170751410</v>
      </c>
    </row>
    <row r="2351" spans="1:36" ht="12.5">
      <c r="A2351" s="719" t="s">
        <v>748</v>
      </c>
      <c r="B2351" s="717" t="s">
        <v>62</v>
      </c>
      <c r="C2351" s="770" t="s">
        <v>1205</v>
      </c>
      <c r="D2351" s="782"/>
      <c r="E2351" s="719">
        <v>228158</v>
      </c>
      <c r="F2351" s="719">
        <v>8</v>
      </c>
      <c r="G2351" s="1152">
        <v>18555115</v>
      </c>
      <c r="H2351" s="1166">
        <v>18555114</v>
      </c>
      <c r="I2351" s="1152"/>
      <c r="J2351" s="1166"/>
      <c r="K2351" s="1152">
        <v>10813210</v>
      </c>
      <c r="L2351" s="1166">
        <v>11759211</v>
      </c>
      <c r="M2351" s="1152">
        <v>16312605</v>
      </c>
      <c r="N2351" s="1152"/>
      <c r="O2351" s="732">
        <f t="shared" si="293"/>
        <v>16312605</v>
      </c>
      <c r="P2351" s="1166">
        <v>17573879</v>
      </c>
      <c r="Q2351" s="1153"/>
      <c r="R2351" s="733">
        <f t="shared" si="296"/>
        <v>17573879</v>
      </c>
      <c r="S2351" s="732">
        <f t="shared" si="297"/>
        <v>45680930</v>
      </c>
      <c r="T2351" s="733">
        <f t="shared" si="298"/>
        <v>47888204</v>
      </c>
      <c r="U2351" s="1152"/>
      <c r="V2351" s="1153"/>
      <c r="W2351" s="1152"/>
      <c r="X2351" s="1152"/>
      <c r="Y2351" s="732">
        <f t="shared" si="294"/>
        <v>0</v>
      </c>
      <c r="Z2351" s="1153"/>
      <c r="AA2351" s="1153"/>
      <c r="AB2351" s="733">
        <f t="shared" si="295"/>
        <v>0</v>
      </c>
      <c r="AC2351" s="1152"/>
      <c r="AD2351" s="1153"/>
      <c r="AE2351" s="1152"/>
      <c r="AF2351" s="1152"/>
      <c r="AG2351" s="1153"/>
      <c r="AH2351" s="1153"/>
      <c r="AI2351" s="732">
        <f t="shared" si="299"/>
        <v>45680930</v>
      </c>
      <c r="AJ2351" s="733">
        <f t="shared" si="300"/>
        <v>47888204</v>
      </c>
    </row>
    <row r="2352" spans="1:36" ht="12.5">
      <c r="A2352" s="719" t="s">
        <v>748</v>
      </c>
      <c r="B2352" s="717" t="s">
        <v>62</v>
      </c>
      <c r="C2352" s="791" t="s">
        <v>1206</v>
      </c>
      <c r="D2352" s="792"/>
      <c r="E2352" s="719">
        <v>227854</v>
      </c>
      <c r="F2352" s="719">
        <v>8</v>
      </c>
      <c r="G2352" s="1152">
        <v>0</v>
      </c>
      <c r="H2352" s="1166">
        <v>0</v>
      </c>
      <c r="I2352" s="1152"/>
      <c r="J2352" s="1166"/>
      <c r="K2352" s="1152"/>
      <c r="L2352" s="1166"/>
      <c r="M2352" s="1152"/>
      <c r="N2352" s="1152"/>
      <c r="O2352" s="732">
        <f t="shared" si="293"/>
        <v>0</v>
      </c>
      <c r="P2352" s="1166"/>
      <c r="Q2352" s="1153"/>
      <c r="R2352" s="733">
        <f t="shared" si="296"/>
        <v>0</v>
      </c>
      <c r="S2352" s="732">
        <f t="shared" si="297"/>
        <v>0</v>
      </c>
      <c r="T2352" s="733">
        <f t="shared" si="298"/>
        <v>0</v>
      </c>
      <c r="U2352" s="1152"/>
      <c r="V2352" s="1153"/>
      <c r="W2352" s="1152"/>
      <c r="X2352" s="1152"/>
      <c r="Y2352" s="732">
        <f t="shared" si="294"/>
        <v>0</v>
      </c>
      <c r="Z2352" s="1153"/>
      <c r="AA2352" s="1153"/>
      <c r="AB2352" s="733">
        <f t="shared" si="295"/>
        <v>0</v>
      </c>
      <c r="AC2352" s="1152"/>
      <c r="AD2352" s="1153"/>
      <c r="AE2352" s="1152"/>
      <c r="AF2352" s="1152"/>
      <c r="AG2352" s="1153"/>
      <c r="AH2352" s="1153"/>
      <c r="AI2352" s="732">
        <f t="shared" si="299"/>
        <v>0</v>
      </c>
      <c r="AJ2352" s="733">
        <f t="shared" si="300"/>
        <v>0</v>
      </c>
    </row>
    <row r="2353" spans="1:36" ht="12.5">
      <c r="A2353" s="719" t="s">
        <v>748</v>
      </c>
      <c r="B2353" s="717" t="s">
        <v>62</v>
      </c>
      <c r="C2353" s="770" t="s">
        <v>1207</v>
      </c>
      <c r="D2353" s="782"/>
      <c r="E2353" s="719">
        <v>228547</v>
      </c>
      <c r="F2353" s="719">
        <v>8</v>
      </c>
      <c r="G2353" s="1152">
        <v>78937095</v>
      </c>
      <c r="H2353" s="1166">
        <v>78937094</v>
      </c>
      <c r="I2353" s="1152"/>
      <c r="J2353" s="1166"/>
      <c r="K2353" s="1152">
        <v>244974129</v>
      </c>
      <c r="L2353" s="1166">
        <v>261196233</v>
      </c>
      <c r="M2353" s="1152">
        <v>55682936</v>
      </c>
      <c r="N2353" s="1152"/>
      <c r="O2353" s="732">
        <f t="shared" si="293"/>
        <v>55682936</v>
      </c>
      <c r="P2353" s="1166">
        <v>46156087</v>
      </c>
      <c r="Q2353" s="1153"/>
      <c r="R2353" s="733">
        <f t="shared" si="296"/>
        <v>46156087</v>
      </c>
      <c r="S2353" s="732">
        <f t="shared" si="297"/>
        <v>379594160</v>
      </c>
      <c r="T2353" s="733">
        <f t="shared" si="298"/>
        <v>386289414</v>
      </c>
      <c r="U2353" s="1152"/>
      <c r="V2353" s="1153"/>
      <c r="W2353" s="1152"/>
      <c r="X2353" s="1152"/>
      <c r="Y2353" s="732">
        <f t="shared" si="294"/>
        <v>0</v>
      </c>
      <c r="Z2353" s="1153"/>
      <c r="AA2353" s="1153"/>
      <c r="AB2353" s="733">
        <f t="shared" si="295"/>
        <v>0</v>
      </c>
      <c r="AC2353" s="1152"/>
      <c r="AD2353" s="1153"/>
      <c r="AE2353" s="1152"/>
      <c r="AF2353" s="1152"/>
      <c r="AG2353" s="1153"/>
      <c r="AH2353" s="1153"/>
      <c r="AI2353" s="732">
        <f t="shared" si="299"/>
        <v>379594160</v>
      </c>
      <c r="AJ2353" s="733">
        <f t="shared" si="300"/>
        <v>386289414</v>
      </c>
    </row>
    <row r="2354" spans="1:36" ht="12.5">
      <c r="A2354" s="719" t="s">
        <v>748</v>
      </c>
      <c r="B2354" s="717" t="s">
        <v>62</v>
      </c>
      <c r="C2354" s="717" t="s">
        <v>1208</v>
      </c>
      <c r="D2354" s="784"/>
      <c r="E2354" s="719">
        <v>225308</v>
      </c>
      <c r="F2354" s="719">
        <v>8</v>
      </c>
      <c r="G2354" s="1152">
        <v>14937219</v>
      </c>
      <c r="H2354" s="1166">
        <v>14937218</v>
      </c>
      <c r="I2354" s="1152"/>
      <c r="J2354" s="1166"/>
      <c r="K2354" s="1152">
        <v>15339294</v>
      </c>
      <c r="L2354" s="1166">
        <v>17218609</v>
      </c>
      <c r="M2354" s="1152">
        <v>7249164</v>
      </c>
      <c r="N2354" s="1152"/>
      <c r="O2354" s="732">
        <f t="shared" si="293"/>
        <v>7249164</v>
      </c>
      <c r="P2354" s="1166">
        <v>4962566</v>
      </c>
      <c r="Q2354" s="1153"/>
      <c r="R2354" s="733">
        <f t="shared" si="296"/>
        <v>4962566</v>
      </c>
      <c r="S2354" s="732">
        <f t="shared" si="297"/>
        <v>37525677</v>
      </c>
      <c r="T2354" s="733">
        <f t="shared" si="298"/>
        <v>37118393</v>
      </c>
      <c r="U2354" s="1152"/>
      <c r="V2354" s="1153"/>
      <c r="W2354" s="1152"/>
      <c r="X2354" s="1152"/>
      <c r="Y2354" s="732">
        <f t="shared" si="294"/>
        <v>0</v>
      </c>
      <c r="Z2354" s="1153"/>
      <c r="AA2354" s="1153"/>
      <c r="AB2354" s="733">
        <f t="shared" si="295"/>
        <v>0</v>
      </c>
      <c r="AC2354" s="1152"/>
      <c r="AD2354" s="1153"/>
      <c r="AE2354" s="1152"/>
      <c r="AF2354" s="1152"/>
      <c r="AG2354" s="1153"/>
      <c r="AH2354" s="1153"/>
      <c r="AI2354" s="732">
        <f t="shared" si="299"/>
        <v>37525677</v>
      </c>
      <c r="AJ2354" s="733">
        <f t="shared" si="300"/>
        <v>37118393</v>
      </c>
    </row>
    <row r="2355" spans="1:36" customFormat="1" ht="15" customHeight="1">
      <c r="A2355" s="719" t="s">
        <v>748</v>
      </c>
      <c r="B2355" s="717" t="s">
        <v>62</v>
      </c>
      <c r="C2355" s="770" t="s">
        <v>1209</v>
      </c>
      <c r="D2355" s="786" t="s">
        <v>1437</v>
      </c>
      <c r="E2355" s="719">
        <v>229355</v>
      </c>
      <c r="F2355" s="719">
        <v>8</v>
      </c>
      <c r="G2355" s="1152">
        <v>23945149</v>
      </c>
      <c r="H2355" s="1166">
        <v>23945147</v>
      </c>
      <c r="I2355" s="1152"/>
      <c r="J2355" s="1166"/>
      <c r="K2355" s="1152">
        <v>26115573</v>
      </c>
      <c r="L2355" s="1166">
        <v>27773130</v>
      </c>
      <c r="M2355" s="1152">
        <v>21843430</v>
      </c>
      <c r="N2355" s="1152"/>
      <c r="O2355" s="732">
        <f t="shared" si="293"/>
        <v>21843430</v>
      </c>
      <c r="P2355" s="1166">
        <v>21359174</v>
      </c>
      <c r="Q2355" s="1153"/>
      <c r="R2355" s="733">
        <f t="shared" si="296"/>
        <v>21359174</v>
      </c>
      <c r="S2355" s="732">
        <f t="shared" si="297"/>
        <v>71904152</v>
      </c>
      <c r="T2355" s="733">
        <f t="shared" si="298"/>
        <v>73077451</v>
      </c>
      <c r="U2355" s="1152"/>
      <c r="V2355" s="1153"/>
      <c r="W2355" s="1152"/>
      <c r="X2355" s="1152"/>
      <c r="Y2355" s="732">
        <f t="shared" si="294"/>
        <v>0</v>
      </c>
      <c r="Z2355" s="1153"/>
      <c r="AA2355" s="1153"/>
      <c r="AB2355" s="733">
        <f t="shared" si="295"/>
        <v>0</v>
      </c>
      <c r="AC2355" s="1152"/>
      <c r="AD2355" s="1166"/>
      <c r="AE2355" s="1152"/>
      <c r="AF2355" s="1152"/>
      <c r="AG2355" s="1153"/>
      <c r="AH2355" s="1153"/>
      <c r="AI2355" s="732">
        <f t="shared" si="299"/>
        <v>71904152</v>
      </c>
      <c r="AJ2355" s="733">
        <f t="shared" si="300"/>
        <v>73077451</v>
      </c>
    </row>
    <row r="2356" spans="1:36" ht="12.5">
      <c r="A2356" s="719" t="s">
        <v>748</v>
      </c>
      <c r="B2356" s="717" t="s">
        <v>62</v>
      </c>
      <c r="C2356" s="770" t="s">
        <v>1210</v>
      </c>
      <c r="D2356" s="782"/>
      <c r="E2356" s="719">
        <v>222567</v>
      </c>
      <c r="F2356" s="719">
        <v>9</v>
      </c>
      <c r="G2356" s="1152">
        <v>10497574</v>
      </c>
      <c r="H2356" s="1166">
        <v>10497574</v>
      </c>
      <c r="I2356" s="1152"/>
      <c r="J2356" s="1166"/>
      <c r="K2356" s="1152">
        <v>17296711</v>
      </c>
      <c r="L2356" s="1166">
        <v>19453051</v>
      </c>
      <c r="M2356" s="1152">
        <v>8857943</v>
      </c>
      <c r="N2356" s="1152"/>
      <c r="O2356" s="732">
        <f t="shared" si="293"/>
        <v>8857943</v>
      </c>
      <c r="P2356" s="1166">
        <v>9176163</v>
      </c>
      <c r="Q2356" s="1153"/>
      <c r="R2356" s="733">
        <f t="shared" si="296"/>
        <v>9176163</v>
      </c>
      <c r="S2356" s="732">
        <f t="shared" si="297"/>
        <v>36652228</v>
      </c>
      <c r="T2356" s="733">
        <f t="shared" si="298"/>
        <v>39126788</v>
      </c>
      <c r="U2356" s="1152"/>
      <c r="V2356" s="1153"/>
      <c r="W2356" s="1152"/>
      <c r="X2356" s="1152"/>
      <c r="Y2356" s="732">
        <f t="shared" si="294"/>
        <v>0</v>
      </c>
      <c r="Z2356" s="1153"/>
      <c r="AA2356" s="1153"/>
      <c r="AB2356" s="733">
        <f t="shared" si="295"/>
        <v>0</v>
      </c>
      <c r="AC2356" s="1152"/>
      <c r="AD2356" s="1166"/>
      <c r="AE2356" s="1152"/>
      <c r="AF2356" s="1152"/>
      <c r="AG2356" s="1153"/>
      <c r="AH2356" s="1153"/>
      <c r="AI2356" s="732">
        <f t="shared" si="299"/>
        <v>36652228</v>
      </c>
      <c r="AJ2356" s="733">
        <f t="shared" si="300"/>
        <v>39126788</v>
      </c>
    </row>
    <row r="2357" spans="1:36" ht="12.5">
      <c r="A2357" s="719" t="s">
        <v>748</v>
      </c>
      <c r="B2357" s="717" t="s">
        <v>62</v>
      </c>
      <c r="C2357" s="770" t="s">
        <v>1211</v>
      </c>
      <c r="D2357" s="782"/>
      <c r="E2357" s="719">
        <v>222822</v>
      </c>
      <c r="F2357" s="719">
        <v>9</v>
      </c>
      <c r="G2357" s="1152">
        <v>10829291</v>
      </c>
      <c r="H2357" s="1166">
        <v>10829290</v>
      </c>
      <c r="I2357" s="1152"/>
      <c r="J2357" s="1166"/>
      <c r="K2357" s="1152">
        <v>6220538</v>
      </c>
      <c r="L2357" s="1166">
        <v>6690284</v>
      </c>
      <c r="M2357" s="1152">
        <v>6271023</v>
      </c>
      <c r="N2357" s="1152"/>
      <c r="O2357" s="732">
        <f t="shared" si="293"/>
        <v>6271023</v>
      </c>
      <c r="P2357" s="1166">
        <v>5974592</v>
      </c>
      <c r="Q2357" s="1153"/>
      <c r="R2357" s="733">
        <f t="shared" si="296"/>
        <v>5974592</v>
      </c>
      <c r="S2357" s="732">
        <f t="shared" si="297"/>
        <v>23320852</v>
      </c>
      <c r="T2357" s="733">
        <f t="shared" si="298"/>
        <v>23494166</v>
      </c>
      <c r="U2357" s="1152"/>
      <c r="V2357" s="1153"/>
      <c r="W2357" s="1152"/>
      <c r="X2357" s="1152"/>
      <c r="Y2357" s="732">
        <f t="shared" si="294"/>
        <v>0</v>
      </c>
      <c r="Z2357" s="1153"/>
      <c r="AA2357" s="1153"/>
      <c r="AB2357" s="733">
        <f t="shared" si="295"/>
        <v>0</v>
      </c>
      <c r="AC2357" s="1152"/>
      <c r="AD2357" s="1166"/>
      <c r="AE2357" s="1152"/>
      <c r="AF2357" s="1152"/>
      <c r="AG2357" s="1153"/>
      <c r="AH2357" s="1153"/>
      <c r="AI2357" s="732">
        <f t="shared" si="299"/>
        <v>23320852</v>
      </c>
      <c r="AJ2357" s="733">
        <f t="shared" si="300"/>
        <v>23494166</v>
      </c>
    </row>
    <row r="2358" spans="1:36" ht="12.5">
      <c r="A2358" s="719" t="s">
        <v>748</v>
      </c>
      <c r="B2358" s="717" t="s">
        <v>62</v>
      </c>
      <c r="C2358" s="789" t="s">
        <v>1212</v>
      </c>
      <c r="D2358" s="790"/>
      <c r="E2358" s="719">
        <v>223773</v>
      </c>
      <c r="F2358" s="719">
        <v>9</v>
      </c>
      <c r="G2358" s="1152">
        <v>0</v>
      </c>
      <c r="H2358" s="1166">
        <v>0</v>
      </c>
      <c r="I2358" s="1152"/>
      <c r="J2358" s="1166"/>
      <c r="K2358" s="1152"/>
      <c r="L2358" s="1166"/>
      <c r="M2358" s="1152"/>
      <c r="N2358" s="1152"/>
      <c r="O2358" s="732">
        <f t="shared" si="293"/>
        <v>0</v>
      </c>
      <c r="P2358" s="1166"/>
      <c r="Q2358" s="1153"/>
      <c r="R2358" s="733">
        <f t="shared" si="296"/>
        <v>0</v>
      </c>
      <c r="S2358" s="732">
        <f t="shared" si="297"/>
        <v>0</v>
      </c>
      <c r="T2358" s="733">
        <f t="shared" si="298"/>
        <v>0</v>
      </c>
      <c r="U2358" s="1152"/>
      <c r="V2358" s="1153"/>
      <c r="W2358" s="1152"/>
      <c r="X2358" s="1152"/>
      <c r="Y2358" s="732">
        <f t="shared" si="294"/>
        <v>0</v>
      </c>
      <c r="Z2358" s="1153"/>
      <c r="AA2358" s="1153"/>
      <c r="AB2358" s="733">
        <f t="shared" si="295"/>
        <v>0</v>
      </c>
      <c r="AC2358" s="1152"/>
      <c r="AD2358" s="1166"/>
      <c r="AE2358" s="1152"/>
      <c r="AF2358" s="1152"/>
      <c r="AG2358" s="1153"/>
      <c r="AH2358" s="1153"/>
      <c r="AI2358" s="732">
        <f t="shared" si="299"/>
        <v>0</v>
      </c>
      <c r="AJ2358" s="733">
        <f t="shared" si="300"/>
        <v>0</v>
      </c>
    </row>
    <row r="2359" spans="1:36" ht="12.5">
      <c r="A2359" s="719" t="s">
        <v>748</v>
      </c>
      <c r="B2359" s="717" t="s">
        <v>62</v>
      </c>
      <c r="C2359" s="770" t="s">
        <v>1213</v>
      </c>
      <c r="D2359" s="782"/>
      <c r="E2359" s="719">
        <v>223898</v>
      </c>
      <c r="F2359" s="719">
        <v>9</v>
      </c>
      <c r="G2359" s="1152">
        <v>6701687</v>
      </c>
      <c r="H2359" s="1166">
        <v>6701686</v>
      </c>
      <c r="I2359" s="1152"/>
      <c r="J2359" s="1166"/>
      <c r="K2359" s="1152">
        <v>1174942</v>
      </c>
      <c r="L2359" s="1166">
        <v>1217358</v>
      </c>
      <c r="M2359" s="1152">
        <v>4929103</v>
      </c>
      <c r="N2359" s="1152"/>
      <c r="O2359" s="732">
        <f t="shared" si="293"/>
        <v>4929103</v>
      </c>
      <c r="P2359" s="1166">
        <v>5284395</v>
      </c>
      <c r="Q2359" s="1153"/>
      <c r="R2359" s="733">
        <f t="shared" si="296"/>
        <v>5284395</v>
      </c>
      <c r="S2359" s="732">
        <f t="shared" si="297"/>
        <v>12805732</v>
      </c>
      <c r="T2359" s="733">
        <f t="shared" si="298"/>
        <v>13203439</v>
      </c>
      <c r="U2359" s="1152"/>
      <c r="V2359" s="1153"/>
      <c r="W2359" s="1152"/>
      <c r="X2359" s="1152"/>
      <c r="Y2359" s="732">
        <f t="shared" si="294"/>
        <v>0</v>
      </c>
      <c r="Z2359" s="1153"/>
      <c r="AA2359" s="1153"/>
      <c r="AB2359" s="733">
        <f t="shared" si="295"/>
        <v>0</v>
      </c>
      <c r="AC2359" s="1152"/>
      <c r="AD2359" s="1166"/>
      <c r="AE2359" s="1152"/>
      <c r="AF2359" s="1152"/>
      <c r="AG2359" s="1153"/>
      <c r="AH2359" s="1153"/>
      <c r="AI2359" s="732">
        <f t="shared" si="299"/>
        <v>12805732</v>
      </c>
      <c r="AJ2359" s="733">
        <f t="shared" si="300"/>
        <v>13203439</v>
      </c>
    </row>
    <row r="2360" spans="1:36" ht="12.5">
      <c r="A2360" s="719" t="s">
        <v>748</v>
      </c>
      <c r="B2360" s="717" t="s">
        <v>62</v>
      </c>
      <c r="C2360" s="770" t="s">
        <v>1214</v>
      </c>
      <c r="D2360" s="782"/>
      <c r="E2360" s="719">
        <v>223320</v>
      </c>
      <c r="F2360" s="719">
        <v>9</v>
      </c>
      <c r="G2360" s="1152">
        <v>8476156</v>
      </c>
      <c r="H2360" s="1166">
        <v>8476156</v>
      </c>
      <c r="I2360" s="1152"/>
      <c r="J2360" s="1166"/>
      <c r="K2360" s="1152">
        <v>2293641</v>
      </c>
      <c r="L2360" s="1166">
        <v>2300881</v>
      </c>
      <c r="M2360" s="1152">
        <v>2765132</v>
      </c>
      <c r="N2360" s="1152"/>
      <c r="O2360" s="732">
        <f t="shared" si="293"/>
        <v>2765132</v>
      </c>
      <c r="P2360" s="1167">
        <v>131113</v>
      </c>
      <c r="Q2360" s="1153"/>
      <c r="R2360" s="733">
        <f t="shared" si="296"/>
        <v>131113</v>
      </c>
      <c r="S2360" s="732">
        <f t="shared" si="297"/>
        <v>13534929</v>
      </c>
      <c r="T2360" s="733">
        <f t="shared" si="298"/>
        <v>10908150</v>
      </c>
      <c r="U2360" s="1152"/>
      <c r="V2360" s="1153"/>
      <c r="W2360" s="1152"/>
      <c r="X2360" s="1152"/>
      <c r="Y2360" s="732">
        <f t="shared" si="294"/>
        <v>0</v>
      </c>
      <c r="Z2360" s="1153"/>
      <c r="AA2360" s="1153"/>
      <c r="AB2360" s="733">
        <f t="shared" si="295"/>
        <v>0</v>
      </c>
      <c r="AC2360" s="1152"/>
      <c r="AD2360" s="1166"/>
      <c r="AE2360" s="1152"/>
      <c r="AF2360" s="1152"/>
      <c r="AG2360" s="1153"/>
      <c r="AH2360" s="1153"/>
      <c r="AI2360" s="732">
        <f t="shared" si="299"/>
        <v>13534929</v>
      </c>
      <c r="AJ2360" s="733">
        <f t="shared" si="300"/>
        <v>10908150</v>
      </c>
    </row>
    <row r="2361" spans="1:36" ht="12.5">
      <c r="A2361" s="719" t="s">
        <v>748</v>
      </c>
      <c r="B2361" s="717" t="s">
        <v>62</v>
      </c>
      <c r="C2361" s="770" t="s">
        <v>1215</v>
      </c>
      <c r="D2361" s="782"/>
      <c r="E2361" s="719">
        <v>226408</v>
      </c>
      <c r="F2361" s="719">
        <v>9</v>
      </c>
      <c r="G2361" s="1152">
        <v>9956987</v>
      </c>
      <c r="H2361" s="1166">
        <v>9956986</v>
      </c>
      <c r="I2361" s="1152"/>
      <c r="J2361" s="1166"/>
      <c r="K2361" s="1152">
        <v>22567888</v>
      </c>
      <c r="L2361" s="1166">
        <v>23739139</v>
      </c>
      <c r="M2361" s="1152">
        <v>7223980</v>
      </c>
      <c r="N2361" s="1152"/>
      <c r="O2361" s="732">
        <f t="shared" si="293"/>
        <v>7223980</v>
      </c>
      <c r="P2361" s="1166">
        <v>6731005</v>
      </c>
      <c r="Q2361" s="1153"/>
      <c r="R2361" s="733">
        <f t="shared" si="296"/>
        <v>6731005</v>
      </c>
      <c r="S2361" s="732">
        <f t="shared" si="297"/>
        <v>39748855</v>
      </c>
      <c r="T2361" s="733">
        <f t="shared" si="298"/>
        <v>40427130</v>
      </c>
      <c r="U2361" s="1152"/>
      <c r="V2361" s="1153"/>
      <c r="W2361" s="1152"/>
      <c r="X2361" s="1152"/>
      <c r="Y2361" s="732">
        <f t="shared" si="294"/>
        <v>0</v>
      </c>
      <c r="Z2361" s="1153"/>
      <c r="AA2361" s="1153"/>
      <c r="AB2361" s="733">
        <f t="shared" si="295"/>
        <v>0</v>
      </c>
      <c r="AC2361" s="1152"/>
      <c r="AD2361" s="1166"/>
      <c r="AE2361" s="1152"/>
      <c r="AF2361" s="1152"/>
      <c r="AG2361" s="1153"/>
      <c r="AH2361" s="1153"/>
      <c r="AI2361" s="732">
        <f t="shared" si="299"/>
        <v>39748855</v>
      </c>
      <c r="AJ2361" s="733">
        <f t="shared" si="300"/>
        <v>40427130</v>
      </c>
    </row>
    <row r="2362" spans="1:36" ht="12.5">
      <c r="A2362" s="719" t="s">
        <v>748</v>
      </c>
      <c r="B2362" s="717" t="s">
        <v>62</v>
      </c>
      <c r="C2362" s="770" t="s">
        <v>1216</v>
      </c>
      <c r="D2362" s="782"/>
      <c r="E2362" s="719">
        <v>225070</v>
      </c>
      <c r="F2362" s="719">
        <v>9</v>
      </c>
      <c r="G2362" s="1152">
        <v>9432257</v>
      </c>
      <c r="H2362" s="1166">
        <v>9432257</v>
      </c>
      <c r="I2362" s="1152"/>
      <c r="J2362" s="1166"/>
      <c r="K2362" s="1152">
        <v>14491190</v>
      </c>
      <c r="L2362" s="1166">
        <v>15972364</v>
      </c>
      <c r="M2362" s="1152">
        <v>4683836</v>
      </c>
      <c r="N2362" s="1152"/>
      <c r="O2362" s="732">
        <f t="shared" si="293"/>
        <v>4683836</v>
      </c>
      <c r="P2362" s="1166">
        <v>4978410</v>
      </c>
      <c r="Q2362" s="1153"/>
      <c r="R2362" s="733">
        <f t="shared" si="296"/>
        <v>4978410</v>
      </c>
      <c r="S2362" s="732">
        <f t="shared" si="297"/>
        <v>28607283</v>
      </c>
      <c r="T2362" s="733">
        <f t="shared" si="298"/>
        <v>30383031</v>
      </c>
      <c r="U2362" s="1152"/>
      <c r="V2362" s="1153"/>
      <c r="W2362" s="1152"/>
      <c r="X2362" s="1152"/>
      <c r="Y2362" s="732">
        <f t="shared" si="294"/>
        <v>0</v>
      </c>
      <c r="Z2362" s="1153"/>
      <c r="AA2362" s="1153"/>
      <c r="AB2362" s="733">
        <f t="shared" si="295"/>
        <v>0</v>
      </c>
      <c r="AC2362" s="1152"/>
      <c r="AD2362" s="1166"/>
      <c r="AE2362" s="1152"/>
      <c r="AF2362" s="1152"/>
      <c r="AG2362" s="1153"/>
      <c r="AH2362" s="1153"/>
      <c r="AI2362" s="732">
        <f t="shared" si="299"/>
        <v>28607283</v>
      </c>
      <c r="AJ2362" s="733">
        <f t="shared" si="300"/>
        <v>30383031</v>
      </c>
    </row>
    <row r="2363" spans="1:36" ht="12.5">
      <c r="A2363" s="719" t="s">
        <v>748</v>
      </c>
      <c r="B2363" s="717" t="s">
        <v>62</v>
      </c>
      <c r="C2363" s="770" t="s">
        <v>1217</v>
      </c>
      <c r="D2363" s="782"/>
      <c r="E2363" s="719">
        <v>225371</v>
      </c>
      <c r="F2363" s="719">
        <v>9</v>
      </c>
      <c r="G2363" s="1152">
        <v>8884120</v>
      </c>
      <c r="H2363" s="1166">
        <v>8884119</v>
      </c>
      <c r="I2363" s="1152"/>
      <c r="J2363" s="1166"/>
      <c r="K2363" s="1152">
        <v>1879627</v>
      </c>
      <c r="L2363" s="1166">
        <v>1910393</v>
      </c>
      <c r="M2363" s="1152">
        <v>4662749</v>
      </c>
      <c r="N2363" s="1152"/>
      <c r="O2363" s="732">
        <f t="shared" si="293"/>
        <v>4662749</v>
      </c>
      <c r="P2363" s="1166">
        <v>5810161</v>
      </c>
      <c r="Q2363" s="1153"/>
      <c r="R2363" s="733">
        <f t="shared" si="296"/>
        <v>5810161</v>
      </c>
      <c r="S2363" s="732">
        <f t="shared" si="297"/>
        <v>15426496</v>
      </c>
      <c r="T2363" s="733">
        <f t="shared" si="298"/>
        <v>16604673</v>
      </c>
      <c r="U2363" s="1152"/>
      <c r="V2363" s="1153"/>
      <c r="W2363" s="1152"/>
      <c r="X2363" s="1152"/>
      <c r="Y2363" s="732">
        <f t="shared" si="294"/>
        <v>0</v>
      </c>
      <c r="Z2363" s="1153"/>
      <c r="AA2363" s="1153"/>
      <c r="AB2363" s="733">
        <f t="shared" si="295"/>
        <v>0</v>
      </c>
      <c r="AC2363" s="1152"/>
      <c r="AD2363" s="1166"/>
      <c r="AE2363" s="1152"/>
      <c r="AF2363" s="1152"/>
      <c r="AG2363" s="1153"/>
      <c r="AH2363" s="1153"/>
      <c r="AI2363" s="732">
        <f t="shared" si="299"/>
        <v>15426496</v>
      </c>
      <c r="AJ2363" s="733">
        <f t="shared" si="300"/>
        <v>16604673</v>
      </c>
    </row>
    <row r="2364" spans="1:36" ht="12.5">
      <c r="A2364" s="719" t="s">
        <v>748</v>
      </c>
      <c r="B2364" s="717" t="s">
        <v>62</v>
      </c>
      <c r="C2364" s="793" t="s">
        <v>1218</v>
      </c>
      <c r="D2364" s="794"/>
      <c r="E2364" s="719">
        <v>225520</v>
      </c>
      <c r="F2364" s="719">
        <v>9</v>
      </c>
      <c r="G2364" s="1152">
        <v>12538606</v>
      </c>
      <c r="H2364" s="1166">
        <v>12538605</v>
      </c>
      <c r="I2364" s="1152"/>
      <c r="J2364" s="1166"/>
      <c r="K2364" s="1152">
        <v>9691119</v>
      </c>
      <c r="L2364" s="1166">
        <v>10510027</v>
      </c>
      <c r="M2364" s="1152">
        <v>4456035</v>
      </c>
      <c r="N2364" s="1152"/>
      <c r="O2364" s="732">
        <f t="shared" si="293"/>
        <v>4456035</v>
      </c>
      <c r="P2364" s="1166">
        <v>4171010</v>
      </c>
      <c r="Q2364" s="1153"/>
      <c r="R2364" s="733">
        <f t="shared" si="296"/>
        <v>4171010</v>
      </c>
      <c r="S2364" s="732">
        <f t="shared" si="297"/>
        <v>26685760</v>
      </c>
      <c r="T2364" s="733">
        <f t="shared" si="298"/>
        <v>27219642</v>
      </c>
      <c r="U2364" s="1152"/>
      <c r="V2364" s="1153"/>
      <c r="W2364" s="1152"/>
      <c r="X2364" s="1152"/>
      <c r="Y2364" s="732">
        <f t="shared" si="294"/>
        <v>0</v>
      </c>
      <c r="Z2364" s="1153"/>
      <c r="AA2364" s="1153"/>
      <c r="AB2364" s="733">
        <f t="shared" si="295"/>
        <v>0</v>
      </c>
      <c r="AC2364" s="1152"/>
      <c r="AD2364" s="1166"/>
      <c r="AE2364" s="1152"/>
      <c r="AF2364" s="1152"/>
      <c r="AG2364" s="1153"/>
      <c r="AH2364" s="1153"/>
      <c r="AI2364" s="732">
        <f t="shared" si="299"/>
        <v>26685760</v>
      </c>
      <c r="AJ2364" s="733">
        <f t="shared" si="300"/>
        <v>27219642</v>
      </c>
    </row>
    <row r="2365" spans="1:36" ht="12.5">
      <c r="A2365" s="719" t="s">
        <v>748</v>
      </c>
      <c r="B2365" s="717" t="s">
        <v>62</v>
      </c>
      <c r="C2365" s="717" t="s">
        <v>1219</v>
      </c>
      <c r="D2365" s="784"/>
      <c r="E2365" s="719">
        <v>226019</v>
      </c>
      <c r="F2365" s="719">
        <v>8</v>
      </c>
      <c r="G2365" s="1152">
        <v>12592901</v>
      </c>
      <c r="H2365" s="1166">
        <v>12592900</v>
      </c>
      <c r="I2365" s="1152"/>
      <c r="J2365" s="1166"/>
      <c r="K2365" s="1152">
        <v>6602588</v>
      </c>
      <c r="L2365" s="1166">
        <v>7263613</v>
      </c>
      <c r="M2365" s="1152">
        <v>8576482</v>
      </c>
      <c r="N2365" s="1152"/>
      <c r="O2365" s="732">
        <f t="shared" si="293"/>
        <v>8576482</v>
      </c>
      <c r="P2365" s="1166">
        <v>9582499</v>
      </c>
      <c r="Q2365" s="1153"/>
      <c r="R2365" s="733">
        <f t="shared" si="296"/>
        <v>9582499</v>
      </c>
      <c r="S2365" s="732">
        <f t="shared" si="297"/>
        <v>27771971</v>
      </c>
      <c r="T2365" s="733">
        <f t="shared" si="298"/>
        <v>29439012</v>
      </c>
      <c r="U2365" s="1152"/>
      <c r="V2365" s="1153"/>
      <c r="W2365" s="1152"/>
      <c r="X2365" s="1152"/>
      <c r="Y2365" s="732">
        <f t="shared" si="294"/>
        <v>0</v>
      </c>
      <c r="Z2365" s="1153"/>
      <c r="AA2365" s="1153"/>
      <c r="AB2365" s="733">
        <f t="shared" si="295"/>
        <v>0</v>
      </c>
      <c r="AC2365" s="1152"/>
      <c r="AD2365" s="1166"/>
      <c r="AE2365" s="1152"/>
      <c r="AF2365" s="1152"/>
      <c r="AG2365" s="1153"/>
      <c r="AH2365" s="1153"/>
      <c r="AI2365" s="732">
        <f t="shared" si="299"/>
        <v>27771971</v>
      </c>
      <c r="AJ2365" s="733">
        <f t="shared" si="300"/>
        <v>29439012</v>
      </c>
    </row>
    <row r="2366" spans="1:36" ht="12.5">
      <c r="A2366" s="719" t="s">
        <v>748</v>
      </c>
      <c r="B2366" s="717" t="s">
        <v>62</v>
      </c>
      <c r="C2366" s="795" t="s">
        <v>1220</v>
      </c>
      <c r="D2366" s="782"/>
      <c r="E2366" s="719">
        <v>441760</v>
      </c>
      <c r="F2366" s="719">
        <v>9</v>
      </c>
      <c r="G2366" s="1152">
        <v>15898270</v>
      </c>
      <c r="H2366" s="1166">
        <v>15936973</v>
      </c>
      <c r="I2366" s="1152"/>
      <c r="J2366" s="1166"/>
      <c r="K2366" s="1152"/>
      <c r="L2366" s="1166"/>
      <c r="M2366" s="1152">
        <v>7187488</v>
      </c>
      <c r="N2366" s="1152"/>
      <c r="O2366" s="732">
        <f t="shared" si="293"/>
        <v>7187488</v>
      </c>
      <c r="P2366" s="1166">
        <v>5809912</v>
      </c>
      <c r="Q2366" s="1153"/>
      <c r="R2366" s="733">
        <f t="shared" si="296"/>
        <v>5809912</v>
      </c>
      <c r="S2366" s="732">
        <f t="shared" si="297"/>
        <v>23085758</v>
      </c>
      <c r="T2366" s="733">
        <f t="shared" si="298"/>
        <v>21746885</v>
      </c>
      <c r="U2366" s="1152"/>
      <c r="V2366" s="1153"/>
      <c r="W2366" s="1152"/>
      <c r="X2366" s="1152"/>
      <c r="Y2366" s="732">
        <f t="shared" si="294"/>
        <v>0</v>
      </c>
      <c r="Z2366" s="1153"/>
      <c r="AA2366" s="1153"/>
      <c r="AB2366" s="733">
        <f t="shared" si="295"/>
        <v>0</v>
      </c>
      <c r="AC2366" s="1152"/>
      <c r="AD2366" s="1166"/>
      <c r="AE2366" s="1152"/>
      <c r="AF2366" s="1152"/>
      <c r="AG2366" s="1153"/>
      <c r="AH2366" s="1153"/>
      <c r="AI2366" s="732">
        <f t="shared" si="299"/>
        <v>23085758</v>
      </c>
      <c r="AJ2366" s="733">
        <f t="shared" si="300"/>
        <v>21746885</v>
      </c>
    </row>
    <row r="2367" spans="1:36" customFormat="1" ht="15" customHeight="1">
      <c r="A2367" s="719" t="s">
        <v>748</v>
      </c>
      <c r="B2367" s="717" t="s">
        <v>62</v>
      </c>
      <c r="C2367" s="770" t="s">
        <v>1221</v>
      </c>
      <c r="D2367" s="727"/>
      <c r="E2367" s="719">
        <v>226204</v>
      </c>
      <c r="F2367" s="719">
        <v>9</v>
      </c>
      <c r="G2367" s="1152">
        <v>14065664</v>
      </c>
      <c r="H2367" s="1166">
        <v>14065662</v>
      </c>
      <c r="I2367" s="1152"/>
      <c r="J2367" s="1166"/>
      <c r="K2367" s="1152">
        <v>31325219</v>
      </c>
      <c r="L2367" s="1166">
        <v>32645106</v>
      </c>
      <c r="M2367" s="1152">
        <v>10535213</v>
      </c>
      <c r="N2367" s="1152"/>
      <c r="O2367" s="732">
        <f t="shared" si="293"/>
        <v>10535213</v>
      </c>
      <c r="P2367" s="1166">
        <v>7961292</v>
      </c>
      <c r="Q2367" s="1153"/>
      <c r="R2367" s="733">
        <f t="shared" si="296"/>
        <v>7961292</v>
      </c>
      <c r="S2367" s="732">
        <f t="shared" si="297"/>
        <v>55926096</v>
      </c>
      <c r="T2367" s="733">
        <f t="shared" si="298"/>
        <v>54672060</v>
      </c>
      <c r="U2367" s="1152"/>
      <c r="V2367" s="1153"/>
      <c r="W2367" s="1152"/>
      <c r="X2367" s="1152"/>
      <c r="Y2367" s="732">
        <f t="shared" si="294"/>
        <v>0</v>
      </c>
      <c r="Z2367" s="1153"/>
      <c r="AA2367" s="1153"/>
      <c r="AB2367" s="733">
        <f t="shared" si="295"/>
        <v>0</v>
      </c>
      <c r="AC2367" s="1152"/>
      <c r="AD2367" s="1166"/>
      <c r="AE2367" s="1152"/>
      <c r="AF2367" s="1152"/>
      <c r="AG2367" s="1153"/>
      <c r="AH2367" s="1153"/>
      <c r="AI2367" s="732">
        <f t="shared" si="299"/>
        <v>55926096</v>
      </c>
      <c r="AJ2367" s="733">
        <f t="shared" si="300"/>
        <v>54672060</v>
      </c>
    </row>
    <row r="2368" spans="1:36">
      <c r="A2368" s="719" t="s">
        <v>748</v>
      </c>
      <c r="B2368" s="717" t="s">
        <v>62</v>
      </c>
      <c r="C2368" s="717" t="s">
        <v>1223</v>
      </c>
      <c r="D2368" s="775"/>
      <c r="E2368" s="719">
        <v>227225</v>
      </c>
      <c r="F2368" s="719">
        <v>9</v>
      </c>
      <c r="G2368" s="1152">
        <v>6521010</v>
      </c>
      <c r="H2368" s="1166">
        <v>6521009</v>
      </c>
      <c r="I2368" s="1152"/>
      <c r="J2368" s="1166"/>
      <c r="K2368" s="1152">
        <v>3187208</v>
      </c>
      <c r="L2368" s="1166">
        <v>3482782</v>
      </c>
      <c r="M2368" s="1152">
        <v>3862155</v>
      </c>
      <c r="N2368" s="1152"/>
      <c r="O2368" s="732">
        <f t="shared" si="293"/>
        <v>3862155</v>
      </c>
      <c r="P2368" s="1166">
        <v>3921721</v>
      </c>
      <c r="Q2368" s="1153"/>
      <c r="R2368" s="733">
        <f t="shared" si="296"/>
        <v>3921721</v>
      </c>
      <c r="S2368" s="732">
        <f t="shared" si="297"/>
        <v>13570373</v>
      </c>
      <c r="T2368" s="733">
        <f t="shared" si="298"/>
        <v>13925512</v>
      </c>
      <c r="U2368" s="1152"/>
      <c r="V2368" s="1153"/>
      <c r="W2368" s="1152"/>
      <c r="X2368" s="1152"/>
      <c r="Y2368" s="732">
        <f t="shared" si="294"/>
        <v>0</v>
      </c>
      <c r="Z2368" s="1153"/>
      <c r="AA2368" s="1153"/>
      <c r="AB2368" s="733">
        <f t="shared" si="295"/>
        <v>0</v>
      </c>
      <c r="AC2368" s="1152"/>
      <c r="AD2368" s="1166"/>
      <c r="AE2368" s="1152"/>
      <c r="AF2368" s="1152"/>
      <c r="AG2368" s="1153"/>
      <c r="AH2368" s="1153"/>
      <c r="AI2368" s="732">
        <f t="shared" si="299"/>
        <v>13570373</v>
      </c>
      <c r="AJ2368" s="733">
        <f t="shared" si="300"/>
        <v>13925512</v>
      </c>
    </row>
    <row r="2369" spans="1:36" ht="12.5">
      <c r="A2369" s="719" t="s">
        <v>748</v>
      </c>
      <c r="B2369" s="717" t="s">
        <v>62</v>
      </c>
      <c r="C2369" s="770" t="s">
        <v>1224</v>
      </c>
      <c r="D2369" s="782"/>
      <c r="E2369" s="719">
        <v>227304</v>
      </c>
      <c r="F2369" s="719">
        <v>9</v>
      </c>
      <c r="G2369" s="1152">
        <v>12963933</v>
      </c>
      <c r="H2369" s="1166">
        <v>12963932</v>
      </c>
      <c r="I2369" s="1152"/>
      <c r="J2369" s="1166"/>
      <c r="K2369" s="1152">
        <v>23863032</v>
      </c>
      <c r="L2369" s="1166">
        <v>25682905</v>
      </c>
      <c r="M2369" s="1152">
        <v>11192706</v>
      </c>
      <c r="N2369" s="1152"/>
      <c r="O2369" s="732">
        <f t="shared" si="293"/>
        <v>11192706</v>
      </c>
      <c r="P2369" s="1166">
        <v>10965280</v>
      </c>
      <c r="Q2369" s="1153"/>
      <c r="R2369" s="733">
        <f t="shared" si="296"/>
        <v>10965280</v>
      </c>
      <c r="S2369" s="732">
        <f t="shared" si="297"/>
        <v>48019671</v>
      </c>
      <c r="T2369" s="733">
        <f t="shared" si="298"/>
        <v>49612117</v>
      </c>
      <c r="U2369" s="1152"/>
      <c r="V2369" s="1153"/>
      <c r="W2369" s="1152"/>
      <c r="X2369" s="1152"/>
      <c r="Y2369" s="732">
        <f t="shared" si="294"/>
        <v>0</v>
      </c>
      <c r="Z2369" s="1153"/>
      <c r="AA2369" s="1153"/>
      <c r="AB2369" s="733">
        <f t="shared" si="295"/>
        <v>0</v>
      </c>
      <c r="AC2369" s="1152"/>
      <c r="AD2369" s="1166"/>
      <c r="AE2369" s="1152"/>
      <c r="AF2369" s="1152"/>
      <c r="AG2369" s="1153"/>
      <c r="AH2369" s="1153"/>
      <c r="AI2369" s="732">
        <f t="shared" si="299"/>
        <v>48019671</v>
      </c>
      <c r="AJ2369" s="733">
        <f t="shared" si="300"/>
        <v>49612117</v>
      </c>
    </row>
    <row r="2370" spans="1:36" ht="12.5">
      <c r="A2370" s="719" t="s">
        <v>748</v>
      </c>
      <c r="B2370" s="717" t="s">
        <v>62</v>
      </c>
      <c r="C2370" s="770" t="s">
        <v>1225</v>
      </c>
      <c r="D2370" s="782"/>
      <c r="E2370" s="719">
        <v>227401</v>
      </c>
      <c r="F2370" s="719">
        <v>9</v>
      </c>
      <c r="G2370" s="1152">
        <v>9832043</v>
      </c>
      <c r="H2370" s="1166">
        <v>9832041</v>
      </c>
      <c r="I2370" s="1152"/>
      <c r="J2370" s="1166"/>
      <c r="K2370" s="1152">
        <v>2941468</v>
      </c>
      <c r="L2370" s="1166">
        <v>3000997</v>
      </c>
      <c r="M2370" s="1152">
        <v>7131226</v>
      </c>
      <c r="N2370" s="1152"/>
      <c r="O2370" s="732">
        <f t="shared" si="293"/>
        <v>7131226</v>
      </c>
      <c r="P2370" s="1166">
        <v>6975054</v>
      </c>
      <c r="Q2370" s="1153"/>
      <c r="R2370" s="733">
        <f t="shared" si="296"/>
        <v>6975054</v>
      </c>
      <c r="S2370" s="732">
        <f t="shared" si="297"/>
        <v>19904737</v>
      </c>
      <c r="T2370" s="733">
        <f t="shared" si="298"/>
        <v>19808092</v>
      </c>
      <c r="U2370" s="1152"/>
      <c r="V2370" s="1153"/>
      <c r="W2370" s="1152"/>
      <c r="X2370" s="1152"/>
      <c r="Y2370" s="732">
        <f t="shared" si="294"/>
        <v>0</v>
      </c>
      <c r="Z2370" s="1153"/>
      <c r="AA2370" s="1153"/>
      <c r="AB2370" s="733">
        <f t="shared" si="295"/>
        <v>0</v>
      </c>
      <c r="AC2370" s="1152"/>
      <c r="AD2370" s="1166"/>
      <c r="AE2370" s="1152"/>
      <c r="AF2370" s="1152"/>
      <c r="AG2370" s="1153"/>
      <c r="AH2370" s="1153"/>
      <c r="AI2370" s="732">
        <f t="shared" si="299"/>
        <v>19904737</v>
      </c>
      <c r="AJ2370" s="733">
        <f t="shared" si="300"/>
        <v>19808092</v>
      </c>
    </row>
    <row r="2371" spans="1:36" ht="12.5">
      <c r="A2371" s="719" t="s">
        <v>748</v>
      </c>
      <c r="B2371" s="717" t="s">
        <v>62</v>
      </c>
      <c r="C2371" s="770" t="s">
        <v>1226</v>
      </c>
      <c r="D2371" s="782"/>
      <c r="E2371" s="719">
        <v>228316</v>
      </c>
      <c r="F2371" s="719">
        <v>9</v>
      </c>
      <c r="G2371" s="1152">
        <v>10827030</v>
      </c>
      <c r="H2371" s="1166">
        <v>10827029</v>
      </c>
      <c r="I2371" s="1152"/>
      <c r="J2371" s="1166"/>
      <c r="K2371" s="1152">
        <v>5557488</v>
      </c>
      <c r="L2371" s="1166">
        <v>6062810</v>
      </c>
      <c r="M2371" s="1152">
        <v>7556069</v>
      </c>
      <c r="N2371" s="1152"/>
      <c r="O2371" s="732">
        <f t="shared" si="293"/>
        <v>7556069</v>
      </c>
      <c r="P2371" s="1166">
        <v>4462458</v>
      </c>
      <c r="Q2371" s="1153"/>
      <c r="R2371" s="733">
        <f t="shared" si="296"/>
        <v>4462458</v>
      </c>
      <c r="S2371" s="732">
        <f t="shared" si="297"/>
        <v>23940587</v>
      </c>
      <c r="T2371" s="733">
        <f t="shared" si="298"/>
        <v>21352297</v>
      </c>
      <c r="U2371" s="1152"/>
      <c r="V2371" s="1153"/>
      <c r="W2371" s="1152"/>
      <c r="X2371" s="1152"/>
      <c r="Y2371" s="732">
        <f t="shared" si="294"/>
        <v>0</v>
      </c>
      <c r="Z2371" s="1153"/>
      <c r="AA2371" s="1153"/>
      <c r="AB2371" s="733">
        <f t="shared" si="295"/>
        <v>0</v>
      </c>
      <c r="AC2371" s="1152"/>
      <c r="AD2371" s="1166"/>
      <c r="AE2371" s="1152"/>
      <c r="AF2371" s="1152"/>
      <c r="AG2371" s="1153"/>
      <c r="AH2371" s="1153"/>
      <c r="AI2371" s="732">
        <f t="shared" si="299"/>
        <v>23940587</v>
      </c>
      <c r="AJ2371" s="733">
        <f t="shared" si="300"/>
        <v>21352297</v>
      </c>
    </row>
    <row r="2372" spans="1:36" ht="12.5">
      <c r="A2372" s="719" t="s">
        <v>748</v>
      </c>
      <c r="B2372" s="717" t="s">
        <v>62</v>
      </c>
      <c r="C2372" s="770" t="s">
        <v>1227</v>
      </c>
      <c r="D2372" s="782"/>
      <c r="E2372" s="719">
        <v>228608</v>
      </c>
      <c r="F2372" s="719">
        <v>9</v>
      </c>
      <c r="G2372" s="1152">
        <v>9463526</v>
      </c>
      <c r="H2372" s="1166">
        <v>9463524</v>
      </c>
      <c r="I2372" s="1152"/>
      <c r="J2372" s="1166"/>
      <c r="K2372" s="1152">
        <v>6243498</v>
      </c>
      <c r="L2372" s="1166">
        <v>6763995</v>
      </c>
      <c r="M2372" s="1152">
        <v>11316689</v>
      </c>
      <c r="N2372" s="1152"/>
      <c r="O2372" s="732">
        <f t="shared" si="293"/>
        <v>11316689</v>
      </c>
      <c r="P2372" s="1166">
        <v>9685037</v>
      </c>
      <c r="Q2372" s="1153"/>
      <c r="R2372" s="733">
        <f t="shared" si="296"/>
        <v>9685037</v>
      </c>
      <c r="S2372" s="732">
        <f t="shared" si="297"/>
        <v>27023713</v>
      </c>
      <c r="T2372" s="733">
        <f t="shared" si="298"/>
        <v>25912556</v>
      </c>
      <c r="U2372" s="1152"/>
      <c r="V2372" s="1153"/>
      <c r="W2372" s="1152"/>
      <c r="X2372" s="1152"/>
      <c r="Y2372" s="732">
        <f t="shared" si="294"/>
        <v>0</v>
      </c>
      <c r="Z2372" s="1153"/>
      <c r="AA2372" s="1153"/>
      <c r="AB2372" s="733">
        <f t="shared" si="295"/>
        <v>0</v>
      </c>
      <c r="AC2372" s="1152"/>
      <c r="AD2372" s="1166"/>
      <c r="AE2372" s="1152"/>
      <c r="AF2372" s="1152"/>
      <c r="AG2372" s="1153"/>
      <c r="AH2372" s="1153"/>
      <c r="AI2372" s="732">
        <f t="shared" si="299"/>
        <v>27023713</v>
      </c>
      <c r="AJ2372" s="733">
        <f t="shared" si="300"/>
        <v>25912556</v>
      </c>
    </row>
    <row r="2373" spans="1:36" ht="12.5">
      <c r="A2373" s="719" t="s">
        <v>748</v>
      </c>
      <c r="B2373" s="717" t="s">
        <v>62</v>
      </c>
      <c r="C2373" s="770" t="s">
        <v>1228</v>
      </c>
      <c r="D2373" s="782"/>
      <c r="E2373" s="719">
        <v>228699</v>
      </c>
      <c r="F2373" s="719">
        <v>9</v>
      </c>
      <c r="G2373" s="1152">
        <v>9701865</v>
      </c>
      <c r="H2373" s="1166">
        <v>9701863</v>
      </c>
      <c r="I2373" s="1152"/>
      <c r="J2373" s="1166"/>
      <c r="K2373" s="1152">
        <v>6532330</v>
      </c>
      <c r="L2373" s="1166">
        <v>7002036</v>
      </c>
      <c r="M2373" s="1152">
        <v>6173965</v>
      </c>
      <c r="N2373" s="1152"/>
      <c r="O2373" s="732">
        <f t="shared" si="293"/>
        <v>6173965</v>
      </c>
      <c r="P2373" s="1166">
        <v>4363647</v>
      </c>
      <c r="Q2373" s="1153"/>
      <c r="R2373" s="733">
        <f t="shared" si="296"/>
        <v>4363647</v>
      </c>
      <c r="S2373" s="732">
        <f t="shared" si="297"/>
        <v>22408160</v>
      </c>
      <c r="T2373" s="733">
        <f t="shared" si="298"/>
        <v>21067546</v>
      </c>
      <c r="U2373" s="1152"/>
      <c r="V2373" s="1153"/>
      <c r="W2373" s="1152"/>
      <c r="X2373" s="1152"/>
      <c r="Y2373" s="732">
        <f t="shared" si="294"/>
        <v>0</v>
      </c>
      <c r="Z2373" s="1153"/>
      <c r="AA2373" s="1153"/>
      <c r="AB2373" s="733">
        <f t="shared" si="295"/>
        <v>0</v>
      </c>
      <c r="AC2373" s="1152"/>
      <c r="AD2373" s="1166"/>
      <c r="AE2373" s="1152"/>
      <c r="AF2373" s="1152"/>
      <c r="AG2373" s="1153"/>
      <c r="AH2373" s="1153"/>
      <c r="AI2373" s="732">
        <f t="shared" si="299"/>
        <v>22408160</v>
      </c>
      <c r="AJ2373" s="733">
        <f t="shared" si="300"/>
        <v>21067546</v>
      </c>
    </row>
    <row r="2374" spans="1:36" ht="12.5">
      <c r="A2374" s="719" t="s">
        <v>748</v>
      </c>
      <c r="B2374" s="717" t="s">
        <v>62</v>
      </c>
      <c r="C2374" s="770" t="s">
        <v>1229</v>
      </c>
      <c r="D2374" s="784"/>
      <c r="E2374" s="736">
        <v>229072</v>
      </c>
      <c r="F2374" s="719">
        <v>8</v>
      </c>
      <c r="G2374" s="1152">
        <v>9609210</v>
      </c>
      <c r="H2374" s="1166">
        <v>9609208</v>
      </c>
      <c r="I2374" s="1152"/>
      <c r="J2374" s="1166"/>
      <c r="K2374" s="1152">
        <v>14516319</v>
      </c>
      <c r="L2374" s="1166">
        <v>15796727</v>
      </c>
      <c r="M2374" s="1152">
        <v>12475770</v>
      </c>
      <c r="N2374" s="1152"/>
      <c r="O2374" s="732">
        <f t="shared" si="293"/>
        <v>12475770</v>
      </c>
      <c r="P2374" s="1167">
        <v>2393405</v>
      </c>
      <c r="Q2374" s="1153"/>
      <c r="R2374" s="733">
        <f t="shared" si="296"/>
        <v>2393405</v>
      </c>
      <c r="S2374" s="732">
        <f t="shared" si="297"/>
        <v>36601299</v>
      </c>
      <c r="T2374" s="733">
        <f t="shared" si="298"/>
        <v>27799340</v>
      </c>
      <c r="U2374" s="1152"/>
      <c r="V2374" s="1153"/>
      <c r="W2374" s="1152"/>
      <c r="X2374" s="1152"/>
      <c r="Y2374" s="732">
        <f t="shared" si="294"/>
        <v>0</v>
      </c>
      <c r="Z2374" s="1153"/>
      <c r="AA2374" s="1153"/>
      <c r="AB2374" s="733">
        <f t="shared" si="295"/>
        <v>0</v>
      </c>
      <c r="AC2374" s="1152"/>
      <c r="AD2374" s="1166"/>
      <c r="AE2374" s="1152"/>
      <c r="AF2374" s="1152"/>
      <c r="AG2374" s="1153"/>
      <c r="AH2374" s="1153"/>
      <c r="AI2374" s="732">
        <f t="shared" si="299"/>
        <v>36601299</v>
      </c>
      <c r="AJ2374" s="733">
        <f t="shared" si="300"/>
        <v>27799340</v>
      </c>
    </row>
    <row r="2375" spans="1:36" ht="12.5">
      <c r="A2375" s="719" t="s">
        <v>748</v>
      </c>
      <c r="B2375" s="717" t="s">
        <v>62</v>
      </c>
      <c r="C2375" s="795" t="s">
        <v>1230</v>
      </c>
      <c r="D2375" s="782"/>
      <c r="E2375" s="719">
        <v>229319</v>
      </c>
      <c r="F2375" s="719">
        <v>9</v>
      </c>
      <c r="G2375" s="1152">
        <v>32844545</v>
      </c>
      <c r="H2375" s="1166">
        <v>33122507</v>
      </c>
      <c r="I2375" s="1152"/>
      <c r="J2375" s="1166"/>
      <c r="K2375" s="1152"/>
      <c r="L2375" s="1166"/>
      <c r="M2375" s="1152">
        <v>7135153</v>
      </c>
      <c r="N2375" s="1152"/>
      <c r="O2375" s="732">
        <f t="shared" si="293"/>
        <v>7135153</v>
      </c>
      <c r="P2375" s="1166">
        <v>9494885</v>
      </c>
      <c r="Q2375" s="1153"/>
      <c r="R2375" s="733">
        <f t="shared" si="296"/>
        <v>9494885</v>
      </c>
      <c r="S2375" s="732">
        <f t="shared" si="297"/>
        <v>39979698</v>
      </c>
      <c r="T2375" s="733">
        <f t="shared" si="298"/>
        <v>42617392</v>
      </c>
      <c r="U2375" s="1152"/>
      <c r="V2375" s="1153"/>
      <c r="W2375" s="1152"/>
      <c r="X2375" s="1152"/>
      <c r="Y2375" s="732">
        <f t="shared" si="294"/>
        <v>0</v>
      </c>
      <c r="Z2375" s="1153"/>
      <c r="AA2375" s="1153"/>
      <c r="AB2375" s="733">
        <f t="shared" si="295"/>
        <v>0</v>
      </c>
      <c r="AC2375" s="1152"/>
      <c r="AD2375" s="1166"/>
      <c r="AE2375" s="1152"/>
      <c r="AF2375" s="1152"/>
      <c r="AG2375" s="1153"/>
      <c r="AH2375" s="1153"/>
      <c r="AI2375" s="732">
        <f t="shared" si="299"/>
        <v>39979698</v>
      </c>
      <c r="AJ2375" s="733">
        <f t="shared" si="300"/>
        <v>42617392</v>
      </c>
    </row>
    <row r="2376" spans="1:36" ht="12.5">
      <c r="A2376" s="719" t="s">
        <v>748</v>
      </c>
      <c r="B2376" s="717" t="s">
        <v>62</v>
      </c>
      <c r="C2376" s="796" t="s">
        <v>1231</v>
      </c>
      <c r="D2376" s="784"/>
      <c r="E2376" s="719">
        <v>228680</v>
      </c>
      <c r="F2376" s="719">
        <v>8</v>
      </c>
      <c r="G2376" s="1152">
        <v>42289492</v>
      </c>
      <c r="H2376" s="1166">
        <v>42385441</v>
      </c>
      <c r="I2376" s="1152"/>
      <c r="J2376" s="1166"/>
      <c r="K2376" s="1152"/>
      <c r="L2376" s="1166"/>
      <c r="M2376" s="1152">
        <v>14083664</v>
      </c>
      <c r="N2376" s="1152"/>
      <c r="O2376" s="732">
        <f t="shared" si="293"/>
        <v>14083664</v>
      </c>
      <c r="P2376" s="1166">
        <v>11227778</v>
      </c>
      <c r="Q2376" s="1153"/>
      <c r="R2376" s="733">
        <f t="shared" si="296"/>
        <v>11227778</v>
      </c>
      <c r="S2376" s="732">
        <f t="shared" si="297"/>
        <v>56373156</v>
      </c>
      <c r="T2376" s="733">
        <f t="shared" si="298"/>
        <v>53613219</v>
      </c>
      <c r="U2376" s="1152"/>
      <c r="V2376" s="1153"/>
      <c r="W2376" s="1152"/>
      <c r="X2376" s="1152"/>
      <c r="Y2376" s="732">
        <f t="shared" si="294"/>
        <v>0</v>
      </c>
      <c r="Z2376" s="1153"/>
      <c r="AA2376" s="1153"/>
      <c r="AB2376" s="733">
        <f t="shared" si="295"/>
        <v>0</v>
      </c>
      <c r="AC2376" s="1152"/>
      <c r="AD2376" s="1166"/>
      <c r="AE2376" s="1152"/>
      <c r="AF2376" s="1152"/>
      <c r="AG2376" s="1153"/>
      <c r="AH2376" s="1153"/>
      <c r="AI2376" s="732">
        <f t="shared" si="299"/>
        <v>56373156</v>
      </c>
      <c r="AJ2376" s="733">
        <f t="shared" si="300"/>
        <v>53613219</v>
      </c>
    </row>
    <row r="2377" spans="1:36">
      <c r="A2377" s="719" t="s">
        <v>748</v>
      </c>
      <c r="B2377" s="717" t="s">
        <v>62</v>
      </c>
      <c r="C2377" s="770" t="s">
        <v>1232</v>
      </c>
      <c r="D2377" s="1144" t="s">
        <v>1809</v>
      </c>
      <c r="E2377" s="719">
        <v>229504</v>
      </c>
      <c r="F2377" s="719">
        <v>9</v>
      </c>
      <c r="G2377" s="1152">
        <v>7060843</v>
      </c>
      <c r="H2377" s="1166">
        <v>7060842</v>
      </c>
      <c r="I2377" s="1152"/>
      <c r="J2377" s="1166"/>
      <c r="K2377" s="1152">
        <v>2721282</v>
      </c>
      <c r="L2377" s="1166">
        <v>2707220</v>
      </c>
      <c r="M2377" s="1152">
        <v>4886531</v>
      </c>
      <c r="N2377" s="1152"/>
      <c r="O2377" s="732">
        <f t="shared" si="293"/>
        <v>4886531</v>
      </c>
      <c r="P2377" s="1166">
        <v>4479034</v>
      </c>
      <c r="Q2377" s="1153"/>
      <c r="R2377" s="733">
        <f t="shared" si="296"/>
        <v>4479034</v>
      </c>
      <c r="S2377" s="732">
        <f t="shared" si="297"/>
        <v>14668656</v>
      </c>
      <c r="T2377" s="733">
        <f t="shared" si="298"/>
        <v>14247096</v>
      </c>
      <c r="U2377" s="1152"/>
      <c r="V2377" s="1153"/>
      <c r="W2377" s="1152"/>
      <c r="X2377" s="1152"/>
      <c r="Y2377" s="732">
        <f t="shared" si="294"/>
        <v>0</v>
      </c>
      <c r="Z2377" s="1153"/>
      <c r="AA2377" s="1153"/>
      <c r="AB2377" s="733">
        <f t="shared" si="295"/>
        <v>0</v>
      </c>
      <c r="AC2377" s="1152"/>
      <c r="AD2377" s="1166"/>
      <c r="AE2377" s="1152"/>
      <c r="AF2377" s="1152"/>
      <c r="AG2377" s="1153"/>
      <c r="AH2377" s="1153"/>
      <c r="AI2377" s="732">
        <f t="shared" si="299"/>
        <v>14668656</v>
      </c>
      <c r="AJ2377" s="733">
        <f t="shared" si="300"/>
        <v>14247096</v>
      </c>
    </row>
    <row r="2378" spans="1:36" ht="12.5">
      <c r="A2378" s="719" t="s">
        <v>748</v>
      </c>
      <c r="B2378" s="717" t="s">
        <v>62</v>
      </c>
      <c r="C2378" s="770" t="s">
        <v>1233</v>
      </c>
      <c r="D2378" s="782"/>
      <c r="E2378" s="719">
        <v>229540</v>
      </c>
      <c r="F2378" s="719">
        <v>9</v>
      </c>
      <c r="G2378" s="1152">
        <v>7803140</v>
      </c>
      <c r="H2378" s="1166">
        <v>7803138</v>
      </c>
      <c r="I2378" s="1152"/>
      <c r="J2378" s="1166"/>
      <c r="K2378" s="1152">
        <v>11588962</v>
      </c>
      <c r="L2378" s="1166">
        <v>12580777</v>
      </c>
      <c r="M2378" s="1152">
        <v>9312815</v>
      </c>
      <c r="N2378" s="1152"/>
      <c r="O2378" s="732">
        <f t="shared" ref="O2378:O2441" si="301">SUM(M2378:N2378)</f>
        <v>9312815</v>
      </c>
      <c r="P2378" s="1166">
        <v>9234455</v>
      </c>
      <c r="Q2378" s="1153"/>
      <c r="R2378" s="733">
        <f t="shared" si="296"/>
        <v>9234455</v>
      </c>
      <c r="S2378" s="732">
        <f t="shared" si="297"/>
        <v>28704917</v>
      </c>
      <c r="T2378" s="733">
        <f t="shared" si="298"/>
        <v>29618370</v>
      </c>
      <c r="U2378" s="1152"/>
      <c r="V2378" s="1153"/>
      <c r="W2378" s="1152"/>
      <c r="X2378" s="1152"/>
      <c r="Y2378" s="732">
        <f t="shared" ref="Y2378:Y2441" si="302">SUM(W2378:X2378)</f>
        <v>0</v>
      </c>
      <c r="Z2378" s="1153"/>
      <c r="AA2378" s="1153"/>
      <c r="AB2378" s="733">
        <f t="shared" ref="AB2378:AB2441" si="303">SUM(Z2378:AA2378)</f>
        <v>0</v>
      </c>
      <c r="AC2378" s="1152"/>
      <c r="AD2378" s="1166"/>
      <c r="AE2378" s="1152"/>
      <c r="AF2378" s="1152"/>
      <c r="AG2378" s="1153"/>
      <c r="AH2378" s="1153"/>
      <c r="AI2378" s="732">
        <f t="shared" si="299"/>
        <v>28704917</v>
      </c>
      <c r="AJ2378" s="733">
        <f t="shared" si="300"/>
        <v>29618370</v>
      </c>
    </row>
    <row r="2379" spans="1:36" ht="12.5">
      <c r="A2379" s="719" t="s">
        <v>748</v>
      </c>
      <c r="B2379" s="717" t="s">
        <v>62</v>
      </c>
      <c r="C2379" s="770" t="s">
        <v>1234</v>
      </c>
      <c r="D2379" s="782"/>
      <c r="E2379" s="719">
        <v>229799</v>
      </c>
      <c r="F2379" s="719">
        <v>9</v>
      </c>
      <c r="G2379" s="1152">
        <v>11799032</v>
      </c>
      <c r="H2379" s="1166">
        <v>11799032</v>
      </c>
      <c r="I2379" s="1152"/>
      <c r="J2379" s="1166"/>
      <c r="K2379" s="1152">
        <v>14032739</v>
      </c>
      <c r="L2379" s="1166">
        <v>15598077</v>
      </c>
      <c r="M2379" s="1152">
        <v>8803947</v>
      </c>
      <c r="N2379" s="1152"/>
      <c r="O2379" s="732">
        <f t="shared" si="301"/>
        <v>8803947</v>
      </c>
      <c r="P2379" s="1166">
        <v>9884181</v>
      </c>
      <c r="Q2379" s="1153"/>
      <c r="R2379" s="733">
        <f t="shared" ref="R2379:R2442" si="304">SUM(P2379:Q2379)</f>
        <v>9884181</v>
      </c>
      <c r="S2379" s="732">
        <f t="shared" ref="S2379:S2442" si="305">SUM(G2379,I2379,K2379,M2379)</f>
        <v>34635718</v>
      </c>
      <c r="T2379" s="733">
        <f t="shared" ref="T2379:T2442" si="306">SUM(H2379,J2379,L2379,P2379)</f>
        <v>37281290</v>
      </c>
      <c r="U2379" s="1152"/>
      <c r="V2379" s="1153"/>
      <c r="W2379" s="1152"/>
      <c r="X2379" s="1152"/>
      <c r="Y2379" s="732">
        <f t="shared" si="302"/>
        <v>0</v>
      </c>
      <c r="Z2379" s="1153"/>
      <c r="AA2379" s="1153"/>
      <c r="AB2379" s="733">
        <f t="shared" si="303"/>
        <v>0</v>
      </c>
      <c r="AC2379" s="1152"/>
      <c r="AD2379" s="1166"/>
      <c r="AE2379" s="1152"/>
      <c r="AF2379" s="1152"/>
      <c r="AG2379" s="1153"/>
      <c r="AH2379" s="1153"/>
      <c r="AI2379" s="732">
        <f t="shared" ref="AI2379:AI2442" si="307">SUM(S2379,U2379,W2379,AC2379,AE2379)</f>
        <v>34635718</v>
      </c>
      <c r="AJ2379" s="733">
        <f t="shared" ref="AJ2379:AJ2442" si="308">SUM(T2379,V2379,Z2379,AD2379,AG2379)</f>
        <v>37281290</v>
      </c>
    </row>
    <row r="2380" spans="1:36" ht="12.5">
      <c r="A2380" s="719" t="s">
        <v>748</v>
      </c>
      <c r="B2380" s="717" t="s">
        <v>62</v>
      </c>
      <c r="C2380" s="770" t="s">
        <v>1235</v>
      </c>
      <c r="D2380" s="782"/>
      <c r="E2380" s="719">
        <v>229841</v>
      </c>
      <c r="F2380" s="719">
        <v>9</v>
      </c>
      <c r="G2380" s="1152">
        <v>12745455</v>
      </c>
      <c r="H2380" s="1166">
        <v>12745454</v>
      </c>
      <c r="I2380" s="1152"/>
      <c r="J2380" s="1166"/>
      <c r="K2380" s="1152">
        <v>7267859</v>
      </c>
      <c r="L2380" s="1166">
        <v>7532901</v>
      </c>
      <c r="M2380" s="1152">
        <v>19100874</v>
      </c>
      <c r="N2380" s="1152"/>
      <c r="O2380" s="732">
        <f t="shared" si="301"/>
        <v>19100874</v>
      </c>
      <c r="P2380" s="1166">
        <v>18208281</v>
      </c>
      <c r="Q2380" s="1153"/>
      <c r="R2380" s="733">
        <f t="shared" si="304"/>
        <v>18208281</v>
      </c>
      <c r="S2380" s="732">
        <f t="shared" si="305"/>
        <v>39114188</v>
      </c>
      <c r="T2380" s="733">
        <f t="shared" si="306"/>
        <v>38486636</v>
      </c>
      <c r="U2380" s="1152"/>
      <c r="V2380" s="1153"/>
      <c r="W2380" s="1152"/>
      <c r="X2380" s="1152"/>
      <c r="Y2380" s="732">
        <f t="shared" si="302"/>
        <v>0</v>
      </c>
      <c r="Z2380" s="1153"/>
      <c r="AA2380" s="1153"/>
      <c r="AB2380" s="733">
        <f t="shared" si="303"/>
        <v>0</v>
      </c>
      <c r="AC2380" s="1152"/>
      <c r="AD2380" s="1166"/>
      <c r="AE2380" s="1152"/>
      <c r="AF2380" s="1152"/>
      <c r="AG2380" s="1153"/>
      <c r="AH2380" s="1153"/>
      <c r="AI2380" s="732">
        <f t="shared" si="307"/>
        <v>39114188</v>
      </c>
      <c r="AJ2380" s="733">
        <f t="shared" si="308"/>
        <v>38486636</v>
      </c>
    </row>
    <row r="2381" spans="1:36" ht="12.5">
      <c r="A2381" s="719" t="s">
        <v>748</v>
      </c>
      <c r="B2381" s="717" t="s">
        <v>62</v>
      </c>
      <c r="C2381" s="770" t="s">
        <v>1236</v>
      </c>
      <c r="D2381" s="782"/>
      <c r="E2381" s="719">
        <v>223922</v>
      </c>
      <c r="F2381" s="719">
        <v>10</v>
      </c>
      <c r="G2381" s="1152">
        <v>3607224</v>
      </c>
      <c r="H2381" s="1166">
        <v>3607223</v>
      </c>
      <c r="I2381" s="1152"/>
      <c r="J2381" s="1166"/>
      <c r="K2381" s="1152">
        <v>574714</v>
      </c>
      <c r="L2381" s="1166">
        <v>608389</v>
      </c>
      <c r="M2381" s="1152">
        <v>2342738</v>
      </c>
      <c r="N2381" s="1152"/>
      <c r="O2381" s="732">
        <f t="shared" si="301"/>
        <v>2342738</v>
      </c>
      <c r="P2381" s="1166">
        <v>1926560</v>
      </c>
      <c r="Q2381" s="1153"/>
      <c r="R2381" s="733">
        <f t="shared" si="304"/>
        <v>1926560</v>
      </c>
      <c r="S2381" s="732">
        <f t="shared" si="305"/>
        <v>6524676</v>
      </c>
      <c r="T2381" s="733">
        <f t="shared" si="306"/>
        <v>6142172</v>
      </c>
      <c r="U2381" s="1152"/>
      <c r="V2381" s="1153"/>
      <c r="W2381" s="1152"/>
      <c r="X2381" s="1152"/>
      <c r="Y2381" s="732">
        <f t="shared" si="302"/>
        <v>0</v>
      </c>
      <c r="Z2381" s="1153"/>
      <c r="AA2381" s="1153"/>
      <c r="AB2381" s="733">
        <f t="shared" si="303"/>
        <v>0</v>
      </c>
      <c r="AC2381" s="1152"/>
      <c r="AD2381" s="1166"/>
      <c r="AE2381" s="1152"/>
      <c r="AF2381" s="1152"/>
      <c r="AG2381" s="1153"/>
      <c r="AH2381" s="1153"/>
      <c r="AI2381" s="732">
        <f t="shared" si="307"/>
        <v>6524676</v>
      </c>
      <c r="AJ2381" s="733">
        <f t="shared" si="308"/>
        <v>6142172</v>
      </c>
    </row>
    <row r="2382" spans="1:36" ht="12.5">
      <c r="A2382" s="719" t="s">
        <v>748</v>
      </c>
      <c r="B2382" s="717" t="s">
        <v>62</v>
      </c>
      <c r="C2382" s="770" t="s">
        <v>1237</v>
      </c>
      <c r="D2382" s="782"/>
      <c r="E2382" s="719">
        <v>224891</v>
      </c>
      <c r="F2382" s="719">
        <v>10</v>
      </c>
      <c r="G2382" s="1152">
        <v>3228077</v>
      </c>
      <c r="H2382" s="1166">
        <v>3228077</v>
      </c>
      <c r="I2382" s="1152"/>
      <c r="J2382" s="1166"/>
      <c r="K2382" s="1152">
        <v>2474830</v>
      </c>
      <c r="L2382" s="1166">
        <v>2440421</v>
      </c>
      <c r="M2382" s="1152">
        <v>1448058</v>
      </c>
      <c r="N2382" s="1152"/>
      <c r="O2382" s="732">
        <f t="shared" si="301"/>
        <v>1448058</v>
      </c>
      <c r="P2382" s="1166">
        <v>1806541</v>
      </c>
      <c r="Q2382" s="1153"/>
      <c r="R2382" s="733">
        <f t="shared" si="304"/>
        <v>1806541</v>
      </c>
      <c r="S2382" s="732">
        <f t="shared" si="305"/>
        <v>7150965</v>
      </c>
      <c r="T2382" s="733">
        <f t="shared" si="306"/>
        <v>7475039</v>
      </c>
      <c r="U2382" s="1152"/>
      <c r="V2382" s="1153"/>
      <c r="W2382" s="1152"/>
      <c r="X2382" s="1152"/>
      <c r="Y2382" s="732">
        <f t="shared" si="302"/>
        <v>0</v>
      </c>
      <c r="Z2382" s="1153"/>
      <c r="AA2382" s="1153"/>
      <c r="AB2382" s="733">
        <f t="shared" si="303"/>
        <v>0</v>
      </c>
      <c r="AC2382" s="1152"/>
      <c r="AD2382" s="1166"/>
      <c r="AE2382" s="1152"/>
      <c r="AF2382" s="1152"/>
      <c r="AG2382" s="1153"/>
      <c r="AH2382" s="1153"/>
      <c r="AI2382" s="732">
        <f t="shared" si="307"/>
        <v>7150965</v>
      </c>
      <c r="AJ2382" s="733">
        <f t="shared" si="308"/>
        <v>7475039</v>
      </c>
    </row>
    <row r="2383" spans="1:36" ht="12.5">
      <c r="A2383" s="719" t="s">
        <v>748</v>
      </c>
      <c r="B2383" s="717" t="s">
        <v>62</v>
      </c>
      <c r="C2383" s="770" t="s">
        <v>1238</v>
      </c>
      <c r="D2383" s="782"/>
      <c r="E2383" s="719">
        <v>224961</v>
      </c>
      <c r="F2383" s="719">
        <v>10</v>
      </c>
      <c r="G2383" s="1152">
        <v>6013461</v>
      </c>
      <c r="H2383" s="1166">
        <v>6013460</v>
      </c>
      <c r="I2383" s="1152"/>
      <c r="J2383" s="1166"/>
      <c r="K2383" s="1152">
        <v>13869957</v>
      </c>
      <c r="L2383" s="1166">
        <v>14283682</v>
      </c>
      <c r="M2383" s="1152">
        <v>2900554</v>
      </c>
      <c r="N2383" s="1152"/>
      <c r="O2383" s="732">
        <f t="shared" si="301"/>
        <v>2900554</v>
      </c>
      <c r="P2383" s="1166">
        <v>2834638</v>
      </c>
      <c r="Q2383" s="1153"/>
      <c r="R2383" s="733">
        <f t="shared" si="304"/>
        <v>2834638</v>
      </c>
      <c r="S2383" s="732">
        <f t="shared" si="305"/>
        <v>22783972</v>
      </c>
      <c r="T2383" s="733">
        <f t="shared" si="306"/>
        <v>23131780</v>
      </c>
      <c r="U2383" s="1152"/>
      <c r="V2383" s="1153"/>
      <c r="W2383" s="1152"/>
      <c r="X2383" s="1152"/>
      <c r="Y2383" s="732">
        <f t="shared" si="302"/>
        <v>0</v>
      </c>
      <c r="Z2383" s="1153"/>
      <c r="AA2383" s="1153"/>
      <c r="AB2383" s="733">
        <f t="shared" si="303"/>
        <v>0</v>
      </c>
      <c r="AC2383" s="1152"/>
      <c r="AD2383" s="1166"/>
      <c r="AE2383" s="1152"/>
      <c r="AF2383" s="1152"/>
      <c r="AG2383" s="1153"/>
      <c r="AH2383" s="1153"/>
      <c r="AI2383" s="732">
        <f t="shared" si="307"/>
        <v>22783972</v>
      </c>
      <c r="AJ2383" s="733">
        <f t="shared" si="308"/>
        <v>23131780</v>
      </c>
    </row>
    <row r="2384" spans="1:36" ht="12.5">
      <c r="A2384" s="719" t="s">
        <v>748</v>
      </c>
      <c r="B2384" s="717" t="s">
        <v>62</v>
      </c>
      <c r="C2384" s="795" t="s">
        <v>1239</v>
      </c>
      <c r="D2384" s="782"/>
      <c r="E2384" s="719">
        <v>226107</v>
      </c>
      <c r="F2384" s="719">
        <v>10</v>
      </c>
      <c r="G2384" s="1152">
        <v>11990068</v>
      </c>
      <c r="H2384" s="1166">
        <v>12020482</v>
      </c>
      <c r="I2384" s="1152"/>
      <c r="J2384" s="1166"/>
      <c r="K2384" s="1152"/>
      <c r="L2384" s="1166"/>
      <c r="M2384" s="1152">
        <v>5199475</v>
      </c>
      <c r="N2384" s="1152"/>
      <c r="O2384" s="732">
        <f t="shared" si="301"/>
        <v>5199475</v>
      </c>
      <c r="P2384" s="1166">
        <v>3809217</v>
      </c>
      <c r="Q2384" s="1153"/>
      <c r="R2384" s="733">
        <f t="shared" si="304"/>
        <v>3809217</v>
      </c>
      <c r="S2384" s="732">
        <f t="shared" si="305"/>
        <v>17189543</v>
      </c>
      <c r="T2384" s="733">
        <f t="shared" si="306"/>
        <v>15829699</v>
      </c>
      <c r="U2384" s="1152"/>
      <c r="V2384" s="1153"/>
      <c r="W2384" s="1152"/>
      <c r="X2384" s="1152"/>
      <c r="Y2384" s="732">
        <f t="shared" si="302"/>
        <v>0</v>
      </c>
      <c r="Z2384" s="1153"/>
      <c r="AA2384" s="1153"/>
      <c r="AB2384" s="733">
        <f t="shared" si="303"/>
        <v>0</v>
      </c>
      <c r="AC2384" s="1152"/>
      <c r="AD2384" s="1166"/>
      <c r="AE2384" s="1152"/>
      <c r="AF2384" s="1152"/>
      <c r="AG2384" s="1153"/>
      <c r="AH2384" s="1153"/>
      <c r="AI2384" s="732">
        <f t="shared" si="307"/>
        <v>17189543</v>
      </c>
      <c r="AJ2384" s="733">
        <f t="shared" si="308"/>
        <v>15829699</v>
      </c>
    </row>
    <row r="2385" spans="1:36" customFormat="1" ht="15" customHeight="1">
      <c r="A2385" s="719" t="s">
        <v>748</v>
      </c>
      <c r="B2385" s="717" t="s">
        <v>62</v>
      </c>
      <c r="C2385" s="796" t="s">
        <v>1240</v>
      </c>
      <c r="D2385" s="786" t="s">
        <v>1455</v>
      </c>
      <c r="E2385" s="719">
        <v>226116</v>
      </c>
      <c r="F2385" s="719">
        <v>10</v>
      </c>
      <c r="G2385" s="1152">
        <v>14572957</v>
      </c>
      <c r="H2385" s="1166">
        <v>14609750</v>
      </c>
      <c r="I2385" s="1152"/>
      <c r="J2385" s="1166"/>
      <c r="K2385" s="1152"/>
      <c r="L2385" s="1166"/>
      <c r="M2385" s="1152">
        <v>6472716</v>
      </c>
      <c r="N2385" s="1152"/>
      <c r="O2385" s="732">
        <f t="shared" si="301"/>
        <v>6472716</v>
      </c>
      <c r="P2385" s="1166">
        <v>4675320</v>
      </c>
      <c r="Q2385" s="1153"/>
      <c r="R2385" s="733">
        <f t="shared" si="304"/>
        <v>4675320</v>
      </c>
      <c r="S2385" s="732">
        <f t="shared" si="305"/>
        <v>21045673</v>
      </c>
      <c r="T2385" s="733">
        <f t="shared" si="306"/>
        <v>19285070</v>
      </c>
      <c r="U2385" s="1152"/>
      <c r="V2385" s="1153"/>
      <c r="W2385" s="1152"/>
      <c r="X2385" s="1152"/>
      <c r="Y2385" s="732">
        <f t="shared" si="302"/>
        <v>0</v>
      </c>
      <c r="Z2385" s="1153"/>
      <c r="AA2385" s="1153"/>
      <c r="AB2385" s="733">
        <f t="shared" si="303"/>
        <v>0</v>
      </c>
      <c r="AC2385" s="1152"/>
      <c r="AD2385" s="1166"/>
      <c r="AE2385" s="1152"/>
      <c r="AF2385" s="1152"/>
      <c r="AG2385" s="1153"/>
      <c r="AH2385" s="1153"/>
      <c r="AI2385" s="732">
        <f t="shared" si="307"/>
        <v>21045673</v>
      </c>
      <c r="AJ2385" s="733">
        <f t="shared" si="308"/>
        <v>19285070</v>
      </c>
    </row>
    <row r="2386" spans="1:36" customFormat="1" ht="15" customHeight="1">
      <c r="A2386" s="719" t="s">
        <v>748</v>
      </c>
      <c r="B2386" s="717" t="s">
        <v>62</v>
      </c>
      <c r="C2386" s="791" t="s">
        <v>1241</v>
      </c>
      <c r="D2386" s="1103" t="s">
        <v>1791</v>
      </c>
      <c r="E2386" s="1104">
        <v>488730</v>
      </c>
      <c r="F2386" s="1108">
        <v>9</v>
      </c>
      <c r="G2386" s="1152">
        <v>0</v>
      </c>
      <c r="H2386" s="1166">
        <v>0</v>
      </c>
      <c r="I2386" s="1152"/>
      <c r="J2386" s="1166"/>
      <c r="K2386" s="1152"/>
      <c r="L2386" s="1166"/>
      <c r="M2386" s="1152"/>
      <c r="N2386" s="1152"/>
      <c r="O2386" s="732">
        <f t="shared" si="301"/>
        <v>0</v>
      </c>
      <c r="P2386" s="1166"/>
      <c r="Q2386" s="1153"/>
      <c r="R2386" s="733">
        <f t="shared" si="304"/>
        <v>0</v>
      </c>
      <c r="S2386" s="732">
        <f t="shared" si="305"/>
        <v>0</v>
      </c>
      <c r="T2386" s="733">
        <f t="shared" si="306"/>
        <v>0</v>
      </c>
      <c r="U2386" s="1152"/>
      <c r="V2386" s="1153"/>
      <c r="W2386" s="1152"/>
      <c r="X2386" s="1152"/>
      <c r="Y2386" s="732">
        <f t="shared" si="302"/>
        <v>0</v>
      </c>
      <c r="Z2386" s="1153"/>
      <c r="AA2386" s="1153"/>
      <c r="AB2386" s="733">
        <f t="shared" si="303"/>
        <v>0</v>
      </c>
      <c r="AC2386" s="1152"/>
      <c r="AD2386" s="1166"/>
      <c r="AE2386" s="1152"/>
      <c r="AF2386" s="1152"/>
      <c r="AG2386" s="1153"/>
      <c r="AH2386" s="1153"/>
      <c r="AI2386" s="732">
        <f t="shared" si="307"/>
        <v>0</v>
      </c>
      <c r="AJ2386" s="733">
        <f t="shared" si="308"/>
        <v>0</v>
      </c>
    </row>
    <row r="2387" spans="1:36" ht="12.5">
      <c r="A2387" s="719" t="s">
        <v>748</v>
      </c>
      <c r="B2387" s="717" t="s">
        <v>62</v>
      </c>
      <c r="C2387" s="770" t="s">
        <v>1242</v>
      </c>
      <c r="D2387" s="782"/>
      <c r="E2387" s="719">
        <v>227386</v>
      </c>
      <c r="F2387" s="719">
        <v>10</v>
      </c>
      <c r="G2387" s="1152">
        <v>6339061</v>
      </c>
      <c r="H2387" s="1166">
        <v>6339060</v>
      </c>
      <c r="I2387" s="1152"/>
      <c r="J2387" s="1166"/>
      <c r="K2387" s="1152">
        <v>6826243</v>
      </c>
      <c r="L2387" s="1166">
        <v>7962107</v>
      </c>
      <c r="M2387" s="1152">
        <v>3794342</v>
      </c>
      <c r="N2387" s="1152"/>
      <c r="O2387" s="732">
        <f t="shared" si="301"/>
        <v>3794342</v>
      </c>
      <c r="P2387" s="1166">
        <v>3758260</v>
      </c>
      <c r="Q2387" s="1153"/>
      <c r="R2387" s="733">
        <f t="shared" si="304"/>
        <v>3758260</v>
      </c>
      <c r="S2387" s="732">
        <f t="shared" si="305"/>
        <v>16959646</v>
      </c>
      <c r="T2387" s="733">
        <f t="shared" si="306"/>
        <v>18059427</v>
      </c>
      <c r="U2387" s="1152"/>
      <c r="V2387" s="1153"/>
      <c r="W2387" s="1152"/>
      <c r="X2387" s="1152"/>
      <c r="Y2387" s="732">
        <f t="shared" si="302"/>
        <v>0</v>
      </c>
      <c r="Z2387" s="1153"/>
      <c r="AA2387" s="1153"/>
      <c r="AB2387" s="733">
        <f t="shared" si="303"/>
        <v>0</v>
      </c>
      <c r="AC2387" s="1152"/>
      <c r="AD2387" s="1166"/>
      <c r="AE2387" s="1152"/>
      <c r="AF2387" s="1152"/>
      <c r="AG2387" s="1153"/>
      <c r="AH2387" s="1153"/>
      <c r="AI2387" s="732">
        <f t="shared" si="307"/>
        <v>16959646</v>
      </c>
      <c r="AJ2387" s="733">
        <f t="shared" si="308"/>
        <v>18059427</v>
      </c>
    </row>
    <row r="2388" spans="1:36" ht="12.5">
      <c r="A2388" s="719" t="s">
        <v>748</v>
      </c>
      <c r="B2388" s="717" t="s">
        <v>62</v>
      </c>
      <c r="C2388" s="770" t="s">
        <v>1243</v>
      </c>
      <c r="D2388" s="782"/>
      <c r="E2388" s="719">
        <v>227687</v>
      </c>
      <c r="F2388" s="719">
        <v>10</v>
      </c>
      <c r="G2388" s="1152">
        <v>4602980</v>
      </c>
      <c r="H2388" s="1166">
        <v>4602979</v>
      </c>
      <c r="I2388" s="1152"/>
      <c r="J2388" s="1166"/>
      <c r="K2388" s="1152">
        <v>34736</v>
      </c>
      <c r="L2388" s="1166">
        <v>28416</v>
      </c>
      <c r="M2388" s="1152">
        <v>3151878</v>
      </c>
      <c r="N2388" s="1152"/>
      <c r="O2388" s="732">
        <f t="shared" si="301"/>
        <v>3151878</v>
      </c>
      <c r="P2388" s="1166">
        <v>3454226</v>
      </c>
      <c r="Q2388" s="1153"/>
      <c r="R2388" s="733">
        <f t="shared" si="304"/>
        <v>3454226</v>
      </c>
      <c r="S2388" s="732">
        <f t="shared" si="305"/>
        <v>7789594</v>
      </c>
      <c r="T2388" s="733">
        <f t="shared" si="306"/>
        <v>8085621</v>
      </c>
      <c r="U2388" s="1152"/>
      <c r="V2388" s="1153"/>
      <c r="W2388" s="1152"/>
      <c r="X2388" s="1152"/>
      <c r="Y2388" s="732">
        <f t="shared" si="302"/>
        <v>0</v>
      </c>
      <c r="Z2388" s="1153"/>
      <c r="AA2388" s="1153"/>
      <c r="AB2388" s="733">
        <f t="shared" si="303"/>
        <v>0</v>
      </c>
      <c r="AC2388" s="1152"/>
      <c r="AD2388" s="1166"/>
      <c r="AE2388" s="1152"/>
      <c r="AF2388" s="1152"/>
      <c r="AG2388" s="1153"/>
      <c r="AH2388" s="1153"/>
      <c r="AI2388" s="732">
        <f t="shared" si="307"/>
        <v>7789594</v>
      </c>
      <c r="AJ2388" s="733">
        <f t="shared" si="308"/>
        <v>8085621</v>
      </c>
    </row>
    <row r="2389" spans="1:36" ht="12.5">
      <c r="A2389" s="719" t="s">
        <v>748</v>
      </c>
      <c r="B2389" s="717" t="s">
        <v>62</v>
      </c>
      <c r="C2389" s="793" t="s">
        <v>1244</v>
      </c>
      <c r="D2389" s="794"/>
      <c r="E2389" s="719">
        <v>382911</v>
      </c>
      <c r="F2389" s="719">
        <v>10</v>
      </c>
      <c r="G2389" s="1152">
        <v>0</v>
      </c>
      <c r="H2389" s="1166">
        <v>0</v>
      </c>
      <c r="I2389" s="1152"/>
      <c r="J2389" s="1166"/>
      <c r="K2389" s="1152"/>
      <c r="L2389" s="1166"/>
      <c r="M2389" s="1152"/>
      <c r="N2389" s="1152"/>
      <c r="O2389" s="732">
        <f t="shared" si="301"/>
        <v>0</v>
      </c>
      <c r="P2389" s="1166"/>
      <c r="Q2389" s="1153"/>
      <c r="R2389" s="733">
        <f t="shared" si="304"/>
        <v>0</v>
      </c>
      <c r="S2389" s="732">
        <f t="shared" si="305"/>
        <v>0</v>
      </c>
      <c r="T2389" s="733">
        <f t="shared" si="306"/>
        <v>0</v>
      </c>
      <c r="U2389" s="1152"/>
      <c r="V2389" s="1153"/>
      <c r="W2389" s="1152"/>
      <c r="X2389" s="1152"/>
      <c r="Y2389" s="732">
        <f t="shared" si="302"/>
        <v>0</v>
      </c>
      <c r="Z2389" s="1153"/>
      <c r="AA2389" s="1153"/>
      <c r="AB2389" s="733">
        <f t="shared" si="303"/>
        <v>0</v>
      </c>
      <c r="AC2389" s="1152"/>
      <c r="AD2389" s="1166"/>
      <c r="AE2389" s="1152"/>
      <c r="AF2389" s="1152"/>
      <c r="AG2389" s="1153"/>
      <c r="AH2389" s="1153"/>
      <c r="AI2389" s="732">
        <f t="shared" si="307"/>
        <v>0</v>
      </c>
      <c r="AJ2389" s="733">
        <f t="shared" si="308"/>
        <v>0</v>
      </c>
    </row>
    <row r="2390" spans="1:36">
      <c r="A2390" s="719" t="s">
        <v>748</v>
      </c>
      <c r="B2390" s="717" t="s">
        <v>62</v>
      </c>
      <c r="C2390" s="770" t="s">
        <v>1245</v>
      </c>
      <c r="D2390" s="775"/>
      <c r="E2390" s="797" t="s">
        <v>1246</v>
      </c>
      <c r="F2390" s="798">
        <v>10</v>
      </c>
      <c r="G2390" s="1152">
        <v>5860503</v>
      </c>
      <c r="H2390" s="1166">
        <v>5871591</v>
      </c>
      <c r="I2390" s="1152"/>
      <c r="J2390" s="1166"/>
      <c r="K2390" s="1152"/>
      <c r="L2390" s="1166"/>
      <c r="M2390" s="1152">
        <v>1241507</v>
      </c>
      <c r="N2390" s="1152"/>
      <c r="O2390" s="732">
        <f t="shared" si="301"/>
        <v>1241507</v>
      </c>
      <c r="P2390" s="1166">
        <v>1570585</v>
      </c>
      <c r="Q2390" s="1153"/>
      <c r="R2390" s="733">
        <f t="shared" si="304"/>
        <v>1570585</v>
      </c>
      <c r="S2390" s="732">
        <f t="shared" si="305"/>
        <v>7102010</v>
      </c>
      <c r="T2390" s="733">
        <f t="shared" si="306"/>
        <v>7442176</v>
      </c>
      <c r="U2390" s="1152"/>
      <c r="V2390" s="1153"/>
      <c r="W2390" s="1152"/>
      <c r="X2390" s="1152"/>
      <c r="Y2390" s="732">
        <f t="shared" si="302"/>
        <v>0</v>
      </c>
      <c r="Z2390" s="1153"/>
      <c r="AA2390" s="1153"/>
      <c r="AB2390" s="733">
        <f t="shared" si="303"/>
        <v>0</v>
      </c>
      <c r="AC2390" s="1152"/>
      <c r="AD2390" s="1166"/>
      <c r="AE2390" s="1152"/>
      <c r="AF2390" s="1152"/>
      <c r="AG2390" s="1153"/>
      <c r="AH2390" s="1153"/>
      <c r="AI2390" s="732">
        <f t="shared" si="307"/>
        <v>7102010</v>
      </c>
      <c r="AJ2390" s="733">
        <f t="shared" si="308"/>
        <v>7442176</v>
      </c>
    </row>
    <row r="2391" spans="1:36" ht="12.5">
      <c r="A2391" s="719" t="s">
        <v>748</v>
      </c>
      <c r="B2391" s="717" t="s">
        <v>62</v>
      </c>
      <c r="C2391" s="795" t="s">
        <v>1247</v>
      </c>
      <c r="D2391" s="782"/>
      <c r="E2391" s="719">
        <v>408394</v>
      </c>
      <c r="F2391" s="719">
        <v>10</v>
      </c>
      <c r="G2391" s="1152">
        <v>7679939</v>
      </c>
      <c r="H2391" s="1166">
        <v>7695530</v>
      </c>
      <c r="I2391" s="1152"/>
      <c r="J2391" s="1166"/>
      <c r="K2391" s="1152"/>
      <c r="L2391" s="1166"/>
      <c r="M2391" s="1152">
        <v>1371882</v>
      </c>
      <c r="N2391" s="1152"/>
      <c r="O2391" s="732">
        <f t="shared" si="301"/>
        <v>1371882</v>
      </c>
      <c r="P2391" s="1166">
        <v>1621620</v>
      </c>
      <c r="Q2391" s="1153"/>
      <c r="R2391" s="733">
        <f t="shared" si="304"/>
        <v>1621620</v>
      </c>
      <c r="S2391" s="732">
        <f t="shared" si="305"/>
        <v>9051821</v>
      </c>
      <c r="T2391" s="733">
        <f t="shared" si="306"/>
        <v>9317150</v>
      </c>
      <c r="U2391" s="1152"/>
      <c r="V2391" s="1153"/>
      <c r="W2391" s="1152"/>
      <c r="X2391" s="1152"/>
      <c r="Y2391" s="732">
        <f t="shared" si="302"/>
        <v>0</v>
      </c>
      <c r="Z2391" s="1153"/>
      <c r="AA2391" s="1153"/>
      <c r="AB2391" s="733">
        <f t="shared" si="303"/>
        <v>0</v>
      </c>
      <c r="AC2391" s="1152"/>
      <c r="AD2391" s="1166"/>
      <c r="AE2391" s="1152"/>
      <c r="AF2391" s="1152"/>
      <c r="AG2391" s="1153"/>
      <c r="AH2391" s="1153"/>
      <c r="AI2391" s="732">
        <f t="shared" si="307"/>
        <v>9051821</v>
      </c>
      <c r="AJ2391" s="733">
        <f t="shared" si="308"/>
        <v>9317150</v>
      </c>
    </row>
    <row r="2392" spans="1:36">
      <c r="A2392" s="719" t="s">
        <v>748</v>
      </c>
      <c r="B2392" s="717" t="s">
        <v>62</v>
      </c>
      <c r="C2392" s="770" t="s">
        <v>1248</v>
      </c>
      <c r="D2392" s="775"/>
      <c r="E2392" s="797" t="s">
        <v>1246</v>
      </c>
      <c r="F2392" s="798">
        <v>10</v>
      </c>
      <c r="G2392" s="1152">
        <v>3595578</v>
      </c>
      <c r="H2392" s="1166">
        <v>3604260</v>
      </c>
      <c r="I2392" s="1152"/>
      <c r="J2392" s="1166"/>
      <c r="K2392" s="1152"/>
      <c r="L2392" s="1166"/>
      <c r="M2392" s="1152">
        <v>826762</v>
      </c>
      <c r="N2392" s="1152"/>
      <c r="O2392" s="732">
        <f t="shared" si="301"/>
        <v>826762</v>
      </c>
      <c r="P2392" s="1166">
        <v>679812</v>
      </c>
      <c r="Q2392" s="1153"/>
      <c r="R2392" s="733">
        <f t="shared" si="304"/>
        <v>679812</v>
      </c>
      <c r="S2392" s="732">
        <f t="shared" si="305"/>
        <v>4422340</v>
      </c>
      <c r="T2392" s="733">
        <f t="shared" si="306"/>
        <v>4284072</v>
      </c>
      <c r="U2392" s="1152"/>
      <c r="V2392" s="1153"/>
      <c r="W2392" s="1152"/>
      <c r="X2392" s="1152"/>
      <c r="Y2392" s="732">
        <f t="shared" si="302"/>
        <v>0</v>
      </c>
      <c r="Z2392" s="1153"/>
      <c r="AA2392" s="1153"/>
      <c r="AB2392" s="733">
        <f t="shared" si="303"/>
        <v>0</v>
      </c>
      <c r="AC2392" s="1152"/>
      <c r="AD2392" s="1166"/>
      <c r="AE2392" s="1152"/>
      <c r="AF2392" s="1152"/>
      <c r="AG2392" s="1153"/>
      <c r="AH2392" s="1153"/>
      <c r="AI2392" s="732">
        <f t="shared" si="307"/>
        <v>4422340</v>
      </c>
      <c r="AJ2392" s="733">
        <f t="shared" si="308"/>
        <v>4284072</v>
      </c>
    </row>
    <row r="2393" spans="1:36" ht="12.5">
      <c r="A2393" s="719" t="s">
        <v>748</v>
      </c>
      <c r="B2393" s="717" t="s">
        <v>62</v>
      </c>
      <c r="C2393" s="795" t="s">
        <v>1249</v>
      </c>
      <c r="D2393" s="782"/>
      <c r="E2393" s="719">
        <v>229328</v>
      </c>
      <c r="F2393" s="719">
        <v>10</v>
      </c>
      <c r="G2393" s="1152">
        <v>13755365</v>
      </c>
      <c r="H2393" s="1166">
        <v>13792018</v>
      </c>
      <c r="I2393" s="1152"/>
      <c r="J2393" s="1166"/>
      <c r="K2393" s="1152"/>
      <c r="L2393" s="1166"/>
      <c r="M2393" s="1152">
        <v>4093533</v>
      </c>
      <c r="N2393" s="1152"/>
      <c r="O2393" s="732">
        <f t="shared" si="301"/>
        <v>4093533</v>
      </c>
      <c r="P2393" s="1166">
        <v>3957176</v>
      </c>
      <c r="Q2393" s="1153"/>
      <c r="R2393" s="733">
        <f t="shared" si="304"/>
        <v>3957176</v>
      </c>
      <c r="S2393" s="732">
        <f t="shared" si="305"/>
        <v>17848898</v>
      </c>
      <c r="T2393" s="733">
        <f t="shared" si="306"/>
        <v>17749194</v>
      </c>
      <c r="U2393" s="1152"/>
      <c r="V2393" s="1153"/>
      <c r="W2393" s="1152"/>
      <c r="X2393" s="1152"/>
      <c r="Y2393" s="732">
        <f t="shared" si="302"/>
        <v>0</v>
      </c>
      <c r="Z2393" s="1153"/>
      <c r="AA2393" s="1153"/>
      <c r="AB2393" s="733">
        <f t="shared" si="303"/>
        <v>0</v>
      </c>
      <c r="AC2393" s="1152"/>
      <c r="AD2393" s="1166"/>
      <c r="AE2393" s="1152"/>
      <c r="AF2393" s="1152"/>
      <c r="AG2393" s="1153"/>
      <c r="AH2393" s="1153"/>
      <c r="AI2393" s="732">
        <f t="shared" si="307"/>
        <v>17848898</v>
      </c>
      <c r="AJ2393" s="733">
        <f t="shared" si="308"/>
        <v>17749194</v>
      </c>
    </row>
    <row r="2394" spans="1:36" ht="12.5">
      <c r="A2394" s="719" t="s">
        <v>748</v>
      </c>
      <c r="B2394" s="717" t="s">
        <v>62</v>
      </c>
      <c r="C2394" s="770" t="s">
        <v>1250</v>
      </c>
      <c r="D2394" s="782"/>
      <c r="E2394" s="719">
        <v>229832</v>
      </c>
      <c r="F2394" s="719">
        <v>10</v>
      </c>
      <c r="G2394" s="1152">
        <v>5052240</v>
      </c>
      <c r="H2394" s="1166">
        <v>5052239</v>
      </c>
      <c r="I2394" s="1152"/>
      <c r="J2394" s="1166"/>
      <c r="K2394" s="1152">
        <v>7950266</v>
      </c>
      <c r="L2394" s="1166">
        <v>7593047</v>
      </c>
      <c r="M2394" s="1152">
        <v>3962951</v>
      </c>
      <c r="N2394" s="1152"/>
      <c r="O2394" s="732">
        <f t="shared" si="301"/>
        <v>3962951</v>
      </c>
      <c r="P2394" s="1166">
        <v>3460137</v>
      </c>
      <c r="Q2394" s="1153"/>
      <c r="R2394" s="733">
        <f t="shared" si="304"/>
        <v>3460137</v>
      </c>
      <c r="S2394" s="732">
        <f t="shared" si="305"/>
        <v>16965457</v>
      </c>
      <c r="T2394" s="733">
        <f t="shared" si="306"/>
        <v>16105423</v>
      </c>
      <c r="U2394" s="1152"/>
      <c r="V2394" s="1153"/>
      <c r="W2394" s="1152"/>
      <c r="X2394" s="1152"/>
      <c r="Y2394" s="732">
        <f t="shared" si="302"/>
        <v>0</v>
      </c>
      <c r="Z2394" s="1153"/>
      <c r="AA2394" s="1153"/>
      <c r="AB2394" s="733">
        <f t="shared" si="303"/>
        <v>0</v>
      </c>
      <c r="AC2394" s="1152"/>
      <c r="AD2394" s="1166"/>
      <c r="AE2394" s="1152"/>
      <c r="AF2394" s="1152"/>
      <c r="AG2394" s="1153"/>
      <c r="AH2394" s="1153"/>
      <c r="AI2394" s="732">
        <f t="shared" si="307"/>
        <v>16965457</v>
      </c>
      <c r="AJ2394" s="733">
        <f t="shared" si="308"/>
        <v>16105423</v>
      </c>
    </row>
    <row r="2395" spans="1:36" ht="12.5">
      <c r="A2395" s="719" t="s">
        <v>748</v>
      </c>
      <c r="B2395" s="717" t="s">
        <v>62</v>
      </c>
      <c r="C2395" s="799" t="s">
        <v>1251</v>
      </c>
      <c r="D2395" s="783"/>
      <c r="E2395" s="770"/>
      <c r="F2395" s="736">
        <v>11</v>
      </c>
      <c r="G2395" s="1152">
        <v>88498671</v>
      </c>
      <c r="H2395" s="1166">
        <v>88498679</v>
      </c>
      <c r="I2395" s="1152"/>
      <c r="J2395" s="1166"/>
      <c r="K2395" s="1152">
        <v>176545503</v>
      </c>
      <c r="L2395" s="1166">
        <v>187462441</v>
      </c>
      <c r="M2395" s="1152">
        <v>56682644</v>
      </c>
      <c r="N2395" s="1152"/>
      <c r="O2395" s="732">
        <f t="shared" si="301"/>
        <v>56682644</v>
      </c>
      <c r="P2395" s="1166">
        <v>53795869</v>
      </c>
      <c r="Q2395" s="1153"/>
      <c r="R2395" s="733">
        <f t="shared" si="304"/>
        <v>53795869</v>
      </c>
      <c r="S2395" s="732">
        <f t="shared" si="305"/>
        <v>321726818</v>
      </c>
      <c r="T2395" s="733">
        <f t="shared" si="306"/>
        <v>329756989</v>
      </c>
      <c r="U2395" s="1152"/>
      <c r="V2395" s="1153"/>
      <c r="W2395" s="1152"/>
      <c r="X2395" s="1152"/>
      <c r="Y2395" s="732">
        <f t="shared" si="302"/>
        <v>0</v>
      </c>
      <c r="Z2395" s="1153"/>
      <c r="AA2395" s="1153"/>
      <c r="AB2395" s="733">
        <f t="shared" si="303"/>
        <v>0</v>
      </c>
      <c r="AC2395" s="1152"/>
      <c r="AD2395" s="1166"/>
      <c r="AE2395" s="1152"/>
      <c r="AF2395" s="1152"/>
      <c r="AG2395" s="1153"/>
      <c r="AH2395" s="1153"/>
      <c r="AI2395" s="732">
        <f t="shared" si="307"/>
        <v>321726818</v>
      </c>
      <c r="AJ2395" s="733">
        <f t="shared" si="308"/>
        <v>329756989</v>
      </c>
    </row>
    <row r="2396" spans="1:36" ht="12.5">
      <c r="A2396" s="719" t="s">
        <v>748</v>
      </c>
      <c r="B2396" s="717" t="s">
        <v>62</v>
      </c>
      <c r="C2396" s="1109" t="s">
        <v>1792</v>
      </c>
      <c r="D2396" s="1104" t="s">
        <v>1793</v>
      </c>
      <c r="E2396" s="1110">
        <v>224615</v>
      </c>
      <c r="F2396" s="736">
        <v>8</v>
      </c>
      <c r="G2396" s="1152">
        <v>126833889</v>
      </c>
      <c r="H2396" s="1166">
        <v>126833888</v>
      </c>
      <c r="I2396" s="1152"/>
      <c r="J2396" s="1166"/>
      <c r="K2396" s="1152">
        <v>257730336</v>
      </c>
      <c r="L2396" s="1166">
        <v>278915909</v>
      </c>
      <c r="M2396" s="1152">
        <v>71216814</v>
      </c>
      <c r="N2396" s="1152"/>
      <c r="O2396" s="732">
        <f t="shared" si="301"/>
        <v>71216814</v>
      </c>
      <c r="P2396" s="1166">
        <v>64927325</v>
      </c>
      <c r="Q2396" s="1153"/>
      <c r="R2396" s="733">
        <f t="shared" si="304"/>
        <v>64927325</v>
      </c>
      <c r="S2396" s="732">
        <f t="shared" si="305"/>
        <v>455781039</v>
      </c>
      <c r="T2396" s="733">
        <f t="shared" si="306"/>
        <v>470677122</v>
      </c>
      <c r="U2396" s="1152"/>
      <c r="V2396" s="1153"/>
      <c r="W2396" s="1152"/>
      <c r="X2396" s="1152"/>
      <c r="Y2396" s="732">
        <f t="shared" si="302"/>
        <v>0</v>
      </c>
      <c r="Z2396" s="1153"/>
      <c r="AA2396" s="1153"/>
      <c r="AB2396" s="733">
        <f t="shared" si="303"/>
        <v>0</v>
      </c>
      <c r="AC2396" s="1152"/>
      <c r="AD2396" s="1166"/>
      <c r="AE2396" s="1152"/>
      <c r="AF2396" s="1152"/>
      <c r="AG2396" s="1153"/>
      <c r="AH2396" s="1153"/>
      <c r="AI2396" s="732">
        <f t="shared" si="307"/>
        <v>455781039</v>
      </c>
      <c r="AJ2396" s="733">
        <f t="shared" si="308"/>
        <v>470677122</v>
      </c>
    </row>
    <row r="2397" spans="1:36" ht="12.5">
      <c r="A2397" s="719" t="s">
        <v>748</v>
      </c>
      <c r="B2397" s="717" t="s">
        <v>64</v>
      </c>
      <c r="C2397" s="800" t="s">
        <v>1252</v>
      </c>
      <c r="D2397" s="783"/>
      <c r="E2397" s="719">
        <v>223214</v>
      </c>
      <c r="F2397" s="719">
        <v>15</v>
      </c>
      <c r="G2397" s="1152"/>
      <c r="H2397" s="1166"/>
      <c r="I2397" s="1152"/>
      <c r="J2397" s="1166"/>
      <c r="K2397" s="1152"/>
      <c r="L2397" s="1153"/>
      <c r="M2397" s="1152"/>
      <c r="N2397" s="1152"/>
      <c r="O2397" s="732">
        <f t="shared" si="301"/>
        <v>0</v>
      </c>
      <c r="P2397" s="1166"/>
      <c r="Q2397" s="1153"/>
      <c r="R2397" s="733">
        <f t="shared" si="304"/>
        <v>0</v>
      </c>
      <c r="S2397" s="732">
        <f t="shared" si="305"/>
        <v>0</v>
      </c>
      <c r="T2397" s="733">
        <f t="shared" si="306"/>
        <v>0</v>
      </c>
      <c r="U2397" s="1152"/>
      <c r="V2397" s="1153"/>
      <c r="W2397" s="1152"/>
      <c r="X2397" s="1152"/>
      <c r="Y2397" s="732">
        <f t="shared" si="302"/>
        <v>0</v>
      </c>
      <c r="Z2397" s="1153"/>
      <c r="AA2397" s="1153"/>
      <c r="AB2397" s="733">
        <f t="shared" si="303"/>
        <v>0</v>
      </c>
      <c r="AC2397" s="1152">
        <v>150777487</v>
      </c>
      <c r="AD2397" s="1166">
        <v>151045687</v>
      </c>
      <c r="AE2397" s="1152">
        <v>59692493</v>
      </c>
      <c r="AF2397" s="1152"/>
      <c r="AG2397" s="1166">
        <v>39547012</v>
      </c>
      <c r="AH2397" s="1153"/>
      <c r="AI2397" s="732">
        <f t="shared" si="307"/>
        <v>210469980</v>
      </c>
      <c r="AJ2397" s="733">
        <f t="shared" si="308"/>
        <v>190592699</v>
      </c>
    </row>
    <row r="2398" spans="1:36" ht="12.5">
      <c r="A2398" s="719" t="s">
        <v>748</v>
      </c>
      <c r="B2398" s="717" t="s">
        <v>64</v>
      </c>
      <c r="C2398" s="800" t="s">
        <v>1253</v>
      </c>
      <c r="D2398" s="782"/>
      <c r="E2398" s="719">
        <v>229337</v>
      </c>
      <c r="F2398" s="719">
        <v>15</v>
      </c>
      <c r="G2398" s="1152"/>
      <c r="H2398" s="1166"/>
      <c r="I2398" s="1152"/>
      <c r="J2398" s="1166"/>
      <c r="K2398" s="1152"/>
      <c r="L2398" s="1153"/>
      <c r="M2398" s="1152"/>
      <c r="N2398" s="1152"/>
      <c r="O2398" s="732">
        <f t="shared" si="301"/>
        <v>0</v>
      </c>
      <c r="P2398" s="1166"/>
      <c r="Q2398" s="1153"/>
      <c r="R2398" s="733">
        <f t="shared" si="304"/>
        <v>0</v>
      </c>
      <c r="S2398" s="732">
        <f t="shared" si="305"/>
        <v>0</v>
      </c>
      <c r="T2398" s="733">
        <f t="shared" si="306"/>
        <v>0</v>
      </c>
      <c r="U2398" s="1152"/>
      <c r="V2398" s="1153"/>
      <c r="W2398" s="1152"/>
      <c r="X2398" s="1152"/>
      <c r="Y2398" s="732">
        <f t="shared" si="302"/>
        <v>0</v>
      </c>
      <c r="Z2398" s="1153"/>
      <c r="AA2398" s="1153"/>
      <c r="AB2398" s="733">
        <f t="shared" si="303"/>
        <v>0</v>
      </c>
      <c r="AC2398" s="1152">
        <v>167497257</v>
      </c>
      <c r="AD2398" s="1166">
        <v>167878709</v>
      </c>
      <c r="AE2398" s="1152">
        <v>44011035</v>
      </c>
      <c r="AF2398" s="1152"/>
      <c r="AG2398" s="1166">
        <v>61939881</v>
      </c>
      <c r="AH2398" s="1153"/>
      <c r="AI2398" s="732">
        <f t="shared" si="307"/>
        <v>211508292</v>
      </c>
      <c r="AJ2398" s="733">
        <f t="shared" si="308"/>
        <v>229818590</v>
      </c>
    </row>
    <row r="2399" spans="1:36" ht="12.5">
      <c r="A2399" s="719" t="s">
        <v>748</v>
      </c>
      <c r="B2399" s="717" t="s">
        <v>64</v>
      </c>
      <c r="C2399" s="800" t="s">
        <v>1254</v>
      </c>
      <c r="D2399" s="782"/>
      <c r="E2399" s="798" t="s">
        <v>1255</v>
      </c>
      <c r="F2399" s="719">
        <v>15</v>
      </c>
      <c r="G2399" s="1152"/>
      <c r="H2399" s="1166"/>
      <c r="I2399" s="1152"/>
      <c r="J2399" s="1166"/>
      <c r="K2399" s="1152"/>
      <c r="L2399" s="1153"/>
      <c r="M2399" s="1152"/>
      <c r="N2399" s="1152"/>
      <c r="O2399" s="732">
        <f t="shared" si="301"/>
        <v>0</v>
      </c>
      <c r="P2399" s="1166"/>
      <c r="Q2399" s="1153"/>
      <c r="R2399" s="733">
        <f t="shared" si="304"/>
        <v>0</v>
      </c>
      <c r="S2399" s="732">
        <f t="shared" si="305"/>
        <v>0</v>
      </c>
      <c r="T2399" s="733">
        <f t="shared" si="306"/>
        <v>0</v>
      </c>
      <c r="U2399" s="1152"/>
      <c r="V2399" s="1153"/>
      <c r="W2399" s="1152"/>
      <c r="X2399" s="1152"/>
      <c r="Y2399" s="732">
        <f t="shared" si="302"/>
        <v>0</v>
      </c>
      <c r="Z2399" s="1153"/>
      <c r="AA2399" s="1153"/>
      <c r="AB2399" s="733">
        <f t="shared" si="303"/>
        <v>0</v>
      </c>
      <c r="AC2399" s="1152">
        <v>70049368</v>
      </c>
      <c r="AD2399" s="1166">
        <v>70171187</v>
      </c>
      <c r="AE2399" s="1152">
        <v>10151693</v>
      </c>
      <c r="AF2399" s="1152"/>
      <c r="AG2399" s="1166">
        <v>10636020</v>
      </c>
      <c r="AH2399" s="1153"/>
      <c r="AI2399" s="732">
        <f t="shared" si="307"/>
        <v>80201061</v>
      </c>
      <c r="AJ2399" s="733">
        <f t="shared" si="308"/>
        <v>80807207</v>
      </c>
    </row>
    <row r="2400" spans="1:36" ht="12.5">
      <c r="A2400" s="719" t="s">
        <v>748</v>
      </c>
      <c r="B2400" s="717" t="s">
        <v>64</v>
      </c>
      <c r="C2400" s="800" t="s">
        <v>1256</v>
      </c>
      <c r="D2400" s="782"/>
      <c r="E2400" s="719">
        <v>228909</v>
      </c>
      <c r="F2400" s="719">
        <v>15</v>
      </c>
      <c r="G2400" s="1152"/>
      <c r="H2400" s="1166"/>
      <c r="I2400" s="1152"/>
      <c r="J2400" s="1166"/>
      <c r="K2400" s="1152"/>
      <c r="L2400" s="1153"/>
      <c r="M2400" s="1152"/>
      <c r="N2400" s="1152"/>
      <c r="O2400" s="732">
        <f t="shared" si="301"/>
        <v>0</v>
      </c>
      <c r="P2400" s="1166"/>
      <c r="Q2400" s="1153"/>
      <c r="R2400" s="733">
        <f t="shared" si="304"/>
        <v>0</v>
      </c>
      <c r="S2400" s="732">
        <f t="shared" si="305"/>
        <v>0</v>
      </c>
      <c r="T2400" s="733">
        <f t="shared" si="306"/>
        <v>0</v>
      </c>
      <c r="U2400" s="1152"/>
      <c r="V2400" s="1153"/>
      <c r="W2400" s="1152"/>
      <c r="X2400" s="1152"/>
      <c r="Y2400" s="732">
        <f t="shared" si="302"/>
        <v>0</v>
      </c>
      <c r="Z2400" s="1153"/>
      <c r="AA2400" s="1153"/>
      <c r="AB2400" s="733">
        <f t="shared" si="303"/>
        <v>0</v>
      </c>
      <c r="AC2400" s="1152">
        <v>102508453</v>
      </c>
      <c r="AD2400" s="1166">
        <v>102440488</v>
      </c>
      <c r="AE2400" s="1152">
        <v>1815921</v>
      </c>
      <c r="AF2400" s="1152"/>
      <c r="AG2400" s="1168">
        <v>30753135</v>
      </c>
      <c r="AH2400" s="1153"/>
      <c r="AI2400" s="732">
        <f t="shared" si="307"/>
        <v>104324374</v>
      </c>
      <c r="AJ2400" s="733">
        <f t="shared" si="308"/>
        <v>133193623</v>
      </c>
    </row>
    <row r="2401" spans="1:36" ht="12.5">
      <c r="A2401" s="719" t="s">
        <v>748</v>
      </c>
      <c r="B2401" s="717" t="s">
        <v>64</v>
      </c>
      <c r="C2401" s="800" t="s">
        <v>1257</v>
      </c>
      <c r="D2401" s="782"/>
      <c r="E2401" s="719">
        <v>229300</v>
      </c>
      <c r="F2401" s="719">
        <v>15</v>
      </c>
      <c r="G2401" s="1152"/>
      <c r="H2401" s="1166"/>
      <c r="I2401" s="1152"/>
      <c r="J2401" s="1166"/>
      <c r="K2401" s="1152"/>
      <c r="L2401" s="1153"/>
      <c r="M2401" s="1152"/>
      <c r="N2401" s="1152"/>
      <c r="O2401" s="732">
        <f t="shared" si="301"/>
        <v>0</v>
      </c>
      <c r="P2401" s="1166"/>
      <c r="Q2401" s="1153"/>
      <c r="R2401" s="733">
        <f t="shared" si="304"/>
        <v>0</v>
      </c>
      <c r="S2401" s="732">
        <f t="shared" si="305"/>
        <v>0</v>
      </c>
      <c r="T2401" s="733">
        <f t="shared" si="306"/>
        <v>0</v>
      </c>
      <c r="U2401" s="1152"/>
      <c r="V2401" s="1153"/>
      <c r="W2401" s="1152"/>
      <c r="X2401" s="1152"/>
      <c r="Y2401" s="732">
        <f t="shared" si="302"/>
        <v>0</v>
      </c>
      <c r="Z2401" s="1153"/>
      <c r="AA2401" s="1153"/>
      <c r="AB2401" s="733">
        <f t="shared" si="303"/>
        <v>0</v>
      </c>
      <c r="AC2401" s="1152">
        <v>219715949</v>
      </c>
      <c r="AD2401" s="1166">
        <v>220238375</v>
      </c>
      <c r="AE2401" s="1152">
        <v>40213693</v>
      </c>
      <c r="AF2401" s="1152"/>
      <c r="AG2401" s="1166">
        <v>59762457</v>
      </c>
      <c r="AH2401" s="1153"/>
      <c r="AI2401" s="732">
        <f t="shared" si="307"/>
        <v>259929642</v>
      </c>
      <c r="AJ2401" s="733">
        <f t="shared" si="308"/>
        <v>280000832</v>
      </c>
    </row>
    <row r="2402" spans="1:36" ht="12.5">
      <c r="A2402" s="719" t="s">
        <v>748</v>
      </c>
      <c r="B2402" s="717" t="s">
        <v>64</v>
      </c>
      <c r="C2402" s="800" t="s">
        <v>1258</v>
      </c>
      <c r="D2402" s="782"/>
      <c r="E2402" s="719">
        <v>228644</v>
      </c>
      <c r="F2402" s="719">
        <v>15</v>
      </c>
      <c r="G2402" s="1152"/>
      <c r="H2402" s="1166"/>
      <c r="I2402" s="1152"/>
      <c r="J2402" s="1166"/>
      <c r="K2402" s="1152"/>
      <c r="L2402" s="1153"/>
      <c r="M2402" s="1152"/>
      <c r="N2402" s="1152"/>
      <c r="O2402" s="732">
        <f t="shared" si="301"/>
        <v>0</v>
      </c>
      <c r="P2402" s="1166"/>
      <c r="Q2402" s="1153"/>
      <c r="R2402" s="733">
        <f t="shared" si="304"/>
        <v>0</v>
      </c>
      <c r="S2402" s="732">
        <f t="shared" si="305"/>
        <v>0</v>
      </c>
      <c r="T2402" s="733">
        <f t="shared" si="306"/>
        <v>0</v>
      </c>
      <c r="U2402" s="1152"/>
      <c r="V2402" s="1153"/>
      <c r="W2402" s="1152"/>
      <c r="X2402" s="1152"/>
      <c r="Y2402" s="732">
        <f t="shared" si="302"/>
        <v>0</v>
      </c>
      <c r="Z2402" s="1153"/>
      <c r="AA2402" s="1153"/>
      <c r="AB2402" s="733">
        <f t="shared" si="303"/>
        <v>0</v>
      </c>
      <c r="AC2402" s="1152">
        <v>183824953</v>
      </c>
      <c r="AD2402" s="1166">
        <v>184187172</v>
      </c>
      <c r="AE2402" s="1152">
        <v>30598820</v>
      </c>
      <c r="AF2402" s="1152"/>
      <c r="AG2402" s="1167">
        <v>47869416</v>
      </c>
      <c r="AH2402" s="1153"/>
      <c r="AI2402" s="732">
        <f t="shared" si="307"/>
        <v>214423773</v>
      </c>
      <c r="AJ2402" s="733">
        <f t="shared" si="308"/>
        <v>232056588</v>
      </c>
    </row>
    <row r="2403" spans="1:36" ht="12.5">
      <c r="A2403" s="719" t="s">
        <v>748</v>
      </c>
      <c r="B2403" s="717" t="s">
        <v>64</v>
      </c>
      <c r="C2403" s="801" t="s">
        <v>1259</v>
      </c>
      <c r="D2403" s="785"/>
      <c r="E2403" s="719">
        <v>416801</v>
      </c>
      <c r="F2403" s="719">
        <v>15</v>
      </c>
      <c r="G2403" s="1152"/>
      <c r="H2403" s="1166"/>
      <c r="I2403" s="1152"/>
      <c r="J2403" s="1166"/>
      <c r="K2403" s="1152"/>
      <c r="L2403" s="1153"/>
      <c r="M2403" s="1152"/>
      <c r="N2403" s="1152"/>
      <c r="O2403" s="732">
        <f t="shared" si="301"/>
        <v>0</v>
      </c>
      <c r="P2403" s="1166"/>
      <c r="Q2403" s="1153"/>
      <c r="R2403" s="733">
        <f t="shared" si="304"/>
        <v>0</v>
      </c>
      <c r="S2403" s="732">
        <f t="shared" si="305"/>
        <v>0</v>
      </c>
      <c r="T2403" s="733">
        <f t="shared" si="306"/>
        <v>0</v>
      </c>
      <c r="U2403" s="1152"/>
      <c r="V2403" s="1153"/>
      <c r="W2403" s="1152"/>
      <c r="X2403" s="1152"/>
      <c r="Y2403" s="732">
        <f t="shared" si="302"/>
        <v>0</v>
      </c>
      <c r="Z2403" s="1153"/>
      <c r="AA2403" s="1153"/>
      <c r="AB2403" s="733">
        <f t="shared" si="303"/>
        <v>0</v>
      </c>
      <c r="AC2403" s="1152">
        <v>215724215</v>
      </c>
      <c r="AD2403" s="1166">
        <v>215961205</v>
      </c>
      <c r="AE2403" s="1152">
        <v>262489</v>
      </c>
      <c r="AF2403" s="1152"/>
      <c r="AG2403" s="1168">
        <v>1906705</v>
      </c>
      <c r="AH2403" s="1153"/>
      <c r="AI2403" s="732">
        <f t="shared" si="307"/>
        <v>215986704</v>
      </c>
      <c r="AJ2403" s="733">
        <f t="shared" si="308"/>
        <v>217867910</v>
      </c>
    </row>
    <row r="2404" spans="1:36" ht="12.5">
      <c r="A2404" s="719" t="s">
        <v>748</v>
      </c>
      <c r="B2404" s="717" t="s">
        <v>64</v>
      </c>
      <c r="C2404" s="800" t="s">
        <v>1260</v>
      </c>
      <c r="D2404" s="782"/>
      <c r="E2404" s="719">
        <v>228653</v>
      </c>
      <c r="F2404" s="719">
        <v>15</v>
      </c>
      <c r="G2404" s="1152"/>
      <c r="H2404" s="1166"/>
      <c r="I2404" s="1152"/>
      <c r="J2404" s="1166"/>
      <c r="K2404" s="1152"/>
      <c r="L2404" s="1153"/>
      <c r="M2404" s="1152"/>
      <c r="N2404" s="1152"/>
      <c r="O2404" s="732">
        <f t="shared" si="301"/>
        <v>0</v>
      </c>
      <c r="P2404" s="1166"/>
      <c r="Q2404" s="1153"/>
      <c r="R2404" s="733">
        <f t="shared" si="304"/>
        <v>0</v>
      </c>
      <c r="S2404" s="732">
        <f t="shared" si="305"/>
        <v>0</v>
      </c>
      <c r="T2404" s="733">
        <f t="shared" si="306"/>
        <v>0</v>
      </c>
      <c r="U2404" s="1152"/>
      <c r="V2404" s="1153"/>
      <c r="W2404" s="1152"/>
      <c r="X2404" s="1152"/>
      <c r="Y2404" s="732">
        <f t="shared" si="302"/>
        <v>0</v>
      </c>
      <c r="Z2404" s="1153"/>
      <c r="AA2404" s="1153"/>
      <c r="AB2404" s="733">
        <f t="shared" si="303"/>
        <v>0</v>
      </c>
      <c r="AC2404" s="1152">
        <v>343686111</v>
      </c>
      <c r="AD2404" s="1166">
        <v>344546841</v>
      </c>
      <c r="AE2404" s="1152">
        <v>48740553</v>
      </c>
      <c r="AF2404" s="1152"/>
      <c r="AG2404" s="1166">
        <v>44508255</v>
      </c>
      <c r="AH2404" s="1153"/>
      <c r="AI2404" s="732">
        <f t="shared" si="307"/>
        <v>392426664</v>
      </c>
      <c r="AJ2404" s="733">
        <f t="shared" si="308"/>
        <v>389055096</v>
      </c>
    </row>
    <row r="2405" spans="1:36" ht="12.5">
      <c r="A2405" s="719" t="s">
        <v>748</v>
      </c>
      <c r="B2405" s="717" t="s">
        <v>64</v>
      </c>
      <c r="C2405" s="800" t="s">
        <v>1261</v>
      </c>
      <c r="D2405" s="782"/>
      <c r="E2405" s="719">
        <v>228635</v>
      </c>
      <c r="F2405" s="719">
        <v>15</v>
      </c>
      <c r="G2405" s="1152"/>
      <c r="H2405" s="1166"/>
      <c r="I2405" s="1152"/>
      <c r="J2405" s="1166"/>
      <c r="K2405" s="1152"/>
      <c r="L2405" s="1153"/>
      <c r="M2405" s="1152"/>
      <c r="N2405" s="1152"/>
      <c r="O2405" s="732">
        <f t="shared" si="301"/>
        <v>0</v>
      </c>
      <c r="P2405" s="1166"/>
      <c r="Q2405" s="1153"/>
      <c r="R2405" s="733">
        <f t="shared" si="304"/>
        <v>0</v>
      </c>
      <c r="S2405" s="732">
        <f t="shared" si="305"/>
        <v>0</v>
      </c>
      <c r="T2405" s="733">
        <f t="shared" si="306"/>
        <v>0</v>
      </c>
      <c r="U2405" s="1152"/>
      <c r="V2405" s="1153"/>
      <c r="W2405" s="1152"/>
      <c r="X2405" s="1152"/>
      <c r="Y2405" s="732">
        <f t="shared" si="302"/>
        <v>0</v>
      </c>
      <c r="Z2405" s="1153"/>
      <c r="AA2405" s="1153"/>
      <c r="AB2405" s="733">
        <f t="shared" si="303"/>
        <v>0</v>
      </c>
      <c r="AC2405" s="1152">
        <v>189519416</v>
      </c>
      <c r="AD2405" s="1166">
        <v>189903030</v>
      </c>
      <c r="AE2405" s="1152">
        <v>26161864</v>
      </c>
      <c r="AF2405" s="1152"/>
      <c r="AG2405" s="1166">
        <v>25242810</v>
      </c>
      <c r="AH2405" s="1153"/>
      <c r="AI2405" s="732">
        <f t="shared" si="307"/>
        <v>215681280</v>
      </c>
      <c r="AJ2405" s="733">
        <f t="shared" si="308"/>
        <v>215145840</v>
      </c>
    </row>
    <row r="2406" spans="1:36" ht="12.5">
      <c r="A2406" s="719" t="s">
        <v>748</v>
      </c>
      <c r="B2406" s="717" t="s">
        <v>336</v>
      </c>
      <c r="C2406" s="800" t="s">
        <v>1262</v>
      </c>
      <c r="D2406" s="783"/>
      <c r="E2406" s="802" t="s">
        <v>1263</v>
      </c>
      <c r="F2406" s="719">
        <v>15</v>
      </c>
      <c r="G2406" s="1152"/>
      <c r="H2406" s="1166"/>
      <c r="I2406" s="1152"/>
      <c r="J2406" s="1166"/>
      <c r="K2406" s="1152"/>
      <c r="L2406" s="1153"/>
      <c r="M2406" s="1152"/>
      <c r="N2406" s="1152"/>
      <c r="O2406" s="732">
        <f t="shared" si="301"/>
        <v>0</v>
      </c>
      <c r="P2406" s="1166"/>
      <c r="Q2406" s="1153"/>
      <c r="R2406" s="733">
        <f t="shared" si="304"/>
        <v>0</v>
      </c>
      <c r="S2406" s="732">
        <f t="shared" si="305"/>
        <v>0</v>
      </c>
      <c r="T2406" s="733">
        <f t="shared" si="306"/>
        <v>0</v>
      </c>
      <c r="U2406" s="1152"/>
      <c r="V2406" s="1153"/>
      <c r="W2406" s="1152"/>
      <c r="X2406" s="1152"/>
      <c r="Y2406" s="732">
        <f t="shared" si="302"/>
        <v>0</v>
      </c>
      <c r="Z2406" s="1153"/>
      <c r="AA2406" s="1153"/>
      <c r="AB2406" s="733">
        <f t="shared" si="303"/>
        <v>0</v>
      </c>
      <c r="AC2406" s="1152">
        <v>57585104</v>
      </c>
      <c r="AD2406" s="1166">
        <v>57714239</v>
      </c>
      <c r="AE2406" s="1152">
        <v>58132912</v>
      </c>
      <c r="AF2406" s="1152"/>
      <c r="AG2406" s="1167">
        <v>399939</v>
      </c>
      <c r="AH2406" s="1153"/>
      <c r="AI2406" s="732">
        <f t="shared" si="307"/>
        <v>115718016</v>
      </c>
      <c r="AJ2406" s="733">
        <f t="shared" si="308"/>
        <v>58114178</v>
      </c>
    </row>
    <row r="2407" spans="1:36" ht="12.5">
      <c r="A2407" s="719" t="s">
        <v>748</v>
      </c>
      <c r="B2407" s="717"/>
      <c r="C2407" s="770" t="s">
        <v>1264</v>
      </c>
      <c r="D2407" s="782"/>
      <c r="E2407" s="802" t="s">
        <v>1263</v>
      </c>
      <c r="F2407" s="719">
        <v>99</v>
      </c>
      <c r="G2407" s="1152"/>
      <c r="H2407" s="1166"/>
      <c r="I2407" s="1152"/>
      <c r="J2407" s="1166"/>
      <c r="K2407" s="1152"/>
      <c r="L2407" s="1153"/>
      <c r="M2407" s="1152"/>
      <c r="N2407" s="1152"/>
      <c r="O2407" s="732">
        <f t="shared" si="301"/>
        <v>0</v>
      </c>
      <c r="P2407" s="1166"/>
      <c r="Q2407" s="1153"/>
      <c r="R2407" s="733">
        <f t="shared" si="304"/>
        <v>0</v>
      </c>
      <c r="S2407" s="732">
        <f t="shared" si="305"/>
        <v>0</v>
      </c>
      <c r="T2407" s="733">
        <f t="shared" si="306"/>
        <v>0</v>
      </c>
      <c r="U2407" s="1152"/>
      <c r="V2407" s="1153"/>
      <c r="W2407" s="1152"/>
      <c r="X2407" s="1152"/>
      <c r="Y2407" s="732">
        <f t="shared" si="302"/>
        <v>0</v>
      </c>
      <c r="Z2407" s="1153"/>
      <c r="AA2407" s="1153"/>
      <c r="AB2407" s="733">
        <f t="shared" si="303"/>
        <v>0</v>
      </c>
      <c r="AC2407" s="1152">
        <v>10985359</v>
      </c>
      <c r="AD2407" s="1166">
        <v>10985359</v>
      </c>
      <c r="AE2407" s="1152">
        <v>3383352</v>
      </c>
      <c r="AF2407" s="1152"/>
      <c r="AG2407" s="1166">
        <v>4075777</v>
      </c>
      <c r="AH2407" s="1153"/>
      <c r="AI2407" s="732">
        <f t="shared" si="307"/>
        <v>14368711</v>
      </c>
      <c r="AJ2407" s="733">
        <f t="shared" si="308"/>
        <v>15061136</v>
      </c>
    </row>
    <row r="2408" spans="1:36" ht="12.5">
      <c r="A2408" s="719" t="s">
        <v>748</v>
      </c>
      <c r="B2408" s="717"/>
      <c r="C2408" s="770" t="s">
        <v>1731</v>
      </c>
      <c r="D2408" s="782"/>
      <c r="E2408" s="802" t="s">
        <v>1263</v>
      </c>
      <c r="F2408" s="719">
        <v>99</v>
      </c>
      <c r="G2408" s="1152"/>
      <c r="H2408" s="1166"/>
      <c r="I2408" s="1152"/>
      <c r="J2408" s="1166"/>
      <c r="K2408" s="1152"/>
      <c r="L2408" s="1153"/>
      <c r="M2408" s="1152"/>
      <c r="N2408" s="1152"/>
      <c r="O2408" s="732">
        <f t="shared" si="301"/>
        <v>0</v>
      </c>
      <c r="P2408" s="1166"/>
      <c r="Q2408" s="1153"/>
      <c r="R2408" s="733">
        <f t="shared" si="304"/>
        <v>0</v>
      </c>
      <c r="S2408" s="732">
        <f t="shared" si="305"/>
        <v>0</v>
      </c>
      <c r="T2408" s="733">
        <f t="shared" si="306"/>
        <v>0</v>
      </c>
      <c r="U2408" s="1152"/>
      <c r="V2408" s="1153"/>
      <c r="W2408" s="1152"/>
      <c r="X2408" s="1152"/>
      <c r="Y2408" s="732">
        <f t="shared" si="302"/>
        <v>0</v>
      </c>
      <c r="Z2408" s="1153"/>
      <c r="AA2408" s="1153"/>
      <c r="AB2408" s="733">
        <f t="shared" si="303"/>
        <v>0</v>
      </c>
      <c r="AC2408" s="1152">
        <v>37317816</v>
      </c>
      <c r="AD2408" s="1166">
        <v>37348898</v>
      </c>
      <c r="AE2408" s="1152">
        <v>3631944</v>
      </c>
      <c r="AF2408" s="1152"/>
      <c r="AG2408" s="1166">
        <v>4159462</v>
      </c>
      <c r="AH2408" s="1153"/>
      <c r="AI2408" s="732">
        <f t="shared" si="307"/>
        <v>40949760</v>
      </c>
      <c r="AJ2408" s="733">
        <f t="shared" si="308"/>
        <v>41508360</v>
      </c>
    </row>
    <row r="2409" spans="1:36" ht="12.5">
      <c r="A2409" s="719" t="s">
        <v>748</v>
      </c>
      <c r="B2409" s="717"/>
      <c r="C2409" s="803" t="s">
        <v>1732</v>
      </c>
      <c r="D2409" s="782"/>
      <c r="E2409" s="804" t="s">
        <v>1263</v>
      </c>
      <c r="F2409" s="719">
        <v>99</v>
      </c>
      <c r="G2409" s="1152"/>
      <c r="H2409" s="1166"/>
      <c r="I2409" s="1152"/>
      <c r="J2409" s="1166"/>
      <c r="K2409" s="1152"/>
      <c r="L2409" s="1153"/>
      <c r="M2409" s="1152"/>
      <c r="N2409" s="1152"/>
      <c r="O2409" s="732">
        <f t="shared" si="301"/>
        <v>0</v>
      </c>
      <c r="P2409" s="1166"/>
      <c r="Q2409" s="1153"/>
      <c r="R2409" s="733">
        <f t="shared" si="304"/>
        <v>0</v>
      </c>
      <c r="S2409" s="732">
        <f t="shared" si="305"/>
        <v>0</v>
      </c>
      <c r="T2409" s="733">
        <f t="shared" si="306"/>
        <v>0</v>
      </c>
      <c r="U2409" s="1152"/>
      <c r="V2409" s="1153"/>
      <c r="W2409" s="1152"/>
      <c r="X2409" s="1152"/>
      <c r="Y2409" s="732">
        <f t="shared" si="302"/>
        <v>0</v>
      </c>
      <c r="Z2409" s="1153"/>
      <c r="AA2409" s="1153"/>
      <c r="AB2409" s="733">
        <f t="shared" si="303"/>
        <v>0</v>
      </c>
      <c r="AC2409" s="1152"/>
      <c r="AD2409" s="1166"/>
      <c r="AE2409" s="1152"/>
      <c r="AF2409" s="1152"/>
      <c r="AG2409" s="1168">
        <v>135254</v>
      </c>
      <c r="AH2409" s="1153"/>
      <c r="AI2409" s="732">
        <f t="shared" si="307"/>
        <v>0</v>
      </c>
      <c r="AJ2409" s="733">
        <f t="shared" si="308"/>
        <v>135254</v>
      </c>
    </row>
    <row r="2410" spans="1:36" ht="12.5">
      <c r="A2410" s="719" t="s">
        <v>748</v>
      </c>
      <c r="B2410" s="717" t="s">
        <v>62</v>
      </c>
      <c r="C2410" s="717" t="s">
        <v>1265</v>
      </c>
      <c r="D2410" s="785"/>
      <c r="E2410" s="736">
        <v>443711</v>
      </c>
      <c r="F2410" s="719">
        <v>4</v>
      </c>
      <c r="G2410" s="1152">
        <v>20883932</v>
      </c>
      <c r="H2410" s="1166">
        <v>19707441</v>
      </c>
      <c r="I2410" s="1152"/>
      <c r="J2410" s="1166"/>
      <c r="K2410" s="1152"/>
      <c r="L2410" s="1153"/>
      <c r="M2410" s="1152">
        <v>24792120</v>
      </c>
      <c r="N2410" s="1152"/>
      <c r="O2410" s="732">
        <f t="shared" si="301"/>
        <v>24792120</v>
      </c>
      <c r="P2410" s="1166">
        <v>27333771</v>
      </c>
      <c r="Q2410" s="1153"/>
      <c r="R2410" s="733">
        <f t="shared" si="304"/>
        <v>27333771</v>
      </c>
      <c r="S2410" s="732">
        <f t="shared" si="305"/>
        <v>45676052</v>
      </c>
      <c r="T2410" s="733">
        <f t="shared" si="306"/>
        <v>47041212</v>
      </c>
      <c r="U2410" s="1152"/>
      <c r="V2410" s="1153"/>
      <c r="W2410" s="1152"/>
      <c r="X2410" s="1152"/>
      <c r="Y2410" s="732">
        <f t="shared" si="302"/>
        <v>0</v>
      </c>
      <c r="Z2410" s="1153"/>
      <c r="AA2410" s="1153"/>
      <c r="AB2410" s="733">
        <f t="shared" si="303"/>
        <v>0</v>
      </c>
      <c r="AC2410" s="1152"/>
      <c r="AD2410" s="1166"/>
      <c r="AE2410" s="1152"/>
      <c r="AF2410" s="1152"/>
      <c r="AG2410" s="1153"/>
      <c r="AH2410" s="1153"/>
      <c r="AI2410" s="732">
        <f t="shared" si="307"/>
        <v>45676052</v>
      </c>
      <c r="AJ2410" s="733">
        <f t="shared" si="308"/>
        <v>47041212</v>
      </c>
    </row>
    <row r="2411" spans="1:36">
      <c r="A2411" s="719" t="s">
        <v>748</v>
      </c>
      <c r="B2411" s="717" t="s">
        <v>118</v>
      </c>
      <c r="C2411" s="771" t="s">
        <v>406</v>
      </c>
      <c r="D2411" s="782"/>
      <c r="E2411" s="719"/>
      <c r="F2411" s="719">
        <v>99</v>
      </c>
      <c r="G2411" s="1152"/>
      <c r="H2411" s="1166"/>
      <c r="I2411" s="1152"/>
      <c r="J2411" s="1166"/>
      <c r="K2411" s="1152"/>
      <c r="L2411" s="1153"/>
      <c r="M2411" s="1152"/>
      <c r="N2411" s="1152"/>
      <c r="O2411" s="732">
        <f t="shared" si="301"/>
        <v>0</v>
      </c>
      <c r="P2411" s="1166"/>
      <c r="Q2411" s="1153"/>
      <c r="R2411" s="733">
        <f t="shared" si="304"/>
        <v>0</v>
      </c>
      <c r="S2411" s="732">
        <f t="shared" si="305"/>
        <v>0</v>
      </c>
      <c r="T2411" s="733">
        <f t="shared" si="306"/>
        <v>0</v>
      </c>
      <c r="U2411" s="1152"/>
      <c r="V2411" s="1153"/>
      <c r="W2411" s="1152"/>
      <c r="X2411" s="1152"/>
      <c r="Y2411" s="732">
        <f t="shared" si="302"/>
        <v>0</v>
      </c>
      <c r="Z2411" s="1153"/>
      <c r="AA2411" s="1153"/>
      <c r="AB2411" s="733">
        <f t="shared" si="303"/>
        <v>0</v>
      </c>
      <c r="AC2411" s="1152"/>
      <c r="AD2411" s="1166"/>
      <c r="AE2411" s="1152"/>
      <c r="AF2411" s="1152"/>
      <c r="AG2411" s="1153"/>
      <c r="AH2411" s="1153"/>
      <c r="AI2411" s="732">
        <f t="shared" si="307"/>
        <v>0</v>
      </c>
      <c r="AJ2411" s="733">
        <f t="shared" si="308"/>
        <v>0</v>
      </c>
    </row>
    <row r="2412" spans="1:36">
      <c r="A2412" s="719" t="s">
        <v>748</v>
      </c>
      <c r="B2412" s="717" t="s">
        <v>123</v>
      </c>
      <c r="C2412" s="805" t="s">
        <v>1266</v>
      </c>
      <c r="D2412" s="783"/>
      <c r="E2412" s="777"/>
      <c r="F2412" s="719">
        <v>99</v>
      </c>
      <c r="G2412" s="1152"/>
      <c r="H2412" s="1166"/>
      <c r="I2412" s="1152"/>
      <c r="J2412" s="1166"/>
      <c r="K2412" s="1152"/>
      <c r="L2412" s="1153"/>
      <c r="M2412" s="1152"/>
      <c r="N2412" s="1152"/>
      <c r="O2412" s="732">
        <f t="shared" si="301"/>
        <v>0</v>
      </c>
      <c r="P2412" s="1153"/>
      <c r="Q2412" s="1153"/>
      <c r="R2412" s="733">
        <f t="shared" si="304"/>
        <v>0</v>
      </c>
      <c r="S2412" s="732">
        <f t="shared" si="305"/>
        <v>0</v>
      </c>
      <c r="T2412" s="733">
        <f t="shared" si="306"/>
        <v>0</v>
      </c>
      <c r="U2412" s="1152"/>
      <c r="V2412" s="1153"/>
      <c r="W2412" s="1152"/>
      <c r="X2412" s="1152"/>
      <c r="Y2412" s="732">
        <f t="shared" si="302"/>
        <v>0</v>
      </c>
      <c r="Z2412" s="1153"/>
      <c r="AA2412" s="1153"/>
      <c r="AB2412" s="733">
        <f t="shared" si="303"/>
        <v>0</v>
      </c>
      <c r="AC2412" s="1152">
        <v>5000000</v>
      </c>
      <c r="AD2412" s="1166">
        <v>5000000</v>
      </c>
      <c r="AE2412" s="1152"/>
      <c r="AF2412" s="1152"/>
      <c r="AG2412" s="1153"/>
      <c r="AH2412" s="1153"/>
      <c r="AI2412" s="732">
        <f t="shared" si="307"/>
        <v>5000000</v>
      </c>
      <c r="AJ2412" s="733">
        <f t="shared" si="308"/>
        <v>5000000</v>
      </c>
    </row>
    <row r="2413" spans="1:36">
      <c r="A2413" s="719" t="s">
        <v>748</v>
      </c>
      <c r="B2413" s="717" t="s">
        <v>123</v>
      </c>
      <c r="C2413" s="805" t="s">
        <v>1267</v>
      </c>
      <c r="D2413" s="783"/>
      <c r="E2413" s="777"/>
      <c r="F2413" s="719">
        <v>99</v>
      </c>
      <c r="G2413" s="1152"/>
      <c r="H2413" s="1166"/>
      <c r="I2413" s="1152"/>
      <c r="J2413" s="1166"/>
      <c r="K2413" s="1152"/>
      <c r="L2413" s="1153"/>
      <c r="M2413" s="1152"/>
      <c r="N2413" s="1152"/>
      <c r="O2413" s="732">
        <f t="shared" si="301"/>
        <v>0</v>
      </c>
      <c r="P2413" s="1153"/>
      <c r="Q2413" s="1153"/>
      <c r="R2413" s="733">
        <f t="shared" si="304"/>
        <v>0</v>
      </c>
      <c r="S2413" s="732">
        <f t="shared" si="305"/>
        <v>0</v>
      </c>
      <c r="T2413" s="733">
        <f t="shared" si="306"/>
        <v>0</v>
      </c>
      <c r="U2413" s="1152"/>
      <c r="V2413" s="1153"/>
      <c r="W2413" s="1152"/>
      <c r="X2413" s="1152"/>
      <c r="Y2413" s="732">
        <f t="shared" si="302"/>
        <v>0</v>
      </c>
      <c r="Z2413" s="1153"/>
      <c r="AA2413" s="1153"/>
      <c r="AB2413" s="733">
        <f t="shared" si="303"/>
        <v>0</v>
      </c>
      <c r="AC2413" s="1152">
        <v>1066551</v>
      </c>
      <c r="AD2413" s="1166">
        <v>1066551</v>
      </c>
      <c r="AE2413" s="1152"/>
      <c r="AF2413" s="1152"/>
      <c r="AG2413" s="1153"/>
      <c r="AH2413" s="1153"/>
      <c r="AI2413" s="732">
        <f t="shared" si="307"/>
        <v>1066551</v>
      </c>
      <c r="AJ2413" s="733">
        <f t="shared" si="308"/>
        <v>1066551</v>
      </c>
    </row>
    <row r="2414" spans="1:36">
      <c r="A2414" s="719" t="s">
        <v>748</v>
      </c>
      <c r="B2414" s="717" t="s">
        <v>123</v>
      </c>
      <c r="C2414" s="805" t="s">
        <v>1268</v>
      </c>
      <c r="D2414" s="783"/>
      <c r="E2414" s="777"/>
      <c r="F2414" s="719">
        <v>99</v>
      </c>
      <c r="G2414" s="1152"/>
      <c r="H2414" s="1166"/>
      <c r="I2414" s="1152"/>
      <c r="J2414" s="1166"/>
      <c r="K2414" s="1152"/>
      <c r="L2414" s="1153"/>
      <c r="M2414" s="1152"/>
      <c r="N2414" s="1152"/>
      <c r="O2414" s="732">
        <f t="shared" si="301"/>
        <v>0</v>
      </c>
      <c r="P2414" s="1153"/>
      <c r="Q2414" s="1153"/>
      <c r="R2414" s="733">
        <f t="shared" si="304"/>
        <v>0</v>
      </c>
      <c r="S2414" s="732">
        <f t="shared" si="305"/>
        <v>0</v>
      </c>
      <c r="T2414" s="733">
        <f t="shared" si="306"/>
        <v>0</v>
      </c>
      <c r="U2414" s="1152"/>
      <c r="V2414" s="1153"/>
      <c r="W2414" s="1152"/>
      <c r="X2414" s="1152"/>
      <c r="Y2414" s="732">
        <f t="shared" si="302"/>
        <v>0</v>
      </c>
      <c r="Z2414" s="1153"/>
      <c r="AA2414" s="1153"/>
      <c r="AB2414" s="733">
        <f t="shared" si="303"/>
        <v>0</v>
      </c>
      <c r="AC2414" s="1152">
        <v>1883810</v>
      </c>
      <c r="AD2414" s="1166">
        <v>1883810</v>
      </c>
      <c r="AE2414" s="1152"/>
      <c r="AF2414" s="1152"/>
      <c r="AG2414" s="1153"/>
      <c r="AH2414" s="1153"/>
      <c r="AI2414" s="732">
        <f t="shared" si="307"/>
        <v>1883810</v>
      </c>
      <c r="AJ2414" s="733">
        <f t="shared" si="308"/>
        <v>1883810</v>
      </c>
    </row>
    <row r="2415" spans="1:36">
      <c r="A2415" s="719" t="s">
        <v>748</v>
      </c>
      <c r="B2415" s="717" t="s">
        <v>123</v>
      </c>
      <c r="C2415" s="805" t="s">
        <v>1269</v>
      </c>
      <c r="D2415" s="783"/>
      <c r="E2415" s="777"/>
      <c r="F2415" s="719">
        <v>99</v>
      </c>
      <c r="G2415" s="1152"/>
      <c r="H2415" s="1166"/>
      <c r="I2415" s="1152"/>
      <c r="J2415" s="1166"/>
      <c r="K2415" s="1152"/>
      <c r="L2415" s="1153"/>
      <c r="M2415" s="1152"/>
      <c r="N2415" s="1152"/>
      <c r="O2415" s="732">
        <f t="shared" si="301"/>
        <v>0</v>
      </c>
      <c r="P2415" s="1153"/>
      <c r="Q2415" s="1153"/>
      <c r="R2415" s="733">
        <f t="shared" si="304"/>
        <v>0</v>
      </c>
      <c r="S2415" s="732">
        <f t="shared" si="305"/>
        <v>0</v>
      </c>
      <c r="T2415" s="733">
        <f t="shared" si="306"/>
        <v>0</v>
      </c>
      <c r="U2415" s="1152"/>
      <c r="V2415" s="1166"/>
      <c r="W2415" s="1152"/>
      <c r="X2415" s="1152"/>
      <c r="Y2415" s="732">
        <f t="shared" si="302"/>
        <v>0</v>
      </c>
      <c r="Z2415" s="1153"/>
      <c r="AA2415" s="1153"/>
      <c r="AB2415" s="733">
        <f t="shared" si="303"/>
        <v>0</v>
      </c>
      <c r="AC2415" s="1152">
        <v>9940024</v>
      </c>
      <c r="AD2415" s="1166">
        <v>8940024</v>
      </c>
      <c r="AE2415" s="1152"/>
      <c r="AF2415" s="1152"/>
      <c r="AG2415" s="1153"/>
      <c r="AH2415" s="1153"/>
      <c r="AI2415" s="732">
        <f t="shared" si="307"/>
        <v>9940024</v>
      </c>
      <c r="AJ2415" s="733">
        <f t="shared" si="308"/>
        <v>8940024</v>
      </c>
    </row>
    <row r="2416" spans="1:36">
      <c r="A2416" s="719" t="s">
        <v>748</v>
      </c>
      <c r="B2416" s="717" t="s">
        <v>132</v>
      </c>
      <c r="C2416" s="771" t="s">
        <v>1071</v>
      </c>
      <c r="D2416" s="782"/>
      <c r="E2416" s="777"/>
      <c r="F2416" s="719">
        <v>99</v>
      </c>
      <c r="G2416" s="1152"/>
      <c r="H2416" s="1166"/>
      <c r="I2416" s="1152"/>
      <c r="J2416" s="1166"/>
      <c r="K2416" s="1152"/>
      <c r="L2416" s="1153"/>
      <c r="M2416" s="1152"/>
      <c r="N2416" s="1152"/>
      <c r="O2416" s="732">
        <f t="shared" si="301"/>
        <v>0</v>
      </c>
      <c r="P2416" s="1153"/>
      <c r="Q2416" s="1153"/>
      <c r="R2416" s="733">
        <f t="shared" si="304"/>
        <v>0</v>
      </c>
      <c r="S2416" s="732">
        <f t="shared" si="305"/>
        <v>0</v>
      </c>
      <c r="T2416" s="733">
        <f t="shared" si="306"/>
        <v>0</v>
      </c>
      <c r="U2416" s="1152"/>
      <c r="V2416" s="1166"/>
      <c r="W2416" s="1152"/>
      <c r="X2416" s="1152"/>
      <c r="Y2416" s="732">
        <f t="shared" si="302"/>
        <v>0</v>
      </c>
      <c r="Z2416" s="1153"/>
      <c r="AA2416" s="1153"/>
      <c r="AB2416" s="733">
        <f t="shared" si="303"/>
        <v>0</v>
      </c>
      <c r="AC2416" s="1152"/>
      <c r="AD2416" s="1166"/>
      <c r="AE2416" s="1152"/>
      <c r="AF2416" s="1152"/>
      <c r="AG2416" s="1153"/>
      <c r="AH2416" s="1153"/>
      <c r="AI2416" s="732">
        <f t="shared" si="307"/>
        <v>0</v>
      </c>
      <c r="AJ2416" s="733">
        <f t="shared" si="308"/>
        <v>0</v>
      </c>
    </row>
    <row r="2417" spans="1:36">
      <c r="A2417" s="719" t="s">
        <v>748</v>
      </c>
      <c r="B2417" s="717" t="s">
        <v>132</v>
      </c>
      <c r="C2417" s="805" t="s">
        <v>1270</v>
      </c>
      <c r="D2417" s="783"/>
      <c r="E2417" s="777"/>
      <c r="F2417" s="719">
        <v>99</v>
      </c>
      <c r="G2417" s="1152"/>
      <c r="H2417" s="1166"/>
      <c r="I2417" s="1152"/>
      <c r="J2417" s="1166"/>
      <c r="K2417" s="1152"/>
      <c r="L2417" s="1153"/>
      <c r="M2417" s="1152"/>
      <c r="N2417" s="1152"/>
      <c r="O2417" s="732">
        <f t="shared" si="301"/>
        <v>0</v>
      </c>
      <c r="P2417" s="1153"/>
      <c r="Q2417" s="1153"/>
      <c r="R2417" s="733">
        <f t="shared" si="304"/>
        <v>0</v>
      </c>
      <c r="S2417" s="732">
        <f t="shared" si="305"/>
        <v>0</v>
      </c>
      <c r="T2417" s="733">
        <f t="shared" si="306"/>
        <v>0</v>
      </c>
      <c r="U2417" s="1152"/>
      <c r="V2417" s="1166"/>
      <c r="W2417" s="1152"/>
      <c r="X2417" s="1152"/>
      <c r="Y2417" s="732">
        <f t="shared" si="302"/>
        <v>0</v>
      </c>
      <c r="Z2417" s="1153"/>
      <c r="AA2417" s="1153"/>
      <c r="AB2417" s="733">
        <f t="shared" si="303"/>
        <v>0</v>
      </c>
      <c r="AC2417" s="1152"/>
      <c r="AD2417" s="1166"/>
      <c r="AE2417" s="1152"/>
      <c r="AF2417" s="1152"/>
      <c r="AG2417" s="1153"/>
      <c r="AH2417" s="1153"/>
      <c r="AI2417" s="732">
        <f t="shared" si="307"/>
        <v>0</v>
      </c>
      <c r="AJ2417" s="733">
        <f t="shared" si="308"/>
        <v>0</v>
      </c>
    </row>
    <row r="2418" spans="1:36">
      <c r="A2418" s="719" t="s">
        <v>748</v>
      </c>
      <c r="B2418" s="717" t="s">
        <v>138</v>
      </c>
      <c r="C2418" s="771" t="s">
        <v>139</v>
      </c>
      <c r="D2418" s="782"/>
      <c r="E2418" s="777"/>
      <c r="F2418" s="719">
        <v>99</v>
      </c>
      <c r="G2418" s="1152"/>
      <c r="H2418" s="1166"/>
      <c r="I2418" s="1152"/>
      <c r="J2418" s="1166"/>
      <c r="K2418" s="1152"/>
      <c r="L2418" s="1153"/>
      <c r="M2418" s="1152"/>
      <c r="N2418" s="1152"/>
      <c r="O2418" s="732">
        <f t="shared" si="301"/>
        <v>0</v>
      </c>
      <c r="P2418" s="1153"/>
      <c r="Q2418" s="1153"/>
      <c r="R2418" s="733">
        <f t="shared" si="304"/>
        <v>0</v>
      </c>
      <c r="S2418" s="732">
        <f t="shared" si="305"/>
        <v>0</v>
      </c>
      <c r="T2418" s="733">
        <f t="shared" si="306"/>
        <v>0</v>
      </c>
      <c r="U2418" s="1152"/>
      <c r="V2418" s="1166"/>
      <c r="W2418" s="1152"/>
      <c r="X2418" s="1152"/>
      <c r="Y2418" s="732">
        <f t="shared" si="302"/>
        <v>0</v>
      </c>
      <c r="Z2418" s="1153"/>
      <c r="AA2418" s="1153"/>
      <c r="AB2418" s="733">
        <f t="shared" si="303"/>
        <v>0</v>
      </c>
      <c r="AC2418" s="1152"/>
      <c r="AD2418" s="1166"/>
      <c r="AE2418" s="1152"/>
      <c r="AF2418" s="1152"/>
      <c r="AG2418" s="1153"/>
      <c r="AH2418" s="1153"/>
      <c r="AI2418" s="732">
        <f t="shared" si="307"/>
        <v>0</v>
      </c>
      <c r="AJ2418" s="733">
        <f t="shared" si="308"/>
        <v>0</v>
      </c>
    </row>
    <row r="2419" spans="1:36">
      <c r="A2419" s="719" t="s">
        <v>748</v>
      </c>
      <c r="B2419" s="717" t="s">
        <v>140</v>
      </c>
      <c r="C2419" s="806" t="s">
        <v>1271</v>
      </c>
      <c r="D2419" s="783"/>
      <c r="E2419" s="777"/>
      <c r="F2419" s="719">
        <v>99</v>
      </c>
      <c r="G2419" s="1152"/>
      <c r="H2419" s="1166"/>
      <c r="I2419" s="1152"/>
      <c r="J2419" s="1166"/>
      <c r="K2419" s="1152"/>
      <c r="L2419" s="1153"/>
      <c r="M2419" s="1152"/>
      <c r="N2419" s="1152"/>
      <c r="O2419" s="732">
        <f t="shared" si="301"/>
        <v>0</v>
      </c>
      <c r="P2419" s="1153"/>
      <c r="Q2419" s="1153"/>
      <c r="R2419" s="733">
        <f t="shared" si="304"/>
        <v>0</v>
      </c>
      <c r="S2419" s="732">
        <f t="shared" si="305"/>
        <v>0</v>
      </c>
      <c r="T2419" s="733">
        <f t="shared" si="306"/>
        <v>0</v>
      </c>
      <c r="U2419" s="1152">
        <v>59622494</v>
      </c>
      <c r="V2419" s="1166">
        <v>58204124</v>
      </c>
      <c r="W2419" s="1152"/>
      <c r="X2419" s="1152"/>
      <c r="Y2419" s="732">
        <f t="shared" si="302"/>
        <v>0</v>
      </c>
      <c r="Z2419" s="1153"/>
      <c r="AA2419" s="1153"/>
      <c r="AB2419" s="733">
        <f t="shared" si="303"/>
        <v>0</v>
      </c>
      <c r="AC2419" s="1152"/>
      <c r="AD2419" s="1166"/>
      <c r="AE2419" s="1152"/>
      <c r="AF2419" s="1152"/>
      <c r="AG2419" s="1153"/>
      <c r="AH2419" s="1153"/>
      <c r="AI2419" s="732">
        <f t="shared" si="307"/>
        <v>59622494</v>
      </c>
      <c r="AJ2419" s="733">
        <f t="shared" si="308"/>
        <v>58204124</v>
      </c>
    </row>
    <row r="2420" spans="1:36">
      <c r="A2420" s="719" t="s">
        <v>748</v>
      </c>
      <c r="B2420" s="717" t="s">
        <v>140</v>
      </c>
      <c r="C2420" s="805" t="s">
        <v>1272</v>
      </c>
      <c r="D2420" s="783"/>
      <c r="E2420" s="777"/>
      <c r="F2420" s="719">
        <v>99</v>
      </c>
      <c r="G2420" s="1152"/>
      <c r="H2420" s="1166"/>
      <c r="I2420" s="1152"/>
      <c r="J2420" s="1166"/>
      <c r="K2420" s="1152"/>
      <c r="L2420" s="1153"/>
      <c r="M2420" s="1152"/>
      <c r="N2420" s="1152"/>
      <c r="O2420" s="732">
        <f t="shared" si="301"/>
        <v>0</v>
      </c>
      <c r="P2420" s="1153"/>
      <c r="Q2420" s="1153"/>
      <c r="R2420" s="733">
        <f t="shared" si="304"/>
        <v>0</v>
      </c>
      <c r="S2420" s="732">
        <f t="shared" si="305"/>
        <v>0</v>
      </c>
      <c r="T2420" s="733">
        <f t="shared" si="306"/>
        <v>0</v>
      </c>
      <c r="U2420" s="1152">
        <v>22344254.77</v>
      </c>
      <c r="V2420" s="1168">
        <v>93588107.560000002</v>
      </c>
      <c r="W2420" s="1152"/>
      <c r="X2420" s="1152"/>
      <c r="Y2420" s="732">
        <f t="shared" si="302"/>
        <v>0</v>
      </c>
      <c r="Z2420" s="1153"/>
      <c r="AA2420" s="1153"/>
      <c r="AB2420" s="733">
        <f t="shared" si="303"/>
        <v>0</v>
      </c>
      <c r="AC2420" s="1152">
        <v>133430544</v>
      </c>
      <c r="AD2420" s="1166">
        <v>149163774</v>
      </c>
      <c r="AE2420" s="1152"/>
      <c r="AF2420" s="1152"/>
      <c r="AG2420" s="1153"/>
      <c r="AH2420" s="1153"/>
      <c r="AI2420" s="732">
        <f t="shared" si="307"/>
        <v>155774798.77000001</v>
      </c>
      <c r="AJ2420" s="733">
        <f t="shared" si="308"/>
        <v>242751881.56</v>
      </c>
    </row>
    <row r="2421" spans="1:36" ht="12.5">
      <c r="A2421" s="719" t="s">
        <v>748</v>
      </c>
      <c r="B2421" s="717" t="s">
        <v>142</v>
      </c>
      <c r="C2421" s="774" t="s">
        <v>143</v>
      </c>
      <c r="D2421" s="783"/>
      <c r="E2421" s="777"/>
      <c r="F2421" s="719">
        <v>99</v>
      </c>
      <c r="G2421" s="1152"/>
      <c r="H2421" s="1166"/>
      <c r="I2421" s="1152"/>
      <c r="J2421" s="1166"/>
      <c r="K2421" s="1152"/>
      <c r="L2421" s="1153"/>
      <c r="M2421" s="1152"/>
      <c r="N2421" s="1152"/>
      <c r="O2421" s="732">
        <f t="shared" si="301"/>
        <v>0</v>
      </c>
      <c r="P2421" s="1153"/>
      <c r="Q2421" s="1153"/>
      <c r="R2421" s="733">
        <f t="shared" si="304"/>
        <v>0</v>
      </c>
      <c r="S2421" s="732">
        <f t="shared" si="305"/>
        <v>0</v>
      </c>
      <c r="T2421" s="733">
        <f t="shared" si="306"/>
        <v>0</v>
      </c>
      <c r="U2421" s="1152"/>
      <c r="V2421" s="1166"/>
      <c r="W2421" s="1152"/>
      <c r="X2421" s="1152"/>
      <c r="Y2421" s="732">
        <f t="shared" si="302"/>
        <v>0</v>
      </c>
      <c r="Z2421" s="1153"/>
      <c r="AA2421" s="1153"/>
      <c r="AB2421" s="733">
        <f t="shared" si="303"/>
        <v>0</v>
      </c>
      <c r="AC2421" s="1152"/>
      <c r="AD2421" s="1166"/>
      <c r="AE2421" s="1152"/>
      <c r="AF2421" s="1152"/>
      <c r="AG2421" s="1153"/>
      <c r="AH2421" s="1153"/>
      <c r="AI2421" s="732">
        <f t="shared" si="307"/>
        <v>0</v>
      </c>
      <c r="AJ2421" s="733">
        <f t="shared" si="308"/>
        <v>0</v>
      </c>
    </row>
    <row r="2422" spans="1:36">
      <c r="A2422" s="719" t="s">
        <v>748</v>
      </c>
      <c r="B2422" s="717" t="s">
        <v>142</v>
      </c>
      <c r="C2422" s="806" t="s">
        <v>1273</v>
      </c>
      <c r="D2422" s="783"/>
      <c r="E2422" s="777"/>
      <c r="F2422" s="719">
        <v>99</v>
      </c>
      <c r="G2422" s="1152"/>
      <c r="H2422" s="1166"/>
      <c r="I2422" s="1152"/>
      <c r="J2422" s="1166"/>
      <c r="K2422" s="1152"/>
      <c r="L2422" s="1153"/>
      <c r="M2422" s="1152"/>
      <c r="N2422" s="1152"/>
      <c r="O2422" s="732">
        <f t="shared" si="301"/>
        <v>0</v>
      </c>
      <c r="P2422" s="1153"/>
      <c r="Q2422" s="1153"/>
      <c r="R2422" s="733">
        <f t="shared" si="304"/>
        <v>0</v>
      </c>
      <c r="S2422" s="732">
        <f t="shared" si="305"/>
        <v>0</v>
      </c>
      <c r="T2422" s="733">
        <f t="shared" si="306"/>
        <v>0</v>
      </c>
      <c r="U2422" s="1152">
        <v>9082966</v>
      </c>
      <c r="V2422" s="1166">
        <v>9099871</v>
      </c>
      <c r="W2422" s="1152"/>
      <c r="X2422" s="1152"/>
      <c r="Y2422" s="732">
        <f t="shared" si="302"/>
        <v>0</v>
      </c>
      <c r="Z2422" s="1153"/>
      <c r="AA2422" s="1153"/>
      <c r="AB2422" s="733">
        <f t="shared" si="303"/>
        <v>0</v>
      </c>
      <c r="AC2422" s="1152"/>
      <c r="AD2422" s="1166"/>
      <c r="AE2422" s="1152"/>
      <c r="AF2422" s="1152"/>
      <c r="AG2422" s="1153"/>
      <c r="AH2422" s="1153"/>
      <c r="AI2422" s="732">
        <f t="shared" si="307"/>
        <v>9082966</v>
      </c>
      <c r="AJ2422" s="733">
        <f t="shared" si="308"/>
        <v>9099871</v>
      </c>
    </row>
    <row r="2423" spans="1:36" ht="12.5">
      <c r="A2423" s="719" t="s">
        <v>748</v>
      </c>
      <c r="B2423" s="717" t="s">
        <v>149</v>
      </c>
      <c r="C2423" s="774" t="s">
        <v>150</v>
      </c>
      <c r="D2423" s="783"/>
      <c r="E2423" s="777"/>
      <c r="F2423" s="719">
        <v>99</v>
      </c>
      <c r="G2423" s="1152"/>
      <c r="H2423" s="1166"/>
      <c r="I2423" s="1152"/>
      <c r="J2423" s="1166"/>
      <c r="K2423" s="1152"/>
      <c r="L2423" s="1153"/>
      <c r="M2423" s="1152"/>
      <c r="N2423" s="1152"/>
      <c r="O2423" s="732">
        <f t="shared" si="301"/>
        <v>0</v>
      </c>
      <c r="P2423" s="1153"/>
      <c r="Q2423" s="1153"/>
      <c r="R2423" s="733">
        <f t="shared" si="304"/>
        <v>0</v>
      </c>
      <c r="S2423" s="732">
        <f t="shared" si="305"/>
        <v>0</v>
      </c>
      <c r="T2423" s="733">
        <f t="shared" si="306"/>
        <v>0</v>
      </c>
      <c r="U2423" s="1152"/>
      <c r="V2423" s="1166"/>
      <c r="W2423" s="1152"/>
      <c r="X2423" s="1152"/>
      <c r="Y2423" s="732">
        <f t="shared" si="302"/>
        <v>0</v>
      </c>
      <c r="Z2423" s="1153"/>
      <c r="AA2423" s="1153"/>
      <c r="AB2423" s="733">
        <f t="shared" si="303"/>
        <v>0</v>
      </c>
      <c r="AC2423" s="1152"/>
      <c r="AD2423" s="1166"/>
      <c r="AE2423" s="1152"/>
      <c r="AF2423" s="1152"/>
      <c r="AG2423" s="1153"/>
      <c r="AH2423" s="1153"/>
      <c r="AI2423" s="732">
        <f t="shared" si="307"/>
        <v>0</v>
      </c>
      <c r="AJ2423" s="733">
        <f t="shared" si="308"/>
        <v>0</v>
      </c>
    </row>
    <row r="2424" spans="1:36">
      <c r="A2424" s="719" t="s">
        <v>748</v>
      </c>
      <c r="B2424" s="717" t="s">
        <v>151</v>
      </c>
      <c r="C2424" s="771" t="s">
        <v>152</v>
      </c>
      <c r="D2424" s="782"/>
      <c r="E2424" s="777"/>
      <c r="F2424" s="719">
        <v>99</v>
      </c>
      <c r="G2424" s="1152"/>
      <c r="H2424" s="1166"/>
      <c r="I2424" s="1152"/>
      <c r="J2424" s="1166"/>
      <c r="K2424" s="1152"/>
      <c r="L2424" s="1153"/>
      <c r="M2424" s="1152"/>
      <c r="N2424" s="1152"/>
      <c r="O2424" s="732">
        <f t="shared" si="301"/>
        <v>0</v>
      </c>
      <c r="P2424" s="1153"/>
      <c r="Q2424" s="1153"/>
      <c r="R2424" s="733">
        <f t="shared" si="304"/>
        <v>0</v>
      </c>
      <c r="S2424" s="732">
        <f t="shared" si="305"/>
        <v>0</v>
      </c>
      <c r="T2424" s="733">
        <f t="shared" si="306"/>
        <v>0</v>
      </c>
      <c r="U2424" s="1152"/>
      <c r="V2424" s="1166"/>
      <c r="W2424" s="1152"/>
      <c r="X2424" s="1152"/>
      <c r="Y2424" s="732">
        <f t="shared" si="302"/>
        <v>0</v>
      </c>
      <c r="Z2424" s="1153"/>
      <c r="AA2424" s="1153"/>
      <c r="AB2424" s="733">
        <f t="shared" si="303"/>
        <v>0</v>
      </c>
      <c r="AC2424" s="1152"/>
      <c r="AD2424" s="1166"/>
      <c r="AE2424" s="1152"/>
      <c r="AF2424" s="1152"/>
      <c r="AG2424" s="1153"/>
      <c r="AH2424" s="1153"/>
      <c r="AI2424" s="732">
        <f t="shared" si="307"/>
        <v>0</v>
      </c>
      <c r="AJ2424" s="733">
        <f t="shared" si="308"/>
        <v>0</v>
      </c>
    </row>
    <row r="2425" spans="1:36">
      <c r="A2425" s="719" t="s">
        <v>748</v>
      </c>
      <c r="B2425" s="717" t="s">
        <v>151</v>
      </c>
      <c r="C2425" s="805" t="s">
        <v>1274</v>
      </c>
      <c r="D2425" s="782"/>
      <c r="E2425" s="777"/>
      <c r="F2425" s="719">
        <v>99</v>
      </c>
      <c r="G2425" s="1152"/>
      <c r="H2425" s="1166"/>
      <c r="I2425" s="1152"/>
      <c r="J2425" s="1166"/>
      <c r="K2425" s="1152"/>
      <c r="L2425" s="1153"/>
      <c r="M2425" s="1152"/>
      <c r="N2425" s="1152"/>
      <c r="O2425" s="732">
        <f t="shared" si="301"/>
        <v>0</v>
      </c>
      <c r="P2425" s="1153"/>
      <c r="Q2425" s="1153"/>
      <c r="R2425" s="733">
        <f t="shared" si="304"/>
        <v>0</v>
      </c>
      <c r="S2425" s="732">
        <f t="shared" si="305"/>
        <v>0</v>
      </c>
      <c r="T2425" s="733">
        <f t="shared" si="306"/>
        <v>0</v>
      </c>
      <c r="U2425" s="1152"/>
      <c r="V2425" s="1166"/>
      <c r="W2425" s="1152"/>
      <c r="X2425" s="1152"/>
      <c r="Y2425" s="732">
        <f t="shared" si="302"/>
        <v>0</v>
      </c>
      <c r="Z2425" s="1153"/>
      <c r="AA2425" s="1153"/>
      <c r="AB2425" s="733">
        <f t="shared" si="303"/>
        <v>0</v>
      </c>
      <c r="AC2425" s="1152">
        <v>48444436</v>
      </c>
      <c r="AD2425" s="1166">
        <v>48426485</v>
      </c>
      <c r="AE2425" s="1152"/>
      <c r="AF2425" s="1152"/>
      <c r="AG2425" s="1153"/>
      <c r="AH2425" s="1153"/>
      <c r="AI2425" s="732">
        <f t="shared" si="307"/>
        <v>48444436</v>
      </c>
      <c r="AJ2425" s="733">
        <f t="shared" si="308"/>
        <v>48426485</v>
      </c>
    </row>
    <row r="2426" spans="1:36">
      <c r="A2426" s="719" t="s">
        <v>748</v>
      </c>
      <c r="B2426" s="717" t="s">
        <v>151</v>
      </c>
      <c r="C2426" s="805" t="s">
        <v>1275</v>
      </c>
      <c r="D2426" s="783"/>
      <c r="E2426" s="777"/>
      <c r="F2426" s="719">
        <v>99</v>
      </c>
      <c r="G2426" s="1152"/>
      <c r="H2426" s="1166"/>
      <c r="I2426" s="1152"/>
      <c r="J2426" s="1166"/>
      <c r="K2426" s="1152"/>
      <c r="L2426" s="1153"/>
      <c r="M2426" s="1152"/>
      <c r="N2426" s="1152"/>
      <c r="O2426" s="732">
        <f t="shared" si="301"/>
        <v>0</v>
      </c>
      <c r="P2426" s="1153"/>
      <c r="Q2426" s="1153"/>
      <c r="R2426" s="733">
        <f t="shared" si="304"/>
        <v>0</v>
      </c>
      <c r="S2426" s="732">
        <f t="shared" si="305"/>
        <v>0</v>
      </c>
      <c r="T2426" s="733">
        <f t="shared" si="306"/>
        <v>0</v>
      </c>
      <c r="U2426" s="1152">
        <v>0</v>
      </c>
      <c r="V2426" s="1166">
        <v>0</v>
      </c>
      <c r="W2426" s="1152"/>
      <c r="X2426" s="1152"/>
      <c r="Y2426" s="732">
        <f t="shared" si="302"/>
        <v>0</v>
      </c>
      <c r="Z2426" s="1153"/>
      <c r="AA2426" s="1153"/>
      <c r="AB2426" s="733">
        <f t="shared" si="303"/>
        <v>0</v>
      </c>
      <c r="AC2426" s="1152"/>
      <c r="AD2426" s="1153"/>
      <c r="AE2426" s="1152"/>
      <c r="AF2426" s="1152"/>
      <c r="AG2426" s="1153"/>
      <c r="AH2426" s="1153"/>
      <c r="AI2426" s="732">
        <f t="shared" si="307"/>
        <v>0</v>
      </c>
      <c r="AJ2426" s="733">
        <f t="shared" si="308"/>
        <v>0</v>
      </c>
    </row>
    <row r="2427" spans="1:36">
      <c r="A2427" s="719" t="s">
        <v>748</v>
      </c>
      <c r="B2427" s="717" t="s">
        <v>159</v>
      </c>
      <c r="C2427" s="771" t="s">
        <v>160</v>
      </c>
      <c r="D2427" s="782"/>
      <c r="E2427" s="777"/>
      <c r="F2427" s="719">
        <v>99</v>
      </c>
      <c r="G2427" s="1152"/>
      <c r="H2427" s="1166"/>
      <c r="I2427" s="1152"/>
      <c r="J2427" s="1166"/>
      <c r="K2427" s="1152"/>
      <c r="L2427" s="1153"/>
      <c r="M2427" s="1152"/>
      <c r="N2427" s="1152"/>
      <c r="O2427" s="732">
        <f t="shared" si="301"/>
        <v>0</v>
      </c>
      <c r="P2427" s="1153"/>
      <c r="Q2427" s="1153"/>
      <c r="R2427" s="733">
        <f t="shared" si="304"/>
        <v>0</v>
      </c>
      <c r="S2427" s="732">
        <f t="shared" si="305"/>
        <v>0</v>
      </c>
      <c r="T2427" s="733">
        <f t="shared" si="306"/>
        <v>0</v>
      </c>
      <c r="U2427" s="1152"/>
      <c r="V2427" s="1166"/>
      <c r="W2427" s="1152"/>
      <c r="X2427" s="1152"/>
      <c r="Y2427" s="732">
        <f t="shared" si="302"/>
        <v>0</v>
      </c>
      <c r="Z2427" s="1153"/>
      <c r="AA2427" s="1153"/>
      <c r="AB2427" s="733">
        <f t="shared" si="303"/>
        <v>0</v>
      </c>
      <c r="AC2427" s="1152"/>
      <c r="AD2427" s="1153"/>
      <c r="AE2427" s="1152"/>
      <c r="AF2427" s="1152"/>
      <c r="AG2427" s="1153"/>
      <c r="AH2427" s="1153"/>
      <c r="AI2427" s="732">
        <f t="shared" si="307"/>
        <v>0</v>
      </c>
      <c r="AJ2427" s="733">
        <f t="shared" si="308"/>
        <v>0</v>
      </c>
    </row>
    <row r="2428" spans="1:36" ht="12.5">
      <c r="A2428" s="719" t="s">
        <v>748</v>
      </c>
      <c r="B2428" s="717" t="s">
        <v>161</v>
      </c>
      <c r="C2428" s="776" t="s">
        <v>162</v>
      </c>
      <c r="D2428" s="785"/>
      <c r="E2428" s="777"/>
      <c r="F2428" s="719">
        <v>99</v>
      </c>
      <c r="G2428" s="1152"/>
      <c r="H2428" s="1166"/>
      <c r="I2428" s="1152"/>
      <c r="J2428" s="1166"/>
      <c r="K2428" s="1152"/>
      <c r="L2428" s="1153"/>
      <c r="M2428" s="1152"/>
      <c r="N2428" s="1152"/>
      <c r="O2428" s="732">
        <f t="shared" si="301"/>
        <v>0</v>
      </c>
      <c r="P2428" s="1153"/>
      <c r="Q2428" s="1153"/>
      <c r="R2428" s="733">
        <f t="shared" si="304"/>
        <v>0</v>
      </c>
      <c r="S2428" s="732">
        <f t="shared" si="305"/>
        <v>0</v>
      </c>
      <c r="T2428" s="733">
        <f t="shared" si="306"/>
        <v>0</v>
      </c>
      <c r="U2428" s="1152"/>
      <c r="V2428" s="1166"/>
      <c r="W2428" s="1152"/>
      <c r="X2428" s="1152"/>
      <c r="Y2428" s="732">
        <f t="shared" si="302"/>
        <v>0</v>
      </c>
      <c r="Z2428" s="1153"/>
      <c r="AA2428" s="1153"/>
      <c r="AB2428" s="733">
        <f t="shared" si="303"/>
        <v>0</v>
      </c>
      <c r="AC2428" s="1152"/>
      <c r="AD2428" s="1153"/>
      <c r="AE2428" s="1152"/>
      <c r="AF2428" s="1152"/>
      <c r="AG2428" s="1153"/>
      <c r="AH2428" s="1153"/>
      <c r="AI2428" s="732">
        <f t="shared" si="307"/>
        <v>0</v>
      </c>
      <c r="AJ2428" s="733">
        <f t="shared" si="308"/>
        <v>0</v>
      </c>
    </row>
    <row r="2429" spans="1:36">
      <c r="A2429" s="719" t="s">
        <v>748</v>
      </c>
      <c r="B2429" s="717" t="s">
        <v>161</v>
      </c>
      <c r="C2429" s="807" t="s">
        <v>1276</v>
      </c>
      <c r="D2429" s="783"/>
      <c r="E2429" s="777"/>
      <c r="F2429" s="719">
        <v>99</v>
      </c>
      <c r="G2429" s="1152"/>
      <c r="H2429" s="1166"/>
      <c r="I2429" s="1152"/>
      <c r="J2429" s="1166"/>
      <c r="K2429" s="1152"/>
      <c r="L2429" s="1153"/>
      <c r="M2429" s="1152"/>
      <c r="N2429" s="1152"/>
      <c r="O2429" s="732">
        <f t="shared" si="301"/>
        <v>0</v>
      </c>
      <c r="P2429" s="1153"/>
      <c r="Q2429" s="1153"/>
      <c r="R2429" s="733">
        <f t="shared" si="304"/>
        <v>0</v>
      </c>
      <c r="S2429" s="732">
        <f t="shared" si="305"/>
        <v>0</v>
      </c>
      <c r="T2429" s="733">
        <f t="shared" si="306"/>
        <v>0</v>
      </c>
      <c r="U2429" s="1152">
        <v>572102673</v>
      </c>
      <c r="V2429" s="1166">
        <v>530892262</v>
      </c>
      <c r="W2429" s="1152"/>
      <c r="X2429" s="1152"/>
      <c r="Y2429" s="732">
        <f t="shared" si="302"/>
        <v>0</v>
      </c>
      <c r="Z2429" s="1153"/>
      <c r="AA2429" s="1153"/>
      <c r="AB2429" s="733">
        <f t="shared" si="303"/>
        <v>0</v>
      </c>
      <c r="AC2429" s="1152"/>
      <c r="AD2429" s="1153"/>
      <c r="AE2429" s="1152"/>
      <c r="AF2429" s="1152"/>
      <c r="AG2429" s="1153"/>
      <c r="AH2429" s="1153"/>
      <c r="AI2429" s="732">
        <f t="shared" si="307"/>
        <v>572102673</v>
      </c>
      <c r="AJ2429" s="733">
        <f t="shared" si="308"/>
        <v>530892262</v>
      </c>
    </row>
    <row r="2430" spans="1:36">
      <c r="A2430" s="719" t="s">
        <v>748</v>
      </c>
      <c r="B2430" s="778" t="s">
        <v>166</v>
      </c>
      <c r="C2430" s="805" t="s">
        <v>167</v>
      </c>
      <c r="D2430" s="783"/>
      <c r="E2430" s="777"/>
      <c r="F2430" s="719">
        <v>99</v>
      </c>
      <c r="G2430" s="1152"/>
      <c r="H2430" s="1166"/>
      <c r="I2430" s="1152"/>
      <c r="J2430" s="1166"/>
      <c r="K2430" s="1152"/>
      <c r="L2430" s="1153"/>
      <c r="M2430" s="1152"/>
      <c r="N2430" s="1152"/>
      <c r="O2430" s="732">
        <f t="shared" si="301"/>
        <v>0</v>
      </c>
      <c r="P2430" s="1153"/>
      <c r="Q2430" s="1153"/>
      <c r="R2430" s="733">
        <f t="shared" si="304"/>
        <v>0</v>
      </c>
      <c r="S2430" s="732">
        <f t="shared" si="305"/>
        <v>0</v>
      </c>
      <c r="T2430" s="733">
        <f t="shared" si="306"/>
        <v>0</v>
      </c>
      <c r="U2430" s="1152">
        <v>18620000</v>
      </c>
      <c r="V2430" s="1166">
        <v>18420000</v>
      </c>
      <c r="W2430" s="1152"/>
      <c r="X2430" s="1152"/>
      <c r="Y2430" s="732">
        <f t="shared" si="302"/>
        <v>0</v>
      </c>
      <c r="Z2430" s="1153"/>
      <c r="AA2430" s="1153"/>
      <c r="AB2430" s="733">
        <f t="shared" si="303"/>
        <v>0</v>
      </c>
      <c r="AC2430" s="1152"/>
      <c r="AD2430" s="1153"/>
      <c r="AE2430" s="1152"/>
      <c r="AF2430" s="1152"/>
      <c r="AG2430" s="1153"/>
      <c r="AH2430" s="1153"/>
      <c r="AI2430" s="732">
        <f t="shared" si="307"/>
        <v>18620000</v>
      </c>
      <c r="AJ2430" s="733">
        <f t="shared" si="308"/>
        <v>18420000</v>
      </c>
    </row>
    <row r="2431" spans="1:36">
      <c r="A2431" s="719" t="s">
        <v>748</v>
      </c>
      <c r="B2431" s="717" t="s">
        <v>161</v>
      </c>
      <c r="C2431" s="807" t="s">
        <v>1277</v>
      </c>
      <c r="D2431" s="783"/>
      <c r="E2431" s="777"/>
      <c r="F2431" s="719">
        <v>99</v>
      </c>
      <c r="G2431" s="1152"/>
      <c r="H2431" s="1166"/>
      <c r="I2431" s="1152"/>
      <c r="J2431" s="1166"/>
      <c r="K2431" s="1152"/>
      <c r="L2431" s="1153"/>
      <c r="M2431" s="1152"/>
      <c r="N2431" s="1152"/>
      <c r="O2431" s="732">
        <f t="shared" si="301"/>
        <v>0</v>
      </c>
      <c r="P2431" s="1153"/>
      <c r="Q2431" s="1153"/>
      <c r="R2431" s="733">
        <f t="shared" si="304"/>
        <v>0</v>
      </c>
      <c r="S2431" s="732">
        <f t="shared" si="305"/>
        <v>0</v>
      </c>
      <c r="T2431" s="733">
        <f t="shared" si="306"/>
        <v>0</v>
      </c>
      <c r="U2431" s="1152">
        <v>0</v>
      </c>
      <c r="V2431" s="1166"/>
      <c r="W2431" s="1152"/>
      <c r="X2431" s="1152"/>
      <c r="Y2431" s="732">
        <f t="shared" si="302"/>
        <v>0</v>
      </c>
      <c r="Z2431" s="1153"/>
      <c r="AA2431" s="1153"/>
      <c r="AB2431" s="733">
        <f t="shared" si="303"/>
        <v>0</v>
      </c>
      <c r="AC2431" s="1152"/>
      <c r="AD2431" s="1153"/>
      <c r="AE2431" s="1152"/>
      <c r="AF2431" s="1152"/>
      <c r="AG2431" s="1153"/>
      <c r="AH2431" s="1153"/>
      <c r="AI2431" s="732">
        <f t="shared" si="307"/>
        <v>0</v>
      </c>
      <c r="AJ2431" s="733">
        <f t="shared" si="308"/>
        <v>0</v>
      </c>
    </row>
    <row r="2432" spans="1:36">
      <c r="A2432" s="719" t="s">
        <v>748</v>
      </c>
      <c r="B2432" s="717" t="s">
        <v>161</v>
      </c>
      <c r="C2432" s="807" t="s">
        <v>1278</v>
      </c>
      <c r="D2432" s="783"/>
      <c r="E2432" s="777"/>
      <c r="F2432" s="719">
        <v>99</v>
      </c>
      <c r="G2432" s="1152"/>
      <c r="H2432" s="1166"/>
      <c r="I2432" s="1152"/>
      <c r="J2432" s="1166"/>
      <c r="K2432" s="1152"/>
      <c r="L2432" s="1153"/>
      <c r="M2432" s="1152"/>
      <c r="N2432" s="1152"/>
      <c r="O2432" s="732">
        <f t="shared" si="301"/>
        <v>0</v>
      </c>
      <c r="P2432" s="1153"/>
      <c r="Q2432" s="1153"/>
      <c r="R2432" s="733">
        <f t="shared" si="304"/>
        <v>0</v>
      </c>
      <c r="S2432" s="732">
        <f t="shared" si="305"/>
        <v>0</v>
      </c>
      <c r="T2432" s="733">
        <f t="shared" si="306"/>
        <v>0</v>
      </c>
      <c r="U2432" s="1152">
        <v>10206794</v>
      </c>
      <c r="V2432" s="1167">
        <v>0</v>
      </c>
      <c r="W2432" s="1152"/>
      <c r="X2432" s="1152"/>
      <c r="Y2432" s="732">
        <f t="shared" si="302"/>
        <v>0</v>
      </c>
      <c r="Z2432" s="1153"/>
      <c r="AA2432" s="1153"/>
      <c r="AB2432" s="733">
        <f t="shared" si="303"/>
        <v>0</v>
      </c>
      <c r="AC2432" s="1152"/>
      <c r="AD2432" s="1153"/>
      <c r="AE2432" s="1152"/>
      <c r="AF2432" s="1152"/>
      <c r="AG2432" s="1153"/>
      <c r="AH2432" s="1153"/>
      <c r="AI2432" s="732">
        <f t="shared" si="307"/>
        <v>10206794</v>
      </c>
      <c r="AJ2432" s="733">
        <f t="shared" si="308"/>
        <v>0</v>
      </c>
    </row>
    <row r="2433" spans="1:36">
      <c r="A2433" s="719" t="s">
        <v>748</v>
      </c>
      <c r="B2433" s="717" t="s">
        <v>161</v>
      </c>
      <c r="C2433" s="807" t="s">
        <v>1279</v>
      </c>
      <c r="D2433" s="783"/>
      <c r="E2433" s="777"/>
      <c r="F2433" s="719">
        <v>99</v>
      </c>
      <c r="G2433" s="1152"/>
      <c r="H2433" s="1166"/>
      <c r="I2433" s="1152"/>
      <c r="J2433" s="1166"/>
      <c r="K2433" s="1152"/>
      <c r="L2433" s="1153"/>
      <c r="M2433" s="1152"/>
      <c r="N2433" s="1152"/>
      <c r="O2433" s="732">
        <f t="shared" si="301"/>
        <v>0</v>
      </c>
      <c r="P2433" s="1153"/>
      <c r="Q2433" s="1153"/>
      <c r="R2433" s="733">
        <f t="shared" si="304"/>
        <v>0</v>
      </c>
      <c r="S2433" s="732">
        <f t="shared" si="305"/>
        <v>0</v>
      </c>
      <c r="T2433" s="733">
        <f t="shared" si="306"/>
        <v>0</v>
      </c>
      <c r="U2433" s="1152">
        <v>0</v>
      </c>
      <c r="V2433" s="1166">
        <v>0</v>
      </c>
      <c r="W2433" s="1152"/>
      <c r="X2433" s="1152"/>
      <c r="Y2433" s="732">
        <f t="shared" si="302"/>
        <v>0</v>
      </c>
      <c r="Z2433" s="1153"/>
      <c r="AA2433" s="1153"/>
      <c r="AB2433" s="733">
        <f t="shared" si="303"/>
        <v>0</v>
      </c>
      <c r="AC2433" s="1152"/>
      <c r="AD2433" s="1153"/>
      <c r="AE2433" s="1152"/>
      <c r="AF2433" s="1152"/>
      <c r="AG2433" s="1153"/>
      <c r="AH2433" s="1153"/>
      <c r="AI2433" s="732">
        <f t="shared" si="307"/>
        <v>0</v>
      </c>
      <c r="AJ2433" s="733">
        <f t="shared" si="308"/>
        <v>0</v>
      </c>
    </row>
    <row r="2434" spans="1:36">
      <c r="A2434" s="912" t="s">
        <v>750</v>
      </c>
      <c r="B2434" s="913" t="s">
        <v>62</v>
      </c>
      <c r="C2434" s="1111" t="s">
        <v>1280</v>
      </c>
      <c r="D2434" s="925"/>
      <c r="E2434" s="926">
        <v>232186</v>
      </c>
      <c r="F2434" s="916">
        <v>1</v>
      </c>
      <c r="G2434" s="1152">
        <v>149763436</v>
      </c>
      <c r="H2434" s="1153">
        <v>166315949</v>
      </c>
      <c r="I2434" s="1152">
        <v>2106250</v>
      </c>
      <c r="J2434" s="1153">
        <v>2106250</v>
      </c>
      <c r="K2434" s="1152"/>
      <c r="L2434" s="1153"/>
      <c r="M2434" s="1152">
        <v>482014371.63</v>
      </c>
      <c r="N2434" s="1152">
        <v>2804490</v>
      </c>
      <c r="O2434" s="732">
        <f t="shared" si="301"/>
        <v>484818861.63</v>
      </c>
      <c r="P2434" s="1153">
        <v>498970249.40432698</v>
      </c>
      <c r="Q2434" s="1153">
        <v>2804490</v>
      </c>
      <c r="R2434" s="733">
        <f t="shared" si="304"/>
        <v>501774739.40432698</v>
      </c>
      <c r="S2434" s="732">
        <f t="shared" si="305"/>
        <v>633884057.63</v>
      </c>
      <c r="T2434" s="733">
        <f t="shared" si="306"/>
        <v>667392448.40432692</v>
      </c>
      <c r="U2434" s="1152"/>
      <c r="V2434" s="1153"/>
      <c r="W2434" s="1152"/>
      <c r="X2434" s="1152"/>
      <c r="Y2434" s="732">
        <f t="shared" si="302"/>
        <v>0</v>
      </c>
      <c r="Z2434" s="1153"/>
      <c r="AA2434" s="1153"/>
      <c r="AB2434" s="733">
        <f t="shared" si="303"/>
        <v>0</v>
      </c>
      <c r="AC2434" s="1152"/>
      <c r="AD2434" s="1153"/>
      <c r="AE2434" s="1152"/>
      <c r="AF2434" s="1152"/>
      <c r="AG2434" s="1153"/>
      <c r="AH2434" s="1153"/>
      <c r="AI2434" s="732">
        <f t="shared" si="307"/>
        <v>633884057.63</v>
      </c>
      <c r="AJ2434" s="733">
        <f t="shared" si="308"/>
        <v>667392448.40432692</v>
      </c>
    </row>
    <row r="2435" spans="1:36">
      <c r="A2435" s="912" t="s">
        <v>750</v>
      </c>
      <c r="B2435" s="913" t="s">
        <v>62</v>
      </c>
      <c r="C2435" s="914" t="s">
        <v>1281</v>
      </c>
      <c r="D2435" s="918"/>
      <c r="E2435" s="926">
        <v>232982</v>
      </c>
      <c r="F2435" s="916">
        <v>1</v>
      </c>
      <c r="G2435" s="1152">
        <v>129804452</v>
      </c>
      <c r="H2435" s="1153">
        <v>143948380</v>
      </c>
      <c r="I2435" s="1152">
        <v>4434245</v>
      </c>
      <c r="J2435" s="1153">
        <v>4553965</v>
      </c>
      <c r="K2435" s="1152"/>
      <c r="L2435" s="1153"/>
      <c r="M2435" s="1152">
        <v>184342886</v>
      </c>
      <c r="N2435" s="1152">
        <v>1108899</v>
      </c>
      <c r="O2435" s="732">
        <f t="shared" si="301"/>
        <v>185451785</v>
      </c>
      <c r="P2435" s="1153">
        <v>182004427</v>
      </c>
      <c r="Q2435" s="1153">
        <v>1108899</v>
      </c>
      <c r="R2435" s="733">
        <f t="shared" si="304"/>
        <v>183113326</v>
      </c>
      <c r="S2435" s="732">
        <f t="shared" si="305"/>
        <v>318581583</v>
      </c>
      <c r="T2435" s="733">
        <f t="shared" si="306"/>
        <v>330506772</v>
      </c>
      <c r="U2435" s="1152"/>
      <c r="V2435" s="1153"/>
      <c r="W2435" s="1152"/>
      <c r="X2435" s="1152"/>
      <c r="Y2435" s="732">
        <f t="shared" si="302"/>
        <v>0</v>
      </c>
      <c r="Z2435" s="1153"/>
      <c r="AA2435" s="1153"/>
      <c r="AB2435" s="733">
        <f t="shared" si="303"/>
        <v>0</v>
      </c>
      <c r="AC2435" s="1152"/>
      <c r="AD2435" s="1153"/>
      <c r="AE2435" s="1152"/>
      <c r="AF2435" s="1152"/>
      <c r="AG2435" s="1153"/>
      <c r="AH2435" s="1153"/>
      <c r="AI2435" s="732">
        <f t="shared" si="307"/>
        <v>318581583</v>
      </c>
      <c r="AJ2435" s="733">
        <f t="shared" si="308"/>
        <v>330506772</v>
      </c>
    </row>
    <row r="2436" spans="1:36">
      <c r="A2436" s="912" t="s">
        <v>750</v>
      </c>
      <c r="B2436" s="913" t="s">
        <v>62</v>
      </c>
      <c r="C2436" s="1111" t="s">
        <v>1282</v>
      </c>
      <c r="D2436" s="925"/>
      <c r="E2436" s="926">
        <v>234076</v>
      </c>
      <c r="F2436" s="916">
        <v>1</v>
      </c>
      <c r="G2436" s="1152">
        <v>118648962</v>
      </c>
      <c r="H2436" s="1153">
        <v>136586101</v>
      </c>
      <c r="I2436" s="1152">
        <v>9969379</v>
      </c>
      <c r="J2436" s="1153">
        <v>9969379</v>
      </c>
      <c r="K2436" s="1152"/>
      <c r="L2436" s="1153"/>
      <c r="M2436" s="1152">
        <v>687293895</v>
      </c>
      <c r="N2436" s="1152">
        <v>5006754</v>
      </c>
      <c r="O2436" s="732">
        <f t="shared" si="301"/>
        <v>692300649</v>
      </c>
      <c r="P2436" s="1153">
        <v>742200840</v>
      </c>
      <c r="Q2436" s="1153">
        <v>5006754</v>
      </c>
      <c r="R2436" s="733">
        <f t="shared" si="304"/>
        <v>747207594</v>
      </c>
      <c r="S2436" s="732">
        <f t="shared" si="305"/>
        <v>815912236</v>
      </c>
      <c r="T2436" s="733">
        <f t="shared" si="306"/>
        <v>888756320</v>
      </c>
      <c r="U2436" s="1152"/>
      <c r="V2436" s="1153"/>
      <c r="W2436" s="1152"/>
      <c r="X2436" s="1152"/>
      <c r="Y2436" s="732">
        <f t="shared" si="302"/>
        <v>0</v>
      </c>
      <c r="Z2436" s="1153"/>
      <c r="AA2436" s="1153"/>
      <c r="AB2436" s="733">
        <f t="shared" si="303"/>
        <v>0</v>
      </c>
      <c r="AC2436" s="1152"/>
      <c r="AD2436" s="1153"/>
      <c r="AE2436" s="1152"/>
      <c r="AF2436" s="1152"/>
      <c r="AG2436" s="1153"/>
      <c r="AH2436" s="1153"/>
      <c r="AI2436" s="732">
        <f t="shared" si="307"/>
        <v>815912236</v>
      </c>
      <c r="AJ2436" s="733">
        <f t="shared" si="308"/>
        <v>888756320</v>
      </c>
    </row>
    <row r="2437" spans="1:36">
      <c r="A2437" s="912" t="s">
        <v>750</v>
      </c>
      <c r="B2437" s="913" t="s">
        <v>64</v>
      </c>
      <c r="C2437" s="922" t="s">
        <v>334</v>
      </c>
      <c r="D2437" s="1112"/>
      <c r="E2437" s="926">
        <v>234076</v>
      </c>
      <c r="F2437" s="916">
        <v>1</v>
      </c>
      <c r="G2437" s="1152"/>
      <c r="H2437" s="1153"/>
      <c r="I2437" s="1152"/>
      <c r="J2437" s="1153"/>
      <c r="K2437" s="1152"/>
      <c r="L2437" s="1153"/>
      <c r="M2437" s="1152"/>
      <c r="N2437" s="1152"/>
      <c r="O2437" s="732">
        <f t="shared" si="301"/>
        <v>0</v>
      </c>
      <c r="P2437" s="1153"/>
      <c r="Q2437" s="1153"/>
      <c r="R2437" s="733">
        <f t="shared" si="304"/>
        <v>0</v>
      </c>
      <c r="S2437" s="732">
        <f t="shared" si="305"/>
        <v>0</v>
      </c>
      <c r="T2437" s="733">
        <f t="shared" si="306"/>
        <v>0</v>
      </c>
      <c r="U2437" s="1152"/>
      <c r="V2437" s="1153"/>
      <c r="W2437" s="1152"/>
      <c r="X2437" s="1152"/>
      <c r="Y2437" s="732">
        <f t="shared" si="302"/>
        <v>0</v>
      </c>
      <c r="Z2437" s="1153"/>
      <c r="AA2437" s="1153"/>
      <c r="AB2437" s="733">
        <f t="shared" si="303"/>
        <v>0</v>
      </c>
      <c r="AC2437" s="1152">
        <v>17937139</v>
      </c>
      <c r="AD2437" s="1153">
        <v>18624501</v>
      </c>
      <c r="AE2437" s="1152">
        <v>54255625</v>
      </c>
      <c r="AF2437" s="1152"/>
      <c r="AG2437" s="1153">
        <v>53568263</v>
      </c>
      <c r="AH2437" s="1153"/>
      <c r="AI2437" s="732">
        <f t="shared" si="307"/>
        <v>72192764</v>
      </c>
      <c r="AJ2437" s="733">
        <f t="shared" si="308"/>
        <v>72192764</v>
      </c>
    </row>
    <row r="2438" spans="1:36">
      <c r="A2438" s="912" t="s">
        <v>750</v>
      </c>
      <c r="B2438" s="913" t="s">
        <v>62</v>
      </c>
      <c r="C2438" s="914" t="s">
        <v>1283</v>
      </c>
      <c r="D2438" s="915"/>
      <c r="E2438" s="916">
        <v>234030</v>
      </c>
      <c r="F2438" s="916">
        <v>1</v>
      </c>
      <c r="G2438" s="1152">
        <v>154327216</v>
      </c>
      <c r="H2438" s="1153">
        <v>207795835</v>
      </c>
      <c r="I2438" s="1152">
        <v>14012500</v>
      </c>
      <c r="J2438" s="1153">
        <v>16512500</v>
      </c>
      <c r="K2438" s="1152"/>
      <c r="L2438" s="1153"/>
      <c r="M2438" s="1152">
        <v>412538910</v>
      </c>
      <c r="N2438" s="1152">
        <v>2359266</v>
      </c>
      <c r="O2438" s="732">
        <f t="shared" si="301"/>
        <v>414898176</v>
      </c>
      <c r="P2438" s="1153">
        <v>465492515</v>
      </c>
      <c r="Q2438" s="1153">
        <v>2359266</v>
      </c>
      <c r="R2438" s="733">
        <f t="shared" si="304"/>
        <v>467851781</v>
      </c>
      <c r="S2438" s="732">
        <f t="shared" si="305"/>
        <v>580878626</v>
      </c>
      <c r="T2438" s="733">
        <f t="shared" si="306"/>
        <v>689800850</v>
      </c>
      <c r="U2438" s="1152"/>
      <c r="V2438" s="1153"/>
      <c r="W2438" s="1152"/>
      <c r="X2438" s="1152"/>
      <c r="Y2438" s="732">
        <f t="shared" si="302"/>
        <v>0</v>
      </c>
      <c r="Z2438" s="1153"/>
      <c r="AA2438" s="1153"/>
      <c r="AB2438" s="733">
        <f t="shared" si="303"/>
        <v>0</v>
      </c>
      <c r="AC2438" s="1152"/>
      <c r="AD2438" s="1153"/>
      <c r="AE2438" s="1152"/>
      <c r="AF2438" s="1152"/>
      <c r="AG2438" s="1153"/>
      <c r="AH2438" s="1153"/>
      <c r="AI2438" s="732">
        <f t="shared" si="307"/>
        <v>580878626</v>
      </c>
      <c r="AJ2438" s="733">
        <f t="shared" si="308"/>
        <v>689800850</v>
      </c>
    </row>
    <row r="2439" spans="1:36">
      <c r="A2439" s="912" t="s">
        <v>750</v>
      </c>
      <c r="B2439" s="913" t="s">
        <v>64</v>
      </c>
      <c r="C2439" s="922" t="s">
        <v>334</v>
      </c>
      <c r="D2439" s="1112"/>
      <c r="E2439" s="926">
        <v>234030</v>
      </c>
      <c r="F2439" s="916">
        <v>1</v>
      </c>
      <c r="G2439" s="1152"/>
      <c r="H2439" s="1153"/>
      <c r="I2439" s="1152"/>
      <c r="J2439" s="1153"/>
      <c r="K2439" s="1152"/>
      <c r="L2439" s="1153"/>
      <c r="M2439" s="1152"/>
      <c r="N2439" s="1152"/>
      <c r="O2439" s="732">
        <f t="shared" si="301"/>
        <v>0</v>
      </c>
      <c r="P2439" s="1153"/>
      <c r="Q2439" s="1153"/>
      <c r="R2439" s="733">
        <f t="shared" si="304"/>
        <v>0</v>
      </c>
      <c r="S2439" s="732">
        <f t="shared" si="305"/>
        <v>0</v>
      </c>
      <c r="T2439" s="733">
        <f t="shared" si="306"/>
        <v>0</v>
      </c>
      <c r="U2439" s="1152"/>
      <c r="V2439" s="1153"/>
      <c r="W2439" s="1152"/>
      <c r="X2439" s="1152"/>
      <c r="Y2439" s="732">
        <f t="shared" si="302"/>
        <v>0</v>
      </c>
      <c r="Z2439" s="1153"/>
      <c r="AA2439" s="1153"/>
      <c r="AB2439" s="733">
        <f t="shared" si="303"/>
        <v>0</v>
      </c>
      <c r="AC2439" s="1152">
        <v>35772216</v>
      </c>
      <c r="AD2439" s="1153">
        <v>29811964</v>
      </c>
      <c r="AE2439" s="1152">
        <v>60134804</v>
      </c>
      <c r="AF2439" s="1152"/>
      <c r="AG2439" s="1153">
        <v>61791746</v>
      </c>
      <c r="AH2439" s="1153"/>
      <c r="AI2439" s="732">
        <f t="shared" si="307"/>
        <v>95907020</v>
      </c>
      <c r="AJ2439" s="733">
        <f t="shared" si="308"/>
        <v>91603710</v>
      </c>
    </row>
    <row r="2440" spans="1:36">
      <c r="A2440" s="912" t="s">
        <v>750</v>
      </c>
      <c r="B2440" s="913" t="s">
        <v>62</v>
      </c>
      <c r="C2440" s="1111" t="s">
        <v>1284</v>
      </c>
      <c r="D2440" s="925"/>
      <c r="E2440" s="926">
        <v>233921</v>
      </c>
      <c r="F2440" s="916">
        <v>1</v>
      </c>
      <c r="G2440" s="1152">
        <v>159430866</v>
      </c>
      <c r="H2440" s="1153">
        <v>184293109</v>
      </c>
      <c r="I2440" s="1152">
        <v>8145894</v>
      </c>
      <c r="J2440" s="1153">
        <v>5388544</v>
      </c>
      <c r="K2440" s="1152"/>
      <c r="L2440" s="1153"/>
      <c r="M2440" s="1152">
        <v>631197448</v>
      </c>
      <c r="N2440" s="1152">
        <v>5192295</v>
      </c>
      <c r="O2440" s="732">
        <f t="shared" si="301"/>
        <v>636389743</v>
      </c>
      <c r="P2440" s="1153">
        <v>677381755.88402498</v>
      </c>
      <c r="Q2440" s="1153">
        <v>5192295</v>
      </c>
      <c r="R2440" s="733">
        <f t="shared" si="304"/>
        <v>682574050.88402498</v>
      </c>
      <c r="S2440" s="732">
        <f t="shared" si="305"/>
        <v>798774208</v>
      </c>
      <c r="T2440" s="733">
        <f t="shared" si="306"/>
        <v>867063408.88402498</v>
      </c>
      <c r="U2440" s="1152"/>
      <c r="V2440" s="1153"/>
      <c r="W2440" s="1152"/>
      <c r="X2440" s="1152"/>
      <c r="Y2440" s="732">
        <f t="shared" si="302"/>
        <v>0</v>
      </c>
      <c r="Z2440" s="1153"/>
      <c r="AA2440" s="1153"/>
      <c r="AB2440" s="733">
        <f t="shared" si="303"/>
        <v>0</v>
      </c>
      <c r="AC2440" s="1152"/>
      <c r="AD2440" s="1153"/>
      <c r="AE2440" s="1152"/>
      <c r="AF2440" s="1152"/>
      <c r="AG2440" s="1153"/>
      <c r="AH2440" s="1153"/>
      <c r="AI2440" s="732">
        <f t="shared" si="307"/>
        <v>798774208</v>
      </c>
      <c r="AJ2440" s="733">
        <f t="shared" si="308"/>
        <v>867063408.88402498</v>
      </c>
    </row>
    <row r="2441" spans="1:36">
      <c r="A2441" s="912" t="s">
        <v>750</v>
      </c>
      <c r="B2441" s="913" t="s">
        <v>64</v>
      </c>
      <c r="C2441" s="922" t="s">
        <v>66</v>
      </c>
      <c r="D2441" s="1112"/>
      <c r="E2441" s="926">
        <v>233921</v>
      </c>
      <c r="F2441" s="916">
        <v>1</v>
      </c>
      <c r="G2441" s="1152"/>
      <c r="H2441" s="1153"/>
      <c r="I2441" s="1152"/>
      <c r="J2441" s="1153"/>
      <c r="K2441" s="1152"/>
      <c r="L2441" s="1153"/>
      <c r="M2441" s="1152"/>
      <c r="N2441" s="1152"/>
      <c r="O2441" s="732">
        <f t="shared" si="301"/>
        <v>0</v>
      </c>
      <c r="P2441" s="1153"/>
      <c r="Q2441" s="1153"/>
      <c r="R2441" s="733">
        <f t="shared" si="304"/>
        <v>0</v>
      </c>
      <c r="S2441" s="732">
        <f t="shared" si="305"/>
        <v>0</v>
      </c>
      <c r="T2441" s="733">
        <f t="shared" si="306"/>
        <v>0</v>
      </c>
      <c r="U2441" s="1152"/>
      <c r="V2441" s="1153"/>
      <c r="W2441" s="1152"/>
      <c r="X2441" s="1152"/>
      <c r="Y2441" s="732">
        <f t="shared" si="302"/>
        <v>0</v>
      </c>
      <c r="Z2441" s="1153"/>
      <c r="AA2441" s="1153"/>
      <c r="AB2441" s="733">
        <f t="shared" si="303"/>
        <v>0</v>
      </c>
      <c r="AC2441" s="1152">
        <v>14345496</v>
      </c>
      <c r="AD2441" s="1153">
        <v>15199061</v>
      </c>
      <c r="AE2441" s="1152">
        <v>20328225</v>
      </c>
      <c r="AF2441" s="1152"/>
      <c r="AG2441" s="1153">
        <v>27837942</v>
      </c>
      <c r="AH2441" s="1153"/>
      <c r="AI2441" s="732">
        <f t="shared" si="307"/>
        <v>34673721</v>
      </c>
      <c r="AJ2441" s="733">
        <f t="shared" si="308"/>
        <v>43037003</v>
      </c>
    </row>
    <row r="2442" spans="1:36">
      <c r="A2442" s="912" t="s">
        <v>750</v>
      </c>
      <c r="B2442" s="913" t="s">
        <v>64</v>
      </c>
      <c r="C2442" s="922" t="s">
        <v>334</v>
      </c>
      <c r="D2442" s="1112"/>
      <c r="E2442" s="926">
        <v>233921</v>
      </c>
      <c r="F2442" s="916">
        <v>1</v>
      </c>
      <c r="G2442" s="1152"/>
      <c r="H2442" s="1153"/>
      <c r="I2442" s="1152"/>
      <c r="J2442" s="1153"/>
      <c r="K2442" s="1152"/>
      <c r="L2442" s="1153"/>
      <c r="M2442" s="1152"/>
      <c r="N2442" s="1152"/>
      <c r="O2442" s="732">
        <f t="shared" ref="O2442:O2505" si="309">SUM(M2442:N2442)</f>
        <v>0</v>
      </c>
      <c r="P2442" s="1153"/>
      <c r="Q2442" s="1153"/>
      <c r="R2442" s="733">
        <f t="shared" si="304"/>
        <v>0</v>
      </c>
      <c r="S2442" s="732">
        <f t="shared" si="305"/>
        <v>0</v>
      </c>
      <c r="T2442" s="733">
        <f t="shared" si="306"/>
        <v>0</v>
      </c>
      <c r="U2442" s="1152"/>
      <c r="V2442" s="1153"/>
      <c r="W2442" s="1152"/>
      <c r="X2442" s="1152"/>
      <c r="Y2442" s="732">
        <f t="shared" ref="Y2442:Y2505" si="310">SUM(W2442:X2442)</f>
        <v>0</v>
      </c>
      <c r="Z2442" s="1153"/>
      <c r="AA2442" s="1153"/>
      <c r="AB2442" s="733">
        <f t="shared" ref="AB2442:AB2505" si="311">SUM(Z2442:AA2442)</f>
        <v>0</v>
      </c>
      <c r="AC2442" s="1152"/>
      <c r="AD2442" s="1153"/>
      <c r="AE2442" s="1152"/>
      <c r="AF2442" s="1152"/>
      <c r="AG2442" s="1153"/>
      <c r="AH2442" s="1153"/>
      <c r="AI2442" s="732">
        <f t="shared" si="307"/>
        <v>0</v>
      </c>
      <c r="AJ2442" s="733">
        <f t="shared" si="308"/>
        <v>0</v>
      </c>
    </row>
    <row r="2443" spans="1:36">
      <c r="A2443" s="912" t="s">
        <v>750</v>
      </c>
      <c r="B2443" s="913" t="s">
        <v>74</v>
      </c>
      <c r="C2443" s="1113" t="s">
        <v>1285</v>
      </c>
      <c r="D2443" s="1112"/>
      <c r="E2443" s="926">
        <v>233921</v>
      </c>
      <c r="F2443" s="916">
        <v>1</v>
      </c>
      <c r="G2443" s="1152"/>
      <c r="H2443" s="1153"/>
      <c r="I2443" s="1152">
        <v>36200690</v>
      </c>
      <c r="J2443" s="1153">
        <v>37138397</v>
      </c>
      <c r="K2443" s="1152"/>
      <c r="L2443" s="1153"/>
      <c r="M2443" s="1152"/>
      <c r="N2443" s="1152"/>
      <c r="O2443" s="732">
        <f t="shared" si="309"/>
        <v>0</v>
      </c>
      <c r="P2443" s="1153"/>
      <c r="Q2443" s="1153"/>
      <c r="R2443" s="733">
        <f t="shared" ref="R2443:R2506" si="312">SUM(P2443:Q2443)</f>
        <v>0</v>
      </c>
      <c r="S2443" s="732">
        <f t="shared" ref="S2443:S2506" si="313">SUM(G2443,I2443,K2443,M2443)</f>
        <v>36200690</v>
      </c>
      <c r="T2443" s="733">
        <f t="shared" ref="T2443:T2506" si="314">SUM(H2443,J2443,L2443,P2443)</f>
        <v>37138397</v>
      </c>
      <c r="U2443" s="1152"/>
      <c r="V2443" s="1153"/>
      <c r="W2443" s="1152"/>
      <c r="X2443" s="1152"/>
      <c r="Y2443" s="732">
        <f t="shared" si="310"/>
        <v>0</v>
      </c>
      <c r="Z2443" s="1153"/>
      <c r="AA2443" s="1153"/>
      <c r="AB2443" s="733">
        <f t="shared" si="311"/>
        <v>0</v>
      </c>
      <c r="AC2443" s="1152"/>
      <c r="AD2443" s="1153"/>
      <c r="AE2443" s="1152"/>
      <c r="AF2443" s="1152"/>
      <c r="AG2443" s="1153"/>
      <c r="AH2443" s="1153"/>
      <c r="AI2443" s="732">
        <f t="shared" ref="AI2443:AI2506" si="315">SUM(S2443,U2443,W2443,AC2443,AE2443)</f>
        <v>36200690</v>
      </c>
      <c r="AJ2443" s="733">
        <f t="shared" ref="AJ2443:AJ2506" si="316">SUM(T2443,V2443,Z2443,AD2443,AG2443)</f>
        <v>37138397</v>
      </c>
    </row>
    <row r="2444" spans="1:36">
      <c r="A2444" s="912" t="s">
        <v>750</v>
      </c>
      <c r="B2444" s="913" t="s">
        <v>76</v>
      </c>
      <c r="C2444" s="1113" t="s">
        <v>1286</v>
      </c>
      <c r="D2444" s="1112"/>
      <c r="E2444" s="926">
        <v>233921</v>
      </c>
      <c r="F2444" s="916">
        <v>1</v>
      </c>
      <c r="G2444" s="1152"/>
      <c r="H2444" s="1153"/>
      <c r="I2444" s="1152">
        <v>36759974</v>
      </c>
      <c r="J2444" s="1153">
        <v>37735131</v>
      </c>
      <c r="K2444" s="1152"/>
      <c r="L2444" s="1153"/>
      <c r="M2444" s="1152"/>
      <c r="N2444" s="1152"/>
      <c r="O2444" s="732">
        <f t="shared" si="309"/>
        <v>0</v>
      </c>
      <c r="P2444" s="1153"/>
      <c r="Q2444" s="1153"/>
      <c r="R2444" s="733">
        <f t="shared" si="312"/>
        <v>0</v>
      </c>
      <c r="S2444" s="732">
        <f t="shared" si="313"/>
        <v>36759974</v>
      </c>
      <c r="T2444" s="733">
        <f t="shared" si="314"/>
        <v>37735131</v>
      </c>
      <c r="U2444" s="1152"/>
      <c r="V2444" s="1153"/>
      <c r="W2444" s="1152"/>
      <c r="X2444" s="1152"/>
      <c r="Y2444" s="732">
        <f t="shared" si="310"/>
        <v>0</v>
      </c>
      <c r="Z2444" s="1153"/>
      <c r="AA2444" s="1153"/>
      <c r="AB2444" s="733">
        <f t="shared" si="311"/>
        <v>0</v>
      </c>
      <c r="AC2444" s="1152"/>
      <c r="AD2444" s="1153"/>
      <c r="AE2444" s="1152"/>
      <c r="AF2444" s="1152"/>
      <c r="AG2444" s="1153"/>
      <c r="AH2444" s="1153"/>
      <c r="AI2444" s="732">
        <f t="shared" si="315"/>
        <v>36759974</v>
      </c>
      <c r="AJ2444" s="733">
        <f t="shared" si="316"/>
        <v>37735131</v>
      </c>
    </row>
    <row r="2445" spans="1:36">
      <c r="A2445" s="912" t="s">
        <v>750</v>
      </c>
      <c r="B2445" s="913" t="s">
        <v>62</v>
      </c>
      <c r="C2445" s="1111" t="s">
        <v>1287</v>
      </c>
      <c r="D2445" s="925"/>
      <c r="E2445" s="926">
        <v>231624</v>
      </c>
      <c r="F2445" s="916">
        <v>2</v>
      </c>
      <c r="G2445" s="1152">
        <v>47574032</v>
      </c>
      <c r="H2445" s="1153">
        <v>53238886</v>
      </c>
      <c r="I2445" s="1152">
        <v>75000</v>
      </c>
      <c r="J2445" s="1153">
        <v>75000</v>
      </c>
      <c r="K2445" s="1152"/>
      <c r="L2445" s="1153"/>
      <c r="M2445" s="1152">
        <v>223366936</v>
      </c>
      <c r="N2445" s="1152">
        <v>1639845</v>
      </c>
      <c r="O2445" s="732">
        <f t="shared" si="309"/>
        <v>225006781</v>
      </c>
      <c r="P2445" s="1153">
        <v>220188376</v>
      </c>
      <c r="Q2445" s="1153">
        <v>1639845</v>
      </c>
      <c r="R2445" s="733">
        <f t="shared" si="312"/>
        <v>221828221</v>
      </c>
      <c r="S2445" s="732">
        <f t="shared" si="313"/>
        <v>271015968</v>
      </c>
      <c r="T2445" s="733">
        <f t="shared" si="314"/>
        <v>273502262</v>
      </c>
      <c r="U2445" s="1152"/>
      <c r="V2445" s="1153"/>
      <c r="W2445" s="1152"/>
      <c r="X2445" s="1152"/>
      <c r="Y2445" s="732">
        <f t="shared" si="310"/>
        <v>0</v>
      </c>
      <c r="Z2445" s="1153"/>
      <c r="AA2445" s="1153"/>
      <c r="AB2445" s="733">
        <f t="shared" si="311"/>
        <v>0</v>
      </c>
      <c r="AC2445" s="1152"/>
      <c r="AD2445" s="1153"/>
      <c r="AE2445" s="1152"/>
      <c r="AF2445" s="1152"/>
      <c r="AG2445" s="1153"/>
      <c r="AH2445" s="1153"/>
      <c r="AI2445" s="732">
        <f t="shared" si="315"/>
        <v>271015968</v>
      </c>
      <c r="AJ2445" s="733">
        <f t="shared" si="316"/>
        <v>273502262</v>
      </c>
    </row>
    <row r="2446" spans="1:36">
      <c r="A2446" s="912" t="s">
        <v>750</v>
      </c>
      <c r="B2446" s="913" t="s">
        <v>78</v>
      </c>
      <c r="C2446" s="1113" t="s">
        <v>79</v>
      </c>
      <c r="D2446" s="1112"/>
      <c r="E2446" s="926">
        <v>231624</v>
      </c>
      <c r="F2446" s="916">
        <v>2</v>
      </c>
      <c r="G2446" s="1152"/>
      <c r="H2446" s="1153"/>
      <c r="I2446" s="1152"/>
      <c r="J2446" s="1153"/>
      <c r="K2446" s="1152"/>
      <c r="L2446" s="1153"/>
      <c r="M2446" s="1152"/>
      <c r="N2446" s="1152"/>
      <c r="O2446" s="732">
        <f t="shared" si="309"/>
        <v>0</v>
      </c>
      <c r="P2446" s="1153"/>
      <c r="Q2446" s="1153"/>
      <c r="R2446" s="733">
        <f t="shared" si="312"/>
        <v>0</v>
      </c>
      <c r="S2446" s="732">
        <f t="shared" si="313"/>
        <v>0</v>
      </c>
      <c r="T2446" s="733">
        <f t="shared" si="314"/>
        <v>0</v>
      </c>
      <c r="U2446" s="1152"/>
      <c r="V2446" s="1153"/>
      <c r="W2446" s="1152"/>
      <c r="X2446" s="1152"/>
      <c r="Y2446" s="732">
        <f t="shared" si="310"/>
        <v>0</v>
      </c>
      <c r="Z2446" s="1153"/>
      <c r="AA2446" s="1153"/>
      <c r="AB2446" s="733">
        <f t="shared" si="311"/>
        <v>0</v>
      </c>
      <c r="AC2446" s="1152"/>
      <c r="AD2446" s="1153"/>
      <c r="AE2446" s="1152"/>
      <c r="AF2446" s="1152"/>
      <c r="AG2446" s="1153"/>
      <c r="AH2446" s="1153"/>
      <c r="AI2446" s="732">
        <f t="shared" si="315"/>
        <v>0</v>
      </c>
      <c r="AJ2446" s="733">
        <f t="shared" si="316"/>
        <v>0</v>
      </c>
    </row>
    <row r="2447" spans="1:36">
      <c r="A2447" s="912" t="s">
        <v>750</v>
      </c>
      <c r="B2447" s="913" t="s">
        <v>78</v>
      </c>
      <c r="C2447" s="922" t="s">
        <v>1288</v>
      </c>
      <c r="D2447" s="1112"/>
      <c r="E2447" s="926">
        <v>231624</v>
      </c>
      <c r="F2447" s="916">
        <v>2</v>
      </c>
      <c r="G2447" s="1152"/>
      <c r="H2447" s="1153"/>
      <c r="I2447" s="1152">
        <v>24149502</v>
      </c>
      <c r="J2447" s="1153">
        <v>25158765</v>
      </c>
      <c r="K2447" s="1152"/>
      <c r="L2447" s="1153"/>
      <c r="M2447" s="1152"/>
      <c r="N2447" s="1152"/>
      <c r="O2447" s="732">
        <f t="shared" si="309"/>
        <v>0</v>
      </c>
      <c r="P2447" s="1153"/>
      <c r="Q2447" s="1153"/>
      <c r="R2447" s="733">
        <f t="shared" si="312"/>
        <v>0</v>
      </c>
      <c r="S2447" s="732">
        <f t="shared" si="313"/>
        <v>24149502</v>
      </c>
      <c r="T2447" s="733">
        <f t="shared" si="314"/>
        <v>25158765</v>
      </c>
      <c r="U2447" s="1152"/>
      <c r="V2447" s="1153"/>
      <c r="W2447" s="1152"/>
      <c r="X2447" s="1152"/>
      <c r="Y2447" s="732">
        <f t="shared" si="310"/>
        <v>0</v>
      </c>
      <c r="Z2447" s="1153"/>
      <c r="AA2447" s="1153"/>
      <c r="AB2447" s="733">
        <f t="shared" si="311"/>
        <v>0</v>
      </c>
      <c r="AC2447" s="1152"/>
      <c r="AD2447" s="1153"/>
      <c r="AE2447" s="1152"/>
      <c r="AF2447" s="1152"/>
      <c r="AG2447" s="1153"/>
      <c r="AH2447" s="1153"/>
      <c r="AI2447" s="732">
        <f t="shared" si="315"/>
        <v>24149502</v>
      </c>
      <c r="AJ2447" s="733">
        <f t="shared" si="316"/>
        <v>25158765</v>
      </c>
    </row>
    <row r="2448" spans="1:36" s="13" customFormat="1" ht="14.5" customHeight="1">
      <c r="A2448" s="912" t="s">
        <v>750</v>
      </c>
      <c r="B2448" s="913" t="s">
        <v>62</v>
      </c>
      <c r="C2448" s="1111" t="s">
        <v>1289</v>
      </c>
      <c r="D2448" s="1114"/>
      <c r="E2448" s="926">
        <v>232423</v>
      </c>
      <c r="F2448" s="916">
        <v>3</v>
      </c>
      <c r="G2448" s="1152">
        <v>92856420</v>
      </c>
      <c r="H2448" s="1153">
        <v>102410352</v>
      </c>
      <c r="I2448" s="1152"/>
      <c r="J2448" s="1153"/>
      <c r="K2448" s="1152"/>
      <c r="L2448" s="1153"/>
      <c r="M2448" s="1152">
        <v>250024959</v>
      </c>
      <c r="N2448" s="1152">
        <v>2843787</v>
      </c>
      <c r="O2448" s="732">
        <f t="shared" si="309"/>
        <v>252868746</v>
      </c>
      <c r="P2448" s="1153">
        <v>248181186</v>
      </c>
      <c r="Q2448" s="1153">
        <v>2843787</v>
      </c>
      <c r="R2448" s="733">
        <f t="shared" si="312"/>
        <v>251024973</v>
      </c>
      <c r="S2448" s="732">
        <f t="shared" si="313"/>
        <v>342881379</v>
      </c>
      <c r="T2448" s="733">
        <f t="shared" si="314"/>
        <v>350591538</v>
      </c>
      <c r="U2448" s="1152"/>
      <c r="V2448" s="1153"/>
      <c r="W2448" s="1152"/>
      <c r="X2448" s="1152"/>
      <c r="Y2448" s="732">
        <f t="shared" si="310"/>
        <v>0</v>
      </c>
      <c r="Z2448" s="1153"/>
      <c r="AA2448" s="1153"/>
      <c r="AB2448" s="733">
        <f t="shared" si="311"/>
        <v>0</v>
      </c>
      <c r="AC2448" s="1152"/>
      <c r="AD2448" s="1153"/>
      <c r="AE2448" s="1152"/>
      <c r="AF2448" s="1152"/>
      <c r="AG2448" s="1153"/>
      <c r="AH2448" s="1153"/>
      <c r="AI2448" s="732">
        <f t="shared" si="315"/>
        <v>342881379</v>
      </c>
      <c r="AJ2448" s="733">
        <f t="shared" si="316"/>
        <v>350591538</v>
      </c>
    </row>
    <row r="2449" spans="1:36" s="13" customFormat="1" ht="14.5" customHeight="1">
      <c r="A2449" s="912" t="s">
        <v>750</v>
      </c>
      <c r="B2449" s="913" t="s">
        <v>62</v>
      </c>
      <c r="C2449" s="914" t="s">
        <v>1290</v>
      </c>
      <c r="D2449" s="1115" t="s">
        <v>1785</v>
      </c>
      <c r="E2449" s="916">
        <v>232566</v>
      </c>
      <c r="F2449" s="1116">
        <v>5</v>
      </c>
      <c r="G2449" s="1152">
        <v>30304452</v>
      </c>
      <c r="H2449" s="1153">
        <v>32998893</v>
      </c>
      <c r="I2449" s="1152"/>
      <c r="J2449" s="1153"/>
      <c r="K2449" s="1152"/>
      <c r="L2449" s="1153"/>
      <c r="M2449" s="1152">
        <v>39989785.780000001</v>
      </c>
      <c r="N2449" s="1152">
        <v>106149</v>
      </c>
      <c r="O2449" s="732">
        <f t="shared" si="309"/>
        <v>40095934.780000001</v>
      </c>
      <c r="P2449" s="1153">
        <v>39762376</v>
      </c>
      <c r="Q2449" s="1153">
        <v>106149</v>
      </c>
      <c r="R2449" s="733">
        <f t="shared" si="312"/>
        <v>39868525</v>
      </c>
      <c r="S2449" s="732">
        <f t="shared" si="313"/>
        <v>70294237.780000001</v>
      </c>
      <c r="T2449" s="733">
        <f t="shared" si="314"/>
        <v>72761269</v>
      </c>
      <c r="U2449" s="1152"/>
      <c r="V2449" s="1153"/>
      <c r="W2449" s="1152"/>
      <c r="X2449" s="1152"/>
      <c r="Y2449" s="732">
        <f t="shared" si="310"/>
        <v>0</v>
      </c>
      <c r="Z2449" s="1153"/>
      <c r="AA2449" s="1153"/>
      <c r="AB2449" s="733">
        <f t="shared" si="311"/>
        <v>0</v>
      </c>
      <c r="AC2449" s="1152"/>
      <c r="AD2449" s="1153"/>
      <c r="AE2449" s="1152"/>
      <c r="AF2449" s="1152"/>
      <c r="AG2449" s="1153"/>
      <c r="AH2449" s="1153"/>
      <c r="AI2449" s="732">
        <f t="shared" si="315"/>
        <v>70294237.780000001</v>
      </c>
      <c r="AJ2449" s="733">
        <f t="shared" si="316"/>
        <v>72761269</v>
      </c>
    </row>
    <row r="2450" spans="1:36" s="13" customFormat="1" ht="14.5" customHeight="1">
      <c r="A2450" s="912" t="s">
        <v>750</v>
      </c>
      <c r="B2450" s="913" t="s">
        <v>62</v>
      </c>
      <c r="C2450" s="914" t="s">
        <v>1291</v>
      </c>
      <c r="D2450" s="1115" t="s">
        <v>1782</v>
      </c>
      <c r="E2450" s="916">
        <v>232937</v>
      </c>
      <c r="F2450" s="1116">
        <v>4</v>
      </c>
      <c r="G2450" s="1152">
        <v>49028930</v>
      </c>
      <c r="H2450" s="1153">
        <v>56420122</v>
      </c>
      <c r="I2450" s="1152"/>
      <c r="J2450" s="1153"/>
      <c r="K2450" s="1152"/>
      <c r="L2450" s="1153"/>
      <c r="M2450" s="1152">
        <v>51051032.399999999</v>
      </c>
      <c r="N2450" s="1152">
        <v>420789</v>
      </c>
      <c r="O2450" s="732">
        <f t="shared" si="309"/>
        <v>51471821.399999999</v>
      </c>
      <c r="P2450" s="1153">
        <v>49565701.310000002</v>
      </c>
      <c r="Q2450" s="1153">
        <v>420789</v>
      </c>
      <c r="R2450" s="733">
        <f t="shared" si="312"/>
        <v>49986490.310000002</v>
      </c>
      <c r="S2450" s="732">
        <f t="shared" si="313"/>
        <v>100079962.40000001</v>
      </c>
      <c r="T2450" s="733">
        <f t="shared" si="314"/>
        <v>105985823.31</v>
      </c>
      <c r="U2450" s="1152"/>
      <c r="V2450" s="1153"/>
      <c r="W2450" s="1152"/>
      <c r="X2450" s="1152"/>
      <c r="Y2450" s="732">
        <f t="shared" si="310"/>
        <v>0</v>
      </c>
      <c r="Z2450" s="1153"/>
      <c r="AA2450" s="1153"/>
      <c r="AB2450" s="733">
        <f t="shared" si="311"/>
        <v>0</v>
      </c>
      <c r="AC2450" s="1152"/>
      <c r="AD2450" s="1153"/>
      <c r="AE2450" s="1152"/>
      <c r="AF2450" s="1152"/>
      <c r="AG2450" s="1153"/>
      <c r="AH2450" s="1153"/>
      <c r="AI2450" s="732">
        <f t="shared" si="315"/>
        <v>100079962.40000001</v>
      </c>
      <c r="AJ2450" s="733">
        <f t="shared" si="316"/>
        <v>105985823.31</v>
      </c>
    </row>
    <row r="2451" spans="1:36" s="13" customFormat="1" ht="14.5" customHeight="1">
      <c r="A2451" s="912" t="s">
        <v>750</v>
      </c>
      <c r="B2451" s="913" t="s">
        <v>62</v>
      </c>
      <c r="C2451" s="914" t="s">
        <v>1292</v>
      </c>
      <c r="D2451" s="1114" t="s">
        <v>1784</v>
      </c>
      <c r="E2451" s="916">
        <v>233277</v>
      </c>
      <c r="F2451" s="916">
        <v>3</v>
      </c>
      <c r="G2451" s="1152">
        <v>56240403</v>
      </c>
      <c r="H2451" s="1153">
        <v>61615984</v>
      </c>
      <c r="I2451" s="1152"/>
      <c r="J2451" s="1153"/>
      <c r="K2451" s="1152"/>
      <c r="L2451" s="1153"/>
      <c r="M2451" s="1152">
        <v>90057374.579999998</v>
      </c>
      <c r="N2451" s="1152">
        <v>300486</v>
      </c>
      <c r="O2451" s="732">
        <f t="shared" si="309"/>
        <v>90357860.579999998</v>
      </c>
      <c r="P2451" s="1153">
        <v>84552607.010000005</v>
      </c>
      <c r="Q2451" s="1153">
        <v>300486</v>
      </c>
      <c r="R2451" s="733">
        <f t="shared" si="312"/>
        <v>84853093.010000005</v>
      </c>
      <c r="S2451" s="732">
        <f t="shared" si="313"/>
        <v>146297777.57999998</v>
      </c>
      <c r="T2451" s="733">
        <f t="shared" si="314"/>
        <v>146168591.00999999</v>
      </c>
      <c r="U2451" s="1152"/>
      <c r="V2451" s="1153"/>
      <c r="W2451" s="1152"/>
      <c r="X2451" s="1152"/>
      <c r="Y2451" s="732">
        <f t="shared" si="310"/>
        <v>0</v>
      </c>
      <c r="Z2451" s="1153"/>
      <c r="AA2451" s="1153"/>
      <c r="AB2451" s="733">
        <f t="shared" si="311"/>
        <v>0</v>
      </c>
      <c r="AC2451" s="1152"/>
      <c r="AD2451" s="1153"/>
      <c r="AE2451" s="1152"/>
      <c r="AF2451" s="1152"/>
      <c r="AG2451" s="1153"/>
      <c r="AH2451" s="1153"/>
      <c r="AI2451" s="732">
        <f t="shared" si="315"/>
        <v>146297777.57999998</v>
      </c>
      <c r="AJ2451" s="733">
        <f t="shared" si="316"/>
        <v>146168591.00999999</v>
      </c>
    </row>
    <row r="2452" spans="1:36" s="13" customFormat="1" ht="14.5" customHeight="1">
      <c r="A2452" s="912" t="s">
        <v>750</v>
      </c>
      <c r="B2452" s="913" t="s">
        <v>62</v>
      </c>
      <c r="C2452" s="1117" t="s">
        <v>1293</v>
      </c>
      <c r="D2452" s="1115" t="s">
        <v>1785</v>
      </c>
      <c r="E2452" s="916">
        <v>232681</v>
      </c>
      <c r="F2452" s="1116">
        <v>5</v>
      </c>
      <c r="G2452" s="1152">
        <v>28628274</v>
      </c>
      <c r="H2452" s="1153">
        <v>33089352</v>
      </c>
      <c r="I2452" s="1152">
        <v>1250000</v>
      </c>
      <c r="J2452" s="1153">
        <v>1250000</v>
      </c>
      <c r="K2452" s="1152"/>
      <c r="L2452" s="1153"/>
      <c r="M2452" s="1152">
        <v>46716023</v>
      </c>
      <c r="N2452" s="1152">
        <v>234834</v>
      </c>
      <c r="O2452" s="732">
        <f t="shared" si="309"/>
        <v>46950857</v>
      </c>
      <c r="P2452" s="1153">
        <v>43610723</v>
      </c>
      <c r="Q2452" s="1153">
        <v>234834</v>
      </c>
      <c r="R2452" s="733">
        <f t="shared" si="312"/>
        <v>43845557</v>
      </c>
      <c r="S2452" s="732">
        <f t="shared" si="313"/>
        <v>76594297</v>
      </c>
      <c r="T2452" s="733">
        <f t="shared" si="314"/>
        <v>77950075</v>
      </c>
      <c r="U2452" s="1152"/>
      <c r="V2452" s="1153"/>
      <c r="W2452" s="1152"/>
      <c r="X2452" s="1152"/>
      <c r="Y2452" s="732">
        <f t="shared" si="310"/>
        <v>0</v>
      </c>
      <c r="Z2452" s="1153"/>
      <c r="AA2452" s="1153"/>
      <c r="AB2452" s="733">
        <f t="shared" si="311"/>
        <v>0</v>
      </c>
      <c r="AC2452" s="1152"/>
      <c r="AD2452" s="1153"/>
      <c r="AE2452" s="1152"/>
      <c r="AF2452" s="1152"/>
      <c r="AG2452" s="1153"/>
      <c r="AH2452" s="1153"/>
      <c r="AI2452" s="732">
        <f t="shared" si="315"/>
        <v>76594297</v>
      </c>
      <c r="AJ2452" s="733">
        <f t="shared" si="316"/>
        <v>77950075</v>
      </c>
    </row>
    <row r="2453" spans="1:36">
      <c r="A2453" s="912" t="s">
        <v>750</v>
      </c>
      <c r="B2453" s="913" t="s">
        <v>62</v>
      </c>
      <c r="C2453" s="1111" t="s">
        <v>1294</v>
      </c>
      <c r="D2453" s="915"/>
      <c r="E2453" s="916">
        <v>234155</v>
      </c>
      <c r="F2453" s="916">
        <v>3</v>
      </c>
      <c r="G2453" s="1152">
        <v>38270868</v>
      </c>
      <c r="H2453" s="1153">
        <v>43724756</v>
      </c>
      <c r="I2453" s="1152"/>
      <c r="J2453" s="1153"/>
      <c r="K2453" s="1152"/>
      <c r="L2453" s="1153"/>
      <c r="M2453" s="1152">
        <v>39229645</v>
      </c>
      <c r="N2453" s="1152">
        <v>773577</v>
      </c>
      <c r="O2453" s="732">
        <f t="shared" si="309"/>
        <v>40003222</v>
      </c>
      <c r="P2453" s="1153">
        <v>36679846</v>
      </c>
      <c r="Q2453" s="1153">
        <v>773577</v>
      </c>
      <c r="R2453" s="733">
        <f t="shared" si="312"/>
        <v>37453423</v>
      </c>
      <c r="S2453" s="732">
        <f t="shared" si="313"/>
        <v>77500513</v>
      </c>
      <c r="T2453" s="733">
        <f t="shared" si="314"/>
        <v>80404602</v>
      </c>
      <c r="U2453" s="1152"/>
      <c r="V2453" s="1153"/>
      <c r="W2453" s="1152"/>
      <c r="X2453" s="1152"/>
      <c r="Y2453" s="732">
        <f t="shared" si="310"/>
        <v>0</v>
      </c>
      <c r="Z2453" s="1153"/>
      <c r="AA2453" s="1153"/>
      <c r="AB2453" s="733">
        <f t="shared" si="311"/>
        <v>0</v>
      </c>
      <c r="AC2453" s="1152"/>
      <c r="AD2453" s="1153"/>
      <c r="AE2453" s="1152"/>
      <c r="AF2453" s="1152"/>
      <c r="AG2453" s="1153"/>
      <c r="AH2453" s="1153"/>
      <c r="AI2453" s="732">
        <f t="shared" si="315"/>
        <v>77500513</v>
      </c>
      <c r="AJ2453" s="733">
        <f t="shared" si="316"/>
        <v>80404602</v>
      </c>
    </row>
    <row r="2454" spans="1:36">
      <c r="A2454" s="912" t="s">
        <v>750</v>
      </c>
      <c r="B2454" s="913" t="s">
        <v>74</v>
      </c>
      <c r="C2454" s="1113" t="s">
        <v>75</v>
      </c>
      <c r="D2454" s="918"/>
      <c r="E2454" s="926">
        <v>234155</v>
      </c>
      <c r="F2454" s="916">
        <v>3</v>
      </c>
      <c r="G2454" s="1152"/>
      <c r="H2454" s="1153"/>
      <c r="I2454" s="1152">
        <v>5590340</v>
      </c>
      <c r="J2454" s="1153">
        <v>7126822</v>
      </c>
      <c r="K2454" s="1152"/>
      <c r="L2454" s="1153"/>
      <c r="M2454" s="1152"/>
      <c r="N2454" s="1152"/>
      <c r="O2454" s="732">
        <f t="shared" si="309"/>
        <v>0</v>
      </c>
      <c r="P2454" s="1153"/>
      <c r="Q2454" s="1153"/>
      <c r="R2454" s="733">
        <f t="shared" si="312"/>
        <v>0</v>
      </c>
      <c r="S2454" s="732">
        <f t="shared" si="313"/>
        <v>5590340</v>
      </c>
      <c r="T2454" s="733">
        <f t="shared" si="314"/>
        <v>7126822</v>
      </c>
      <c r="U2454" s="1152"/>
      <c r="V2454" s="1153"/>
      <c r="W2454" s="1152"/>
      <c r="X2454" s="1152"/>
      <c r="Y2454" s="732">
        <f t="shared" si="310"/>
        <v>0</v>
      </c>
      <c r="Z2454" s="1153"/>
      <c r="AA2454" s="1153"/>
      <c r="AB2454" s="733">
        <f t="shared" si="311"/>
        <v>0</v>
      </c>
      <c r="AC2454" s="1152"/>
      <c r="AD2454" s="1153"/>
      <c r="AE2454" s="1152"/>
      <c r="AF2454" s="1152"/>
      <c r="AG2454" s="1153"/>
      <c r="AH2454" s="1153"/>
      <c r="AI2454" s="732">
        <f t="shared" si="315"/>
        <v>5590340</v>
      </c>
      <c r="AJ2454" s="733">
        <f t="shared" si="316"/>
        <v>7126822</v>
      </c>
    </row>
    <row r="2455" spans="1:36" s="13" customFormat="1" ht="14.5" customHeight="1">
      <c r="A2455" s="912" t="s">
        <v>750</v>
      </c>
      <c r="B2455" s="913" t="s">
        <v>62</v>
      </c>
      <c r="C2455" s="914" t="s">
        <v>1295</v>
      </c>
      <c r="D2455" s="1114"/>
      <c r="E2455" s="926">
        <v>231712</v>
      </c>
      <c r="F2455" s="916">
        <v>5</v>
      </c>
      <c r="G2455" s="1152">
        <v>31947238</v>
      </c>
      <c r="H2455" s="1153">
        <v>35648951</v>
      </c>
      <c r="I2455" s="1152"/>
      <c r="J2455" s="1153"/>
      <c r="K2455" s="1152"/>
      <c r="L2455" s="1153"/>
      <c r="M2455" s="1152">
        <v>48733291</v>
      </c>
      <c r="N2455" s="1152">
        <v>131508</v>
      </c>
      <c r="O2455" s="732">
        <f t="shared" si="309"/>
        <v>48864799</v>
      </c>
      <c r="P2455" s="1153">
        <v>49324576.710000001</v>
      </c>
      <c r="Q2455" s="1153">
        <v>131508</v>
      </c>
      <c r="R2455" s="733">
        <f t="shared" si="312"/>
        <v>49456084.710000001</v>
      </c>
      <c r="S2455" s="732">
        <f t="shared" si="313"/>
        <v>80680529</v>
      </c>
      <c r="T2455" s="733">
        <f t="shared" si="314"/>
        <v>84973527.710000008</v>
      </c>
      <c r="U2455" s="1152"/>
      <c r="V2455" s="1153"/>
      <c r="W2455" s="1152"/>
      <c r="X2455" s="1152"/>
      <c r="Y2455" s="732">
        <f t="shared" si="310"/>
        <v>0</v>
      </c>
      <c r="Z2455" s="1153"/>
      <c r="AA2455" s="1153"/>
      <c r="AB2455" s="733">
        <f t="shared" si="311"/>
        <v>0</v>
      </c>
      <c r="AC2455" s="1152"/>
      <c r="AD2455" s="1153"/>
      <c r="AE2455" s="1152"/>
      <c r="AF2455" s="1152"/>
      <c r="AG2455" s="1153"/>
      <c r="AH2455" s="1153"/>
      <c r="AI2455" s="732">
        <f t="shared" si="315"/>
        <v>80680529</v>
      </c>
      <c r="AJ2455" s="733">
        <f t="shared" si="316"/>
        <v>84973527.710000008</v>
      </c>
    </row>
    <row r="2456" spans="1:36">
      <c r="A2456" s="912" t="s">
        <v>750</v>
      </c>
      <c r="B2456" s="913" t="s">
        <v>62</v>
      </c>
      <c r="C2456" s="1111" t="s">
        <v>1296</v>
      </c>
      <c r="D2456" s="918"/>
      <c r="E2456" s="926">
        <v>233897</v>
      </c>
      <c r="F2456" s="916">
        <v>6</v>
      </c>
      <c r="G2456" s="1152">
        <v>20553230</v>
      </c>
      <c r="H2456" s="1153">
        <v>19887822</v>
      </c>
      <c r="I2456" s="1152"/>
      <c r="J2456" s="1153"/>
      <c r="K2456" s="1152"/>
      <c r="L2456" s="1153"/>
      <c r="M2456" s="1152">
        <v>11871806</v>
      </c>
      <c r="N2456" s="1152">
        <v>48330</v>
      </c>
      <c r="O2456" s="732">
        <f t="shared" si="309"/>
        <v>11920136</v>
      </c>
      <c r="P2456" s="1153">
        <v>11026665.859999999</v>
      </c>
      <c r="Q2456" s="1153">
        <v>48330</v>
      </c>
      <c r="R2456" s="733">
        <f t="shared" si="312"/>
        <v>11074995.859999999</v>
      </c>
      <c r="S2456" s="732">
        <f t="shared" si="313"/>
        <v>32425036</v>
      </c>
      <c r="T2456" s="733">
        <f t="shared" si="314"/>
        <v>30914487.859999999</v>
      </c>
      <c r="U2456" s="1152"/>
      <c r="V2456" s="1153"/>
      <c r="W2456" s="1152"/>
      <c r="X2456" s="1152"/>
      <c r="Y2456" s="732">
        <f t="shared" si="310"/>
        <v>0</v>
      </c>
      <c r="Z2456" s="1153"/>
      <c r="AA2456" s="1153"/>
      <c r="AB2456" s="733">
        <f t="shared" si="311"/>
        <v>0</v>
      </c>
      <c r="AC2456" s="1152"/>
      <c r="AD2456" s="1153"/>
      <c r="AE2456" s="1152"/>
      <c r="AF2456" s="1152"/>
      <c r="AG2456" s="1153"/>
      <c r="AH2456" s="1153"/>
      <c r="AI2456" s="732">
        <f t="shared" si="315"/>
        <v>32425036</v>
      </c>
      <c r="AJ2456" s="733">
        <f t="shared" si="316"/>
        <v>30914487.859999999</v>
      </c>
    </row>
    <row r="2457" spans="1:36">
      <c r="A2457" s="912" t="s">
        <v>750</v>
      </c>
      <c r="B2457" s="913" t="s">
        <v>62</v>
      </c>
      <c r="C2457" s="1111" t="s">
        <v>1297</v>
      </c>
      <c r="D2457" s="918"/>
      <c r="E2457" s="926">
        <v>232414</v>
      </c>
      <c r="F2457" s="916">
        <v>8</v>
      </c>
      <c r="G2457" s="1152"/>
      <c r="H2457" s="1153"/>
      <c r="I2457" s="1152"/>
      <c r="J2457" s="1153"/>
      <c r="K2457" s="1152"/>
      <c r="L2457" s="1153"/>
      <c r="M2457" s="1152"/>
      <c r="N2457" s="1152"/>
      <c r="O2457" s="732">
        <f t="shared" si="309"/>
        <v>0</v>
      </c>
      <c r="P2457" s="1153"/>
      <c r="Q2457" s="1153"/>
      <c r="R2457" s="733">
        <f t="shared" si="312"/>
        <v>0</v>
      </c>
      <c r="S2457" s="732">
        <f t="shared" si="313"/>
        <v>0</v>
      </c>
      <c r="T2457" s="733">
        <f t="shared" si="314"/>
        <v>0</v>
      </c>
      <c r="U2457" s="1152"/>
      <c r="V2457" s="1153"/>
      <c r="W2457" s="1152"/>
      <c r="X2457" s="1152"/>
      <c r="Y2457" s="732">
        <f t="shared" si="310"/>
        <v>0</v>
      </c>
      <c r="Z2457" s="1153"/>
      <c r="AA2457" s="1153"/>
      <c r="AB2457" s="733">
        <f t="shared" si="311"/>
        <v>0</v>
      </c>
      <c r="AC2457" s="1152"/>
      <c r="AD2457" s="1153"/>
      <c r="AE2457" s="1152"/>
      <c r="AF2457" s="1152"/>
      <c r="AG2457" s="1153"/>
      <c r="AH2457" s="1153"/>
      <c r="AI2457" s="732">
        <f t="shared" si="315"/>
        <v>0</v>
      </c>
      <c r="AJ2457" s="733">
        <f t="shared" si="316"/>
        <v>0</v>
      </c>
    </row>
    <row r="2458" spans="1:36">
      <c r="A2458" s="912" t="s">
        <v>750</v>
      </c>
      <c r="B2458" s="913" t="s">
        <v>62</v>
      </c>
      <c r="C2458" s="1111" t="s">
        <v>1298</v>
      </c>
      <c r="D2458" s="1118"/>
      <c r="E2458" s="916">
        <v>232450</v>
      </c>
      <c r="F2458" s="916">
        <v>8</v>
      </c>
      <c r="G2458" s="1152"/>
      <c r="H2458" s="1153"/>
      <c r="I2458" s="1152"/>
      <c r="J2458" s="1153"/>
      <c r="K2458" s="1152"/>
      <c r="L2458" s="1153"/>
      <c r="M2458" s="1152"/>
      <c r="N2458" s="1152"/>
      <c r="O2458" s="732">
        <f t="shared" si="309"/>
        <v>0</v>
      </c>
      <c r="P2458" s="1153"/>
      <c r="Q2458" s="1153"/>
      <c r="R2458" s="733">
        <f t="shared" si="312"/>
        <v>0</v>
      </c>
      <c r="S2458" s="732">
        <f t="shared" si="313"/>
        <v>0</v>
      </c>
      <c r="T2458" s="733">
        <f t="shared" si="314"/>
        <v>0</v>
      </c>
      <c r="U2458" s="1152"/>
      <c r="V2458" s="1153"/>
      <c r="W2458" s="1152"/>
      <c r="X2458" s="1152"/>
      <c r="Y2458" s="732">
        <f t="shared" si="310"/>
        <v>0</v>
      </c>
      <c r="Z2458" s="1153"/>
      <c r="AA2458" s="1153"/>
      <c r="AB2458" s="733">
        <f t="shared" si="311"/>
        <v>0</v>
      </c>
      <c r="AC2458" s="1152"/>
      <c r="AD2458" s="1153"/>
      <c r="AE2458" s="1152"/>
      <c r="AF2458" s="1152"/>
      <c r="AG2458" s="1153"/>
      <c r="AH2458" s="1153"/>
      <c r="AI2458" s="732">
        <f t="shared" si="315"/>
        <v>0</v>
      </c>
      <c r="AJ2458" s="733">
        <f t="shared" si="316"/>
        <v>0</v>
      </c>
    </row>
    <row r="2459" spans="1:36">
      <c r="A2459" s="912" t="s">
        <v>750</v>
      </c>
      <c r="B2459" s="913" t="s">
        <v>62</v>
      </c>
      <c r="C2459" s="1111" t="s">
        <v>1299</v>
      </c>
      <c r="D2459" s="918"/>
      <c r="E2459" s="926">
        <v>232946</v>
      </c>
      <c r="F2459" s="916">
        <v>8</v>
      </c>
      <c r="G2459" s="1152"/>
      <c r="H2459" s="1153"/>
      <c r="I2459" s="1152"/>
      <c r="J2459" s="1153"/>
      <c r="K2459" s="1152"/>
      <c r="L2459" s="1153"/>
      <c r="M2459" s="1152"/>
      <c r="N2459" s="1152"/>
      <c r="O2459" s="732">
        <f t="shared" si="309"/>
        <v>0</v>
      </c>
      <c r="P2459" s="1153"/>
      <c r="Q2459" s="1153"/>
      <c r="R2459" s="733">
        <f t="shared" si="312"/>
        <v>0</v>
      </c>
      <c r="S2459" s="732">
        <f t="shared" si="313"/>
        <v>0</v>
      </c>
      <c r="T2459" s="733">
        <f t="shared" si="314"/>
        <v>0</v>
      </c>
      <c r="U2459" s="1152"/>
      <c r="V2459" s="1153"/>
      <c r="W2459" s="1152"/>
      <c r="X2459" s="1152"/>
      <c r="Y2459" s="732">
        <f t="shared" si="310"/>
        <v>0</v>
      </c>
      <c r="Z2459" s="1153"/>
      <c r="AA2459" s="1153"/>
      <c r="AB2459" s="733">
        <f t="shared" si="311"/>
        <v>0</v>
      </c>
      <c r="AC2459" s="1152"/>
      <c r="AD2459" s="1153"/>
      <c r="AE2459" s="1152"/>
      <c r="AF2459" s="1152"/>
      <c r="AG2459" s="1153"/>
      <c r="AH2459" s="1153"/>
      <c r="AI2459" s="732">
        <f t="shared" si="315"/>
        <v>0</v>
      </c>
      <c r="AJ2459" s="733">
        <f t="shared" si="316"/>
        <v>0</v>
      </c>
    </row>
    <row r="2460" spans="1:36" ht="14.5">
      <c r="A2460" s="912" t="s">
        <v>750</v>
      </c>
      <c r="B2460" s="913" t="s">
        <v>62</v>
      </c>
      <c r="C2460" s="1111" t="s">
        <v>1300</v>
      </c>
      <c r="D2460" s="1114" t="s">
        <v>1810</v>
      </c>
      <c r="E2460" s="926">
        <v>233754</v>
      </c>
      <c r="F2460" s="916">
        <v>8</v>
      </c>
      <c r="G2460" s="1152"/>
      <c r="H2460" s="1153"/>
      <c r="I2460" s="1152"/>
      <c r="J2460" s="1153"/>
      <c r="K2460" s="1152"/>
      <c r="L2460" s="1153"/>
      <c r="M2460" s="1152"/>
      <c r="N2460" s="1152"/>
      <c r="O2460" s="732">
        <f t="shared" si="309"/>
        <v>0</v>
      </c>
      <c r="P2460" s="1153"/>
      <c r="Q2460" s="1153"/>
      <c r="R2460" s="733">
        <f t="shared" si="312"/>
        <v>0</v>
      </c>
      <c r="S2460" s="732">
        <f t="shared" si="313"/>
        <v>0</v>
      </c>
      <c r="T2460" s="733">
        <f t="shared" si="314"/>
        <v>0</v>
      </c>
      <c r="U2460" s="1152"/>
      <c r="V2460" s="1153"/>
      <c r="W2460" s="1152"/>
      <c r="X2460" s="1152"/>
      <c r="Y2460" s="732">
        <f t="shared" si="310"/>
        <v>0</v>
      </c>
      <c r="Z2460" s="1153"/>
      <c r="AA2460" s="1153"/>
      <c r="AB2460" s="733">
        <f t="shared" si="311"/>
        <v>0</v>
      </c>
      <c r="AC2460" s="1152"/>
      <c r="AD2460" s="1153"/>
      <c r="AE2460" s="1152"/>
      <c r="AF2460" s="1152"/>
      <c r="AG2460" s="1153"/>
      <c r="AH2460" s="1153"/>
      <c r="AI2460" s="732">
        <f t="shared" si="315"/>
        <v>0</v>
      </c>
      <c r="AJ2460" s="733">
        <f t="shared" si="316"/>
        <v>0</v>
      </c>
    </row>
    <row r="2461" spans="1:36">
      <c r="A2461" s="912" t="s">
        <v>750</v>
      </c>
      <c r="B2461" s="913" t="s">
        <v>62</v>
      </c>
      <c r="C2461" s="1111" t="s">
        <v>1301</v>
      </c>
      <c r="D2461" s="918"/>
      <c r="E2461" s="926">
        <v>233772</v>
      </c>
      <c r="F2461" s="916">
        <v>8</v>
      </c>
      <c r="G2461" s="1152"/>
      <c r="H2461" s="1153"/>
      <c r="I2461" s="1152"/>
      <c r="J2461" s="1153"/>
      <c r="K2461" s="1152"/>
      <c r="L2461" s="1153"/>
      <c r="M2461" s="1152"/>
      <c r="N2461" s="1152"/>
      <c r="O2461" s="732">
        <f t="shared" si="309"/>
        <v>0</v>
      </c>
      <c r="P2461" s="1153"/>
      <c r="Q2461" s="1153"/>
      <c r="R2461" s="733">
        <f t="shared" si="312"/>
        <v>0</v>
      </c>
      <c r="S2461" s="732">
        <f t="shared" si="313"/>
        <v>0</v>
      </c>
      <c r="T2461" s="733">
        <f t="shared" si="314"/>
        <v>0</v>
      </c>
      <c r="U2461" s="1152"/>
      <c r="V2461" s="1153"/>
      <c r="W2461" s="1152"/>
      <c r="X2461" s="1152"/>
      <c r="Y2461" s="732">
        <f t="shared" si="310"/>
        <v>0</v>
      </c>
      <c r="Z2461" s="1153"/>
      <c r="AA2461" s="1153"/>
      <c r="AB2461" s="733">
        <f t="shared" si="311"/>
        <v>0</v>
      </c>
      <c r="AC2461" s="1152"/>
      <c r="AD2461" s="1153"/>
      <c r="AE2461" s="1152"/>
      <c r="AF2461" s="1152"/>
      <c r="AG2461" s="1153"/>
      <c r="AH2461" s="1153"/>
      <c r="AI2461" s="732">
        <f t="shared" si="315"/>
        <v>0</v>
      </c>
      <c r="AJ2461" s="733">
        <f t="shared" si="316"/>
        <v>0</v>
      </c>
    </row>
    <row r="2462" spans="1:36">
      <c r="A2462" s="912" t="s">
        <v>750</v>
      </c>
      <c r="B2462" s="913" t="s">
        <v>62</v>
      </c>
      <c r="C2462" s="1111" t="s">
        <v>1302</v>
      </c>
      <c r="D2462" s="918"/>
      <c r="E2462" s="926">
        <v>231536</v>
      </c>
      <c r="F2462" s="916">
        <v>9</v>
      </c>
      <c r="G2462" s="1152"/>
      <c r="H2462" s="1153"/>
      <c r="I2462" s="1152"/>
      <c r="J2462" s="1153"/>
      <c r="K2462" s="1152"/>
      <c r="L2462" s="1153"/>
      <c r="M2462" s="1152"/>
      <c r="N2462" s="1152"/>
      <c r="O2462" s="732">
        <f t="shared" si="309"/>
        <v>0</v>
      </c>
      <c r="P2462" s="1153"/>
      <c r="Q2462" s="1153"/>
      <c r="R2462" s="733">
        <f t="shared" si="312"/>
        <v>0</v>
      </c>
      <c r="S2462" s="732">
        <f t="shared" si="313"/>
        <v>0</v>
      </c>
      <c r="T2462" s="733">
        <f t="shared" si="314"/>
        <v>0</v>
      </c>
      <c r="U2462" s="1152"/>
      <c r="V2462" s="1153"/>
      <c r="W2462" s="1152"/>
      <c r="X2462" s="1152"/>
      <c r="Y2462" s="732">
        <f t="shared" si="310"/>
        <v>0</v>
      </c>
      <c r="Z2462" s="1153"/>
      <c r="AA2462" s="1153"/>
      <c r="AB2462" s="733">
        <f t="shared" si="311"/>
        <v>0</v>
      </c>
      <c r="AC2462" s="1152"/>
      <c r="AD2462" s="1153"/>
      <c r="AE2462" s="1152"/>
      <c r="AF2462" s="1152"/>
      <c r="AG2462" s="1153"/>
      <c r="AH2462" s="1153"/>
      <c r="AI2462" s="732">
        <f t="shared" si="315"/>
        <v>0</v>
      </c>
      <c r="AJ2462" s="733">
        <f t="shared" si="316"/>
        <v>0</v>
      </c>
    </row>
    <row r="2463" spans="1:36">
      <c r="A2463" s="912" t="s">
        <v>750</v>
      </c>
      <c r="B2463" s="913" t="s">
        <v>62</v>
      </c>
      <c r="C2463" s="1111" t="s">
        <v>1303</v>
      </c>
      <c r="D2463" s="918"/>
      <c r="E2463" s="926">
        <v>231697</v>
      </c>
      <c r="F2463" s="916">
        <v>9</v>
      </c>
      <c r="G2463" s="1152"/>
      <c r="H2463" s="1153"/>
      <c r="I2463" s="1152"/>
      <c r="J2463" s="1153"/>
      <c r="K2463" s="1152"/>
      <c r="L2463" s="1153"/>
      <c r="M2463" s="1152"/>
      <c r="N2463" s="1152"/>
      <c r="O2463" s="732">
        <f t="shared" si="309"/>
        <v>0</v>
      </c>
      <c r="P2463" s="1153"/>
      <c r="Q2463" s="1153"/>
      <c r="R2463" s="733">
        <f t="shared" si="312"/>
        <v>0</v>
      </c>
      <c r="S2463" s="732">
        <f t="shared" si="313"/>
        <v>0</v>
      </c>
      <c r="T2463" s="733">
        <f t="shared" si="314"/>
        <v>0</v>
      </c>
      <c r="U2463" s="1152"/>
      <c r="V2463" s="1153"/>
      <c r="W2463" s="1152"/>
      <c r="X2463" s="1152"/>
      <c r="Y2463" s="732">
        <f t="shared" si="310"/>
        <v>0</v>
      </c>
      <c r="Z2463" s="1153"/>
      <c r="AA2463" s="1153"/>
      <c r="AB2463" s="733">
        <f t="shared" si="311"/>
        <v>0</v>
      </c>
      <c r="AC2463" s="1152"/>
      <c r="AD2463" s="1153"/>
      <c r="AE2463" s="1152"/>
      <c r="AF2463" s="1152"/>
      <c r="AG2463" s="1153"/>
      <c r="AH2463" s="1153"/>
      <c r="AI2463" s="732">
        <f t="shared" si="315"/>
        <v>0</v>
      </c>
      <c r="AJ2463" s="733">
        <f t="shared" si="316"/>
        <v>0</v>
      </c>
    </row>
    <row r="2464" spans="1:36">
      <c r="A2464" s="912" t="s">
        <v>750</v>
      </c>
      <c r="B2464" s="913" t="s">
        <v>62</v>
      </c>
      <c r="C2464" s="1111" t="s">
        <v>1305</v>
      </c>
      <c r="D2464" s="918"/>
      <c r="E2464" s="926">
        <v>232195</v>
      </c>
      <c r="F2464" s="916">
        <v>9</v>
      </c>
      <c r="G2464" s="1152"/>
      <c r="H2464" s="1153"/>
      <c r="I2464" s="1152"/>
      <c r="J2464" s="1153"/>
      <c r="K2464" s="1152"/>
      <c r="L2464" s="1153"/>
      <c r="M2464" s="1152"/>
      <c r="N2464" s="1152"/>
      <c r="O2464" s="732">
        <f t="shared" si="309"/>
        <v>0</v>
      </c>
      <c r="P2464" s="1153"/>
      <c r="Q2464" s="1153"/>
      <c r="R2464" s="733">
        <f t="shared" si="312"/>
        <v>0</v>
      </c>
      <c r="S2464" s="732">
        <f t="shared" si="313"/>
        <v>0</v>
      </c>
      <c r="T2464" s="733">
        <f t="shared" si="314"/>
        <v>0</v>
      </c>
      <c r="U2464" s="1152"/>
      <c r="V2464" s="1153"/>
      <c r="W2464" s="1152"/>
      <c r="X2464" s="1152"/>
      <c r="Y2464" s="732">
        <f t="shared" si="310"/>
        <v>0</v>
      </c>
      <c r="Z2464" s="1153"/>
      <c r="AA2464" s="1153"/>
      <c r="AB2464" s="733">
        <f t="shared" si="311"/>
        <v>0</v>
      </c>
      <c r="AC2464" s="1152"/>
      <c r="AD2464" s="1153"/>
      <c r="AE2464" s="1152"/>
      <c r="AF2464" s="1152"/>
      <c r="AG2464" s="1153"/>
      <c r="AH2464" s="1153"/>
      <c r="AI2464" s="732">
        <f t="shared" si="315"/>
        <v>0</v>
      </c>
      <c r="AJ2464" s="733">
        <f t="shared" si="316"/>
        <v>0</v>
      </c>
    </row>
    <row r="2465" spans="1:36">
      <c r="A2465" s="912" t="s">
        <v>750</v>
      </c>
      <c r="B2465" s="913" t="s">
        <v>62</v>
      </c>
      <c r="C2465" s="1111" t="s">
        <v>1306</v>
      </c>
      <c r="D2465" s="918"/>
      <c r="E2465" s="926">
        <v>232575</v>
      </c>
      <c r="F2465" s="916">
        <v>9</v>
      </c>
      <c r="G2465" s="1152"/>
      <c r="H2465" s="1153"/>
      <c r="I2465" s="1152"/>
      <c r="J2465" s="1153"/>
      <c r="K2465" s="1152"/>
      <c r="L2465" s="1153"/>
      <c r="M2465" s="1152"/>
      <c r="N2465" s="1152"/>
      <c r="O2465" s="732">
        <f t="shared" si="309"/>
        <v>0</v>
      </c>
      <c r="P2465" s="1153"/>
      <c r="Q2465" s="1153"/>
      <c r="R2465" s="733">
        <f t="shared" si="312"/>
        <v>0</v>
      </c>
      <c r="S2465" s="732">
        <f t="shared" si="313"/>
        <v>0</v>
      </c>
      <c r="T2465" s="733">
        <f t="shared" si="314"/>
        <v>0</v>
      </c>
      <c r="U2465" s="1152"/>
      <c r="V2465" s="1153"/>
      <c r="W2465" s="1152"/>
      <c r="X2465" s="1152"/>
      <c r="Y2465" s="732">
        <f t="shared" si="310"/>
        <v>0</v>
      </c>
      <c r="Z2465" s="1153"/>
      <c r="AA2465" s="1153"/>
      <c r="AB2465" s="733">
        <f t="shared" si="311"/>
        <v>0</v>
      </c>
      <c r="AC2465" s="1152"/>
      <c r="AD2465" s="1153"/>
      <c r="AE2465" s="1152"/>
      <c r="AF2465" s="1152"/>
      <c r="AG2465" s="1153"/>
      <c r="AH2465" s="1153"/>
      <c r="AI2465" s="732">
        <f t="shared" si="315"/>
        <v>0</v>
      </c>
      <c r="AJ2465" s="733">
        <f t="shared" si="316"/>
        <v>0</v>
      </c>
    </row>
    <row r="2466" spans="1:36">
      <c r="A2466" s="912" t="s">
        <v>750</v>
      </c>
      <c r="B2466" s="913" t="s">
        <v>62</v>
      </c>
      <c r="C2466" s="1111" t="s">
        <v>1307</v>
      </c>
      <c r="D2466" s="918"/>
      <c r="E2466" s="926">
        <v>232867</v>
      </c>
      <c r="F2466" s="916">
        <v>9</v>
      </c>
      <c r="G2466" s="1152"/>
      <c r="H2466" s="1153"/>
      <c r="I2466" s="1152"/>
      <c r="J2466" s="1153"/>
      <c r="K2466" s="1152"/>
      <c r="L2466" s="1153"/>
      <c r="M2466" s="1152"/>
      <c r="N2466" s="1152"/>
      <c r="O2466" s="732">
        <f t="shared" si="309"/>
        <v>0</v>
      </c>
      <c r="P2466" s="1153"/>
      <c r="Q2466" s="1153"/>
      <c r="R2466" s="733">
        <f t="shared" si="312"/>
        <v>0</v>
      </c>
      <c r="S2466" s="732">
        <f t="shared" si="313"/>
        <v>0</v>
      </c>
      <c r="T2466" s="733">
        <f t="shared" si="314"/>
        <v>0</v>
      </c>
      <c r="U2466" s="1152"/>
      <c r="V2466" s="1153"/>
      <c r="W2466" s="1152"/>
      <c r="X2466" s="1152"/>
      <c r="Y2466" s="732">
        <f t="shared" si="310"/>
        <v>0</v>
      </c>
      <c r="Z2466" s="1153"/>
      <c r="AA2466" s="1153"/>
      <c r="AB2466" s="733">
        <f t="shared" si="311"/>
        <v>0</v>
      </c>
      <c r="AC2466" s="1152"/>
      <c r="AD2466" s="1153"/>
      <c r="AE2466" s="1152"/>
      <c r="AF2466" s="1152"/>
      <c r="AG2466" s="1153"/>
      <c r="AH2466" s="1153"/>
      <c r="AI2466" s="732">
        <f t="shared" si="315"/>
        <v>0</v>
      </c>
      <c r="AJ2466" s="733">
        <f t="shared" si="316"/>
        <v>0</v>
      </c>
    </row>
    <row r="2467" spans="1:36" s="13" customFormat="1" ht="14.5" customHeight="1">
      <c r="A2467" s="912" t="s">
        <v>750</v>
      </c>
      <c r="B2467" s="913" t="s">
        <v>62</v>
      </c>
      <c r="C2467" s="1111" t="s">
        <v>1308</v>
      </c>
      <c r="D2467" s="1114"/>
      <c r="E2467" s="926">
        <v>233116</v>
      </c>
      <c r="F2467" s="1119">
        <v>9</v>
      </c>
      <c r="G2467" s="1152"/>
      <c r="H2467" s="1153"/>
      <c r="I2467" s="1152"/>
      <c r="J2467" s="1153"/>
      <c r="K2467" s="1152"/>
      <c r="L2467" s="1153"/>
      <c r="M2467" s="1152"/>
      <c r="N2467" s="1152"/>
      <c r="O2467" s="732">
        <f t="shared" si="309"/>
        <v>0</v>
      </c>
      <c r="P2467" s="1153"/>
      <c r="Q2467" s="1153"/>
      <c r="R2467" s="733">
        <f t="shared" si="312"/>
        <v>0</v>
      </c>
      <c r="S2467" s="732">
        <f t="shared" si="313"/>
        <v>0</v>
      </c>
      <c r="T2467" s="733">
        <f t="shared" si="314"/>
        <v>0</v>
      </c>
      <c r="U2467" s="1152"/>
      <c r="V2467" s="1153"/>
      <c r="W2467" s="1152"/>
      <c r="X2467" s="1152"/>
      <c r="Y2467" s="732">
        <f t="shared" si="310"/>
        <v>0</v>
      </c>
      <c r="Z2467" s="1153"/>
      <c r="AA2467" s="1153"/>
      <c r="AB2467" s="733">
        <f t="shared" si="311"/>
        <v>0</v>
      </c>
      <c r="AC2467" s="1152"/>
      <c r="AD2467" s="1153"/>
      <c r="AE2467" s="1152"/>
      <c r="AF2467" s="1152"/>
      <c r="AG2467" s="1153"/>
      <c r="AH2467" s="1153"/>
      <c r="AI2467" s="732">
        <f t="shared" si="315"/>
        <v>0</v>
      </c>
      <c r="AJ2467" s="733">
        <f t="shared" si="316"/>
        <v>0</v>
      </c>
    </row>
    <row r="2468" spans="1:36" s="13" customFormat="1" ht="14.5" customHeight="1">
      <c r="A2468" s="912" t="s">
        <v>750</v>
      </c>
      <c r="B2468" s="913" t="s">
        <v>62</v>
      </c>
      <c r="C2468" s="1111" t="s">
        <v>1309</v>
      </c>
      <c r="D2468" s="1114" t="s">
        <v>1800</v>
      </c>
      <c r="E2468" s="926">
        <v>233639</v>
      </c>
      <c r="F2468" s="1119">
        <v>9</v>
      </c>
      <c r="G2468" s="1152"/>
      <c r="H2468" s="1153"/>
      <c r="I2468" s="1152"/>
      <c r="J2468" s="1153"/>
      <c r="K2468" s="1152"/>
      <c r="L2468" s="1153"/>
      <c r="M2468" s="1152"/>
      <c r="N2468" s="1152"/>
      <c r="O2468" s="732">
        <f t="shared" si="309"/>
        <v>0</v>
      </c>
      <c r="P2468" s="1153"/>
      <c r="Q2468" s="1153"/>
      <c r="R2468" s="733">
        <f t="shared" si="312"/>
        <v>0</v>
      </c>
      <c r="S2468" s="732">
        <f t="shared" si="313"/>
        <v>0</v>
      </c>
      <c r="T2468" s="733">
        <f t="shared" si="314"/>
        <v>0</v>
      </c>
      <c r="U2468" s="1152"/>
      <c r="V2468" s="1153"/>
      <c r="W2468" s="1152"/>
      <c r="X2468" s="1152"/>
      <c r="Y2468" s="732">
        <f t="shared" si="310"/>
        <v>0</v>
      </c>
      <c r="Z2468" s="1153"/>
      <c r="AA2468" s="1153"/>
      <c r="AB2468" s="733">
        <f t="shared" si="311"/>
        <v>0</v>
      </c>
      <c r="AC2468" s="1152"/>
      <c r="AD2468" s="1153"/>
      <c r="AE2468" s="1152"/>
      <c r="AF2468" s="1152"/>
      <c r="AG2468" s="1153"/>
      <c r="AH2468" s="1153"/>
      <c r="AI2468" s="732">
        <f t="shared" si="315"/>
        <v>0</v>
      </c>
      <c r="AJ2468" s="733">
        <f t="shared" si="316"/>
        <v>0</v>
      </c>
    </row>
    <row r="2469" spans="1:36" s="13" customFormat="1" ht="14.5" customHeight="1">
      <c r="A2469" s="912" t="s">
        <v>750</v>
      </c>
      <c r="B2469" s="913" t="s">
        <v>62</v>
      </c>
      <c r="C2469" s="914" t="s">
        <v>1310</v>
      </c>
      <c r="D2469" s="1114"/>
      <c r="E2469" s="926">
        <v>233949</v>
      </c>
      <c r="F2469" s="1119">
        <v>9</v>
      </c>
      <c r="G2469" s="1152"/>
      <c r="H2469" s="1153"/>
      <c r="I2469" s="1152"/>
      <c r="J2469" s="1153"/>
      <c r="K2469" s="1152"/>
      <c r="L2469" s="1153"/>
      <c r="M2469" s="1152"/>
      <c r="N2469" s="1152"/>
      <c r="O2469" s="732">
        <f t="shared" si="309"/>
        <v>0</v>
      </c>
      <c r="P2469" s="1153"/>
      <c r="Q2469" s="1153"/>
      <c r="R2469" s="733">
        <f t="shared" si="312"/>
        <v>0</v>
      </c>
      <c r="S2469" s="732">
        <f t="shared" si="313"/>
        <v>0</v>
      </c>
      <c r="T2469" s="733">
        <f t="shared" si="314"/>
        <v>0</v>
      </c>
      <c r="U2469" s="1152"/>
      <c r="V2469" s="1153"/>
      <c r="W2469" s="1152"/>
      <c r="X2469" s="1152"/>
      <c r="Y2469" s="732">
        <f t="shared" si="310"/>
        <v>0</v>
      </c>
      <c r="Z2469" s="1153"/>
      <c r="AA2469" s="1153"/>
      <c r="AB2469" s="733">
        <f t="shared" si="311"/>
        <v>0</v>
      </c>
      <c r="AC2469" s="1152"/>
      <c r="AD2469" s="1153"/>
      <c r="AE2469" s="1152"/>
      <c r="AF2469" s="1152"/>
      <c r="AG2469" s="1153"/>
      <c r="AH2469" s="1153"/>
      <c r="AI2469" s="732">
        <f t="shared" si="315"/>
        <v>0</v>
      </c>
      <c r="AJ2469" s="733">
        <f t="shared" si="316"/>
        <v>0</v>
      </c>
    </row>
    <row r="2470" spans="1:36">
      <c r="A2470" s="912" t="s">
        <v>750</v>
      </c>
      <c r="B2470" s="913" t="s">
        <v>62</v>
      </c>
      <c r="C2470" s="1111" t="s">
        <v>1311</v>
      </c>
      <c r="D2470" s="918"/>
      <c r="E2470" s="926">
        <v>231873</v>
      </c>
      <c r="F2470" s="916">
        <v>10</v>
      </c>
      <c r="G2470" s="1152"/>
      <c r="H2470" s="1153"/>
      <c r="I2470" s="1152"/>
      <c r="J2470" s="1153"/>
      <c r="K2470" s="1152"/>
      <c r="L2470" s="1153"/>
      <c r="M2470" s="1152"/>
      <c r="N2470" s="1152"/>
      <c r="O2470" s="732">
        <f t="shared" si="309"/>
        <v>0</v>
      </c>
      <c r="P2470" s="1153"/>
      <c r="Q2470" s="1153"/>
      <c r="R2470" s="733">
        <f t="shared" si="312"/>
        <v>0</v>
      </c>
      <c r="S2470" s="732">
        <f t="shared" si="313"/>
        <v>0</v>
      </c>
      <c r="T2470" s="733">
        <f t="shared" si="314"/>
        <v>0</v>
      </c>
      <c r="U2470" s="1152"/>
      <c r="V2470" s="1153"/>
      <c r="W2470" s="1152"/>
      <c r="X2470" s="1152"/>
      <c r="Y2470" s="732">
        <f t="shared" si="310"/>
        <v>0</v>
      </c>
      <c r="Z2470" s="1153"/>
      <c r="AA2470" s="1153"/>
      <c r="AB2470" s="733">
        <f t="shared" si="311"/>
        <v>0</v>
      </c>
      <c r="AC2470" s="1152"/>
      <c r="AD2470" s="1153"/>
      <c r="AE2470" s="1152"/>
      <c r="AF2470" s="1152"/>
      <c r="AG2470" s="1153"/>
      <c r="AH2470" s="1153"/>
      <c r="AI2470" s="732">
        <f t="shared" si="315"/>
        <v>0</v>
      </c>
      <c r="AJ2470" s="733">
        <f t="shared" si="316"/>
        <v>0</v>
      </c>
    </row>
    <row r="2471" spans="1:36" s="13" customFormat="1" ht="14.5" customHeight="1">
      <c r="A2471" s="912" t="s">
        <v>750</v>
      </c>
      <c r="B2471" s="913" t="s">
        <v>62</v>
      </c>
      <c r="C2471" s="1111" t="s">
        <v>1304</v>
      </c>
      <c r="D2471" s="1115"/>
      <c r="E2471" s="926">
        <v>231882</v>
      </c>
      <c r="F2471" s="916">
        <v>10</v>
      </c>
      <c r="G2471" s="1152"/>
      <c r="H2471" s="1153"/>
      <c r="I2471" s="1152"/>
      <c r="J2471" s="1153"/>
      <c r="K2471" s="1152"/>
      <c r="L2471" s="1153"/>
      <c r="M2471" s="1152"/>
      <c r="N2471" s="1152"/>
      <c r="O2471" s="732">
        <f t="shared" si="309"/>
        <v>0</v>
      </c>
      <c r="P2471" s="1153"/>
      <c r="Q2471" s="1153"/>
      <c r="R2471" s="733">
        <f t="shared" si="312"/>
        <v>0</v>
      </c>
      <c r="S2471" s="732">
        <f t="shared" si="313"/>
        <v>0</v>
      </c>
      <c r="T2471" s="733">
        <f t="shared" si="314"/>
        <v>0</v>
      </c>
      <c r="U2471" s="1152"/>
      <c r="V2471" s="1153"/>
      <c r="W2471" s="1152"/>
      <c r="X2471" s="1152"/>
      <c r="Y2471" s="732">
        <f t="shared" si="310"/>
        <v>0</v>
      </c>
      <c r="Z2471" s="1153"/>
      <c r="AA2471" s="1153"/>
      <c r="AB2471" s="733">
        <f t="shared" si="311"/>
        <v>0</v>
      </c>
      <c r="AC2471" s="1152"/>
      <c r="AD2471" s="1153"/>
      <c r="AE2471" s="1152"/>
      <c r="AF2471" s="1152"/>
      <c r="AG2471" s="1153"/>
      <c r="AH2471" s="1153"/>
      <c r="AI2471" s="732">
        <f t="shared" si="315"/>
        <v>0</v>
      </c>
      <c r="AJ2471" s="733">
        <f t="shared" si="316"/>
        <v>0</v>
      </c>
    </row>
    <row r="2472" spans="1:36">
      <c r="A2472" s="912" t="s">
        <v>750</v>
      </c>
      <c r="B2472" s="913" t="s">
        <v>62</v>
      </c>
      <c r="C2472" s="1111" t="s">
        <v>1312</v>
      </c>
      <c r="D2472" s="918"/>
      <c r="E2472" s="926">
        <v>232052</v>
      </c>
      <c r="F2472" s="916">
        <v>10</v>
      </c>
      <c r="G2472" s="1152"/>
      <c r="H2472" s="1153"/>
      <c r="I2472" s="1152"/>
      <c r="J2472" s="1153"/>
      <c r="K2472" s="1152"/>
      <c r="L2472" s="1153"/>
      <c r="M2472" s="1152"/>
      <c r="N2472" s="1152"/>
      <c r="O2472" s="732">
        <f t="shared" si="309"/>
        <v>0</v>
      </c>
      <c r="P2472" s="1153"/>
      <c r="Q2472" s="1153"/>
      <c r="R2472" s="733">
        <f t="shared" si="312"/>
        <v>0</v>
      </c>
      <c r="S2472" s="732">
        <f t="shared" si="313"/>
        <v>0</v>
      </c>
      <c r="T2472" s="733">
        <f t="shared" si="314"/>
        <v>0</v>
      </c>
      <c r="U2472" s="1152"/>
      <c r="V2472" s="1153"/>
      <c r="W2472" s="1152"/>
      <c r="X2472" s="1152"/>
      <c r="Y2472" s="732">
        <f t="shared" si="310"/>
        <v>0</v>
      </c>
      <c r="Z2472" s="1153"/>
      <c r="AA2472" s="1153"/>
      <c r="AB2472" s="733">
        <f t="shared" si="311"/>
        <v>0</v>
      </c>
      <c r="AC2472" s="1152"/>
      <c r="AD2472" s="1153"/>
      <c r="AE2472" s="1152"/>
      <c r="AF2472" s="1152"/>
      <c r="AG2472" s="1153"/>
      <c r="AH2472" s="1153"/>
      <c r="AI2472" s="732">
        <f t="shared" si="315"/>
        <v>0</v>
      </c>
      <c r="AJ2472" s="733">
        <f t="shared" si="316"/>
        <v>0</v>
      </c>
    </row>
    <row r="2473" spans="1:36">
      <c r="A2473" s="912" t="s">
        <v>750</v>
      </c>
      <c r="B2473" s="913" t="s">
        <v>62</v>
      </c>
      <c r="C2473" s="914" t="s">
        <v>1313</v>
      </c>
      <c r="D2473" s="915"/>
      <c r="E2473" s="916">
        <v>232788</v>
      </c>
      <c r="F2473" s="916">
        <v>10</v>
      </c>
      <c r="G2473" s="1152"/>
      <c r="H2473" s="1153"/>
      <c r="I2473" s="1152"/>
      <c r="J2473" s="1153"/>
      <c r="K2473" s="1152"/>
      <c r="L2473" s="1153"/>
      <c r="M2473" s="1152"/>
      <c r="N2473" s="1152"/>
      <c r="O2473" s="732">
        <f t="shared" si="309"/>
        <v>0</v>
      </c>
      <c r="P2473" s="1153"/>
      <c r="Q2473" s="1153"/>
      <c r="R2473" s="733">
        <f t="shared" si="312"/>
        <v>0</v>
      </c>
      <c r="S2473" s="732">
        <f t="shared" si="313"/>
        <v>0</v>
      </c>
      <c r="T2473" s="733">
        <f t="shared" si="314"/>
        <v>0</v>
      </c>
      <c r="U2473" s="1152"/>
      <c r="V2473" s="1153"/>
      <c r="W2473" s="1152"/>
      <c r="X2473" s="1152"/>
      <c r="Y2473" s="732">
        <f t="shared" si="310"/>
        <v>0</v>
      </c>
      <c r="Z2473" s="1153"/>
      <c r="AA2473" s="1153"/>
      <c r="AB2473" s="733">
        <f t="shared" si="311"/>
        <v>0</v>
      </c>
      <c r="AC2473" s="1152"/>
      <c r="AD2473" s="1153"/>
      <c r="AE2473" s="1152"/>
      <c r="AF2473" s="1152"/>
      <c r="AG2473" s="1153"/>
      <c r="AH2473" s="1153"/>
      <c r="AI2473" s="732">
        <f t="shared" si="315"/>
        <v>0</v>
      </c>
      <c r="AJ2473" s="733">
        <f t="shared" si="316"/>
        <v>0</v>
      </c>
    </row>
    <row r="2474" spans="1:36" s="13" customFormat="1" ht="15" customHeight="1">
      <c r="A2474" s="912" t="s">
        <v>750</v>
      </c>
      <c r="B2474" s="913" t="s">
        <v>62</v>
      </c>
      <c r="C2474" s="1117" t="s">
        <v>1314</v>
      </c>
      <c r="D2474" s="1115"/>
      <c r="E2474" s="916">
        <v>233019</v>
      </c>
      <c r="F2474" s="916">
        <v>10</v>
      </c>
      <c r="G2474" s="1152"/>
      <c r="H2474" s="1153"/>
      <c r="I2474" s="1152"/>
      <c r="J2474" s="1153"/>
      <c r="K2474" s="1152"/>
      <c r="L2474" s="1153"/>
      <c r="M2474" s="1152"/>
      <c r="N2474" s="1152"/>
      <c r="O2474" s="732">
        <f t="shared" si="309"/>
        <v>0</v>
      </c>
      <c r="P2474" s="1153"/>
      <c r="Q2474" s="1153"/>
      <c r="R2474" s="733">
        <f t="shared" si="312"/>
        <v>0</v>
      </c>
      <c r="S2474" s="732">
        <f t="shared" si="313"/>
        <v>0</v>
      </c>
      <c r="T2474" s="733">
        <f t="shared" si="314"/>
        <v>0</v>
      </c>
      <c r="U2474" s="1152"/>
      <c r="V2474" s="1153"/>
      <c r="W2474" s="1152"/>
      <c r="X2474" s="1152"/>
      <c r="Y2474" s="732">
        <f t="shared" si="310"/>
        <v>0</v>
      </c>
      <c r="Z2474" s="1153"/>
      <c r="AA2474" s="1153"/>
      <c r="AB2474" s="733">
        <f t="shared" si="311"/>
        <v>0</v>
      </c>
      <c r="AC2474" s="1152"/>
      <c r="AD2474" s="1153"/>
      <c r="AE2474" s="1152"/>
      <c r="AF2474" s="1152"/>
      <c r="AG2474" s="1153"/>
      <c r="AH2474" s="1153"/>
      <c r="AI2474" s="732">
        <f t="shared" si="315"/>
        <v>0</v>
      </c>
      <c r="AJ2474" s="733">
        <f t="shared" si="316"/>
        <v>0</v>
      </c>
    </row>
    <row r="2475" spans="1:36">
      <c r="A2475" s="912" t="s">
        <v>750</v>
      </c>
      <c r="B2475" s="913" t="s">
        <v>62</v>
      </c>
      <c r="C2475" s="1111" t="s">
        <v>1315</v>
      </c>
      <c r="D2475" s="918"/>
      <c r="E2475" s="926">
        <v>233037</v>
      </c>
      <c r="F2475" s="916">
        <v>10</v>
      </c>
      <c r="G2475" s="1152"/>
      <c r="H2475" s="1153"/>
      <c r="I2475" s="1152"/>
      <c r="J2475" s="1153"/>
      <c r="K2475" s="1152"/>
      <c r="L2475" s="1153"/>
      <c r="M2475" s="1152"/>
      <c r="N2475" s="1152"/>
      <c r="O2475" s="732">
        <f t="shared" si="309"/>
        <v>0</v>
      </c>
      <c r="P2475" s="1153"/>
      <c r="Q2475" s="1153"/>
      <c r="R2475" s="733">
        <f t="shared" si="312"/>
        <v>0</v>
      </c>
      <c r="S2475" s="732">
        <f t="shared" si="313"/>
        <v>0</v>
      </c>
      <c r="T2475" s="733">
        <f t="shared" si="314"/>
        <v>0</v>
      </c>
      <c r="U2475" s="1152"/>
      <c r="V2475" s="1153"/>
      <c r="W2475" s="1152"/>
      <c r="X2475" s="1152"/>
      <c r="Y2475" s="732">
        <f t="shared" si="310"/>
        <v>0</v>
      </c>
      <c r="Z2475" s="1153"/>
      <c r="AA2475" s="1153"/>
      <c r="AB2475" s="733">
        <f t="shared" si="311"/>
        <v>0</v>
      </c>
      <c r="AC2475" s="1152"/>
      <c r="AD2475" s="1153"/>
      <c r="AE2475" s="1152"/>
      <c r="AF2475" s="1152"/>
      <c r="AG2475" s="1153"/>
      <c r="AH2475" s="1153"/>
      <c r="AI2475" s="732">
        <f t="shared" si="315"/>
        <v>0</v>
      </c>
      <c r="AJ2475" s="733">
        <f t="shared" si="316"/>
        <v>0</v>
      </c>
    </row>
    <row r="2476" spans="1:36">
      <c r="A2476" s="912" t="s">
        <v>750</v>
      </c>
      <c r="B2476" s="913" t="s">
        <v>62</v>
      </c>
      <c r="C2476" s="1111" t="s">
        <v>1316</v>
      </c>
      <c r="D2476" s="918"/>
      <c r="E2476" s="926">
        <v>233310</v>
      </c>
      <c r="F2476" s="916">
        <v>10</v>
      </c>
      <c r="G2476" s="1152"/>
      <c r="H2476" s="1153"/>
      <c r="I2476" s="1152"/>
      <c r="J2476" s="1153"/>
      <c r="K2476" s="1152"/>
      <c r="L2476" s="1153"/>
      <c r="M2476" s="1152"/>
      <c r="N2476" s="1152"/>
      <c r="O2476" s="732">
        <f t="shared" si="309"/>
        <v>0</v>
      </c>
      <c r="P2476" s="1153"/>
      <c r="Q2476" s="1153"/>
      <c r="R2476" s="733">
        <f t="shared" si="312"/>
        <v>0</v>
      </c>
      <c r="S2476" s="732">
        <f t="shared" si="313"/>
        <v>0</v>
      </c>
      <c r="T2476" s="733">
        <f t="shared" si="314"/>
        <v>0</v>
      </c>
      <c r="U2476" s="1152"/>
      <c r="V2476" s="1153"/>
      <c r="W2476" s="1152"/>
      <c r="X2476" s="1152"/>
      <c r="Y2476" s="732">
        <f t="shared" si="310"/>
        <v>0</v>
      </c>
      <c r="Z2476" s="1153"/>
      <c r="AA2476" s="1153"/>
      <c r="AB2476" s="733">
        <f t="shared" si="311"/>
        <v>0</v>
      </c>
      <c r="AC2476" s="1152"/>
      <c r="AD2476" s="1153"/>
      <c r="AE2476" s="1152"/>
      <c r="AF2476" s="1152"/>
      <c r="AG2476" s="1153"/>
      <c r="AH2476" s="1153"/>
      <c r="AI2476" s="732">
        <f t="shared" si="315"/>
        <v>0</v>
      </c>
      <c r="AJ2476" s="733">
        <f t="shared" si="316"/>
        <v>0</v>
      </c>
    </row>
    <row r="2477" spans="1:36">
      <c r="A2477" s="912" t="s">
        <v>750</v>
      </c>
      <c r="B2477" s="913" t="s">
        <v>62</v>
      </c>
      <c r="C2477" s="1111" t="s">
        <v>1317</v>
      </c>
      <c r="D2477" s="918"/>
      <c r="E2477" s="926">
        <v>233338</v>
      </c>
      <c r="F2477" s="916">
        <v>10</v>
      </c>
      <c r="G2477" s="1152">
        <v>8244744</v>
      </c>
      <c r="H2477" s="1153">
        <v>9494914</v>
      </c>
      <c r="I2477" s="1152"/>
      <c r="J2477" s="1153"/>
      <c r="K2477" s="1152"/>
      <c r="L2477" s="1153"/>
      <c r="M2477" s="1152">
        <v>6128787.5</v>
      </c>
      <c r="N2477" s="1152">
        <v>10830</v>
      </c>
      <c r="O2477" s="732">
        <f t="shared" si="309"/>
        <v>6139617.5</v>
      </c>
      <c r="P2477" s="1153">
        <v>5877839</v>
      </c>
      <c r="Q2477" s="1153">
        <v>10830</v>
      </c>
      <c r="R2477" s="733">
        <f t="shared" si="312"/>
        <v>5888669</v>
      </c>
      <c r="S2477" s="732">
        <f t="shared" si="313"/>
        <v>14373531.5</v>
      </c>
      <c r="T2477" s="733">
        <f t="shared" si="314"/>
        <v>15372753</v>
      </c>
      <c r="U2477" s="1152"/>
      <c r="V2477" s="1153"/>
      <c r="W2477" s="1152"/>
      <c r="X2477" s="1152"/>
      <c r="Y2477" s="732">
        <f t="shared" si="310"/>
        <v>0</v>
      </c>
      <c r="Z2477" s="1153"/>
      <c r="AA2477" s="1153"/>
      <c r="AB2477" s="733">
        <f t="shared" si="311"/>
        <v>0</v>
      </c>
      <c r="AC2477" s="1152"/>
      <c r="AD2477" s="1153"/>
      <c r="AE2477" s="1152"/>
      <c r="AF2477" s="1152"/>
      <c r="AG2477" s="1153"/>
      <c r="AH2477" s="1153"/>
      <c r="AI2477" s="732">
        <f t="shared" si="315"/>
        <v>14373531.5</v>
      </c>
      <c r="AJ2477" s="733">
        <f t="shared" si="316"/>
        <v>15372753</v>
      </c>
    </row>
    <row r="2478" spans="1:36">
      <c r="A2478" s="912" t="s">
        <v>750</v>
      </c>
      <c r="B2478" s="913" t="s">
        <v>62</v>
      </c>
      <c r="C2478" s="1111" t="s">
        <v>1318</v>
      </c>
      <c r="D2478" s="915"/>
      <c r="E2478" s="916">
        <v>233648</v>
      </c>
      <c r="F2478" s="916">
        <v>10</v>
      </c>
      <c r="G2478" s="1152"/>
      <c r="H2478" s="1153"/>
      <c r="I2478" s="1152"/>
      <c r="J2478" s="1153"/>
      <c r="K2478" s="1152"/>
      <c r="L2478" s="1153"/>
      <c r="M2478" s="1152"/>
      <c r="N2478" s="1152"/>
      <c r="O2478" s="732">
        <f t="shared" si="309"/>
        <v>0</v>
      </c>
      <c r="P2478" s="1153"/>
      <c r="Q2478" s="1153"/>
      <c r="R2478" s="733">
        <f t="shared" si="312"/>
        <v>0</v>
      </c>
      <c r="S2478" s="732">
        <f t="shared" si="313"/>
        <v>0</v>
      </c>
      <c r="T2478" s="733">
        <f t="shared" si="314"/>
        <v>0</v>
      </c>
      <c r="U2478" s="1152"/>
      <c r="V2478" s="1153"/>
      <c r="W2478" s="1152"/>
      <c r="X2478" s="1152"/>
      <c r="Y2478" s="732">
        <f t="shared" si="310"/>
        <v>0</v>
      </c>
      <c r="Z2478" s="1153"/>
      <c r="AA2478" s="1153"/>
      <c r="AB2478" s="733">
        <f t="shared" si="311"/>
        <v>0</v>
      </c>
      <c r="AC2478" s="1152"/>
      <c r="AD2478" s="1153"/>
      <c r="AE2478" s="1152"/>
      <c r="AF2478" s="1152"/>
      <c r="AG2478" s="1153"/>
      <c r="AH2478" s="1153"/>
      <c r="AI2478" s="732">
        <f t="shared" si="315"/>
        <v>0</v>
      </c>
      <c r="AJ2478" s="733">
        <f t="shared" si="316"/>
        <v>0</v>
      </c>
    </row>
    <row r="2479" spans="1:36">
      <c r="A2479" s="912" t="s">
        <v>750</v>
      </c>
      <c r="B2479" s="913" t="s">
        <v>62</v>
      </c>
      <c r="C2479" s="1111" t="s">
        <v>1319</v>
      </c>
      <c r="D2479" s="918"/>
      <c r="E2479" s="926">
        <v>233903</v>
      </c>
      <c r="F2479" s="916">
        <v>10</v>
      </c>
      <c r="G2479" s="1152"/>
      <c r="H2479" s="1153"/>
      <c r="I2479" s="1152"/>
      <c r="J2479" s="1153"/>
      <c r="K2479" s="1152"/>
      <c r="L2479" s="1153"/>
      <c r="M2479" s="1152"/>
      <c r="N2479" s="1152"/>
      <c r="O2479" s="732">
        <f t="shared" si="309"/>
        <v>0</v>
      </c>
      <c r="P2479" s="1153"/>
      <c r="Q2479" s="1153"/>
      <c r="R2479" s="733">
        <f t="shared" si="312"/>
        <v>0</v>
      </c>
      <c r="S2479" s="732">
        <f t="shared" si="313"/>
        <v>0</v>
      </c>
      <c r="T2479" s="733">
        <f t="shared" si="314"/>
        <v>0</v>
      </c>
      <c r="U2479" s="1152"/>
      <c r="V2479" s="1153"/>
      <c r="W2479" s="1152"/>
      <c r="X2479" s="1152"/>
      <c r="Y2479" s="732">
        <f t="shared" si="310"/>
        <v>0</v>
      </c>
      <c r="Z2479" s="1153"/>
      <c r="AA2479" s="1153"/>
      <c r="AB2479" s="733">
        <f t="shared" si="311"/>
        <v>0</v>
      </c>
      <c r="AC2479" s="1152"/>
      <c r="AD2479" s="1153"/>
      <c r="AE2479" s="1152"/>
      <c r="AF2479" s="1152"/>
      <c r="AG2479" s="1153"/>
      <c r="AH2479" s="1153"/>
      <c r="AI2479" s="732">
        <f t="shared" si="315"/>
        <v>0</v>
      </c>
      <c r="AJ2479" s="733">
        <f t="shared" si="316"/>
        <v>0</v>
      </c>
    </row>
    <row r="2480" spans="1:36" s="13" customFormat="1" ht="14.5" customHeight="1">
      <c r="A2480" s="912" t="s">
        <v>750</v>
      </c>
      <c r="B2480" s="913" t="s">
        <v>62</v>
      </c>
      <c r="C2480" s="914" t="s">
        <v>1320</v>
      </c>
      <c r="D2480" s="1115"/>
      <c r="E2480" s="916">
        <v>234377</v>
      </c>
      <c r="F2480" s="916">
        <v>10</v>
      </c>
      <c r="G2480" s="1152"/>
      <c r="H2480" s="1153"/>
      <c r="I2480" s="1152"/>
      <c r="J2480" s="1153"/>
      <c r="K2480" s="1152"/>
      <c r="L2480" s="1153"/>
      <c r="M2480" s="1152"/>
      <c r="N2480" s="1152"/>
      <c r="O2480" s="732">
        <f t="shared" si="309"/>
        <v>0</v>
      </c>
      <c r="P2480" s="1153"/>
      <c r="Q2480" s="1153"/>
      <c r="R2480" s="733">
        <f t="shared" si="312"/>
        <v>0</v>
      </c>
      <c r="S2480" s="732">
        <f t="shared" si="313"/>
        <v>0</v>
      </c>
      <c r="T2480" s="733">
        <f t="shared" si="314"/>
        <v>0</v>
      </c>
      <c r="U2480" s="1152"/>
      <c r="V2480" s="1153"/>
      <c r="W2480" s="1152"/>
      <c r="X2480" s="1152"/>
      <c r="Y2480" s="732">
        <f t="shared" si="310"/>
        <v>0</v>
      </c>
      <c r="Z2480" s="1153"/>
      <c r="AA2480" s="1153"/>
      <c r="AB2480" s="733">
        <f t="shared" si="311"/>
        <v>0</v>
      </c>
      <c r="AC2480" s="1152"/>
      <c r="AD2480" s="1153"/>
      <c r="AE2480" s="1152"/>
      <c r="AF2480" s="1152"/>
      <c r="AG2480" s="1153"/>
      <c r="AH2480" s="1153"/>
      <c r="AI2480" s="732">
        <f t="shared" si="315"/>
        <v>0</v>
      </c>
      <c r="AJ2480" s="733">
        <f t="shared" si="316"/>
        <v>0</v>
      </c>
    </row>
    <row r="2481" spans="1:36">
      <c r="A2481" s="912" t="s">
        <v>750</v>
      </c>
      <c r="B2481" s="913" t="s">
        <v>116</v>
      </c>
      <c r="C2481" s="1111" t="s">
        <v>1321</v>
      </c>
      <c r="D2481" s="918"/>
      <c r="E2481" s="926">
        <v>234085</v>
      </c>
      <c r="F2481" s="916">
        <v>15</v>
      </c>
      <c r="G2481" s="1152"/>
      <c r="H2481" s="1153"/>
      <c r="I2481" s="1152"/>
      <c r="J2481" s="1153"/>
      <c r="K2481" s="1152"/>
      <c r="L2481" s="1153"/>
      <c r="M2481" s="1152"/>
      <c r="N2481" s="1152"/>
      <c r="O2481" s="732">
        <f t="shared" si="309"/>
        <v>0</v>
      </c>
      <c r="P2481" s="1153"/>
      <c r="Q2481" s="1153"/>
      <c r="R2481" s="733">
        <f t="shared" si="312"/>
        <v>0</v>
      </c>
      <c r="S2481" s="732">
        <f t="shared" si="313"/>
        <v>0</v>
      </c>
      <c r="T2481" s="733">
        <f t="shared" si="314"/>
        <v>0</v>
      </c>
      <c r="U2481" s="1152">
        <v>17811922</v>
      </c>
      <c r="V2481" s="1153">
        <v>19296030</v>
      </c>
      <c r="W2481" s="1152">
        <v>32691135</v>
      </c>
      <c r="X2481" s="1152">
        <v>400470</v>
      </c>
      <c r="Y2481" s="732">
        <f t="shared" si="310"/>
        <v>33091605</v>
      </c>
      <c r="Z2481" s="1153">
        <v>33661032</v>
      </c>
      <c r="AA2481" s="1153">
        <v>33661032</v>
      </c>
      <c r="AB2481" s="733">
        <f t="shared" si="311"/>
        <v>67322064</v>
      </c>
      <c r="AC2481" s="1152"/>
      <c r="AD2481" s="1153"/>
      <c r="AE2481" s="1152"/>
      <c r="AF2481" s="1152"/>
      <c r="AG2481" s="1153"/>
      <c r="AH2481" s="1153"/>
      <c r="AI2481" s="732">
        <f t="shared" si="315"/>
        <v>50503057</v>
      </c>
      <c r="AJ2481" s="733">
        <f t="shared" si="316"/>
        <v>52957062</v>
      </c>
    </row>
    <row r="2482" spans="1:36">
      <c r="A2482" s="912" t="s">
        <v>750</v>
      </c>
      <c r="B2482" s="913" t="s">
        <v>62</v>
      </c>
      <c r="C2482" s="1111" t="s">
        <v>1322</v>
      </c>
      <c r="D2482" s="918"/>
      <c r="E2482" s="924"/>
      <c r="F2482" s="836">
        <v>11</v>
      </c>
      <c r="G2482" s="1152">
        <v>379710954</v>
      </c>
      <c r="H2482" s="1153">
        <v>427692183</v>
      </c>
      <c r="I2482" s="1152">
        <v>550000</v>
      </c>
      <c r="J2482" s="1154"/>
      <c r="K2482" s="1152">
        <v>11570690.2857143</v>
      </c>
      <c r="L2482" s="1153">
        <v>9533038</v>
      </c>
      <c r="M2482" s="1152">
        <v>487486108</v>
      </c>
      <c r="N2482" s="1152">
        <v>3301665</v>
      </c>
      <c r="O2482" s="732">
        <f t="shared" si="309"/>
        <v>490787773</v>
      </c>
      <c r="P2482" s="1153">
        <v>495042262</v>
      </c>
      <c r="Q2482" s="1153">
        <v>3301665</v>
      </c>
      <c r="R2482" s="733">
        <f t="shared" si="312"/>
        <v>498343927</v>
      </c>
      <c r="S2482" s="732">
        <f t="shared" si="313"/>
        <v>879317752.28571439</v>
      </c>
      <c r="T2482" s="733">
        <f t="shared" si="314"/>
        <v>932267483</v>
      </c>
      <c r="U2482" s="1152"/>
      <c r="V2482" s="1153"/>
      <c r="W2482" s="1152"/>
      <c r="X2482" s="1152"/>
      <c r="Y2482" s="732">
        <f t="shared" si="310"/>
        <v>0</v>
      </c>
      <c r="Z2482" s="1153"/>
      <c r="AA2482" s="1153"/>
      <c r="AB2482" s="733">
        <f t="shared" si="311"/>
        <v>0</v>
      </c>
      <c r="AC2482" s="1152"/>
      <c r="AD2482" s="1153"/>
      <c r="AE2482" s="1152"/>
      <c r="AF2482" s="1152"/>
      <c r="AG2482" s="1153"/>
      <c r="AH2482" s="1153"/>
      <c r="AI2482" s="732">
        <f t="shared" si="315"/>
        <v>879317752.28571439</v>
      </c>
      <c r="AJ2482" s="733">
        <f t="shared" si="316"/>
        <v>932267483</v>
      </c>
    </row>
    <row r="2483" spans="1:36">
      <c r="A2483" s="912" t="s">
        <v>750</v>
      </c>
      <c r="B2483" s="913" t="s">
        <v>118</v>
      </c>
      <c r="C2483" s="925" t="s">
        <v>406</v>
      </c>
      <c r="D2483" s="918"/>
      <c r="E2483" s="924"/>
      <c r="F2483" s="916">
        <v>99</v>
      </c>
      <c r="G2483" s="1152"/>
      <c r="H2483" s="1153"/>
      <c r="I2483" s="1152"/>
      <c r="J2483" s="1153"/>
      <c r="K2483" s="1152"/>
      <c r="L2483" s="1153"/>
      <c r="M2483" s="1152"/>
      <c r="N2483" s="1152"/>
      <c r="O2483" s="732">
        <f t="shared" si="309"/>
        <v>0</v>
      </c>
      <c r="P2483" s="1153"/>
      <c r="Q2483" s="1153"/>
      <c r="R2483" s="733">
        <f t="shared" si="312"/>
        <v>0</v>
      </c>
      <c r="S2483" s="732">
        <f t="shared" si="313"/>
        <v>0</v>
      </c>
      <c r="T2483" s="733">
        <f t="shared" si="314"/>
        <v>0</v>
      </c>
      <c r="U2483" s="1152"/>
      <c r="V2483" s="1153"/>
      <c r="W2483" s="1152"/>
      <c r="X2483" s="1152"/>
      <c r="Y2483" s="732">
        <f t="shared" si="310"/>
        <v>0</v>
      </c>
      <c r="Z2483" s="1153"/>
      <c r="AA2483" s="1153"/>
      <c r="AB2483" s="733">
        <f t="shared" si="311"/>
        <v>0</v>
      </c>
      <c r="AC2483" s="1152"/>
      <c r="AD2483" s="1153"/>
      <c r="AE2483" s="1152"/>
      <c r="AF2483" s="1152"/>
      <c r="AG2483" s="1153"/>
      <c r="AH2483" s="1153"/>
      <c r="AI2483" s="732">
        <f t="shared" si="315"/>
        <v>0</v>
      </c>
      <c r="AJ2483" s="733">
        <f t="shared" si="316"/>
        <v>0</v>
      </c>
    </row>
    <row r="2484" spans="1:36">
      <c r="A2484" s="912" t="s">
        <v>750</v>
      </c>
      <c r="B2484" s="913" t="s">
        <v>120</v>
      </c>
      <c r="C2484" s="1113" t="s">
        <v>79</v>
      </c>
      <c r="D2484" s="918"/>
      <c r="E2484" s="924"/>
      <c r="F2484" s="916">
        <v>99</v>
      </c>
      <c r="G2484" s="1152"/>
      <c r="H2484" s="1153"/>
      <c r="I2484" s="1152"/>
      <c r="J2484" s="1153"/>
      <c r="K2484" s="1152"/>
      <c r="L2484" s="1153"/>
      <c r="M2484" s="1152"/>
      <c r="N2484" s="1152"/>
      <c r="O2484" s="732">
        <f t="shared" si="309"/>
        <v>0</v>
      </c>
      <c r="P2484" s="1153"/>
      <c r="Q2484" s="1153"/>
      <c r="R2484" s="733">
        <f t="shared" si="312"/>
        <v>0</v>
      </c>
      <c r="S2484" s="732">
        <f t="shared" si="313"/>
        <v>0</v>
      </c>
      <c r="T2484" s="733">
        <f t="shared" si="314"/>
        <v>0</v>
      </c>
      <c r="U2484" s="1152"/>
      <c r="V2484" s="1153"/>
      <c r="W2484" s="1152"/>
      <c r="X2484" s="1152"/>
      <c r="Y2484" s="732">
        <f t="shared" si="310"/>
        <v>0</v>
      </c>
      <c r="Z2484" s="1153"/>
      <c r="AA2484" s="1153"/>
      <c r="AB2484" s="733">
        <f t="shared" si="311"/>
        <v>0</v>
      </c>
      <c r="AC2484" s="1152"/>
      <c r="AD2484" s="1153"/>
      <c r="AE2484" s="1152"/>
      <c r="AF2484" s="1152"/>
      <c r="AG2484" s="1153"/>
      <c r="AH2484" s="1153"/>
      <c r="AI2484" s="732">
        <f t="shared" si="315"/>
        <v>0</v>
      </c>
      <c r="AJ2484" s="733">
        <f t="shared" si="316"/>
        <v>0</v>
      </c>
    </row>
    <row r="2485" spans="1:36">
      <c r="A2485" s="912" t="s">
        <v>750</v>
      </c>
      <c r="B2485" s="913" t="s">
        <v>120</v>
      </c>
      <c r="C2485" s="922" t="s">
        <v>1323</v>
      </c>
      <c r="D2485" s="918"/>
      <c r="E2485" s="924"/>
      <c r="F2485" s="916">
        <v>99</v>
      </c>
      <c r="G2485" s="1152"/>
      <c r="H2485" s="1153"/>
      <c r="I2485" s="1152">
        <v>3750000</v>
      </c>
      <c r="J2485" s="1153">
        <v>3750000</v>
      </c>
      <c r="K2485" s="1152"/>
      <c r="L2485" s="1153"/>
      <c r="M2485" s="1152"/>
      <c r="N2485" s="1152"/>
      <c r="O2485" s="732">
        <f t="shared" si="309"/>
        <v>0</v>
      </c>
      <c r="P2485" s="1153"/>
      <c r="Q2485" s="1153"/>
      <c r="R2485" s="733">
        <f t="shared" si="312"/>
        <v>0</v>
      </c>
      <c r="S2485" s="732">
        <f t="shared" si="313"/>
        <v>3750000</v>
      </c>
      <c r="T2485" s="733">
        <f t="shared" si="314"/>
        <v>3750000</v>
      </c>
      <c r="U2485" s="1152"/>
      <c r="V2485" s="1153"/>
      <c r="W2485" s="1152"/>
      <c r="X2485" s="1152"/>
      <c r="Y2485" s="732">
        <f t="shared" si="310"/>
        <v>0</v>
      </c>
      <c r="Z2485" s="1153"/>
      <c r="AA2485" s="1153"/>
      <c r="AB2485" s="733">
        <f t="shared" si="311"/>
        <v>0</v>
      </c>
      <c r="AC2485" s="1152"/>
      <c r="AD2485" s="1153"/>
      <c r="AE2485" s="1152"/>
      <c r="AF2485" s="1152"/>
      <c r="AG2485" s="1153"/>
      <c r="AH2485" s="1153"/>
      <c r="AI2485" s="732">
        <f t="shared" si="315"/>
        <v>3750000</v>
      </c>
      <c r="AJ2485" s="733">
        <f t="shared" si="316"/>
        <v>3750000</v>
      </c>
    </row>
    <row r="2486" spans="1:36">
      <c r="A2486" s="912" t="s">
        <v>750</v>
      </c>
      <c r="B2486" s="913" t="s">
        <v>120</v>
      </c>
      <c r="C2486" s="922" t="s">
        <v>1324</v>
      </c>
      <c r="D2486" s="918"/>
      <c r="E2486" s="924"/>
      <c r="F2486" s="916">
        <v>99</v>
      </c>
      <c r="G2486" s="1152"/>
      <c r="H2486" s="1153"/>
      <c r="I2486" s="1152">
        <v>1775439</v>
      </c>
      <c r="J2486" s="1153">
        <v>1547683</v>
      </c>
      <c r="K2486" s="1152"/>
      <c r="L2486" s="1153"/>
      <c r="M2486" s="1152"/>
      <c r="N2486" s="1152"/>
      <c r="O2486" s="732">
        <f t="shared" si="309"/>
        <v>0</v>
      </c>
      <c r="P2486" s="1153"/>
      <c r="Q2486" s="1153"/>
      <c r="R2486" s="733">
        <f t="shared" si="312"/>
        <v>0</v>
      </c>
      <c r="S2486" s="732">
        <f t="shared" si="313"/>
        <v>1775439</v>
      </c>
      <c r="T2486" s="733">
        <f t="shared" si="314"/>
        <v>1547683</v>
      </c>
      <c r="U2486" s="1152"/>
      <c r="V2486" s="1153"/>
      <c r="W2486" s="1152"/>
      <c r="X2486" s="1152"/>
      <c r="Y2486" s="732">
        <f t="shared" si="310"/>
        <v>0</v>
      </c>
      <c r="Z2486" s="1153"/>
      <c r="AA2486" s="1153"/>
      <c r="AB2486" s="733">
        <f t="shared" si="311"/>
        <v>0</v>
      </c>
      <c r="AC2486" s="1152"/>
      <c r="AD2486" s="1153"/>
      <c r="AE2486" s="1152"/>
      <c r="AF2486" s="1152"/>
      <c r="AG2486" s="1153"/>
      <c r="AH2486" s="1153"/>
      <c r="AI2486" s="732">
        <f t="shared" si="315"/>
        <v>1775439</v>
      </c>
      <c r="AJ2486" s="733">
        <f t="shared" si="316"/>
        <v>1547683</v>
      </c>
    </row>
    <row r="2487" spans="1:36">
      <c r="A2487" s="912" t="s">
        <v>750</v>
      </c>
      <c r="B2487" s="913" t="s">
        <v>120</v>
      </c>
      <c r="C2487" s="922" t="s">
        <v>1325</v>
      </c>
      <c r="D2487" s="918"/>
      <c r="E2487" s="924"/>
      <c r="F2487" s="916">
        <v>99</v>
      </c>
      <c r="G2487" s="1152"/>
      <c r="H2487" s="1153"/>
      <c r="I2487" s="1152">
        <v>28000000</v>
      </c>
      <c r="J2487" s="1154">
        <v>4000000</v>
      </c>
      <c r="K2487" s="1152"/>
      <c r="L2487" s="1153"/>
      <c r="M2487" s="1152"/>
      <c r="N2487" s="1152"/>
      <c r="O2487" s="732">
        <f t="shared" si="309"/>
        <v>0</v>
      </c>
      <c r="P2487" s="1153"/>
      <c r="Q2487" s="1153"/>
      <c r="R2487" s="733">
        <f t="shared" si="312"/>
        <v>0</v>
      </c>
      <c r="S2487" s="732">
        <f t="shared" si="313"/>
        <v>28000000</v>
      </c>
      <c r="T2487" s="733">
        <f t="shared" si="314"/>
        <v>4000000</v>
      </c>
      <c r="U2487" s="1152"/>
      <c r="V2487" s="1153"/>
      <c r="W2487" s="1152"/>
      <c r="X2487" s="1152"/>
      <c r="Y2487" s="732">
        <f t="shared" si="310"/>
        <v>0</v>
      </c>
      <c r="Z2487" s="1153"/>
      <c r="AA2487" s="1153"/>
      <c r="AB2487" s="733">
        <f t="shared" si="311"/>
        <v>0</v>
      </c>
      <c r="AC2487" s="1152"/>
      <c r="AD2487" s="1153"/>
      <c r="AE2487" s="1152"/>
      <c r="AF2487" s="1152"/>
      <c r="AG2487" s="1153"/>
      <c r="AH2487" s="1153"/>
      <c r="AI2487" s="732">
        <f t="shared" si="315"/>
        <v>28000000</v>
      </c>
      <c r="AJ2487" s="733">
        <f t="shared" si="316"/>
        <v>4000000</v>
      </c>
    </row>
    <row r="2488" spans="1:36">
      <c r="A2488" s="912" t="s">
        <v>750</v>
      </c>
      <c r="B2488" s="913" t="s">
        <v>120</v>
      </c>
      <c r="C2488" s="922" t="s">
        <v>1733</v>
      </c>
      <c r="D2488" s="918"/>
      <c r="E2488" s="924"/>
      <c r="F2488" s="836">
        <v>99</v>
      </c>
      <c r="G2488" s="1152"/>
      <c r="H2488" s="1153"/>
      <c r="I2488" s="1152"/>
      <c r="J2488" s="1153">
        <v>4000000</v>
      </c>
      <c r="K2488" s="1152"/>
      <c r="L2488" s="1153"/>
      <c r="M2488" s="1152"/>
      <c r="N2488" s="1152"/>
      <c r="O2488" s="732">
        <f t="shared" si="309"/>
        <v>0</v>
      </c>
      <c r="P2488" s="1153"/>
      <c r="Q2488" s="1153"/>
      <c r="R2488" s="733">
        <f t="shared" si="312"/>
        <v>0</v>
      </c>
      <c r="S2488" s="732">
        <f t="shared" si="313"/>
        <v>0</v>
      </c>
      <c r="T2488" s="733">
        <f t="shared" si="314"/>
        <v>4000000</v>
      </c>
      <c r="U2488" s="1152"/>
      <c r="V2488" s="1153"/>
      <c r="W2488" s="1152"/>
      <c r="X2488" s="1152"/>
      <c r="Y2488" s="732">
        <f t="shared" si="310"/>
        <v>0</v>
      </c>
      <c r="Z2488" s="1153"/>
      <c r="AA2488" s="1153"/>
      <c r="AB2488" s="733">
        <f t="shared" si="311"/>
        <v>0</v>
      </c>
      <c r="AC2488" s="1152"/>
      <c r="AD2488" s="1153"/>
      <c r="AE2488" s="1152"/>
      <c r="AF2488" s="1152"/>
      <c r="AG2488" s="1153"/>
      <c r="AH2488" s="1153"/>
      <c r="AI2488" s="732">
        <f t="shared" si="315"/>
        <v>0</v>
      </c>
      <c r="AJ2488" s="733">
        <f t="shared" si="316"/>
        <v>4000000</v>
      </c>
    </row>
    <row r="2489" spans="1:36">
      <c r="A2489" s="912" t="s">
        <v>750</v>
      </c>
      <c r="B2489" s="913" t="s">
        <v>120</v>
      </c>
      <c r="C2489" s="922" t="s">
        <v>1734</v>
      </c>
      <c r="D2489" s="918"/>
      <c r="E2489" s="924"/>
      <c r="F2489" s="836">
        <v>99</v>
      </c>
      <c r="G2489" s="1152"/>
      <c r="H2489" s="1153"/>
      <c r="I2489" s="1152"/>
      <c r="J2489" s="1153">
        <v>3750000</v>
      </c>
      <c r="K2489" s="1152"/>
      <c r="L2489" s="1153"/>
      <c r="M2489" s="1152"/>
      <c r="N2489" s="1152"/>
      <c r="O2489" s="732">
        <f t="shared" si="309"/>
        <v>0</v>
      </c>
      <c r="P2489" s="1153"/>
      <c r="Q2489" s="1153"/>
      <c r="R2489" s="733">
        <f t="shared" si="312"/>
        <v>0</v>
      </c>
      <c r="S2489" s="732">
        <f t="shared" si="313"/>
        <v>0</v>
      </c>
      <c r="T2489" s="733">
        <f t="shared" si="314"/>
        <v>3750000</v>
      </c>
      <c r="U2489" s="1152"/>
      <c r="V2489" s="1153"/>
      <c r="W2489" s="1152"/>
      <c r="X2489" s="1152"/>
      <c r="Y2489" s="732">
        <f t="shared" si="310"/>
        <v>0</v>
      </c>
      <c r="Z2489" s="1153"/>
      <c r="AA2489" s="1153"/>
      <c r="AB2489" s="733">
        <f t="shared" si="311"/>
        <v>0</v>
      </c>
      <c r="AC2489" s="1152"/>
      <c r="AD2489" s="1153"/>
      <c r="AE2489" s="1152"/>
      <c r="AF2489" s="1152"/>
      <c r="AG2489" s="1153"/>
      <c r="AH2489" s="1153"/>
      <c r="AI2489" s="732">
        <f t="shared" si="315"/>
        <v>0</v>
      </c>
      <c r="AJ2489" s="733">
        <f t="shared" si="316"/>
        <v>3750000</v>
      </c>
    </row>
    <row r="2490" spans="1:36">
      <c r="A2490" s="912" t="s">
        <v>750</v>
      </c>
      <c r="B2490" s="913" t="s">
        <v>120</v>
      </c>
      <c r="C2490" s="922" t="s">
        <v>1735</v>
      </c>
      <c r="D2490" s="918"/>
      <c r="E2490" s="924"/>
      <c r="F2490" s="836">
        <v>99</v>
      </c>
      <c r="G2490" s="1152"/>
      <c r="H2490" s="1153"/>
      <c r="I2490" s="1152"/>
      <c r="J2490" s="1153">
        <v>1925000</v>
      </c>
      <c r="K2490" s="1152"/>
      <c r="L2490" s="1153"/>
      <c r="M2490" s="1152"/>
      <c r="N2490" s="1152"/>
      <c r="O2490" s="732">
        <f t="shared" si="309"/>
        <v>0</v>
      </c>
      <c r="P2490" s="1153"/>
      <c r="Q2490" s="1153"/>
      <c r="R2490" s="733">
        <f t="shared" si="312"/>
        <v>0</v>
      </c>
      <c r="S2490" s="732">
        <f t="shared" si="313"/>
        <v>0</v>
      </c>
      <c r="T2490" s="733">
        <f t="shared" si="314"/>
        <v>1925000</v>
      </c>
      <c r="U2490" s="1152"/>
      <c r="V2490" s="1153"/>
      <c r="W2490" s="1152"/>
      <c r="X2490" s="1152"/>
      <c r="Y2490" s="732">
        <f t="shared" si="310"/>
        <v>0</v>
      </c>
      <c r="Z2490" s="1153"/>
      <c r="AA2490" s="1153"/>
      <c r="AB2490" s="733">
        <f t="shared" si="311"/>
        <v>0</v>
      </c>
      <c r="AC2490" s="1152"/>
      <c r="AD2490" s="1153"/>
      <c r="AE2490" s="1152"/>
      <c r="AF2490" s="1152"/>
      <c r="AG2490" s="1153"/>
      <c r="AH2490" s="1153"/>
      <c r="AI2490" s="732">
        <f t="shared" si="315"/>
        <v>0</v>
      </c>
      <c r="AJ2490" s="733">
        <f t="shared" si="316"/>
        <v>1925000</v>
      </c>
    </row>
    <row r="2491" spans="1:36">
      <c r="A2491" s="912" t="s">
        <v>750</v>
      </c>
      <c r="B2491" s="913" t="s">
        <v>120</v>
      </c>
      <c r="C2491" s="922" t="s">
        <v>1736</v>
      </c>
      <c r="D2491" s="918"/>
      <c r="E2491" s="924"/>
      <c r="F2491" s="836">
        <v>99</v>
      </c>
      <c r="G2491" s="1152"/>
      <c r="H2491" s="1153"/>
      <c r="I2491" s="1152"/>
      <c r="J2491" s="1153">
        <v>10000000</v>
      </c>
      <c r="K2491" s="1152"/>
      <c r="L2491" s="1153"/>
      <c r="M2491" s="1152"/>
      <c r="N2491" s="1152"/>
      <c r="O2491" s="732">
        <f t="shared" si="309"/>
        <v>0</v>
      </c>
      <c r="P2491" s="1153"/>
      <c r="Q2491" s="1153"/>
      <c r="R2491" s="733">
        <f t="shared" si="312"/>
        <v>0</v>
      </c>
      <c r="S2491" s="732">
        <f t="shared" si="313"/>
        <v>0</v>
      </c>
      <c r="T2491" s="733">
        <f t="shared" si="314"/>
        <v>10000000</v>
      </c>
      <c r="U2491" s="1152"/>
      <c r="V2491" s="1153"/>
      <c r="W2491" s="1152"/>
      <c r="X2491" s="1152"/>
      <c r="Y2491" s="732">
        <f t="shared" si="310"/>
        <v>0</v>
      </c>
      <c r="Z2491" s="1153"/>
      <c r="AA2491" s="1153"/>
      <c r="AB2491" s="733">
        <f t="shared" si="311"/>
        <v>0</v>
      </c>
      <c r="AC2491" s="1152"/>
      <c r="AD2491" s="1153"/>
      <c r="AE2491" s="1152"/>
      <c r="AF2491" s="1152"/>
      <c r="AG2491" s="1153"/>
      <c r="AH2491" s="1153"/>
      <c r="AI2491" s="732">
        <f t="shared" si="315"/>
        <v>0</v>
      </c>
      <c r="AJ2491" s="733">
        <f t="shared" si="316"/>
        <v>10000000</v>
      </c>
    </row>
    <row r="2492" spans="1:36">
      <c r="A2492" s="912" t="s">
        <v>750</v>
      </c>
      <c r="B2492" s="913" t="s">
        <v>120</v>
      </c>
      <c r="C2492" s="922" t="s">
        <v>1737</v>
      </c>
      <c r="D2492" s="918"/>
      <c r="E2492" s="924"/>
      <c r="F2492" s="916">
        <v>99</v>
      </c>
      <c r="G2492" s="1152"/>
      <c r="H2492" s="1153"/>
      <c r="I2492" s="1152">
        <v>31800000</v>
      </c>
      <c r="J2492" s="1153">
        <v>31800000</v>
      </c>
      <c r="K2492" s="1152"/>
      <c r="L2492" s="1153"/>
      <c r="M2492" s="1152"/>
      <c r="N2492" s="1152"/>
      <c r="O2492" s="732">
        <f t="shared" si="309"/>
        <v>0</v>
      </c>
      <c r="P2492" s="1153"/>
      <c r="Q2492" s="1153"/>
      <c r="R2492" s="733">
        <f t="shared" si="312"/>
        <v>0</v>
      </c>
      <c r="S2492" s="732">
        <f t="shared" si="313"/>
        <v>31800000</v>
      </c>
      <c r="T2492" s="733">
        <f t="shared" si="314"/>
        <v>31800000</v>
      </c>
      <c r="U2492" s="1152"/>
      <c r="V2492" s="1153"/>
      <c r="W2492" s="1152"/>
      <c r="X2492" s="1152"/>
      <c r="Y2492" s="732">
        <f t="shared" si="310"/>
        <v>0</v>
      </c>
      <c r="Z2492" s="1153"/>
      <c r="AA2492" s="1153"/>
      <c r="AB2492" s="733">
        <f t="shared" si="311"/>
        <v>0</v>
      </c>
      <c r="AC2492" s="1152"/>
      <c r="AD2492" s="1153"/>
      <c r="AE2492" s="1152"/>
      <c r="AF2492" s="1152"/>
      <c r="AG2492" s="1153"/>
      <c r="AH2492" s="1153"/>
      <c r="AI2492" s="732">
        <f t="shared" si="315"/>
        <v>31800000</v>
      </c>
      <c r="AJ2492" s="733">
        <f t="shared" si="316"/>
        <v>31800000</v>
      </c>
    </row>
    <row r="2493" spans="1:36">
      <c r="A2493" s="912" t="s">
        <v>750</v>
      </c>
      <c r="B2493" s="913" t="s">
        <v>123</v>
      </c>
      <c r="C2493" s="1113" t="s">
        <v>1070</v>
      </c>
      <c r="D2493" s="918"/>
      <c r="E2493" s="924"/>
      <c r="F2493" s="916">
        <v>99</v>
      </c>
      <c r="G2493" s="1152"/>
      <c r="H2493" s="1153"/>
      <c r="I2493" s="1152"/>
      <c r="J2493" s="1153"/>
      <c r="K2493" s="1152"/>
      <c r="L2493" s="1153"/>
      <c r="M2493" s="1152"/>
      <c r="N2493" s="1152"/>
      <c r="O2493" s="732">
        <f t="shared" si="309"/>
        <v>0</v>
      </c>
      <c r="P2493" s="1153"/>
      <c r="Q2493" s="1153"/>
      <c r="R2493" s="733">
        <f t="shared" si="312"/>
        <v>0</v>
      </c>
      <c r="S2493" s="732">
        <f t="shared" si="313"/>
        <v>0</v>
      </c>
      <c r="T2493" s="733">
        <f t="shared" si="314"/>
        <v>0</v>
      </c>
      <c r="U2493" s="1152"/>
      <c r="V2493" s="1153"/>
      <c r="W2493" s="1152"/>
      <c r="X2493" s="1152"/>
      <c r="Y2493" s="732">
        <f t="shared" si="310"/>
        <v>0</v>
      </c>
      <c r="Z2493" s="1153"/>
      <c r="AA2493" s="1153"/>
      <c r="AB2493" s="733">
        <f t="shared" si="311"/>
        <v>0</v>
      </c>
      <c r="AC2493" s="1152"/>
      <c r="AD2493" s="1153"/>
      <c r="AE2493" s="1152"/>
      <c r="AF2493" s="1152"/>
      <c r="AG2493" s="1153"/>
      <c r="AH2493" s="1153"/>
      <c r="AI2493" s="732">
        <f t="shared" si="315"/>
        <v>0</v>
      </c>
      <c r="AJ2493" s="733">
        <f t="shared" si="316"/>
        <v>0</v>
      </c>
    </row>
    <row r="2494" spans="1:36">
      <c r="A2494" s="912" t="s">
        <v>750</v>
      </c>
      <c r="B2494" s="913" t="s">
        <v>123</v>
      </c>
      <c r="C2494" s="1113"/>
      <c r="D2494" s="918"/>
      <c r="E2494" s="924"/>
      <c r="F2494" s="916">
        <v>99</v>
      </c>
      <c r="G2494" s="1152"/>
      <c r="H2494" s="1153"/>
      <c r="I2494" s="1152"/>
      <c r="J2494" s="1153"/>
      <c r="K2494" s="1152"/>
      <c r="L2494" s="1153"/>
      <c r="M2494" s="1152"/>
      <c r="N2494" s="1152"/>
      <c r="O2494" s="732">
        <f t="shared" si="309"/>
        <v>0</v>
      </c>
      <c r="P2494" s="1153"/>
      <c r="Q2494" s="1153"/>
      <c r="R2494" s="733">
        <f t="shared" si="312"/>
        <v>0</v>
      </c>
      <c r="S2494" s="732">
        <f t="shared" si="313"/>
        <v>0</v>
      </c>
      <c r="T2494" s="733">
        <f t="shared" si="314"/>
        <v>0</v>
      </c>
      <c r="U2494" s="1152"/>
      <c r="V2494" s="1153"/>
      <c r="W2494" s="1152"/>
      <c r="X2494" s="1152"/>
      <c r="Y2494" s="732">
        <f t="shared" si="310"/>
        <v>0</v>
      </c>
      <c r="Z2494" s="1153"/>
      <c r="AA2494" s="1153"/>
      <c r="AB2494" s="733">
        <f t="shared" si="311"/>
        <v>0</v>
      </c>
      <c r="AC2494" s="1152"/>
      <c r="AD2494" s="1153"/>
      <c r="AE2494" s="1152"/>
      <c r="AF2494" s="1152"/>
      <c r="AG2494" s="1153"/>
      <c r="AH2494" s="1153"/>
      <c r="AI2494" s="732">
        <f t="shared" si="315"/>
        <v>0</v>
      </c>
      <c r="AJ2494" s="733">
        <f t="shared" si="316"/>
        <v>0</v>
      </c>
    </row>
    <row r="2495" spans="1:36">
      <c r="A2495" s="912" t="s">
        <v>750</v>
      </c>
      <c r="B2495" s="913" t="s">
        <v>132</v>
      </c>
      <c r="C2495" s="925" t="s">
        <v>1071</v>
      </c>
      <c r="D2495" s="918"/>
      <c r="E2495" s="924"/>
      <c r="F2495" s="916">
        <v>99</v>
      </c>
      <c r="G2495" s="1152"/>
      <c r="H2495" s="1153"/>
      <c r="I2495" s="1152"/>
      <c r="J2495" s="1153"/>
      <c r="K2495" s="1152"/>
      <c r="L2495" s="1153"/>
      <c r="M2495" s="1152"/>
      <c r="N2495" s="1152"/>
      <c r="O2495" s="732">
        <f t="shared" si="309"/>
        <v>0</v>
      </c>
      <c r="P2495" s="1153"/>
      <c r="Q2495" s="1153"/>
      <c r="R2495" s="733">
        <f t="shared" si="312"/>
        <v>0</v>
      </c>
      <c r="S2495" s="732">
        <f t="shared" si="313"/>
        <v>0</v>
      </c>
      <c r="T2495" s="733">
        <f t="shared" si="314"/>
        <v>0</v>
      </c>
      <c r="U2495" s="1152"/>
      <c r="V2495" s="1153"/>
      <c r="W2495" s="1152"/>
      <c r="X2495" s="1152"/>
      <c r="Y2495" s="732">
        <f t="shared" si="310"/>
        <v>0</v>
      </c>
      <c r="Z2495" s="1153"/>
      <c r="AA2495" s="1153"/>
      <c r="AB2495" s="733">
        <f t="shared" si="311"/>
        <v>0</v>
      </c>
      <c r="AC2495" s="1152"/>
      <c r="AD2495" s="1153"/>
      <c r="AE2495" s="1152"/>
      <c r="AF2495" s="1152"/>
      <c r="AG2495" s="1153"/>
      <c r="AH2495" s="1153"/>
      <c r="AI2495" s="732">
        <f t="shared" si="315"/>
        <v>0</v>
      </c>
      <c r="AJ2495" s="733">
        <f t="shared" si="316"/>
        <v>0</v>
      </c>
    </row>
    <row r="2496" spans="1:36">
      <c r="A2496" s="912" t="s">
        <v>750</v>
      </c>
      <c r="B2496" s="913" t="s">
        <v>132</v>
      </c>
      <c r="C2496" s="922" t="s">
        <v>1327</v>
      </c>
      <c r="D2496" s="918"/>
      <c r="E2496" s="924"/>
      <c r="F2496" s="916">
        <v>99</v>
      </c>
      <c r="G2496" s="1152"/>
      <c r="H2496" s="1153"/>
      <c r="I2496" s="1152"/>
      <c r="J2496" s="1153"/>
      <c r="K2496" s="1152"/>
      <c r="L2496" s="1153"/>
      <c r="M2496" s="1152"/>
      <c r="N2496" s="1152"/>
      <c r="O2496" s="732">
        <f t="shared" si="309"/>
        <v>0</v>
      </c>
      <c r="P2496" s="1153"/>
      <c r="Q2496" s="1153"/>
      <c r="R2496" s="733">
        <f t="shared" si="312"/>
        <v>0</v>
      </c>
      <c r="S2496" s="732">
        <f t="shared" si="313"/>
        <v>0</v>
      </c>
      <c r="T2496" s="733">
        <f t="shared" si="314"/>
        <v>0</v>
      </c>
      <c r="U2496" s="1152"/>
      <c r="V2496" s="1153"/>
      <c r="W2496" s="1152"/>
      <c r="X2496" s="1152"/>
      <c r="Y2496" s="732">
        <f t="shared" si="310"/>
        <v>0</v>
      </c>
      <c r="Z2496" s="1153"/>
      <c r="AA2496" s="1153"/>
      <c r="AB2496" s="733">
        <f t="shared" si="311"/>
        <v>0</v>
      </c>
      <c r="AC2496" s="1152"/>
      <c r="AD2496" s="1153"/>
      <c r="AE2496" s="1152"/>
      <c r="AF2496" s="1152"/>
      <c r="AG2496" s="1153"/>
      <c r="AH2496" s="1153"/>
      <c r="AI2496" s="732">
        <f t="shared" si="315"/>
        <v>0</v>
      </c>
      <c r="AJ2496" s="733">
        <f t="shared" si="316"/>
        <v>0</v>
      </c>
    </row>
    <row r="2497" spans="1:36">
      <c r="A2497" s="912" t="s">
        <v>750</v>
      </c>
      <c r="B2497" s="913" t="s">
        <v>132</v>
      </c>
      <c r="C2497" s="922" t="s">
        <v>1328</v>
      </c>
      <c r="D2497" s="918"/>
      <c r="E2497" s="924"/>
      <c r="F2497" s="916">
        <v>99</v>
      </c>
      <c r="G2497" s="1152"/>
      <c r="H2497" s="1153"/>
      <c r="I2497" s="1152">
        <v>9162363</v>
      </c>
      <c r="J2497" s="1153">
        <v>9562363</v>
      </c>
      <c r="K2497" s="1152"/>
      <c r="L2497" s="1153"/>
      <c r="M2497" s="1152"/>
      <c r="N2497" s="1152"/>
      <c r="O2497" s="732">
        <f t="shared" si="309"/>
        <v>0</v>
      </c>
      <c r="P2497" s="1153"/>
      <c r="Q2497" s="1153"/>
      <c r="R2497" s="733">
        <f t="shared" si="312"/>
        <v>0</v>
      </c>
      <c r="S2497" s="732">
        <f t="shared" si="313"/>
        <v>9162363</v>
      </c>
      <c r="T2497" s="733">
        <f t="shared" si="314"/>
        <v>9562363</v>
      </c>
      <c r="U2497" s="1152"/>
      <c r="V2497" s="1153"/>
      <c r="W2497" s="1152"/>
      <c r="X2497" s="1152"/>
      <c r="Y2497" s="732">
        <f t="shared" si="310"/>
        <v>0</v>
      </c>
      <c r="Z2497" s="1153"/>
      <c r="AA2497" s="1153"/>
      <c r="AB2497" s="733">
        <f t="shared" si="311"/>
        <v>0</v>
      </c>
      <c r="AC2497" s="1152"/>
      <c r="AD2497" s="1153"/>
      <c r="AE2497" s="1152"/>
      <c r="AF2497" s="1152"/>
      <c r="AG2497" s="1153"/>
      <c r="AH2497" s="1153"/>
      <c r="AI2497" s="732">
        <f t="shared" si="315"/>
        <v>9162363</v>
      </c>
      <c r="AJ2497" s="733">
        <f t="shared" si="316"/>
        <v>9562363</v>
      </c>
    </row>
    <row r="2498" spans="1:36">
      <c r="A2498" s="912" t="s">
        <v>750</v>
      </c>
      <c r="B2498" s="913" t="s">
        <v>132</v>
      </c>
      <c r="C2498" s="922" t="s">
        <v>1329</v>
      </c>
      <c r="D2498" s="918"/>
      <c r="E2498" s="924"/>
      <c r="F2498" s="916">
        <v>99</v>
      </c>
      <c r="G2498" s="1152"/>
      <c r="H2498" s="1153"/>
      <c r="I2498" s="1152">
        <v>307899</v>
      </c>
      <c r="J2498" s="1153">
        <v>307899</v>
      </c>
      <c r="K2498" s="1152"/>
      <c r="L2498" s="1153"/>
      <c r="M2498" s="1152"/>
      <c r="N2498" s="1152"/>
      <c r="O2498" s="732">
        <f t="shared" si="309"/>
        <v>0</v>
      </c>
      <c r="P2498" s="1153"/>
      <c r="Q2498" s="1153"/>
      <c r="R2498" s="733">
        <f t="shared" si="312"/>
        <v>0</v>
      </c>
      <c r="S2498" s="732">
        <f t="shared" si="313"/>
        <v>307899</v>
      </c>
      <c r="T2498" s="733">
        <f t="shared" si="314"/>
        <v>307899</v>
      </c>
      <c r="U2498" s="1152"/>
      <c r="V2498" s="1153"/>
      <c r="W2498" s="1152"/>
      <c r="X2498" s="1152"/>
      <c r="Y2498" s="732">
        <f t="shared" si="310"/>
        <v>0</v>
      </c>
      <c r="Z2498" s="1153"/>
      <c r="AA2498" s="1153"/>
      <c r="AB2498" s="733">
        <f t="shared" si="311"/>
        <v>0</v>
      </c>
      <c r="AC2498" s="1152"/>
      <c r="AD2498" s="1153"/>
      <c r="AE2498" s="1152"/>
      <c r="AF2498" s="1152"/>
      <c r="AG2498" s="1153"/>
      <c r="AH2498" s="1153"/>
      <c r="AI2498" s="732">
        <f t="shared" si="315"/>
        <v>307899</v>
      </c>
      <c r="AJ2498" s="733">
        <f t="shared" si="316"/>
        <v>307899</v>
      </c>
    </row>
    <row r="2499" spans="1:36">
      <c r="A2499" s="912" t="s">
        <v>750</v>
      </c>
      <c r="B2499" s="913" t="s">
        <v>132</v>
      </c>
      <c r="C2499" s="922" t="s">
        <v>1330</v>
      </c>
      <c r="D2499" s="918"/>
      <c r="E2499" s="924"/>
      <c r="F2499" s="916">
        <v>99</v>
      </c>
      <c r="G2499" s="1152"/>
      <c r="H2499" s="1153"/>
      <c r="I2499" s="1152">
        <v>795000</v>
      </c>
      <c r="J2499" s="1153">
        <v>795000</v>
      </c>
      <c r="K2499" s="1152"/>
      <c r="L2499" s="1153"/>
      <c r="M2499" s="1152"/>
      <c r="N2499" s="1152"/>
      <c r="O2499" s="732">
        <f t="shared" si="309"/>
        <v>0</v>
      </c>
      <c r="P2499" s="1153"/>
      <c r="Q2499" s="1153"/>
      <c r="R2499" s="733">
        <f t="shared" si="312"/>
        <v>0</v>
      </c>
      <c r="S2499" s="732">
        <f t="shared" si="313"/>
        <v>795000</v>
      </c>
      <c r="T2499" s="733">
        <f t="shared" si="314"/>
        <v>795000</v>
      </c>
      <c r="U2499" s="1152"/>
      <c r="V2499" s="1153"/>
      <c r="W2499" s="1152"/>
      <c r="X2499" s="1152"/>
      <c r="Y2499" s="732">
        <f t="shared" si="310"/>
        <v>0</v>
      </c>
      <c r="Z2499" s="1153"/>
      <c r="AA2499" s="1153"/>
      <c r="AB2499" s="733">
        <f t="shared" si="311"/>
        <v>0</v>
      </c>
      <c r="AC2499" s="1152"/>
      <c r="AD2499" s="1153"/>
      <c r="AE2499" s="1152"/>
      <c r="AF2499" s="1152"/>
      <c r="AG2499" s="1153"/>
      <c r="AH2499" s="1153"/>
      <c r="AI2499" s="732">
        <f t="shared" si="315"/>
        <v>795000</v>
      </c>
      <c r="AJ2499" s="733">
        <f t="shared" si="316"/>
        <v>795000</v>
      </c>
    </row>
    <row r="2500" spans="1:36">
      <c r="A2500" s="912" t="s">
        <v>750</v>
      </c>
      <c r="B2500" s="913" t="s">
        <v>132</v>
      </c>
      <c r="C2500" s="922" t="s">
        <v>1331</v>
      </c>
      <c r="D2500" s="918"/>
      <c r="E2500" s="924"/>
      <c r="F2500" s="916">
        <v>99</v>
      </c>
      <c r="G2500" s="1152"/>
      <c r="H2500" s="1153"/>
      <c r="I2500" s="1152">
        <v>755065</v>
      </c>
      <c r="J2500" s="1153">
        <v>755065</v>
      </c>
      <c r="K2500" s="1152"/>
      <c r="L2500" s="1153"/>
      <c r="M2500" s="1152"/>
      <c r="N2500" s="1152"/>
      <c r="O2500" s="732">
        <f t="shared" si="309"/>
        <v>0</v>
      </c>
      <c r="P2500" s="1153"/>
      <c r="Q2500" s="1153"/>
      <c r="R2500" s="733">
        <f t="shared" si="312"/>
        <v>0</v>
      </c>
      <c r="S2500" s="732">
        <f t="shared" si="313"/>
        <v>755065</v>
      </c>
      <c r="T2500" s="733">
        <f t="shared" si="314"/>
        <v>755065</v>
      </c>
      <c r="U2500" s="1152"/>
      <c r="V2500" s="1153"/>
      <c r="W2500" s="1152"/>
      <c r="X2500" s="1152"/>
      <c r="Y2500" s="732">
        <f t="shared" si="310"/>
        <v>0</v>
      </c>
      <c r="Z2500" s="1153"/>
      <c r="AA2500" s="1153"/>
      <c r="AB2500" s="733">
        <f t="shared" si="311"/>
        <v>0</v>
      </c>
      <c r="AC2500" s="1152"/>
      <c r="AD2500" s="1153"/>
      <c r="AE2500" s="1152"/>
      <c r="AF2500" s="1152"/>
      <c r="AG2500" s="1153"/>
      <c r="AH2500" s="1153"/>
      <c r="AI2500" s="732">
        <f t="shared" si="315"/>
        <v>755065</v>
      </c>
      <c r="AJ2500" s="733">
        <f t="shared" si="316"/>
        <v>755065</v>
      </c>
    </row>
    <row r="2501" spans="1:36">
      <c r="A2501" s="912" t="s">
        <v>750</v>
      </c>
      <c r="B2501" s="913" t="s">
        <v>132</v>
      </c>
      <c r="C2501" s="922" t="s">
        <v>1332</v>
      </c>
      <c r="D2501" s="918"/>
      <c r="E2501" s="924"/>
      <c r="F2501" s="916">
        <v>99</v>
      </c>
      <c r="G2501" s="1152"/>
      <c r="H2501" s="1153"/>
      <c r="I2501" s="1152"/>
      <c r="J2501" s="1153"/>
      <c r="K2501" s="1152"/>
      <c r="L2501" s="1153"/>
      <c r="M2501" s="1152"/>
      <c r="N2501" s="1152"/>
      <c r="O2501" s="732">
        <f t="shared" si="309"/>
        <v>0</v>
      </c>
      <c r="P2501" s="1153"/>
      <c r="Q2501" s="1153"/>
      <c r="R2501" s="733">
        <f t="shared" si="312"/>
        <v>0</v>
      </c>
      <c r="S2501" s="732">
        <f t="shared" si="313"/>
        <v>0</v>
      </c>
      <c r="T2501" s="733">
        <f t="shared" si="314"/>
        <v>0</v>
      </c>
      <c r="U2501" s="1152"/>
      <c r="V2501" s="1153"/>
      <c r="W2501" s="1152"/>
      <c r="X2501" s="1152"/>
      <c r="Y2501" s="732">
        <f t="shared" si="310"/>
        <v>0</v>
      </c>
      <c r="Z2501" s="1153"/>
      <c r="AA2501" s="1153"/>
      <c r="AB2501" s="733">
        <f t="shared" si="311"/>
        <v>0</v>
      </c>
      <c r="AC2501" s="1152">
        <v>30366126</v>
      </c>
      <c r="AD2501" s="1153">
        <v>30365881</v>
      </c>
      <c r="AE2501" s="1152"/>
      <c r="AF2501" s="1152"/>
      <c r="AG2501" s="1153"/>
      <c r="AH2501" s="1153"/>
      <c r="AI2501" s="732">
        <f t="shared" si="315"/>
        <v>30366126</v>
      </c>
      <c r="AJ2501" s="733">
        <f t="shared" si="316"/>
        <v>30365881</v>
      </c>
    </row>
    <row r="2502" spans="1:36">
      <c r="A2502" s="912" t="s">
        <v>750</v>
      </c>
      <c r="B2502" s="913" t="s">
        <v>132</v>
      </c>
      <c r="C2502" s="922" t="s">
        <v>1333</v>
      </c>
      <c r="D2502" s="918"/>
      <c r="E2502" s="924"/>
      <c r="F2502" s="916">
        <v>99</v>
      </c>
      <c r="G2502" s="1152"/>
      <c r="H2502" s="1153"/>
      <c r="I2502" s="1152">
        <v>73837840</v>
      </c>
      <c r="J2502" s="1153">
        <v>85158967</v>
      </c>
      <c r="K2502" s="1152"/>
      <c r="L2502" s="1153"/>
      <c r="M2502" s="1152"/>
      <c r="N2502" s="1152"/>
      <c r="O2502" s="732">
        <f t="shared" si="309"/>
        <v>0</v>
      </c>
      <c r="P2502" s="1153"/>
      <c r="Q2502" s="1153"/>
      <c r="R2502" s="733">
        <f t="shared" si="312"/>
        <v>0</v>
      </c>
      <c r="S2502" s="732">
        <f t="shared" si="313"/>
        <v>73837840</v>
      </c>
      <c r="T2502" s="733">
        <f t="shared" si="314"/>
        <v>85158967</v>
      </c>
      <c r="U2502" s="1152"/>
      <c r="V2502" s="1153"/>
      <c r="W2502" s="1152"/>
      <c r="X2502" s="1152"/>
      <c r="Y2502" s="732">
        <f t="shared" si="310"/>
        <v>0</v>
      </c>
      <c r="Z2502" s="1153"/>
      <c r="AA2502" s="1153"/>
      <c r="AB2502" s="733">
        <f t="shared" si="311"/>
        <v>0</v>
      </c>
      <c r="AC2502" s="1152"/>
      <c r="AD2502" s="1153"/>
      <c r="AE2502" s="1152"/>
      <c r="AF2502" s="1152"/>
      <c r="AG2502" s="1153"/>
      <c r="AH2502" s="1153"/>
      <c r="AI2502" s="732">
        <f t="shared" si="315"/>
        <v>73837840</v>
      </c>
      <c r="AJ2502" s="733">
        <f t="shared" si="316"/>
        <v>85158967</v>
      </c>
    </row>
    <row r="2503" spans="1:36">
      <c r="A2503" s="912" t="s">
        <v>750</v>
      </c>
      <c r="B2503" s="913" t="s">
        <v>132</v>
      </c>
      <c r="C2503" s="922" t="s">
        <v>1334</v>
      </c>
      <c r="D2503" s="918"/>
      <c r="E2503" s="924"/>
      <c r="F2503" s="916">
        <v>99</v>
      </c>
      <c r="G2503" s="1152"/>
      <c r="H2503" s="1153"/>
      <c r="I2503" s="1152">
        <v>3718615</v>
      </c>
      <c r="J2503" s="1153">
        <v>3803865</v>
      </c>
      <c r="K2503" s="1152"/>
      <c r="L2503" s="1153"/>
      <c r="M2503" s="1152"/>
      <c r="N2503" s="1152"/>
      <c r="O2503" s="732">
        <f t="shared" si="309"/>
        <v>0</v>
      </c>
      <c r="P2503" s="1153"/>
      <c r="Q2503" s="1153"/>
      <c r="R2503" s="733">
        <f t="shared" si="312"/>
        <v>0</v>
      </c>
      <c r="S2503" s="732">
        <f t="shared" si="313"/>
        <v>3718615</v>
      </c>
      <c r="T2503" s="733">
        <f t="shared" si="314"/>
        <v>3803865</v>
      </c>
      <c r="U2503" s="1152"/>
      <c r="V2503" s="1153"/>
      <c r="W2503" s="1152"/>
      <c r="X2503" s="1152"/>
      <c r="Y2503" s="732">
        <f t="shared" si="310"/>
        <v>0</v>
      </c>
      <c r="Z2503" s="1153"/>
      <c r="AA2503" s="1153"/>
      <c r="AB2503" s="733">
        <f t="shared" si="311"/>
        <v>0</v>
      </c>
      <c r="AC2503" s="1152"/>
      <c r="AD2503" s="1153"/>
      <c r="AE2503" s="1152"/>
      <c r="AF2503" s="1152"/>
      <c r="AG2503" s="1153"/>
      <c r="AH2503" s="1153"/>
      <c r="AI2503" s="732">
        <f t="shared" si="315"/>
        <v>3718615</v>
      </c>
      <c r="AJ2503" s="733">
        <f t="shared" si="316"/>
        <v>3803865</v>
      </c>
    </row>
    <row r="2504" spans="1:36">
      <c r="A2504" s="912" t="s">
        <v>750</v>
      </c>
      <c r="B2504" s="913" t="s">
        <v>132</v>
      </c>
      <c r="C2504" s="922" t="s">
        <v>1335</v>
      </c>
      <c r="D2504" s="918"/>
      <c r="E2504" s="924"/>
      <c r="F2504" s="916">
        <v>99</v>
      </c>
      <c r="G2504" s="1152"/>
      <c r="H2504" s="1153"/>
      <c r="I2504" s="1152">
        <v>2100046</v>
      </c>
      <c r="J2504" s="1153">
        <v>2171000</v>
      </c>
      <c r="K2504" s="1152"/>
      <c r="L2504" s="1153"/>
      <c r="M2504" s="1152"/>
      <c r="N2504" s="1152"/>
      <c r="O2504" s="732">
        <f t="shared" si="309"/>
        <v>0</v>
      </c>
      <c r="P2504" s="1153"/>
      <c r="Q2504" s="1153"/>
      <c r="R2504" s="733">
        <f t="shared" si="312"/>
        <v>0</v>
      </c>
      <c r="S2504" s="732">
        <f t="shared" si="313"/>
        <v>2100046</v>
      </c>
      <c r="T2504" s="733">
        <f t="shared" si="314"/>
        <v>2171000</v>
      </c>
      <c r="U2504" s="1152"/>
      <c r="V2504" s="1153"/>
      <c r="W2504" s="1152"/>
      <c r="X2504" s="1152"/>
      <c r="Y2504" s="732">
        <f t="shared" si="310"/>
        <v>0</v>
      </c>
      <c r="Z2504" s="1153"/>
      <c r="AA2504" s="1153"/>
      <c r="AB2504" s="733">
        <f t="shared" si="311"/>
        <v>0</v>
      </c>
      <c r="AC2504" s="1152"/>
      <c r="AD2504" s="1153"/>
      <c r="AE2504" s="1152"/>
      <c r="AF2504" s="1152"/>
      <c r="AG2504" s="1153"/>
      <c r="AH2504" s="1153"/>
      <c r="AI2504" s="732">
        <f t="shared" si="315"/>
        <v>2100046</v>
      </c>
      <c r="AJ2504" s="733">
        <f t="shared" si="316"/>
        <v>2171000</v>
      </c>
    </row>
    <row r="2505" spans="1:36">
      <c r="A2505" s="912" t="s">
        <v>750</v>
      </c>
      <c r="B2505" s="913" t="s">
        <v>132</v>
      </c>
      <c r="C2505" s="922" t="s">
        <v>1336</v>
      </c>
      <c r="D2505" s="918"/>
      <c r="E2505" s="924"/>
      <c r="F2505" s="916">
        <v>99</v>
      </c>
      <c r="G2505" s="1152"/>
      <c r="H2505" s="1153"/>
      <c r="I2505" s="1152">
        <v>1478706</v>
      </c>
      <c r="J2505" s="1153">
        <v>1478706</v>
      </c>
      <c r="K2505" s="1152"/>
      <c r="L2505" s="1153"/>
      <c r="M2505" s="1152"/>
      <c r="N2505" s="1152"/>
      <c r="O2505" s="732">
        <f t="shared" si="309"/>
        <v>0</v>
      </c>
      <c r="P2505" s="1153"/>
      <c r="Q2505" s="1153"/>
      <c r="R2505" s="733">
        <f t="shared" si="312"/>
        <v>0</v>
      </c>
      <c r="S2505" s="732">
        <f t="shared" si="313"/>
        <v>1478706</v>
      </c>
      <c r="T2505" s="733">
        <f t="shared" si="314"/>
        <v>1478706</v>
      </c>
      <c r="U2505" s="1152"/>
      <c r="V2505" s="1153"/>
      <c r="W2505" s="1152"/>
      <c r="X2505" s="1152"/>
      <c r="Y2505" s="732">
        <f t="shared" si="310"/>
        <v>0</v>
      </c>
      <c r="Z2505" s="1153"/>
      <c r="AA2505" s="1153"/>
      <c r="AB2505" s="733">
        <f t="shared" si="311"/>
        <v>0</v>
      </c>
      <c r="AC2505" s="1152"/>
      <c r="AD2505" s="1153"/>
      <c r="AE2505" s="1152"/>
      <c r="AF2505" s="1152"/>
      <c r="AG2505" s="1153"/>
      <c r="AH2505" s="1153"/>
      <c r="AI2505" s="732">
        <f t="shared" si="315"/>
        <v>1478706</v>
      </c>
      <c r="AJ2505" s="733">
        <f t="shared" si="316"/>
        <v>1478706</v>
      </c>
    </row>
    <row r="2506" spans="1:36">
      <c r="A2506" s="912" t="s">
        <v>750</v>
      </c>
      <c r="B2506" s="913" t="s">
        <v>132</v>
      </c>
      <c r="C2506" s="922" t="s">
        <v>1337</v>
      </c>
      <c r="D2506" s="918"/>
      <c r="E2506" s="924"/>
      <c r="F2506" s="916">
        <v>99</v>
      </c>
      <c r="G2506" s="1152"/>
      <c r="H2506" s="1153"/>
      <c r="I2506" s="1152">
        <v>6415246</v>
      </c>
      <c r="J2506" s="1153">
        <v>6415193</v>
      </c>
      <c r="K2506" s="1152"/>
      <c r="L2506" s="1153"/>
      <c r="M2506" s="1152"/>
      <c r="N2506" s="1152"/>
      <c r="O2506" s="732">
        <f t="shared" ref="O2506:O2569" si="317">SUM(M2506:N2506)</f>
        <v>0</v>
      </c>
      <c r="P2506" s="1153"/>
      <c r="Q2506" s="1153"/>
      <c r="R2506" s="733">
        <f t="shared" si="312"/>
        <v>0</v>
      </c>
      <c r="S2506" s="732">
        <f t="shared" si="313"/>
        <v>6415246</v>
      </c>
      <c r="T2506" s="733">
        <f t="shared" si="314"/>
        <v>6415193</v>
      </c>
      <c r="U2506" s="1152"/>
      <c r="V2506" s="1153"/>
      <c r="W2506" s="1152"/>
      <c r="X2506" s="1152"/>
      <c r="Y2506" s="732">
        <f t="shared" ref="Y2506:Y2569" si="318">SUM(W2506:X2506)</f>
        <v>0</v>
      </c>
      <c r="Z2506" s="1153"/>
      <c r="AA2506" s="1153"/>
      <c r="AB2506" s="733">
        <f t="shared" ref="AB2506:AB2569" si="319">SUM(Z2506:AA2506)</f>
        <v>0</v>
      </c>
      <c r="AC2506" s="1152"/>
      <c r="AD2506" s="1153"/>
      <c r="AE2506" s="1152"/>
      <c r="AF2506" s="1152"/>
      <c r="AG2506" s="1153"/>
      <c r="AH2506" s="1153"/>
      <c r="AI2506" s="732">
        <f t="shared" si="315"/>
        <v>6415246</v>
      </c>
      <c r="AJ2506" s="733">
        <f t="shared" si="316"/>
        <v>6415193</v>
      </c>
    </row>
    <row r="2507" spans="1:36">
      <c r="A2507" s="912" t="s">
        <v>750</v>
      </c>
      <c r="B2507" s="913" t="s">
        <v>132</v>
      </c>
      <c r="C2507" s="922" t="s">
        <v>1326</v>
      </c>
      <c r="D2507" s="918"/>
      <c r="E2507" s="924"/>
      <c r="F2507" s="836">
        <v>99</v>
      </c>
      <c r="G2507" s="1152"/>
      <c r="H2507" s="1153"/>
      <c r="I2507" s="1152">
        <v>2589059</v>
      </c>
      <c r="J2507" s="1153">
        <v>2692553</v>
      </c>
      <c r="K2507" s="1152"/>
      <c r="L2507" s="1153"/>
      <c r="M2507" s="1152"/>
      <c r="N2507" s="1152"/>
      <c r="O2507" s="732">
        <f t="shared" si="317"/>
        <v>0</v>
      </c>
      <c r="P2507" s="1153"/>
      <c r="Q2507" s="1153"/>
      <c r="R2507" s="733">
        <f t="shared" ref="R2507:R2570" si="320">SUM(P2507:Q2507)</f>
        <v>0</v>
      </c>
      <c r="S2507" s="732">
        <f t="shared" ref="S2507:S2570" si="321">SUM(G2507,I2507,K2507,M2507)</f>
        <v>2589059</v>
      </c>
      <c r="T2507" s="733">
        <f t="shared" ref="T2507:T2570" si="322">SUM(H2507,J2507,L2507,P2507)</f>
        <v>2692553</v>
      </c>
      <c r="U2507" s="1152"/>
      <c r="V2507" s="1153"/>
      <c r="W2507" s="1152"/>
      <c r="X2507" s="1152"/>
      <c r="Y2507" s="732">
        <f t="shared" si="318"/>
        <v>0</v>
      </c>
      <c r="Z2507" s="1153"/>
      <c r="AA2507" s="1153"/>
      <c r="AB2507" s="733">
        <f t="shared" si="319"/>
        <v>0</v>
      </c>
      <c r="AC2507" s="1152"/>
      <c r="AD2507" s="1153"/>
      <c r="AE2507" s="1152"/>
      <c r="AF2507" s="1152"/>
      <c r="AG2507" s="1153"/>
      <c r="AH2507" s="1153"/>
      <c r="AI2507" s="732">
        <f t="shared" ref="AI2507:AI2570" si="323">SUM(S2507,U2507,W2507,AC2507,AE2507)</f>
        <v>2589059</v>
      </c>
      <c r="AJ2507" s="733">
        <f t="shared" ref="AJ2507:AJ2570" si="324">SUM(T2507,V2507,Z2507,AD2507,AG2507)</f>
        <v>2692553</v>
      </c>
    </row>
    <row r="2508" spans="1:36">
      <c r="A2508" s="912" t="s">
        <v>750</v>
      </c>
      <c r="B2508" s="913" t="s">
        <v>138</v>
      </c>
      <c r="C2508" s="925" t="s">
        <v>139</v>
      </c>
      <c r="D2508" s="918"/>
      <c r="E2508" s="924"/>
      <c r="F2508" s="916">
        <v>99</v>
      </c>
      <c r="G2508" s="1152"/>
      <c r="H2508" s="1153"/>
      <c r="I2508" s="1152"/>
      <c r="J2508" s="1153"/>
      <c r="K2508" s="1152"/>
      <c r="L2508" s="1153"/>
      <c r="M2508" s="1152"/>
      <c r="N2508" s="1152"/>
      <c r="O2508" s="732">
        <f t="shared" si="317"/>
        <v>0</v>
      </c>
      <c r="P2508" s="1153"/>
      <c r="Q2508" s="1153"/>
      <c r="R2508" s="733">
        <f t="shared" si="320"/>
        <v>0</v>
      </c>
      <c r="S2508" s="732">
        <f t="shared" si="321"/>
        <v>0</v>
      </c>
      <c r="T2508" s="733">
        <f t="shared" si="322"/>
        <v>0</v>
      </c>
      <c r="U2508" s="1152"/>
      <c r="V2508" s="1153"/>
      <c r="W2508" s="1152"/>
      <c r="X2508" s="1152"/>
      <c r="Y2508" s="732">
        <f t="shared" si="318"/>
        <v>0</v>
      </c>
      <c r="Z2508" s="1153"/>
      <c r="AA2508" s="1153"/>
      <c r="AB2508" s="733">
        <f t="shared" si="319"/>
        <v>0</v>
      </c>
      <c r="AC2508" s="1152"/>
      <c r="AD2508" s="1153"/>
      <c r="AE2508" s="1152"/>
      <c r="AF2508" s="1152"/>
      <c r="AG2508" s="1153"/>
      <c r="AH2508" s="1153"/>
      <c r="AI2508" s="732">
        <f t="shared" si="323"/>
        <v>0</v>
      </c>
      <c r="AJ2508" s="733">
        <f t="shared" si="324"/>
        <v>0</v>
      </c>
    </row>
    <row r="2509" spans="1:36">
      <c r="A2509" s="912" t="s">
        <v>750</v>
      </c>
      <c r="B2509" s="913" t="s">
        <v>140</v>
      </c>
      <c r="C2509" s="1113" t="s">
        <v>141</v>
      </c>
      <c r="D2509" s="918"/>
      <c r="E2509" s="924"/>
      <c r="F2509" s="916">
        <v>99</v>
      </c>
      <c r="G2509" s="1152"/>
      <c r="H2509" s="1153"/>
      <c r="I2509" s="1152"/>
      <c r="J2509" s="1153"/>
      <c r="K2509" s="1152"/>
      <c r="L2509" s="1153"/>
      <c r="M2509" s="1152"/>
      <c r="N2509" s="1152"/>
      <c r="O2509" s="732">
        <f t="shared" si="317"/>
        <v>0</v>
      </c>
      <c r="P2509" s="1153"/>
      <c r="Q2509" s="1153"/>
      <c r="R2509" s="733">
        <f t="shared" si="320"/>
        <v>0</v>
      </c>
      <c r="S2509" s="732">
        <f t="shared" si="321"/>
        <v>0</v>
      </c>
      <c r="T2509" s="733">
        <f t="shared" si="322"/>
        <v>0</v>
      </c>
      <c r="U2509" s="1152">
        <v>7658118</v>
      </c>
      <c r="V2509" s="1153">
        <v>7471303</v>
      </c>
      <c r="W2509" s="1152"/>
      <c r="X2509" s="1152"/>
      <c r="Y2509" s="732">
        <f t="shared" si="318"/>
        <v>0</v>
      </c>
      <c r="Z2509" s="1153"/>
      <c r="AA2509" s="1153"/>
      <c r="AB2509" s="733">
        <f t="shared" si="319"/>
        <v>0</v>
      </c>
      <c r="AC2509" s="1152"/>
      <c r="AD2509" s="1153"/>
      <c r="AE2509" s="1152"/>
      <c r="AF2509" s="1152"/>
      <c r="AG2509" s="1153"/>
      <c r="AH2509" s="1153"/>
      <c r="AI2509" s="732">
        <f t="shared" si="323"/>
        <v>7658118</v>
      </c>
      <c r="AJ2509" s="733">
        <f t="shared" si="324"/>
        <v>7471303</v>
      </c>
    </row>
    <row r="2510" spans="1:36">
      <c r="A2510" s="912" t="s">
        <v>750</v>
      </c>
      <c r="B2510" s="913" t="s">
        <v>142</v>
      </c>
      <c r="C2510" s="1113" t="s">
        <v>143</v>
      </c>
      <c r="D2510" s="918"/>
      <c r="E2510" s="924"/>
      <c r="F2510" s="916">
        <v>99</v>
      </c>
      <c r="G2510" s="1152"/>
      <c r="H2510" s="1153"/>
      <c r="I2510" s="1152"/>
      <c r="J2510" s="1153"/>
      <c r="K2510" s="1152"/>
      <c r="L2510" s="1153"/>
      <c r="M2510" s="1152"/>
      <c r="N2510" s="1152"/>
      <c r="O2510" s="732">
        <f t="shared" si="317"/>
        <v>0</v>
      </c>
      <c r="P2510" s="1153"/>
      <c r="Q2510" s="1153"/>
      <c r="R2510" s="733">
        <f t="shared" si="320"/>
        <v>0</v>
      </c>
      <c r="S2510" s="732">
        <f t="shared" si="321"/>
        <v>0</v>
      </c>
      <c r="T2510" s="733">
        <f t="shared" si="322"/>
        <v>0</v>
      </c>
      <c r="U2510" s="1152">
        <v>18225350</v>
      </c>
      <c r="V2510" s="1153">
        <v>18519187</v>
      </c>
      <c r="W2510" s="1152"/>
      <c r="X2510" s="1152"/>
      <c r="Y2510" s="732">
        <f t="shared" si="318"/>
        <v>0</v>
      </c>
      <c r="Z2510" s="1153"/>
      <c r="AA2510" s="1153"/>
      <c r="AB2510" s="733">
        <f t="shared" si="319"/>
        <v>0</v>
      </c>
      <c r="AC2510" s="1152"/>
      <c r="AD2510" s="1153"/>
      <c r="AE2510" s="1152"/>
      <c r="AF2510" s="1152"/>
      <c r="AG2510" s="1153"/>
      <c r="AH2510" s="1153"/>
      <c r="AI2510" s="732">
        <f t="shared" si="323"/>
        <v>18225350</v>
      </c>
      <c r="AJ2510" s="733">
        <f t="shared" si="324"/>
        <v>18519187</v>
      </c>
    </row>
    <row r="2511" spans="1:36">
      <c r="A2511" s="912" t="s">
        <v>750</v>
      </c>
      <c r="B2511" s="913" t="s">
        <v>142</v>
      </c>
      <c r="C2511" s="1113" t="s">
        <v>1338</v>
      </c>
      <c r="D2511" s="918"/>
      <c r="E2511" s="924"/>
      <c r="F2511" s="916">
        <v>99</v>
      </c>
      <c r="G2511" s="1152"/>
      <c r="H2511" s="1153"/>
      <c r="I2511" s="1152">
        <v>3000000</v>
      </c>
      <c r="J2511" s="1153">
        <v>4000000</v>
      </c>
      <c r="K2511" s="1152"/>
      <c r="L2511" s="1153"/>
      <c r="M2511" s="1152"/>
      <c r="N2511" s="1152"/>
      <c r="O2511" s="732">
        <f t="shared" si="317"/>
        <v>0</v>
      </c>
      <c r="P2511" s="1153"/>
      <c r="Q2511" s="1153"/>
      <c r="R2511" s="733">
        <f t="shared" si="320"/>
        <v>0</v>
      </c>
      <c r="S2511" s="732">
        <f t="shared" si="321"/>
        <v>3000000</v>
      </c>
      <c r="T2511" s="733">
        <f t="shared" si="322"/>
        <v>4000000</v>
      </c>
      <c r="U2511" s="1152"/>
      <c r="V2511" s="1153"/>
      <c r="W2511" s="1152"/>
      <c r="X2511" s="1152"/>
      <c r="Y2511" s="732">
        <f t="shared" si="318"/>
        <v>0</v>
      </c>
      <c r="Z2511" s="1153"/>
      <c r="AA2511" s="1153"/>
      <c r="AB2511" s="733">
        <f t="shared" si="319"/>
        <v>0</v>
      </c>
      <c r="AC2511" s="1152"/>
      <c r="AD2511" s="1153"/>
      <c r="AE2511" s="1152"/>
      <c r="AF2511" s="1152"/>
      <c r="AG2511" s="1153"/>
      <c r="AH2511" s="1153"/>
      <c r="AI2511" s="732">
        <f t="shared" si="323"/>
        <v>3000000</v>
      </c>
      <c r="AJ2511" s="733">
        <f t="shared" si="324"/>
        <v>4000000</v>
      </c>
    </row>
    <row r="2512" spans="1:36">
      <c r="A2512" s="912" t="s">
        <v>750</v>
      </c>
      <c r="B2512" s="913"/>
      <c r="C2512" s="1113" t="s">
        <v>1339</v>
      </c>
      <c r="D2512" s="918"/>
      <c r="E2512" s="924"/>
      <c r="F2512" s="916">
        <v>99</v>
      </c>
      <c r="G2512" s="1152"/>
      <c r="H2512" s="1153"/>
      <c r="I2512" s="1152">
        <v>13500000</v>
      </c>
      <c r="J2512" s="1153">
        <v>13500000</v>
      </c>
      <c r="K2512" s="1152"/>
      <c r="L2512" s="1153"/>
      <c r="M2512" s="1152"/>
      <c r="N2512" s="1152"/>
      <c r="O2512" s="732">
        <f t="shared" si="317"/>
        <v>0</v>
      </c>
      <c r="P2512" s="1153"/>
      <c r="Q2512" s="1153"/>
      <c r="R2512" s="733">
        <f t="shared" si="320"/>
        <v>0</v>
      </c>
      <c r="S2512" s="732">
        <f t="shared" si="321"/>
        <v>13500000</v>
      </c>
      <c r="T2512" s="733">
        <f t="shared" si="322"/>
        <v>13500000</v>
      </c>
      <c r="U2512" s="1152"/>
      <c r="V2512" s="1153"/>
      <c r="W2512" s="1152"/>
      <c r="X2512" s="1152"/>
      <c r="Y2512" s="732">
        <f t="shared" si="318"/>
        <v>0</v>
      </c>
      <c r="Z2512" s="1153"/>
      <c r="AA2512" s="1153"/>
      <c r="AB2512" s="733">
        <f t="shared" si="319"/>
        <v>0</v>
      </c>
      <c r="AC2512" s="1152"/>
      <c r="AD2512" s="1153"/>
      <c r="AE2512" s="1152"/>
      <c r="AF2512" s="1152"/>
      <c r="AG2512" s="1153"/>
      <c r="AH2512" s="1153"/>
      <c r="AI2512" s="732">
        <f t="shared" si="323"/>
        <v>13500000</v>
      </c>
      <c r="AJ2512" s="733">
        <f t="shared" si="324"/>
        <v>13500000</v>
      </c>
    </row>
    <row r="2513" spans="1:36">
      <c r="A2513" s="912" t="s">
        <v>750</v>
      </c>
      <c r="B2513" s="913" t="s">
        <v>142</v>
      </c>
      <c r="C2513" s="1113" t="s">
        <v>1340</v>
      </c>
      <c r="D2513" s="918"/>
      <c r="E2513" s="924"/>
      <c r="F2513" s="916">
        <v>99</v>
      </c>
      <c r="G2513" s="1152"/>
      <c r="H2513" s="1153"/>
      <c r="I2513" s="1152">
        <v>10876314</v>
      </c>
      <c r="J2513" s="1153">
        <v>10876314</v>
      </c>
      <c r="K2513" s="1152"/>
      <c r="L2513" s="1153"/>
      <c r="M2513" s="1152"/>
      <c r="N2513" s="1152"/>
      <c r="O2513" s="732">
        <f t="shared" si="317"/>
        <v>0</v>
      </c>
      <c r="P2513" s="1153"/>
      <c r="Q2513" s="1153"/>
      <c r="R2513" s="733">
        <f t="shared" si="320"/>
        <v>0</v>
      </c>
      <c r="S2513" s="732">
        <f t="shared" si="321"/>
        <v>10876314</v>
      </c>
      <c r="T2513" s="733">
        <f t="shared" si="322"/>
        <v>10876314</v>
      </c>
      <c r="U2513" s="1152"/>
      <c r="V2513" s="1153"/>
      <c r="W2513" s="1152"/>
      <c r="X2513" s="1152"/>
      <c r="Y2513" s="732">
        <f t="shared" si="318"/>
        <v>0</v>
      </c>
      <c r="Z2513" s="1153"/>
      <c r="AA2513" s="1153"/>
      <c r="AB2513" s="733">
        <f t="shared" si="319"/>
        <v>0</v>
      </c>
      <c r="AC2513" s="1152"/>
      <c r="AD2513" s="1153"/>
      <c r="AE2513" s="1152"/>
      <c r="AF2513" s="1152"/>
      <c r="AG2513" s="1153"/>
      <c r="AH2513" s="1153"/>
      <c r="AI2513" s="732">
        <f t="shared" si="323"/>
        <v>10876314</v>
      </c>
      <c r="AJ2513" s="733">
        <f t="shared" si="324"/>
        <v>10876314</v>
      </c>
    </row>
    <row r="2514" spans="1:36">
      <c r="A2514" s="912" t="s">
        <v>750</v>
      </c>
      <c r="B2514" s="913" t="s">
        <v>142</v>
      </c>
      <c r="C2514" s="1113" t="s">
        <v>1738</v>
      </c>
      <c r="D2514" s="918"/>
      <c r="E2514" s="924"/>
      <c r="F2514" s="916">
        <v>99</v>
      </c>
      <c r="G2514" s="1152"/>
      <c r="H2514" s="1153"/>
      <c r="I2514" s="1152"/>
      <c r="J2514" s="1153">
        <v>240000</v>
      </c>
      <c r="K2514" s="1152"/>
      <c r="L2514" s="1153"/>
      <c r="M2514" s="1152"/>
      <c r="N2514" s="1152"/>
      <c r="O2514" s="732">
        <f t="shared" si="317"/>
        <v>0</v>
      </c>
      <c r="P2514" s="1153"/>
      <c r="Q2514" s="1153"/>
      <c r="R2514" s="733">
        <f t="shared" si="320"/>
        <v>0</v>
      </c>
      <c r="S2514" s="732">
        <f t="shared" si="321"/>
        <v>0</v>
      </c>
      <c r="T2514" s="733">
        <f t="shared" si="322"/>
        <v>240000</v>
      </c>
      <c r="U2514" s="1152"/>
      <c r="V2514" s="1153"/>
      <c r="W2514" s="1152"/>
      <c r="X2514" s="1152"/>
      <c r="Y2514" s="732">
        <f t="shared" si="318"/>
        <v>0</v>
      </c>
      <c r="Z2514" s="1153"/>
      <c r="AA2514" s="1153"/>
      <c r="AB2514" s="733">
        <f t="shared" si="319"/>
        <v>0</v>
      </c>
      <c r="AC2514" s="1152"/>
      <c r="AD2514" s="1153"/>
      <c r="AE2514" s="1152"/>
      <c r="AF2514" s="1152"/>
      <c r="AG2514" s="1153"/>
      <c r="AH2514" s="1153"/>
      <c r="AI2514" s="732">
        <f t="shared" si="323"/>
        <v>0</v>
      </c>
      <c r="AJ2514" s="733">
        <f t="shared" si="324"/>
        <v>240000</v>
      </c>
    </row>
    <row r="2515" spans="1:36">
      <c r="A2515" s="912" t="s">
        <v>750</v>
      </c>
      <c r="B2515" s="913" t="s">
        <v>145</v>
      </c>
      <c r="C2515" s="922" t="s">
        <v>304</v>
      </c>
      <c r="D2515" s="918"/>
      <c r="E2515" s="924"/>
      <c r="F2515" s="916">
        <v>99</v>
      </c>
      <c r="G2515" s="1152"/>
      <c r="H2515" s="1153"/>
      <c r="I2515" s="1152"/>
      <c r="J2515" s="1153"/>
      <c r="K2515" s="1152"/>
      <c r="L2515" s="1153"/>
      <c r="M2515" s="1152"/>
      <c r="N2515" s="1152"/>
      <c r="O2515" s="732">
        <f t="shared" si="317"/>
        <v>0</v>
      </c>
      <c r="P2515" s="1153"/>
      <c r="Q2515" s="1153"/>
      <c r="R2515" s="733">
        <f t="shared" si="320"/>
        <v>0</v>
      </c>
      <c r="S2515" s="732">
        <f t="shared" si="321"/>
        <v>0</v>
      </c>
      <c r="T2515" s="733">
        <f t="shared" si="322"/>
        <v>0</v>
      </c>
      <c r="U2515" s="1152"/>
      <c r="V2515" s="1153"/>
      <c r="W2515" s="1152"/>
      <c r="X2515" s="1152"/>
      <c r="Y2515" s="732">
        <f t="shared" si="318"/>
        <v>0</v>
      </c>
      <c r="Z2515" s="1153"/>
      <c r="AA2515" s="1153"/>
      <c r="AB2515" s="733">
        <f t="shared" si="319"/>
        <v>0</v>
      </c>
      <c r="AC2515" s="1152"/>
      <c r="AD2515" s="1153"/>
      <c r="AE2515" s="1152"/>
      <c r="AF2515" s="1152"/>
      <c r="AG2515" s="1153"/>
      <c r="AH2515" s="1153"/>
      <c r="AI2515" s="732">
        <f t="shared" si="323"/>
        <v>0</v>
      </c>
      <c r="AJ2515" s="733">
        <f t="shared" si="324"/>
        <v>0</v>
      </c>
    </row>
    <row r="2516" spans="1:36">
      <c r="A2516" s="912" t="s">
        <v>750</v>
      </c>
      <c r="B2516" s="913" t="s">
        <v>149</v>
      </c>
      <c r="C2516" s="1113" t="s">
        <v>1341</v>
      </c>
      <c r="D2516" s="918"/>
      <c r="E2516" s="924"/>
      <c r="F2516" s="916">
        <v>99</v>
      </c>
      <c r="G2516" s="1152"/>
      <c r="H2516" s="1153"/>
      <c r="I2516" s="1152"/>
      <c r="J2516" s="1153"/>
      <c r="K2516" s="1152"/>
      <c r="L2516" s="1153"/>
      <c r="M2516" s="1152"/>
      <c r="N2516" s="1152"/>
      <c r="O2516" s="732">
        <f t="shared" si="317"/>
        <v>0</v>
      </c>
      <c r="P2516" s="1153"/>
      <c r="Q2516" s="1153"/>
      <c r="R2516" s="733">
        <f t="shared" si="320"/>
        <v>0</v>
      </c>
      <c r="S2516" s="732">
        <f t="shared" si="321"/>
        <v>0</v>
      </c>
      <c r="T2516" s="733">
        <f t="shared" si="322"/>
        <v>0</v>
      </c>
      <c r="U2516" s="1152">
        <v>7231017</v>
      </c>
      <c r="V2516" s="1153">
        <v>7231017</v>
      </c>
      <c r="W2516" s="1152"/>
      <c r="X2516" s="1152"/>
      <c r="Y2516" s="732">
        <f t="shared" si="318"/>
        <v>0</v>
      </c>
      <c r="Z2516" s="1153"/>
      <c r="AA2516" s="1153"/>
      <c r="AB2516" s="733">
        <f t="shared" si="319"/>
        <v>0</v>
      </c>
      <c r="AC2516" s="1152"/>
      <c r="AD2516" s="1153"/>
      <c r="AE2516" s="1152"/>
      <c r="AF2516" s="1152"/>
      <c r="AG2516" s="1153"/>
      <c r="AH2516" s="1153"/>
      <c r="AI2516" s="732">
        <f t="shared" si="323"/>
        <v>7231017</v>
      </c>
      <c r="AJ2516" s="733">
        <f t="shared" si="324"/>
        <v>7231017</v>
      </c>
    </row>
    <row r="2517" spans="1:36">
      <c r="A2517" s="912" t="s">
        <v>750</v>
      </c>
      <c r="B2517" s="913" t="s">
        <v>151</v>
      </c>
      <c r="C2517" s="925" t="s">
        <v>152</v>
      </c>
      <c r="D2517" s="918"/>
      <c r="E2517" s="924"/>
      <c r="F2517" s="916">
        <v>99</v>
      </c>
      <c r="G2517" s="1152"/>
      <c r="H2517" s="1153"/>
      <c r="I2517" s="1152"/>
      <c r="J2517" s="1153"/>
      <c r="K2517" s="1152"/>
      <c r="L2517" s="1153"/>
      <c r="M2517" s="1152"/>
      <c r="N2517" s="1152"/>
      <c r="O2517" s="732">
        <f t="shared" si="317"/>
        <v>0</v>
      </c>
      <c r="P2517" s="1153"/>
      <c r="Q2517" s="1153"/>
      <c r="R2517" s="733">
        <f t="shared" si="320"/>
        <v>0</v>
      </c>
      <c r="S2517" s="732">
        <f t="shared" si="321"/>
        <v>0</v>
      </c>
      <c r="T2517" s="733">
        <f t="shared" si="322"/>
        <v>0</v>
      </c>
      <c r="U2517" s="1152"/>
      <c r="V2517" s="1153"/>
      <c r="W2517" s="1152"/>
      <c r="X2517" s="1152"/>
      <c r="Y2517" s="732">
        <f t="shared" si="318"/>
        <v>0</v>
      </c>
      <c r="Z2517" s="1153"/>
      <c r="AA2517" s="1153"/>
      <c r="AB2517" s="733">
        <f t="shared" si="319"/>
        <v>0</v>
      </c>
      <c r="AC2517" s="1152"/>
      <c r="AD2517" s="1153"/>
      <c r="AE2517" s="1152"/>
      <c r="AF2517" s="1152"/>
      <c r="AG2517" s="1153"/>
      <c r="AH2517" s="1153"/>
      <c r="AI2517" s="732">
        <f t="shared" si="323"/>
        <v>0</v>
      </c>
      <c r="AJ2517" s="733">
        <f t="shared" si="324"/>
        <v>0</v>
      </c>
    </row>
    <row r="2518" spans="1:36">
      <c r="A2518" s="912" t="s">
        <v>750</v>
      </c>
      <c r="B2518" s="913" t="s">
        <v>248</v>
      </c>
      <c r="C2518" s="925" t="s">
        <v>249</v>
      </c>
      <c r="D2518" s="918"/>
      <c r="E2518" s="924"/>
      <c r="F2518" s="916">
        <v>99</v>
      </c>
      <c r="G2518" s="1152"/>
      <c r="H2518" s="1153"/>
      <c r="I2518" s="1152"/>
      <c r="J2518" s="1153"/>
      <c r="K2518" s="1152"/>
      <c r="L2518" s="1153"/>
      <c r="M2518" s="1152"/>
      <c r="N2518" s="1152"/>
      <c r="O2518" s="732">
        <f t="shared" si="317"/>
        <v>0</v>
      </c>
      <c r="P2518" s="1153"/>
      <c r="Q2518" s="1153"/>
      <c r="R2518" s="733">
        <f t="shared" si="320"/>
        <v>0</v>
      </c>
      <c r="S2518" s="732">
        <f t="shared" si="321"/>
        <v>0</v>
      </c>
      <c r="T2518" s="733">
        <f t="shared" si="322"/>
        <v>0</v>
      </c>
      <c r="U2518" s="1152"/>
      <c r="V2518" s="1153"/>
      <c r="W2518" s="1152"/>
      <c r="X2518" s="1152"/>
      <c r="Y2518" s="732">
        <f t="shared" si="318"/>
        <v>0</v>
      </c>
      <c r="Z2518" s="1153"/>
      <c r="AA2518" s="1153"/>
      <c r="AB2518" s="733">
        <f t="shared" si="319"/>
        <v>0</v>
      </c>
      <c r="AC2518" s="1152"/>
      <c r="AD2518" s="1153"/>
      <c r="AE2518" s="1152"/>
      <c r="AF2518" s="1152"/>
      <c r="AG2518" s="1153"/>
      <c r="AH2518" s="1153"/>
      <c r="AI2518" s="732">
        <f t="shared" si="323"/>
        <v>0</v>
      </c>
      <c r="AJ2518" s="733">
        <f t="shared" si="324"/>
        <v>0</v>
      </c>
    </row>
    <row r="2519" spans="1:36">
      <c r="A2519" s="912" t="s">
        <v>750</v>
      </c>
      <c r="B2519" s="913" t="s">
        <v>250</v>
      </c>
      <c r="C2519" s="1113" t="s">
        <v>251</v>
      </c>
      <c r="D2519" s="918"/>
      <c r="E2519" s="924"/>
      <c r="F2519" s="916">
        <v>99</v>
      </c>
      <c r="G2519" s="1152"/>
      <c r="H2519" s="1153"/>
      <c r="I2519" s="1152"/>
      <c r="J2519" s="1153"/>
      <c r="K2519" s="1152"/>
      <c r="L2519" s="1153"/>
      <c r="M2519" s="1152"/>
      <c r="N2519" s="1152"/>
      <c r="O2519" s="732">
        <f t="shared" si="317"/>
        <v>0</v>
      </c>
      <c r="P2519" s="1153"/>
      <c r="Q2519" s="1153"/>
      <c r="R2519" s="733">
        <f t="shared" si="320"/>
        <v>0</v>
      </c>
      <c r="S2519" s="732">
        <f t="shared" si="321"/>
        <v>0</v>
      </c>
      <c r="T2519" s="733">
        <f t="shared" si="322"/>
        <v>0</v>
      </c>
      <c r="U2519" s="1152"/>
      <c r="V2519" s="1153"/>
      <c r="W2519" s="1152"/>
      <c r="X2519" s="1152"/>
      <c r="Y2519" s="732">
        <f t="shared" si="318"/>
        <v>0</v>
      </c>
      <c r="Z2519" s="1153"/>
      <c r="AA2519" s="1153"/>
      <c r="AB2519" s="733">
        <f t="shared" si="319"/>
        <v>0</v>
      </c>
      <c r="AC2519" s="1152"/>
      <c r="AD2519" s="1153"/>
      <c r="AE2519" s="1152"/>
      <c r="AF2519" s="1152"/>
      <c r="AG2519" s="1153"/>
      <c r="AH2519" s="1153"/>
      <c r="AI2519" s="732">
        <f t="shared" si="323"/>
        <v>0</v>
      </c>
      <c r="AJ2519" s="733">
        <f t="shared" si="324"/>
        <v>0</v>
      </c>
    </row>
    <row r="2520" spans="1:36">
      <c r="A2520" s="912" t="s">
        <v>750</v>
      </c>
      <c r="B2520" s="913" t="s">
        <v>250</v>
      </c>
      <c r="C2520" s="922" t="s">
        <v>255</v>
      </c>
      <c r="D2520" s="918"/>
      <c r="E2520" s="924"/>
      <c r="F2520" s="916">
        <v>99</v>
      </c>
      <c r="G2520" s="1152"/>
      <c r="H2520" s="1153"/>
      <c r="I2520" s="1152"/>
      <c r="J2520" s="1153"/>
      <c r="K2520" s="1152"/>
      <c r="L2520" s="1153"/>
      <c r="M2520" s="1152"/>
      <c r="N2520" s="1152"/>
      <c r="O2520" s="732">
        <f t="shared" si="317"/>
        <v>0</v>
      </c>
      <c r="P2520" s="1153"/>
      <c r="Q2520" s="1153"/>
      <c r="R2520" s="733">
        <f t="shared" si="320"/>
        <v>0</v>
      </c>
      <c r="S2520" s="732">
        <f t="shared" si="321"/>
        <v>0</v>
      </c>
      <c r="T2520" s="733">
        <f t="shared" si="322"/>
        <v>0</v>
      </c>
      <c r="U2520" s="1152">
        <v>20000</v>
      </c>
      <c r="V2520" s="1153">
        <v>20000</v>
      </c>
      <c r="W2520" s="1152"/>
      <c r="X2520" s="1152"/>
      <c r="Y2520" s="732">
        <f t="shared" si="318"/>
        <v>0</v>
      </c>
      <c r="Z2520" s="1153"/>
      <c r="AA2520" s="1153"/>
      <c r="AB2520" s="733">
        <f t="shared" si="319"/>
        <v>0</v>
      </c>
      <c r="AC2520" s="1152"/>
      <c r="AD2520" s="1153"/>
      <c r="AE2520" s="1152"/>
      <c r="AF2520" s="1152"/>
      <c r="AG2520" s="1153"/>
      <c r="AH2520" s="1153"/>
      <c r="AI2520" s="732">
        <f t="shared" si="323"/>
        <v>20000</v>
      </c>
      <c r="AJ2520" s="733">
        <f t="shared" si="324"/>
        <v>20000</v>
      </c>
    </row>
    <row r="2521" spans="1:36">
      <c r="A2521" s="912" t="s">
        <v>750</v>
      </c>
      <c r="B2521" s="913" t="s">
        <v>258</v>
      </c>
      <c r="C2521" s="1113" t="s">
        <v>259</v>
      </c>
      <c r="D2521" s="918"/>
      <c r="E2521" s="924"/>
      <c r="F2521" s="916">
        <v>99</v>
      </c>
      <c r="G2521" s="1152"/>
      <c r="H2521" s="1153"/>
      <c r="I2521" s="1152"/>
      <c r="J2521" s="1153"/>
      <c r="K2521" s="1152"/>
      <c r="L2521" s="1153"/>
      <c r="M2521" s="1152"/>
      <c r="N2521" s="1152"/>
      <c r="O2521" s="732">
        <f t="shared" si="317"/>
        <v>0</v>
      </c>
      <c r="P2521" s="1153"/>
      <c r="Q2521" s="1153"/>
      <c r="R2521" s="733">
        <f t="shared" si="320"/>
        <v>0</v>
      </c>
      <c r="S2521" s="732">
        <f t="shared" si="321"/>
        <v>0</v>
      </c>
      <c r="T2521" s="733">
        <f t="shared" si="322"/>
        <v>0</v>
      </c>
      <c r="U2521" s="1152"/>
      <c r="V2521" s="1153"/>
      <c r="W2521" s="1152"/>
      <c r="X2521" s="1152"/>
      <c r="Y2521" s="732">
        <f t="shared" si="318"/>
        <v>0</v>
      </c>
      <c r="Z2521" s="1153"/>
      <c r="AA2521" s="1153"/>
      <c r="AB2521" s="733">
        <f t="shared" si="319"/>
        <v>0</v>
      </c>
      <c r="AC2521" s="1152"/>
      <c r="AD2521" s="1153"/>
      <c r="AE2521" s="1152"/>
      <c r="AF2521" s="1152"/>
      <c r="AG2521" s="1153"/>
      <c r="AH2521" s="1153"/>
      <c r="AI2521" s="732">
        <f t="shared" si="323"/>
        <v>0</v>
      </c>
      <c r="AJ2521" s="733">
        <f t="shared" si="324"/>
        <v>0</v>
      </c>
    </row>
    <row r="2522" spans="1:36">
      <c r="A2522" s="912" t="s">
        <v>750</v>
      </c>
      <c r="B2522" s="913" t="s">
        <v>258</v>
      </c>
      <c r="C2522" s="922" t="s">
        <v>1342</v>
      </c>
      <c r="D2522" s="918"/>
      <c r="E2522" s="924"/>
      <c r="F2522" s="916">
        <v>99</v>
      </c>
      <c r="G2522" s="1152"/>
      <c r="H2522" s="1153"/>
      <c r="I2522" s="1152"/>
      <c r="J2522" s="1153"/>
      <c r="K2522" s="1152"/>
      <c r="L2522" s="1153"/>
      <c r="M2522" s="1152"/>
      <c r="N2522" s="1152"/>
      <c r="O2522" s="732">
        <f t="shared" si="317"/>
        <v>0</v>
      </c>
      <c r="P2522" s="1153"/>
      <c r="Q2522" s="1153"/>
      <c r="R2522" s="733">
        <f t="shared" si="320"/>
        <v>0</v>
      </c>
      <c r="S2522" s="732">
        <f t="shared" si="321"/>
        <v>0</v>
      </c>
      <c r="T2522" s="733">
        <f t="shared" si="322"/>
        <v>0</v>
      </c>
      <c r="U2522" s="1152"/>
      <c r="V2522" s="1153"/>
      <c r="W2522" s="1152"/>
      <c r="X2522" s="1152"/>
      <c r="Y2522" s="732">
        <f t="shared" si="318"/>
        <v>0</v>
      </c>
      <c r="Z2522" s="1153"/>
      <c r="AA2522" s="1153"/>
      <c r="AB2522" s="733">
        <f t="shared" si="319"/>
        <v>0</v>
      </c>
      <c r="AC2522" s="1152"/>
      <c r="AD2522" s="1153"/>
      <c r="AE2522" s="1152"/>
      <c r="AF2522" s="1152"/>
      <c r="AG2522" s="1153"/>
      <c r="AH2522" s="1153"/>
      <c r="AI2522" s="732">
        <f t="shared" si="323"/>
        <v>0</v>
      </c>
      <c r="AJ2522" s="733">
        <f t="shared" si="324"/>
        <v>0</v>
      </c>
    </row>
    <row r="2523" spans="1:36">
      <c r="A2523" s="912" t="s">
        <v>750</v>
      </c>
      <c r="B2523" s="913" t="s">
        <v>258</v>
      </c>
      <c r="C2523" s="922" t="s">
        <v>1343</v>
      </c>
      <c r="D2523" s="918"/>
      <c r="E2523" s="924"/>
      <c r="F2523" s="916">
        <v>99</v>
      </c>
      <c r="G2523" s="1152"/>
      <c r="H2523" s="1153"/>
      <c r="I2523" s="1152"/>
      <c r="J2523" s="1153"/>
      <c r="K2523" s="1152"/>
      <c r="L2523" s="1153"/>
      <c r="M2523" s="1152"/>
      <c r="N2523" s="1152"/>
      <c r="O2523" s="732">
        <f t="shared" si="317"/>
        <v>0</v>
      </c>
      <c r="P2523" s="1153"/>
      <c r="Q2523" s="1153"/>
      <c r="R2523" s="733">
        <f t="shared" si="320"/>
        <v>0</v>
      </c>
      <c r="S2523" s="732">
        <f t="shared" si="321"/>
        <v>0</v>
      </c>
      <c r="T2523" s="733">
        <f t="shared" si="322"/>
        <v>0</v>
      </c>
      <c r="U2523" s="1152"/>
      <c r="V2523" s="1153"/>
      <c r="W2523" s="1152"/>
      <c r="X2523" s="1152"/>
      <c r="Y2523" s="732">
        <f t="shared" si="318"/>
        <v>0</v>
      </c>
      <c r="Z2523" s="1153"/>
      <c r="AA2523" s="1153"/>
      <c r="AB2523" s="733">
        <f t="shared" si="319"/>
        <v>0</v>
      </c>
      <c r="AC2523" s="1152"/>
      <c r="AD2523" s="1153"/>
      <c r="AE2523" s="1152"/>
      <c r="AF2523" s="1152"/>
      <c r="AG2523" s="1153"/>
      <c r="AH2523" s="1153"/>
      <c r="AI2523" s="732">
        <f t="shared" si="323"/>
        <v>0</v>
      </c>
      <c r="AJ2523" s="733">
        <f t="shared" si="324"/>
        <v>0</v>
      </c>
    </row>
    <row r="2524" spans="1:36">
      <c r="A2524" s="912" t="s">
        <v>750</v>
      </c>
      <c r="B2524" s="913" t="s">
        <v>258</v>
      </c>
      <c r="C2524" s="922" t="s">
        <v>485</v>
      </c>
      <c r="D2524" s="918"/>
      <c r="E2524" s="924"/>
      <c r="F2524" s="916">
        <v>99</v>
      </c>
      <c r="G2524" s="1152"/>
      <c r="H2524" s="1153"/>
      <c r="I2524" s="1152"/>
      <c r="J2524" s="1153"/>
      <c r="K2524" s="1152"/>
      <c r="L2524" s="1153"/>
      <c r="M2524" s="1152"/>
      <c r="N2524" s="1152"/>
      <c r="O2524" s="732">
        <f t="shared" si="317"/>
        <v>0</v>
      </c>
      <c r="P2524" s="1153"/>
      <c r="Q2524" s="1153"/>
      <c r="R2524" s="733">
        <f t="shared" si="320"/>
        <v>0</v>
      </c>
      <c r="S2524" s="732">
        <f t="shared" si="321"/>
        <v>0</v>
      </c>
      <c r="T2524" s="733">
        <f t="shared" si="322"/>
        <v>0</v>
      </c>
      <c r="U2524" s="1152"/>
      <c r="V2524" s="1153"/>
      <c r="W2524" s="1152"/>
      <c r="X2524" s="1152"/>
      <c r="Y2524" s="732">
        <f t="shared" si="318"/>
        <v>0</v>
      </c>
      <c r="Z2524" s="1153"/>
      <c r="AA2524" s="1153"/>
      <c r="AB2524" s="733">
        <f t="shared" si="319"/>
        <v>0</v>
      </c>
      <c r="AC2524" s="1152"/>
      <c r="AD2524" s="1153"/>
      <c r="AE2524" s="1152"/>
      <c r="AF2524" s="1152"/>
      <c r="AG2524" s="1153"/>
      <c r="AH2524" s="1153"/>
      <c r="AI2524" s="732">
        <f t="shared" si="323"/>
        <v>0</v>
      </c>
      <c r="AJ2524" s="733">
        <f t="shared" si="324"/>
        <v>0</v>
      </c>
    </row>
    <row r="2525" spans="1:36">
      <c r="A2525" s="912" t="s">
        <v>750</v>
      </c>
      <c r="B2525" s="913" t="s">
        <v>258</v>
      </c>
      <c r="C2525" s="922" t="s">
        <v>1344</v>
      </c>
      <c r="D2525" s="918"/>
      <c r="E2525" s="924"/>
      <c r="F2525" s="916">
        <v>99</v>
      </c>
      <c r="G2525" s="1152"/>
      <c r="H2525" s="1153"/>
      <c r="I2525" s="1152"/>
      <c r="J2525" s="1153"/>
      <c r="K2525" s="1152"/>
      <c r="L2525" s="1153"/>
      <c r="M2525" s="1152"/>
      <c r="N2525" s="1152"/>
      <c r="O2525" s="732">
        <f t="shared" si="317"/>
        <v>0</v>
      </c>
      <c r="P2525" s="1153"/>
      <c r="Q2525" s="1153"/>
      <c r="R2525" s="733">
        <f t="shared" si="320"/>
        <v>0</v>
      </c>
      <c r="S2525" s="732">
        <f t="shared" si="321"/>
        <v>0</v>
      </c>
      <c r="T2525" s="733">
        <f t="shared" si="322"/>
        <v>0</v>
      </c>
      <c r="U2525" s="1152"/>
      <c r="V2525" s="1153"/>
      <c r="W2525" s="1152"/>
      <c r="X2525" s="1152"/>
      <c r="Y2525" s="732">
        <f t="shared" si="318"/>
        <v>0</v>
      </c>
      <c r="Z2525" s="1153"/>
      <c r="AA2525" s="1153"/>
      <c r="AB2525" s="733">
        <f t="shared" si="319"/>
        <v>0</v>
      </c>
      <c r="AC2525" s="1152"/>
      <c r="AD2525" s="1153"/>
      <c r="AE2525" s="1152"/>
      <c r="AF2525" s="1152"/>
      <c r="AG2525" s="1153"/>
      <c r="AH2525" s="1153"/>
      <c r="AI2525" s="732">
        <f t="shared" si="323"/>
        <v>0</v>
      </c>
      <c r="AJ2525" s="733">
        <f t="shared" si="324"/>
        <v>0</v>
      </c>
    </row>
    <row r="2526" spans="1:36">
      <c r="A2526" s="912" t="s">
        <v>750</v>
      </c>
      <c r="B2526" s="913" t="s">
        <v>157</v>
      </c>
      <c r="C2526" s="1113" t="s">
        <v>158</v>
      </c>
      <c r="D2526" s="918"/>
      <c r="E2526" s="924"/>
      <c r="F2526" s="916">
        <v>99</v>
      </c>
      <c r="G2526" s="1152"/>
      <c r="H2526" s="1153"/>
      <c r="I2526" s="1152"/>
      <c r="J2526" s="1153"/>
      <c r="K2526" s="1152"/>
      <c r="L2526" s="1153"/>
      <c r="M2526" s="1152"/>
      <c r="N2526" s="1152"/>
      <c r="O2526" s="732">
        <f t="shared" si="317"/>
        <v>0</v>
      </c>
      <c r="P2526" s="1153"/>
      <c r="Q2526" s="1153"/>
      <c r="R2526" s="733">
        <f t="shared" si="320"/>
        <v>0</v>
      </c>
      <c r="S2526" s="732">
        <f t="shared" si="321"/>
        <v>0</v>
      </c>
      <c r="T2526" s="733">
        <f t="shared" si="322"/>
        <v>0</v>
      </c>
      <c r="U2526" s="1152">
        <v>170000</v>
      </c>
      <c r="V2526" s="1153">
        <v>170000</v>
      </c>
      <c r="W2526" s="1152"/>
      <c r="X2526" s="1152"/>
      <c r="Y2526" s="732">
        <f t="shared" si="318"/>
        <v>0</v>
      </c>
      <c r="Z2526" s="1153"/>
      <c r="AA2526" s="1153"/>
      <c r="AB2526" s="733">
        <f t="shared" si="319"/>
        <v>0</v>
      </c>
      <c r="AC2526" s="1152"/>
      <c r="AD2526" s="1153"/>
      <c r="AE2526" s="1152"/>
      <c r="AF2526" s="1152"/>
      <c r="AG2526" s="1153"/>
      <c r="AH2526" s="1153"/>
      <c r="AI2526" s="732">
        <f t="shared" si="323"/>
        <v>170000</v>
      </c>
      <c r="AJ2526" s="733">
        <f t="shared" si="324"/>
        <v>170000</v>
      </c>
    </row>
    <row r="2527" spans="1:36">
      <c r="A2527" s="912" t="s">
        <v>750</v>
      </c>
      <c r="B2527" s="913" t="s">
        <v>159</v>
      </c>
      <c r="C2527" s="923" t="s">
        <v>160</v>
      </c>
      <c r="D2527" s="918"/>
      <c r="E2527" s="924"/>
      <c r="F2527" s="916">
        <v>99</v>
      </c>
      <c r="G2527" s="1152"/>
      <c r="H2527" s="1153"/>
      <c r="I2527" s="1152"/>
      <c r="J2527" s="1153"/>
      <c r="K2527" s="1152"/>
      <c r="L2527" s="1153"/>
      <c r="M2527" s="1152"/>
      <c r="N2527" s="1152"/>
      <c r="O2527" s="732">
        <f t="shared" si="317"/>
        <v>0</v>
      </c>
      <c r="P2527" s="1153"/>
      <c r="Q2527" s="1153"/>
      <c r="R2527" s="733">
        <f t="shared" si="320"/>
        <v>0</v>
      </c>
      <c r="S2527" s="732">
        <f t="shared" si="321"/>
        <v>0</v>
      </c>
      <c r="T2527" s="733">
        <f t="shared" si="322"/>
        <v>0</v>
      </c>
      <c r="U2527" s="1152"/>
      <c r="V2527" s="1153"/>
      <c r="W2527" s="1152"/>
      <c r="X2527" s="1152"/>
      <c r="Y2527" s="732">
        <f t="shared" si="318"/>
        <v>0</v>
      </c>
      <c r="Z2527" s="1153"/>
      <c r="AA2527" s="1153"/>
      <c r="AB2527" s="733">
        <f t="shared" si="319"/>
        <v>0</v>
      </c>
      <c r="AC2527" s="1152"/>
      <c r="AD2527" s="1153"/>
      <c r="AE2527" s="1152"/>
      <c r="AF2527" s="1152"/>
      <c r="AG2527" s="1153"/>
      <c r="AH2527" s="1153"/>
      <c r="AI2527" s="732">
        <f t="shared" si="323"/>
        <v>0</v>
      </c>
      <c r="AJ2527" s="733">
        <f t="shared" si="324"/>
        <v>0</v>
      </c>
    </row>
    <row r="2528" spans="1:36">
      <c r="A2528" s="912" t="s">
        <v>750</v>
      </c>
      <c r="B2528" s="913" t="s">
        <v>161</v>
      </c>
      <c r="C2528" s="1120" t="s">
        <v>162</v>
      </c>
      <c r="D2528" s="918"/>
      <c r="E2528" s="924"/>
      <c r="F2528" s="916">
        <v>99</v>
      </c>
      <c r="G2528" s="1152"/>
      <c r="H2528" s="1153"/>
      <c r="I2528" s="1152"/>
      <c r="J2528" s="1153"/>
      <c r="K2528" s="1152"/>
      <c r="L2528" s="1153"/>
      <c r="M2528" s="1152"/>
      <c r="N2528" s="1152"/>
      <c r="O2528" s="732">
        <f t="shared" si="317"/>
        <v>0</v>
      </c>
      <c r="P2528" s="1153"/>
      <c r="Q2528" s="1153"/>
      <c r="R2528" s="733">
        <f t="shared" si="320"/>
        <v>0</v>
      </c>
      <c r="S2528" s="732">
        <f t="shared" si="321"/>
        <v>0</v>
      </c>
      <c r="T2528" s="733">
        <f t="shared" si="322"/>
        <v>0</v>
      </c>
      <c r="U2528" s="1152"/>
      <c r="V2528" s="1153"/>
      <c r="W2528" s="1152"/>
      <c r="X2528" s="1152"/>
      <c r="Y2528" s="732">
        <f t="shared" si="318"/>
        <v>0</v>
      </c>
      <c r="Z2528" s="1153"/>
      <c r="AA2528" s="1153"/>
      <c r="AB2528" s="733">
        <f t="shared" si="319"/>
        <v>0</v>
      </c>
      <c r="AC2528" s="1152"/>
      <c r="AD2528" s="1153"/>
      <c r="AE2528" s="1152"/>
      <c r="AF2528" s="1152"/>
      <c r="AG2528" s="1153"/>
      <c r="AH2528" s="1153"/>
      <c r="AI2528" s="732">
        <f t="shared" si="323"/>
        <v>0</v>
      </c>
      <c r="AJ2528" s="733">
        <f t="shared" si="324"/>
        <v>0</v>
      </c>
    </row>
    <row r="2529" spans="1:36">
      <c r="A2529" s="912" t="s">
        <v>750</v>
      </c>
      <c r="B2529" s="913" t="s">
        <v>161</v>
      </c>
      <c r="C2529" s="1121" t="s">
        <v>1345</v>
      </c>
      <c r="D2529" s="918"/>
      <c r="E2529" s="924"/>
      <c r="F2529" s="916">
        <v>99</v>
      </c>
      <c r="G2529" s="1152"/>
      <c r="H2529" s="1153"/>
      <c r="I2529" s="1152"/>
      <c r="J2529" s="1153"/>
      <c r="K2529" s="1152"/>
      <c r="L2529" s="1153"/>
      <c r="M2529" s="1152"/>
      <c r="N2529" s="1152"/>
      <c r="O2529" s="732">
        <f t="shared" si="317"/>
        <v>0</v>
      </c>
      <c r="P2529" s="1153"/>
      <c r="Q2529" s="1153"/>
      <c r="R2529" s="733">
        <f t="shared" si="320"/>
        <v>0</v>
      </c>
      <c r="S2529" s="732">
        <f t="shared" si="321"/>
        <v>0</v>
      </c>
      <c r="T2529" s="733">
        <f t="shared" si="322"/>
        <v>0</v>
      </c>
      <c r="U2529" s="1152"/>
      <c r="V2529" s="1153"/>
      <c r="W2529" s="1152"/>
      <c r="X2529" s="1152"/>
      <c r="Y2529" s="732">
        <f t="shared" si="318"/>
        <v>0</v>
      </c>
      <c r="Z2529" s="1153"/>
      <c r="AA2529" s="1153"/>
      <c r="AB2529" s="733">
        <f t="shared" si="319"/>
        <v>0</v>
      </c>
      <c r="AC2529" s="1152"/>
      <c r="AD2529" s="1153"/>
      <c r="AE2529" s="1152"/>
      <c r="AF2529" s="1152"/>
      <c r="AG2529" s="1153"/>
      <c r="AH2529" s="1153"/>
      <c r="AI2529" s="732">
        <f t="shared" si="323"/>
        <v>0</v>
      </c>
      <c r="AJ2529" s="733">
        <f t="shared" si="324"/>
        <v>0</v>
      </c>
    </row>
    <row r="2530" spans="1:36">
      <c r="A2530" s="912" t="s">
        <v>750</v>
      </c>
      <c r="B2530" s="1122" t="s">
        <v>170</v>
      </c>
      <c r="C2530" s="922" t="s">
        <v>171</v>
      </c>
      <c r="D2530" s="918"/>
      <c r="E2530" s="1123"/>
      <c r="F2530" s="916">
        <v>99</v>
      </c>
      <c r="G2530" s="1152"/>
      <c r="H2530" s="1153"/>
      <c r="I2530" s="1152"/>
      <c r="J2530" s="1153"/>
      <c r="K2530" s="1152"/>
      <c r="L2530" s="1153"/>
      <c r="M2530" s="1152"/>
      <c r="N2530" s="1152"/>
      <c r="O2530" s="732">
        <f t="shared" si="317"/>
        <v>0</v>
      </c>
      <c r="P2530" s="1153"/>
      <c r="Q2530" s="1153"/>
      <c r="R2530" s="733">
        <f t="shared" si="320"/>
        <v>0</v>
      </c>
      <c r="S2530" s="732">
        <f t="shared" si="321"/>
        <v>0</v>
      </c>
      <c r="T2530" s="733">
        <f t="shared" si="322"/>
        <v>0</v>
      </c>
      <c r="U2530" s="1152"/>
      <c r="V2530" s="1153"/>
      <c r="W2530" s="1152"/>
      <c r="X2530" s="1152"/>
      <c r="Y2530" s="732">
        <f t="shared" si="318"/>
        <v>0</v>
      </c>
      <c r="Z2530" s="1153"/>
      <c r="AA2530" s="1153"/>
      <c r="AB2530" s="733">
        <f t="shared" si="319"/>
        <v>0</v>
      </c>
      <c r="AC2530" s="1152"/>
      <c r="AD2530" s="1153"/>
      <c r="AE2530" s="1152"/>
      <c r="AF2530" s="1152"/>
      <c r="AG2530" s="1153"/>
      <c r="AH2530" s="1153"/>
      <c r="AI2530" s="732">
        <f t="shared" si="323"/>
        <v>0</v>
      </c>
      <c r="AJ2530" s="733">
        <f t="shared" si="324"/>
        <v>0</v>
      </c>
    </row>
    <row r="2531" spans="1:36">
      <c r="A2531" s="912" t="s">
        <v>750</v>
      </c>
      <c r="B2531" s="1122" t="s">
        <v>172</v>
      </c>
      <c r="C2531" s="922" t="s">
        <v>165</v>
      </c>
      <c r="D2531" s="918"/>
      <c r="E2531" s="1123"/>
      <c r="F2531" s="916">
        <v>99</v>
      </c>
      <c r="G2531" s="1152"/>
      <c r="H2531" s="1153"/>
      <c r="I2531" s="1152"/>
      <c r="J2531" s="1153"/>
      <c r="K2531" s="1152"/>
      <c r="L2531" s="1153"/>
      <c r="M2531" s="1152"/>
      <c r="N2531" s="1152"/>
      <c r="O2531" s="732">
        <f t="shared" si="317"/>
        <v>0</v>
      </c>
      <c r="P2531" s="1153"/>
      <c r="Q2531" s="1153"/>
      <c r="R2531" s="733">
        <f t="shared" si="320"/>
        <v>0</v>
      </c>
      <c r="S2531" s="732">
        <f t="shared" si="321"/>
        <v>0</v>
      </c>
      <c r="T2531" s="733">
        <f t="shared" si="322"/>
        <v>0</v>
      </c>
      <c r="U2531" s="1152"/>
      <c r="V2531" s="1153"/>
      <c r="W2531" s="1152"/>
      <c r="X2531" s="1152"/>
      <c r="Y2531" s="732">
        <f t="shared" si="318"/>
        <v>0</v>
      </c>
      <c r="Z2531" s="1153"/>
      <c r="AA2531" s="1153"/>
      <c r="AB2531" s="733">
        <f t="shared" si="319"/>
        <v>0</v>
      </c>
      <c r="AC2531" s="1152"/>
      <c r="AD2531" s="1153"/>
      <c r="AE2531" s="1152"/>
      <c r="AF2531" s="1152"/>
      <c r="AG2531" s="1153"/>
      <c r="AH2531" s="1153"/>
      <c r="AI2531" s="732">
        <f t="shared" si="323"/>
        <v>0</v>
      </c>
      <c r="AJ2531" s="733">
        <f t="shared" si="324"/>
        <v>0</v>
      </c>
    </row>
    <row r="2532" spans="1:36">
      <c r="A2532" s="912" t="s">
        <v>750</v>
      </c>
      <c r="B2532" s="1122" t="s">
        <v>173</v>
      </c>
      <c r="C2532" s="922" t="s">
        <v>1346</v>
      </c>
      <c r="D2532" s="918"/>
      <c r="E2532" s="1123"/>
      <c r="F2532" s="916">
        <v>99</v>
      </c>
      <c r="G2532" s="1152"/>
      <c r="H2532" s="1153"/>
      <c r="I2532" s="1152"/>
      <c r="J2532" s="1153"/>
      <c r="K2532" s="1152"/>
      <c r="L2532" s="1153"/>
      <c r="M2532" s="1152"/>
      <c r="N2532" s="1152"/>
      <c r="O2532" s="732">
        <f t="shared" si="317"/>
        <v>0</v>
      </c>
      <c r="P2532" s="1153"/>
      <c r="Q2532" s="1153"/>
      <c r="R2532" s="733">
        <f t="shared" si="320"/>
        <v>0</v>
      </c>
      <c r="S2532" s="732">
        <f t="shared" si="321"/>
        <v>0</v>
      </c>
      <c r="T2532" s="733">
        <f t="shared" si="322"/>
        <v>0</v>
      </c>
      <c r="U2532" s="1152">
        <v>1980000</v>
      </c>
      <c r="V2532" s="1153">
        <v>2130000</v>
      </c>
      <c r="W2532" s="1152"/>
      <c r="X2532" s="1152"/>
      <c r="Y2532" s="732">
        <f t="shared" si="318"/>
        <v>0</v>
      </c>
      <c r="Z2532" s="1153"/>
      <c r="AA2532" s="1153"/>
      <c r="AB2532" s="733">
        <f t="shared" si="319"/>
        <v>0</v>
      </c>
      <c r="AC2532" s="1152"/>
      <c r="AD2532" s="1153"/>
      <c r="AE2532" s="1152"/>
      <c r="AF2532" s="1152"/>
      <c r="AG2532" s="1153"/>
      <c r="AH2532" s="1153"/>
      <c r="AI2532" s="732">
        <f t="shared" si="323"/>
        <v>1980000</v>
      </c>
      <c r="AJ2532" s="733">
        <f t="shared" si="324"/>
        <v>2130000</v>
      </c>
    </row>
    <row r="2533" spans="1:36">
      <c r="A2533" s="912" t="s">
        <v>750</v>
      </c>
      <c r="B2533" s="913" t="s">
        <v>176</v>
      </c>
      <c r="C2533" s="922" t="s">
        <v>1347</v>
      </c>
      <c r="D2533" s="918"/>
      <c r="E2533" s="1123"/>
      <c r="F2533" s="916">
        <v>99</v>
      </c>
      <c r="G2533" s="1152"/>
      <c r="H2533" s="1153"/>
      <c r="I2533" s="1152"/>
      <c r="J2533" s="1153"/>
      <c r="K2533" s="1152"/>
      <c r="L2533" s="1153"/>
      <c r="M2533" s="1152"/>
      <c r="N2533" s="1152"/>
      <c r="O2533" s="732">
        <f t="shared" si="317"/>
        <v>0</v>
      </c>
      <c r="P2533" s="1153"/>
      <c r="Q2533" s="1153"/>
      <c r="R2533" s="733">
        <f t="shared" si="320"/>
        <v>0</v>
      </c>
      <c r="S2533" s="732">
        <f t="shared" si="321"/>
        <v>0</v>
      </c>
      <c r="T2533" s="733">
        <f t="shared" si="322"/>
        <v>0</v>
      </c>
      <c r="U2533" s="1152">
        <v>500000</v>
      </c>
      <c r="V2533" s="1153">
        <v>500000</v>
      </c>
      <c r="W2533" s="1152"/>
      <c r="X2533" s="1152"/>
      <c r="Y2533" s="732">
        <f t="shared" si="318"/>
        <v>0</v>
      </c>
      <c r="Z2533" s="1153"/>
      <c r="AA2533" s="1153"/>
      <c r="AB2533" s="733">
        <f t="shared" si="319"/>
        <v>0</v>
      </c>
      <c r="AC2533" s="1152"/>
      <c r="AD2533" s="1153"/>
      <c r="AE2533" s="1152"/>
      <c r="AF2533" s="1152"/>
      <c r="AG2533" s="1153"/>
      <c r="AH2533" s="1153"/>
      <c r="AI2533" s="732">
        <f t="shared" si="323"/>
        <v>500000</v>
      </c>
      <c r="AJ2533" s="733">
        <f t="shared" si="324"/>
        <v>500000</v>
      </c>
    </row>
    <row r="2534" spans="1:36">
      <c r="A2534" s="912" t="s">
        <v>750</v>
      </c>
      <c r="B2534" s="913"/>
      <c r="C2534" s="922" t="s">
        <v>1739</v>
      </c>
      <c r="D2534" s="918"/>
      <c r="E2534" s="1123"/>
      <c r="F2534" s="836">
        <v>99</v>
      </c>
      <c r="G2534" s="1152"/>
      <c r="H2534" s="1153"/>
      <c r="I2534" s="1152"/>
      <c r="J2534" s="1153">
        <v>5000000</v>
      </c>
      <c r="K2534" s="1152"/>
      <c r="L2534" s="1153"/>
      <c r="M2534" s="1152"/>
      <c r="N2534" s="1152"/>
      <c r="O2534" s="732">
        <f t="shared" si="317"/>
        <v>0</v>
      </c>
      <c r="P2534" s="1153"/>
      <c r="Q2534" s="1153"/>
      <c r="R2534" s="733">
        <f t="shared" si="320"/>
        <v>0</v>
      </c>
      <c r="S2534" s="732">
        <f t="shared" si="321"/>
        <v>0</v>
      </c>
      <c r="T2534" s="733">
        <f t="shared" si="322"/>
        <v>5000000</v>
      </c>
      <c r="U2534" s="1152"/>
      <c r="V2534" s="1153"/>
      <c r="W2534" s="1152"/>
      <c r="X2534" s="1152"/>
      <c r="Y2534" s="732">
        <f t="shared" si="318"/>
        <v>0</v>
      </c>
      <c r="Z2534" s="1153"/>
      <c r="AA2534" s="1153"/>
      <c r="AB2534" s="733">
        <f t="shared" si="319"/>
        <v>0</v>
      </c>
      <c r="AC2534" s="1152"/>
      <c r="AD2534" s="1153"/>
      <c r="AE2534" s="1152"/>
      <c r="AF2534" s="1152"/>
      <c r="AG2534" s="1153"/>
      <c r="AH2534" s="1153"/>
      <c r="AI2534" s="732">
        <f t="shared" si="323"/>
        <v>0</v>
      </c>
      <c r="AJ2534" s="733">
        <f t="shared" si="324"/>
        <v>5000000</v>
      </c>
    </row>
    <row r="2535" spans="1:36">
      <c r="A2535" s="912" t="s">
        <v>750</v>
      </c>
      <c r="B2535" s="913"/>
      <c r="C2535" s="922" t="s">
        <v>1740</v>
      </c>
      <c r="D2535" s="918"/>
      <c r="E2535" s="1123"/>
      <c r="F2535" s="836">
        <v>99</v>
      </c>
      <c r="G2535" s="1152"/>
      <c r="H2535" s="1153"/>
      <c r="I2535" s="1152"/>
      <c r="J2535" s="1153">
        <v>11000</v>
      </c>
      <c r="K2535" s="1152"/>
      <c r="L2535" s="1153"/>
      <c r="M2535" s="1152"/>
      <c r="N2535" s="1152"/>
      <c r="O2535" s="732">
        <f t="shared" si="317"/>
        <v>0</v>
      </c>
      <c r="P2535" s="1153"/>
      <c r="Q2535" s="1153"/>
      <c r="R2535" s="733">
        <f t="shared" si="320"/>
        <v>0</v>
      </c>
      <c r="S2535" s="732">
        <f t="shared" si="321"/>
        <v>0</v>
      </c>
      <c r="T2535" s="733">
        <f t="shared" si="322"/>
        <v>11000</v>
      </c>
      <c r="U2535" s="1152"/>
      <c r="V2535" s="1153"/>
      <c r="W2535" s="1152"/>
      <c r="X2535" s="1152"/>
      <c r="Y2535" s="732">
        <f t="shared" si="318"/>
        <v>0</v>
      </c>
      <c r="Z2535" s="1153"/>
      <c r="AA2535" s="1153"/>
      <c r="AB2535" s="733">
        <f t="shared" si="319"/>
        <v>0</v>
      </c>
      <c r="AC2535" s="1152"/>
      <c r="AD2535" s="1153"/>
      <c r="AE2535" s="1152"/>
      <c r="AF2535" s="1152"/>
      <c r="AG2535" s="1153"/>
      <c r="AH2535" s="1153"/>
      <c r="AI2535" s="732">
        <f t="shared" si="323"/>
        <v>0</v>
      </c>
      <c r="AJ2535" s="733">
        <f t="shared" si="324"/>
        <v>11000</v>
      </c>
    </row>
    <row r="2536" spans="1:36">
      <c r="A2536" s="912" t="s">
        <v>750</v>
      </c>
      <c r="B2536" s="913"/>
      <c r="C2536" s="922" t="s">
        <v>1741</v>
      </c>
      <c r="D2536" s="918"/>
      <c r="E2536" s="1123"/>
      <c r="F2536" s="836">
        <v>99</v>
      </c>
      <c r="G2536" s="1152"/>
      <c r="H2536" s="1153"/>
      <c r="I2536" s="1152"/>
      <c r="J2536" s="1153">
        <v>86500</v>
      </c>
      <c r="K2536" s="1152"/>
      <c r="L2536" s="1153"/>
      <c r="M2536" s="1152"/>
      <c r="N2536" s="1152"/>
      <c r="O2536" s="732">
        <f t="shared" si="317"/>
        <v>0</v>
      </c>
      <c r="P2536" s="1153"/>
      <c r="Q2536" s="1153"/>
      <c r="R2536" s="733">
        <f t="shared" si="320"/>
        <v>0</v>
      </c>
      <c r="S2536" s="732">
        <f t="shared" si="321"/>
        <v>0</v>
      </c>
      <c r="T2536" s="733">
        <f t="shared" si="322"/>
        <v>86500</v>
      </c>
      <c r="U2536" s="1152"/>
      <c r="V2536" s="1153"/>
      <c r="W2536" s="1152"/>
      <c r="X2536" s="1152"/>
      <c r="Y2536" s="732">
        <f t="shared" si="318"/>
        <v>0</v>
      </c>
      <c r="Z2536" s="1153"/>
      <c r="AA2536" s="1153"/>
      <c r="AB2536" s="733">
        <f t="shared" si="319"/>
        <v>0</v>
      </c>
      <c r="AC2536" s="1152"/>
      <c r="AD2536" s="1153"/>
      <c r="AE2536" s="1152"/>
      <c r="AF2536" s="1152"/>
      <c r="AG2536" s="1153"/>
      <c r="AH2536" s="1153"/>
      <c r="AI2536" s="732">
        <f t="shared" si="323"/>
        <v>0</v>
      </c>
      <c r="AJ2536" s="733">
        <f t="shared" si="324"/>
        <v>86500</v>
      </c>
    </row>
    <row r="2537" spans="1:36">
      <c r="A2537" s="912" t="s">
        <v>750</v>
      </c>
      <c r="B2537" s="913"/>
      <c r="C2537" s="922" t="s">
        <v>1742</v>
      </c>
      <c r="D2537" s="918"/>
      <c r="E2537" s="1123"/>
      <c r="F2537" s="836">
        <v>99</v>
      </c>
      <c r="G2537" s="1152"/>
      <c r="H2537" s="1153"/>
      <c r="I2537" s="1152"/>
      <c r="J2537" s="1153">
        <v>20000</v>
      </c>
      <c r="K2537" s="1152"/>
      <c r="L2537" s="1153"/>
      <c r="M2537" s="1152"/>
      <c r="N2537" s="1152"/>
      <c r="O2537" s="732">
        <f t="shared" si="317"/>
        <v>0</v>
      </c>
      <c r="P2537" s="1153"/>
      <c r="Q2537" s="1153"/>
      <c r="R2537" s="733">
        <f t="shared" si="320"/>
        <v>0</v>
      </c>
      <c r="S2537" s="732">
        <f t="shared" si="321"/>
        <v>0</v>
      </c>
      <c r="T2537" s="733">
        <f t="shared" si="322"/>
        <v>20000</v>
      </c>
      <c r="U2537" s="1152"/>
      <c r="V2537" s="1153"/>
      <c r="W2537" s="1152"/>
      <c r="X2537" s="1152"/>
      <c r="Y2537" s="732">
        <f t="shared" si="318"/>
        <v>0</v>
      </c>
      <c r="Z2537" s="1153"/>
      <c r="AA2537" s="1153"/>
      <c r="AB2537" s="733">
        <f t="shared" si="319"/>
        <v>0</v>
      </c>
      <c r="AC2537" s="1152"/>
      <c r="AD2537" s="1153"/>
      <c r="AE2537" s="1152"/>
      <c r="AF2537" s="1152"/>
      <c r="AG2537" s="1153"/>
      <c r="AH2537" s="1153"/>
      <c r="AI2537" s="732">
        <f t="shared" si="323"/>
        <v>0</v>
      </c>
      <c r="AJ2537" s="733">
        <f t="shared" si="324"/>
        <v>20000</v>
      </c>
    </row>
    <row r="2538" spans="1:36">
      <c r="A2538" s="912" t="s">
        <v>750</v>
      </c>
      <c r="B2538" s="913"/>
      <c r="C2538" s="922" t="s">
        <v>1743</v>
      </c>
      <c r="D2538" s="918"/>
      <c r="E2538" s="1123"/>
      <c r="F2538" s="836">
        <v>99</v>
      </c>
      <c r="G2538" s="1152"/>
      <c r="H2538" s="1153"/>
      <c r="I2538" s="1152"/>
      <c r="J2538" s="1153">
        <v>250000</v>
      </c>
      <c r="K2538" s="1152"/>
      <c r="L2538" s="1153"/>
      <c r="M2538" s="1152"/>
      <c r="N2538" s="1152"/>
      <c r="O2538" s="732">
        <f t="shared" si="317"/>
        <v>0</v>
      </c>
      <c r="P2538" s="1153"/>
      <c r="Q2538" s="1153"/>
      <c r="R2538" s="733">
        <f t="shared" si="320"/>
        <v>0</v>
      </c>
      <c r="S2538" s="732">
        <f t="shared" si="321"/>
        <v>0</v>
      </c>
      <c r="T2538" s="733">
        <f t="shared" si="322"/>
        <v>250000</v>
      </c>
      <c r="U2538" s="1152"/>
      <c r="V2538" s="1153"/>
      <c r="W2538" s="1152"/>
      <c r="X2538" s="1152"/>
      <c r="Y2538" s="732">
        <f t="shared" si="318"/>
        <v>0</v>
      </c>
      <c r="Z2538" s="1153"/>
      <c r="AA2538" s="1153"/>
      <c r="AB2538" s="733">
        <f t="shared" si="319"/>
        <v>0</v>
      </c>
      <c r="AC2538" s="1152"/>
      <c r="AD2538" s="1153"/>
      <c r="AE2538" s="1152"/>
      <c r="AF2538" s="1152"/>
      <c r="AG2538" s="1153"/>
      <c r="AH2538" s="1153"/>
      <c r="AI2538" s="732">
        <f t="shared" si="323"/>
        <v>0</v>
      </c>
      <c r="AJ2538" s="733">
        <f t="shared" si="324"/>
        <v>250000</v>
      </c>
    </row>
    <row r="2539" spans="1:36">
      <c r="A2539" s="912" t="s">
        <v>750</v>
      </c>
      <c r="B2539" s="913"/>
      <c r="C2539" s="922" t="s">
        <v>1744</v>
      </c>
      <c r="D2539" s="918"/>
      <c r="E2539" s="1123"/>
      <c r="F2539" s="836">
        <v>99</v>
      </c>
      <c r="G2539" s="1152"/>
      <c r="H2539" s="1153"/>
      <c r="I2539" s="1152"/>
      <c r="J2539" s="1153">
        <v>150000</v>
      </c>
      <c r="K2539" s="1152"/>
      <c r="L2539" s="1153"/>
      <c r="M2539" s="1152"/>
      <c r="N2539" s="1152"/>
      <c r="O2539" s="732">
        <f t="shared" si="317"/>
        <v>0</v>
      </c>
      <c r="P2539" s="1153"/>
      <c r="Q2539" s="1153"/>
      <c r="R2539" s="733">
        <f t="shared" si="320"/>
        <v>0</v>
      </c>
      <c r="S2539" s="732">
        <f t="shared" si="321"/>
        <v>0</v>
      </c>
      <c r="T2539" s="733">
        <f t="shared" si="322"/>
        <v>150000</v>
      </c>
      <c r="U2539" s="1152"/>
      <c r="V2539" s="1153"/>
      <c r="W2539" s="1152"/>
      <c r="X2539" s="1152"/>
      <c r="Y2539" s="732">
        <f t="shared" si="318"/>
        <v>0</v>
      </c>
      <c r="Z2539" s="1153"/>
      <c r="AA2539" s="1153"/>
      <c r="AB2539" s="733">
        <f t="shared" si="319"/>
        <v>0</v>
      </c>
      <c r="AC2539" s="1152"/>
      <c r="AD2539" s="1153"/>
      <c r="AE2539" s="1152"/>
      <c r="AF2539" s="1152"/>
      <c r="AG2539" s="1153"/>
      <c r="AH2539" s="1153"/>
      <c r="AI2539" s="732">
        <f t="shared" si="323"/>
        <v>0</v>
      </c>
      <c r="AJ2539" s="733">
        <f t="shared" si="324"/>
        <v>150000</v>
      </c>
    </row>
    <row r="2540" spans="1:36">
      <c r="A2540" s="912" t="s">
        <v>750</v>
      </c>
      <c r="B2540" s="1122" t="s">
        <v>180</v>
      </c>
      <c r="C2540" s="922" t="s">
        <v>165</v>
      </c>
      <c r="D2540" s="918"/>
      <c r="E2540" s="1123"/>
      <c r="F2540" s="916">
        <v>99</v>
      </c>
      <c r="G2540" s="1152"/>
      <c r="H2540" s="1153"/>
      <c r="I2540" s="1152"/>
      <c r="J2540" s="1153"/>
      <c r="K2540" s="1152"/>
      <c r="L2540" s="1153"/>
      <c r="M2540" s="1152"/>
      <c r="N2540" s="1152"/>
      <c r="O2540" s="732">
        <f t="shared" si="317"/>
        <v>0</v>
      </c>
      <c r="P2540" s="1153"/>
      <c r="Q2540" s="1153"/>
      <c r="R2540" s="733">
        <f t="shared" si="320"/>
        <v>0</v>
      </c>
      <c r="S2540" s="732">
        <f t="shared" si="321"/>
        <v>0</v>
      </c>
      <c r="T2540" s="733">
        <f t="shared" si="322"/>
        <v>0</v>
      </c>
      <c r="U2540" s="1152"/>
      <c r="V2540" s="1153"/>
      <c r="W2540" s="1152"/>
      <c r="X2540" s="1152"/>
      <c r="Y2540" s="732">
        <f t="shared" si="318"/>
        <v>0</v>
      </c>
      <c r="Z2540" s="1153"/>
      <c r="AA2540" s="1153"/>
      <c r="AB2540" s="733">
        <f t="shared" si="319"/>
        <v>0</v>
      </c>
      <c r="AC2540" s="1152"/>
      <c r="AD2540" s="1153"/>
      <c r="AE2540" s="1152"/>
      <c r="AF2540" s="1152"/>
      <c r="AG2540" s="1153"/>
      <c r="AH2540" s="1153"/>
      <c r="AI2540" s="732">
        <f t="shared" si="323"/>
        <v>0</v>
      </c>
      <c r="AJ2540" s="733">
        <f t="shared" si="324"/>
        <v>0</v>
      </c>
    </row>
    <row r="2541" spans="1:36">
      <c r="A2541" s="912" t="s">
        <v>750</v>
      </c>
      <c r="B2541" s="1122" t="s">
        <v>178</v>
      </c>
      <c r="C2541" s="922" t="s">
        <v>167</v>
      </c>
      <c r="D2541" s="918"/>
      <c r="E2541" s="1123"/>
      <c r="F2541" s="916">
        <v>99</v>
      </c>
      <c r="G2541" s="1152"/>
      <c r="H2541" s="1153"/>
      <c r="I2541" s="1152"/>
      <c r="J2541" s="1153"/>
      <c r="K2541" s="1152"/>
      <c r="L2541" s="1153"/>
      <c r="M2541" s="1152"/>
      <c r="N2541" s="1152"/>
      <c r="O2541" s="732">
        <f t="shared" si="317"/>
        <v>0</v>
      </c>
      <c r="P2541" s="1153"/>
      <c r="Q2541" s="1153"/>
      <c r="R2541" s="733">
        <f t="shared" si="320"/>
        <v>0</v>
      </c>
      <c r="S2541" s="732">
        <f t="shared" si="321"/>
        <v>0</v>
      </c>
      <c r="T2541" s="733">
        <f t="shared" si="322"/>
        <v>0</v>
      </c>
      <c r="U2541" s="1152"/>
      <c r="V2541" s="1153"/>
      <c r="W2541" s="1152"/>
      <c r="X2541" s="1152"/>
      <c r="Y2541" s="732">
        <f t="shared" si="318"/>
        <v>0</v>
      </c>
      <c r="Z2541" s="1153"/>
      <c r="AA2541" s="1153"/>
      <c r="AB2541" s="733">
        <f t="shared" si="319"/>
        <v>0</v>
      </c>
      <c r="AC2541" s="1152"/>
      <c r="AD2541" s="1153"/>
      <c r="AE2541" s="1152"/>
      <c r="AF2541" s="1152"/>
      <c r="AG2541" s="1153"/>
      <c r="AH2541" s="1153"/>
      <c r="AI2541" s="732">
        <f t="shared" si="323"/>
        <v>0</v>
      </c>
      <c r="AJ2541" s="733">
        <f t="shared" si="324"/>
        <v>0</v>
      </c>
    </row>
    <row r="2542" spans="1:36">
      <c r="A2542" s="912" t="s">
        <v>750</v>
      </c>
      <c r="B2542" s="1122" t="s">
        <v>187</v>
      </c>
      <c r="C2542" s="1120" t="s">
        <v>188</v>
      </c>
      <c r="D2542" s="918"/>
      <c r="E2542" s="1123"/>
      <c r="F2542" s="916">
        <v>99</v>
      </c>
      <c r="G2542" s="1152"/>
      <c r="H2542" s="1153"/>
      <c r="I2542" s="1152"/>
      <c r="J2542" s="1153"/>
      <c r="K2542" s="1152"/>
      <c r="L2542" s="1153"/>
      <c r="M2542" s="1152"/>
      <c r="N2542" s="1152"/>
      <c r="O2542" s="732">
        <f t="shared" si="317"/>
        <v>0</v>
      </c>
      <c r="P2542" s="1153"/>
      <c r="Q2542" s="1153"/>
      <c r="R2542" s="733">
        <f t="shared" si="320"/>
        <v>0</v>
      </c>
      <c r="S2542" s="732">
        <f t="shared" si="321"/>
        <v>0</v>
      </c>
      <c r="T2542" s="733">
        <f t="shared" si="322"/>
        <v>0</v>
      </c>
      <c r="U2542" s="1152"/>
      <c r="V2542" s="1153"/>
      <c r="W2542" s="1152"/>
      <c r="X2542" s="1152"/>
      <c r="Y2542" s="732">
        <f t="shared" si="318"/>
        <v>0</v>
      </c>
      <c r="Z2542" s="1153"/>
      <c r="AA2542" s="1153"/>
      <c r="AB2542" s="733">
        <f t="shared" si="319"/>
        <v>0</v>
      </c>
      <c r="AC2542" s="1152"/>
      <c r="AD2542" s="1153"/>
      <c r="AE2542" s="1152"/>
      <c r="AF2542" s="1152"/>
      <c r="AG2542" s="1153"/>
      <c r="AH2542" s="1153"/>
      <c r="AI2542" s="732">
        <f t="shared" si="323"/>
        <v>0</v>
      </c>
      <c r="AJ2542" s="733">
        <f t="shared" si="324"/>
        <v>0</v>
      </c>
    </row>
    <row r="2543" spans="1:36">
      <c r="A2543" s="912" t="s">
        <v>750</v>
      </c>
      <c r="B2543" s="1122" t="s">
        <v>187</v>
      </c>
      <c r="C2543" s="1121" t="s">
        <v>1345</v>
      </c>
      <c r="D2543" s="918"/>
      <c r="E2543" s="1123"/>
      <c r="F2543" s="916">
        <v>99</v>
      </c>
      <c r="G2543" s="1152"/>
      <c r="H2543" s="1153"/>
      <c r="I2543" s="1152"/>
      <c r="J2543" s="1153"/>
      <c r="K2543" s="1152"/>
      <c r="L2543" s="1153"/>
      <c r="M2543" s="1152"/>
      <c r="N2543" s="1152"/>
      <c r="O2543" s="732">
        <f t="shared" si="317"/>
        <v>0</v>
      </c>
      <c r="P2543" s="1153"/>
      <c r="Q2543" s="1153"/>
      <c r="R2543" s="733">
        <f t="shared" si="320"/>
        <v>0</v>
      </c>
      <c r="S2543" s="732">
        <f t="shared" si="321"/>
        <v>0</v>
      </c>
      <c r="T2543" s="733">
        <f t="shared" si="322"/>
        <v>0</v>
      </c>
      <c r="U2543" s="1152"/>
      <c r="V2543" s="1153"/>
      <c r="W2543" s="1152"/>
      <c r="X2543" s="1152"/>
      <c r="Y2543" s="732">
        <f t="shared" si="318"/>
        <v>0</v>
      </c>
      <c r="Z2543" s="1153"/>
      <c r="AA2543" s="1153"/>
      <c r="AB2543" s="733">
        <f t="shared" si="319"/>
        <v>0</v>
      </c>
      <c r="AC2543" s="1152"/>
      <c r="AD2543" s="1153"/>
      <c r="AE2543" s="1152"/>
      <c r="AF2543" s="1152"/>
      <c r="AG2543" s="1153"/>
      <c r="AH2543" s="1153"/>
      <c r="AI2543" s="732">
        <f t="shared" si="323"/>
        <v>0</v>
      </c>
      <c r="AJ2543" s="733">
        <f t="shared" si="324"/>
        <v>0</v>
      </c>
    </row>
    <row r="2544" spans="1:36">
      <c r="A2544" s="912" t="s">
        <v>750</v>
      </c>
      <c r="B2544" s="1122" t="s">
        <v>190</v>
      </c>
      <c r="C2544" s="922" t="s">
        <v>165</v>
      </c>
      <c r="D2544" s="918"/>
      <c r="E2544" s="1123"/>
      <c r="F2544" s="916">
        <v>99</v>
      </c>
      <c r="G2544" s="1152"/>
      <c r="H2544" s="1153"/>
      <c r="I2544" s="1152"/>
      <c r="J2544" s="1153"/>
      <c r="K2544" s="1152"/>
      <c r="L2544" s="1153"/>
      <c r="M2544" s="1152"/>
      <c r="N2544" s="1152"/>
      <c r="O2544" s="732">
        <f t="shared" si="317"/>
        <v>0</v>
      </c>
      <c r="P2544" s="1153"/>
      <c r="Q2544" s="1153"/>
      <c r="R2544" s="733">
        <f t="shared" si="320"/>
        <v>0</v>
      </c>
      <c r="S2544" s="732">
        <f t="shared" si="321"/>
        <v>0</v>
      </c>
      <c r="T2544" s="733">
        <f t="shared" si="322"/>
        <v>0</v>
      </c>
      <c r="U2544" s="1152">
        <v>241061101</v>
      </c>
      <c r="V2544" s="1153">
        <v>249975393</v>
      </c>
      <c r="W2544" s="1152"/>
      <c r="X2544" s="1152"/>
      <c r="Y2544" s="732">
        <f t="shared" si="318"/>
        <v>0</v>
      </c>
      <c r="Z2544" s="1153"/>
      <c r="AA2544" s="1153"/>
      <c r="AB2544" s="733">
        <f t="shared" si="319"/>
        <v>0</v>
      </c>
      <c r="AC2544" s="1152"/>
      <c r="AD2544" s="1153"/>
      <c r="AE2544" s="1152"/>
      <c r="AF2544" s="1152"/>
      <c r="AG2544" s="1153"/>
      <c r="AH2544" s="1153"/>
      <c r="AI2544" s="732">
        <f t="shared" si="323"/>
        <v>241061101</v>
      </c>
      <c r="AJ2544" s="733">
        <f t="shared" si="324"/>
        <v>249975393</v>
      </c>
    </row>
    <row r="2545" spans="1:36">
      <c r="A2545" s="912" t="s">
        <v>750</v>
      </c>
      <c r="B2545" s="1122" t="s">
        <v>191</v>
      </c>
      <c r="C2545" s="922" t="s">
        <v>167</v>
      </c>
      <c r="D2545" s="918"/>
      <c r="E2545" s="1123"/>
      <c r="F2545" s="916">
        <v>99</v>
      </c>
      <c r="G2545" s="1152"/>
      <c r="H2545" s="1153"/>
      <c r="I2545" s="1152"/>
      <c r="J2545" s="1153"/>
      <c r="K2545" s="1152"/>
      <c r="L2545" s="1153"/>
      <c r="M2545" s="1152"/>
      <c r="N2545" s="1152"/>
      <c r="O2545" s="732">
        <f t="shared" si="317"/>
        <v>0</v>
      </c>
      <c r="P2545" s="1153"/>
      <c r="Q2545" s="1153"/>
      <c r="R2545" s="733">
        <f t="shared" si="320"/>
        <v>0</v>
      </c>
      <c r="S2545" s="732">
        <f t="shared" si="321"/>
        <v>0</v>
      </c>
      <c r="T2545" s="733">
        <f t="shared" si="322"/>
        <v>0</v>
      </c>
      <c r="U2545" s="1152">
        <v>8156329</v>
      </c>
      <c r="V2545" s="1153">
        <v>8156329</v>
      </c>
      <c r="W2545" s="1152"/>
      <c r="X2545" s="1152"/>
      <c r="Y2545" s="732">
        <f t="shared" si="318"/>
        <v>0</v>
      </c>
      <c r="Z2545" s="1153"/>
      <c r="AA2545" s="1153"/>
      <c r="AB2545" s="733">
        <f t="shared" si="319"/>
        <v>0</v>
      </c>
      <c r="AC2545" s="1152"/>
      <c r="AD2545" s="1153"/>
      <c r="AE2545" s="1152"/>
      <c r="AF2545" s="1152"/>
      <c r="AG2545" s="1153"/>
      <c r="AH2545" s="1153"/>
      <c r="AI2545" s="732">
        <f t="shared" si="323"/>
        <v>8156329</v>
      </c>
      <c r="AJ2545" s="733">
        <f t="shared" si="324"/>
        <v>8156329</v>
      </c>
    </row>
    <row r="2546" spans="1:36">
      <c r="A2546" s="912" t="s">
        <v>750</v>
      </c>
      <c r="B2546" s="1122" t="s">
        <v>187</v>
      </c>
      <c r="C2546" s="922" t="s">
        <v>1348</v>
      </c>
      <c r="D2546" s="918"/>
      <c r="E2546" s="1123"/>
      <c r="F2546" s="916">
        <v>99</v>
      </c>
      <c r="G2546" s="1152"/>
      <c r="H2546" s="1153"/>
      <c r="I2546" s="1152"/>
      <c r="J2546" s="1153"/>
      <c r="K2546" s="1152"/>
      <c r="L2546" s="1153"/>
      <c r="M2546" s="1152"/>
      <c r="N2546" s="1152"/>
      <c r="O2546" s="732">
        <f t="shared" si="317"/>
        <v>0</v>
      </c>
      <c r="P2546" s="1153"/>
      <c r="Q2546" s="1153"/>
      <c r="R2546" s="733">
        <f t="shared" si="320"/>
        <v>0</v>
      </c>
      <c r="S2546" s="732">
        <f t="shared" si="321"/>
        <v>0</v>
      </c>
      <c r="T2546" s="733">
        <f t="shared" si="322"/>
        <v>0</v>
      </c>
      <c r="U2546" s="1152">
        <v>3885256</v>
      </c>
      <c r="V2546" s="1153">
        <v>3885256</v>
      </c>
      <c r="W2546" s="1152"/>
      <c r="X2546" s="1152"/>
      <c r="Y2546" s="732">
        <f t="shared" si="318"/>
        <v>0</v>
      </c>
      <c r="Z2546" s="1153"/>
      <c r="AA2546" s="1153"/>
      <c r="AB2546" s="733">
        <f t="shared" si="319"/>
        <v>0</v>
      </c>
      <c r="AC2546" s="1152"/>
      <c r="AD2546" s="1153"/>
      <c r="AE2546" s="1152"/>
      <c r="AF2546" s="1152"/>
      <c r="AG2546" s="1153"/>
      <c r="AH2546" s="1153"/>
      <c r="AI2546" s="732">
        <f t="shared" si="323"/>
        <v>3885256</v>
      </c>
      <c r="AJ2546" s="733">
        <f t="shared" si="324"/>
        <v>3885256</v>
      </c>
    </row>
    <row r="2547" spans="1:36">
      <c r="A2547" s="912" t="s">
        <v>750</v>
      </c>
      <c r="B2547" s="913" t="s">
        <v>192</v>
      </c>
      <c r="C2547" s="1120" t="s">
        <v>332</v>
      </c>
      <c r="D2547" s="918"/>
      <c r="E2547" s="924"/>
      <c r="F2547" s="916">
        <v>99</v>
      </c>
      <c r="G2547" s="1152"/>
      <c r="H2547" s="1153"/>
      <c r="I2547" s="1152"/>
      <c r="J2547" s="1153"/>
      <c r="K2547" s="1152"/>
      <c r="L2547" s="1153"/>
      <c r="M2547" s="1152"/>
      <c r="N2547" s="1152"/>
      <c r="O2547" s="732">
        <f t="shared" si="317"/>
        <v>0</v>
      </c>
      <c r="P2547" s="1153"/>
      <c r="Q2547" s="1153"/>
      <c r="R2547" s="733">
        <f t="shared" si="320"/>
        <v>0</v>
      </c>
      <c r="S2547" s="732">
        <f t="shared" si="321"/>
        <v>0</v>
      </c>
      <c r="T2547" s="733">
        <f t="shared" si="322"/>
        <v>0</v>
      </c>
      <c r="U2547" s="1152"/>
      <c r="V2547" s="1153"/>
      <c r="W2547" s="1152"/>
      <c r="X2547" s="1152"/>
      <c r="Y2547" s="732">
        <f t="shared" si="318"/>
        <v>0</v>
      </c>
      <c r="Z2547" s="1153"/>
      <c r="AA2547" s="1153"/>
      <c r="AB2547" s="733">
        <f t="shared" si="319"/>
        <v>0</v>
      </c>
      <c r="AC2547" s="1152"/>
      <c r="AD2547" s="1153"/>
      <c r="AE2547" s="1152"/>
      <c r="AF2547" s="1152"/>
      <c r="AG2547" s="1153"/>
      <c r="AH2547" s="1153"/>
      <c r="AI2547" s="732">
        <f t="shared" si="323"/>
        <v>0</v>
      </c>
      <c r="AJ2547" s="733">
        <f t="shared" si="324"/>
        <v>0</v>
      </c>
    </row>
    <row r="2548" spans="1:36">
      <c r="A2548" s="912" t="s">
        <v>750</v>
      </c>
      <c r="B2548" s="913" t="s">
        <v>192</v>
      </c>
      <c r="C2548" s="1124" t="s">
        <v>1349</v>
      </c>
      <c r="D2548" s="918"/>
      <c r="E2548" s="924"/>
      <c r="F2548" s="916">
        <v>99</v>
      </c>
      <c r="G2548" s="1152"/>
      <c r="H2548" s="1153"/>
      <c r="I2548" s="1152"/>
      <c r="J2548" s="1153"/>
      <c r="K2548" s="1152"/>
      <c r="L2548" s="1153"/>
      <c r="M2548" s="1152"/>
      <c r="N2548" s="1152"/>
      <c r="O2548" s="732">
        <f t="shared" si="317"/>
        <v>0</v>
      </c>
      <c r="P2548" s="1153"/>
      <c r="Q2548" s="1153"/>
      <c r="R2548" s="733">
        <f t="shared" si="320"/>
        <v>0</v>
      </c>
      <c r="S2548" s="732">
        <f t="shared" si="321"/>
        <v>0</v>
      </c>
      <c r="T2548" s="733">
        <f t="shared" si="322"/>
        <v>0</v>
      </c>
      <c r="U2548" s="1152"/>
      <c r="V2548" s="1153"/>
      <c r="W2548" s="1152"/>
      <c r="X2548" s="1152"/>
      <c r="Y2548" s="732">
        <f t="shared" si="318"/>
        <v>0</v>
      </c>
      <c r="Z2548" s="1153"/>
      <c r="AA2548" s="1153"/>
      <c r="AB2548" s="733">
        <f t="shared" si="319"/>
        <v>0</v>
      </c>
      <c r="AC2548" s="1152"/>
      <c r="AD2548" s="1153"/>
      <c r="AE2548" s="1152"/>
      <c r="AF2548" s="1152"/>
      <c r="AG2548" s="1153"/>
      <c r="AH2548" s="1153"/>
      <c r="AI2548" s="732">
        <f t="shared" si="323"/>
        <v>0</v>
      </c>
      <c r="AJ2548" s="733">
        <f t="shared" si="324"/>
        <v>0</v>
      </c>
    </row>
    <row r="2549" spans="1:36">
      <c r="A2549" s="912" t="s">
        <v>750</v>
      </c>
      <c r="B2549" s="1122" t="s">
        <v>195</v>
      </c>
      <c r="C2549" s="922" t="s">
        <v>165</v>
      </c>
      <c r="D2549" s="918"/>
      <c r="E2549" s="1123"/>
      <c r="F2549" s="916">
        <v>99</v>
      </c>
      <c r="G2549" s="1152"/>
      <c r="H2549" s="1153"/>
      <c r="I2549" s="1152"/>
      <c r="J2549" s="1153"/>
      <c r="K2549" s="1152"/>
      <c r="L2549" s="1153"/>
      <c r="M2549" s="1152"/>
      <c r="N2549" s="1152"/>
      <c r="O2549" s="732">
        <f t="shared" si="317"/>
        <v>0</v>
      </c>
      <c r="P2549" s="1153"/>
      <c r="Q2549" s="1153"/>
      <c r="R2549" s="733">
        <f t="shared" si="320"/>
        <v>0</v>
      </c>
      <c r="S2549" s="732">
        <f t="shared" si="321"/>
        <v>0</v>
      </c>
      <c r="T2549" s="733">
        <f t="shared" si="322"/>
        <v>0</v>
      </c>
      <c r="U2549" s="1152"/>
      <c r="V2549" s="1153"/>
      <c r="W2549" s="1152"/>
      <c r="X2549" s="1152"/>
      <c r="Y2549" s="732">
        <f t="shared" si="318"/>
        <v>0</v>
      </c>
      <c r="Z2549" s="1153"/>
      <c r="AA2549" s="1153"/>
      <c r="AB2549" s="733">
        <f t="shared" si="319"/>
        <v>0</v>
      </c>
      <c r="AC2549" s="1152"/>
      <c r="AD2549" s="1153"/>
      <c r="AE2549" s="1152"/>
      <c r="AF2549" s="1152"/>
      <c r="AG2549" s="1153"/>
      <c r="AH2549" s="1153"/>
      <c r="AI2549" s="732">
        <f t="shared" si="323"/>
        <v>0</v>
      </c>
      <c r="AJ2549" s="733">
        <f t="shared" si="324"/>
        <v>0</v>
      </c>
    </row>
    <row r="2550" spans="1:36">
      <c r="A2550" s="912" t="s">
        <v>750</v>
      </c>
      <c r="B2550" s="1122" t="s">
        <v>196</v>
      </c>
      <c r="C2550" s="922" t="s">
        <v>167</v>
      </c>
      <c r="D2550" s="918"/>
      <c r="E2550" s="1123"/>
      <c r="F2550" s="916">
        <v>99</v>
      </c>
      <c r="G2550" s="1152"/>
      <c r="H2550" s="1153"/>
      <c r="I2550" s="1152"/>
      <c r="J2550" s="1153"/>
      <c r="K2550" s="1152"/>
      <c r="L2550" s="1153"/>
      <c r="M2550" s="1152"/>
      <c r="N2550" s="1152"/>
      <c r="O2550" s="732">
        <f t="shared" si="317"/>
        <v>0</v>
      </c>
      <c r="P2550" s="1153"/>
      <c r="Q2550" s="1153"/>
      <c r="R2550" s="733">
        <f t="shared" si="320"/>
        <v>0</v>
      </c>
      <c r="S2550" s="732">
        <f t="shared" si="321"/>
        <v>0</v>
      </c>
      <c r="T2550" s="733">
        <f t="shared" si="322"/>
        <v>0</v>
      </c>
      <c r="U2550" s="1152">
        <v>71098303</v>
      </c>
      <c r="V2550" s="1153">
        <v>71098303</v>
      </c>
      <c r="W2550" s="1152"/>
      <c r="X2550" s="1152"/>
      <c r="Y2550" s="732">
        <f t="shared" si="318"/>
        <v>0</v>
      </c>
      <c r="Z2550" s="1153"/>
      <c r="AA2550" s="1153"/>
      <c r="AB2550" s="733">
        <f t="shared" si="319"/>
        <v>0</v>
      </c>
      <c r="AC2550" s="1152"/>
      <c r="AD2550" s="1153"/>
      <c r="AE2550" s="1152"/>
      <c r="AF2550" s="1152"/>
      <c r="AG2550" s="1153"/>
      <c r="AH2550" s="1153"/>
      <c r="AI2550" s="732">
        <f t="shared" si="323"/>
        <v>71098303</v>
      </c>
      <c r="AJ2550" s="733">
        <f t="shared" si="324"/>
        <v>71098303</v>
      </c>
    </row>
    <row r="2551" spans="1:36">
      <c r="A2551" s="912" t="s">
        <v>750</v>
      </c>
      <c r="B2551" s="913" t="s">
        <v>192</v>
      </c>
      <c r="C2551" s="1124" t="s">
        <v>1350</v>
      </c>
      <c r="D2551" s="918"/>
      <c r="E2551" s="924"/>
      <c r="F2551" s="916">
        <v>99</v>
      </c>
      <c r="G2551" s="1152"/>
      <c r="H2551" s="1153"/>
      <c r="I2551" s="1152"/>
      <c r="J2551" s="1153"/>
      <c r="K2551" s="1152"/>
      <c r="L2551" s="1153"/>
      <c r="M2551" s="1152"/>
      <c r="N2551" s="1152"/>
      <c r="O2551" s="732">
        <f t="shared" si="317"/>
        <v>0</v>
      </c>
      <c r="P2551" s="1153"/>
      <c r="Q2551" s="1153"/>
      <c r="R2551" s="733">
        <f t="shared" si="320"/>
        <v>0</v>
      </c>
      <c r="S2551" s="732">
        <f t="shared" si="321"/>
        <v>0</v>
      </c>
      <c r="T2551" s="733">
        <f t="shared" si="322"/>
        <v>0</v>
      </c>
      <c r="U2551" s="1152"/>
      <c r="V2551" s="1153"/>
      <c r="W2551" s="1152"/>
      <c r="X2551" s="1152"/>
      <c r="Y2551" s="732">
        <f t="shared" si="318"/>
        <v>0</v>
      </c>
      <c r="Z2551" s="1153"/>
      <c r="AA2551" s="1153"/>
      <c r="AB2551" s="733">
        <f t="shared" si="319"/>
        <v>0</v>
      </c>
      <c r="AC2551" s="1152"/>
      <c r="AD2551" s="1153"/>
      <c r="AE2551" s="1152"/>
      <c r="AF2551" s="1152"/>
      <c r="AG2551" s="1153"/>
      <c r="AH2551" s="1153"/>
      <c r="AI2551" s="732">
        <f t="shared" si="323"/>
        <v>0</v>
      </c>
      <c r="AJ2551" s="733">
        <f t="shared" si="324"/>
        <v>0</v>
      </c>
    </row>
    <row r="2552" spans="1:36">
      <c r="A2552" s="912" t="s">
        <v>750</v>
      </c>
      <c r="B2552" s="1122" t="s">
        <v>195</v>
      </c>
      <c r="C2552" s="922" t="s">
        <v>165</v>
      </c>
      <c r="D2552" s="918"/>
      <c r="E2552" s="1123"/>
      <c r="F2552" s="916">
        <v>99</v>
      </c>
      <c r="G2552" s="1152"/>
      <c r="H2552" s="1153"/>
      <c r="I2552" s="1152"/>
      <c r="J2552" s="1153"/>
      <c r="K2552" s="1152"/>
      <c r="L2552" s="1153"/>
      <c r="M2552" s="1152"/>
      <c r="N2552" s="1152"/>
      <c r="O2552" s="732">
        <f t="shared" si="317"/>
        <v>0</v>
      </c>
      <c r="P2552" s="1153"/>
      <c r="Q2552" s="1153"/>
      <c r="R2552" s="733">
        <f t="shared" si="320"/>
        <v>0</v>
      </c>
      <c r="S2552" s="732">
        <f t="shared" si="321"/>
        <v>0</v>
      </c>
      <c r="T2552" s="733">
        <f t="shared" si="322"/>
        <v>0</v>
      </c>
      <c r="U2552" s="1152"/>
      <c r="V2552" s="1153"/>
      <c r="W2552" s="1152"/>
      <c r="X2552" s="1152"/>
      <c r="Y2552" s="732">
        <f t="shared" si="318"/>
        <v>0</v>
      </c>
      <c r="Z2552" s="1153"/>
      <c r="AA2552" s="1153"/>
      <c r="AB2552" s="733">
        <f t="shared" si="319"/>
        <v>0</v>
      </c>
      <c r="AC2552" s="1152"/>
      <c r="AD2552" s="1153"/>
      <c r="AE2552" s="1152"/>
      <c r="AF2552" s="1152"/>
      <c r="AG2552" s="1153"/>
      <c r="AH2552" s="1153"/>
      <c r="AI2552" s="732">
        <f t="shared" si="323"/>
        <v>0</v>
      </c>
      <c r="AJ2552" s="733">
        <f t="shared" si="324"/>
        <v>0</v>
      </c>
    </row>
    <row r="2553" spans="1:36">
      <c r="A2553" s="912" t="s">
        <v>750</v>
      </c>
      <c r="B2553" s="1122" t="s">
        <v>196</v>
      </c>
      <c r="C2553" s="922" t="s">
        <v>167</v>
      </c>
      <c r="D2553" s="918"/>
      <c r="E2553" s="1123"/>
      <c r="F2553" s="916">
        <v>99</v>
      </c>
      <c r="G2553" s="1152"/>
      <c r="H2553" s="1153"/>
      <c r="I2553" s="1152"/>
      <c r="J2553" s="1153"/>
      <c r="K2553" s="1152"/>
      <c r="L2553" s="1153"/>
      <c r="M2553" s="1152"/>
      <c r="N2553" s="1152"/>
      <c r="O2553" s="732">
        <f t="shared" si="317"/>
        <v>0</v>
      </c>
      <c r="P2553" s="1153"/>
      <c r="Q2553" s="1153"/>
      <c r="R2553" s="733">
        <f t="shared" si="320"/>
        <v>0</v>
      </c>
      <c r="S2553" s="732">
        <f t="shared" si="321"/>
        <v>0</v>
      </c>
      <c r="T2553" s="733">
        <f t="shared" si="322"/>
        <v>0</v>
      </c>
      <c r="U2553" s="1152">
        <v>3328382</v>
      </c>
      <c r="V2553" s="1153">
        <v>3328382</v>
      </c>
      <c r="W2553" s="1152"/>
      <c r="X2553" s="1152"/>
      <c r="Y2553" s="732">
        <f t="shared" si="318"/>
        <v>0</v>
      </c>
      <c r="Z2553" s="1153"/>
      <c r="AA2553" s="1153"/>
      <c r="AB2553" s="733">
        <f t="shared" si="319"/>
        <v>0</v>
      </c>
      <c r="AC2553" s="1152"/>
      <c r="AD2553" s="1153"/>
      <c r="AE2553" s="1152"/>
      <c r="AF2553" s="1152"/>
      <c r="AG2553" s="1153"/>
      <c r="AH2553" s="1153"/>
      <c r="AI2553" s="732">
        <f t="shared" si="323"/>
        <v>3328382</v>
      </c>
      <c r="AJ2553" s="733">
        <f t="shared" si="324"/>
        <v>3328382</v>
      </c>
    </row>
    <row r="2554" spans="1:36">
      <c r="A2554" s="1020" t="s">
        <v>751</v>
      </c>
      <c r="B2554" s="1021" t="s">
        <v>62</v>
      </c>
      <c r="C2554" s="1022" t="s">
        <v>1351</v>
      </c>
      <c r="D2554" s="1023"/>
      <c r="E2554" s="1125">
        <v>238032</v>
      </c>
      <c r="F2554" s="1025">
        <v>1</v>
      </c>
      <c r="G2554" s="1152">
        <v>59813761</v>
      </c>
      <c r="H2554" s="1153">
        <v>61050748</v>
      </c>
      <c r="I2554" s="1152"/>
      <c r="J2554" s="1153"/>
      <c r="K2554" s="1152"/>
      <c r="L2554" s="1153"/>
      <c r="M2554" s="1152">
        <v>389758238</v>
      </c>
      <c r="N2554" s="1152">
        <v>10614313</v>
      </c>
      <c r="O2554" s="732">
        <f t="shared" si="317"/>
        <v>400372551</v>
      </c>
      <c r="P2554" s="1153">
        <v>389758238</v>
      </c>
      <c r="Q2554" s="1153">
        <v>10617313</v>
      </c>
      <c r="R2554" s="733">
        <f t="shared" si="320"/>
        <v>400375551</v>
      </c>
      <c r="S2554" s="732">
        <f t="shared" si="321"/>
        <v>449571999</v>
      </c>
      <c r="T2554" s="733">
        <f t="shared" si="322"/>
        <v>450808986</v>
      </c>
      <c r="U2554" s="1152"/>
      <c r="V2554" s="1153"/>
      <c r="W2554" s="1152"/>
      <c r="X2554" s="1152"/>
      <c r="Y2554" s="732">
        <f t="shared" si="318"/>
        <v>0</v>
      </c>
      <c r="Z2554" s="1153"/>
      <c r="AA2554" s="1153"/>
      <c r="AB2554" s="733">
        <f t="shared" si="319"/>
        <v>0</v>
      </c>
      <c r="AC2554" s="1152"/>
      <c r="AD2554" s="1153"/>
      <c r="AE2554" s="1152"/>
      <c r="AF2554" s="1152"/>
      <c r="AG2554" s="1153"/>
      <c r="AH2554" s="1153"/>
      <c r="AI2554" s="732">
        <f t="shared" si="323"/>
        <v>449571999</v>
      </c>
      <c r="AJ2554" s="733">
        <f t="shared" si="324"/>
        <v>450808986</v>
      </c>
    </row>
    <row r="2555" spans="1:36">
      <c r="A2555" s="1020" t="s">
        <v>751</v>
      </c>
      <c r="B2555" s="1021" t="s">
        <v>64</v>
      </c>
      <c r="C2555" s="1126" t="s">
        <v>495</v>
      </c>
      <c r="D2555" s="1127"/>
      <c r="E2555" s="1125">
        <v>238032</v>
      </c>
      <c r="F2555" s="1025">
        <v>1</v>
      </c>
      <c r="G2555" s="1152"/>
      <c r="H2555" s="1153"/>
      <c r="I2555" s="1152"/>
      <c r="J2555" s="1153"/>
      <c r="K2555" s="1152"/>
      <c r="L2555" s="1153"/>
      <c r="M2555" s="1152"/>
      <c r="N2555" s="1152"/>
      <c r="O2555" s="732">
        <f t="shared" si="317"/>
        <v>0</v>
      </c>
      <c r="P2555" s="1153"/>
      <c r="Q2555" s="1153"/>
      <c r="R2555" s="733">
        <f t="shared" si="320"/>
        <v>0</v>
      </c>
      <c r="S2555" s="732">
        <f t="shared" si="321"/>
        <v>0</v>
      </c>
      <c r="T2555" s="733">
        <f t="shared" si="322"/>
        <v>0</v>
      </c>
      <c r="U2555" s="1152"/>
      <c r="V2555" s="1153"/>
      <c r="W2555" s="1152"/>
      <c r="X2555" s="1152"/>
      <c r="Y2555" s="732">
        <f t="shared" si="318"/>
        <v>0</v>
      </c>
      <c r="Z2555" s="1153"/>
      <c r="AA2555" s="1153"/>
      <c r="AB2555" s="733">
        <f t="shared" si="319"/>
        <v>0</v>
      </c>
      <c r="AC2555" s="1152"/>
      <c r="AD2555" s="1153"/>
      <c r="AE2555" s="1152"/>
      <c r="AF2555" s="1152"/>
      <c r="AG2555" s="1153"/>
      <c r="AH2555" s="1153"/>
      <c r="AI2555" s="732">
        <f t="shared" si="323"/>
        <v>0</v>
      </c>
      <c r="AJ2555" s="733">
        <f t="shared" si="324"/>
        <v>0</v>
      </c>
    </row>
    <row r="2556" spans="1:36">
      <c r="A2556" s="1020" t="s">
        <v>751</v>
      </c>
      <c r="B2556" s="1021" t="s">
        <v>64</v>
      </c>
      <c r="C2556" s="1026" t="s">
        <v>1352</v>
      </c>
      <c r="D2556" s="1027"/>
      <c r="E2556" s="1125">
        <v>238032</v>
      </c>
      <c r="F2556" s="1025">
        <v>1</v>
      </c>
      <c r="G2556" s="1152"/>
      <c r="H2556" s="1153"/>
      <c r="I2556" s="1152"/>
      <c r="J2556" s="1153"/>
      <c r="K2556" s="1152"/>
      <c r="L2556" s="1153"/>
      <c r="M2556" s="1152"/>
      <c r="N2556" s="1152"/>
      <c r="O2556" s="732">
        <f t="shared" si="317"/>
        <v>0</v>
      </c>
      <c r="P2556" s="1153"/>
      <c r="Q2556" s="1153"/>
      <c r="R2556" s="733">
        <f t="shared" si="320"/>
        <v>0</v>
      </c>
      <c r="S2556" s="732">
        <f t="shared" si="321"/>
        <v>0</v>
      </c>
      <c r="T2556" s="733">
        <f t="shared" si="322"/>
        <v>0</v>
      </c>
      <c r="U2556" s="1152"/>
      <c r="V2556" s="1153"/>
      <c r="W2556" s="1152"/>
      <c r="X2556" s="1152"/>
      <c r="Y2556" s="732">
        <f t="shared" si="318"/>
        <v>0</v>
      </c>
      <c r="Z2556" s="1153"/>
      <c r="AA2556" s="1153"/>
      <c r="AB2556" s="733">
        <f t="shared" si="319"/>
        <v>0</v>
      </c>
      <c r="AC2556" s="1152">
        <v>66893606</v>
      </c>
      <c r="AD2556" s="1153">
        <v>66893606</v>
      </c>
      <c r="AE2556" s="1152">
        <v>92779288</v>
      </c>
      <c r="AF2556" s="1152"/>
      <c r="AG2556" s="1153">
        <v>92779288</v>
      </c>
      <c r="AH2556" s="1153"/>
      <c r="AI2556" s="732">
        <f t="shared" si="323"/>
        <v>159672894</v>
      </c>
      <c r="AJ2556" s="733">
        <f t="shared" si="324"/>
        <v>159672894</v>
      </c>
    </row>
    <row r="2557" spans="1:36">
      <c r="A2557" s="1020" t="s">
        <v>751</v>
      </c>
      <c r="B2557" s="1021" t="s">
        <v>64</v>
      </c>
      <c r="C2557" s="1026" t="s">
        <v>1353</v>
      </c>
      <c r="D2557" s="1027"/>
      <c r="E2557" s="1125">
        <v>238032</v>
      </c>
      <c r="F2557" s="1025">
        <v>1</v>
      </c>
      <c r="G2557" s="1152"/>
      <c r="H2557" s="1153"/>
      <c r="I2557" s="1152"/>
      <c r="J2557" s="1153"/>
      <c r="K2557" s="1152"/>
      <c r="L2557" s="1153"/>
      <c r="M2557" s="1152"/>
      <c r="N2557" s="1152"/>
      <c r="O2557" s="732">
        <f t="shared" si="317"/>
        <v>0</v>
      </c>
      <c r="P2557" s="1153"/>
      <c r="Q2557" s="1153"/>
      <c r="R2557" s="733">
        <f t="shared" si="320"/>
        <v>0</v>
      </c>
      <c r="S2557" s="732">
        <f t="shared" si="321"/>
        <v>0</v>
      </c>
      <c r="T2557" s="733">
        <f t="shared" si="322"/>
        <v>0</v>
      </c>
      <c r="U2557" s="1152"/>
      <c r="V2557" s="1153"/>
      <c r="W2557" s="1152"/>
      <c r="X2557" s="1152"/>
      <c r="Y2557" s="732">
        <f t="shared" si="318"/>
        <v>0</v>
      </c>
      <c r="Z2557" s="1153"/>
      <c r="AA2557" s="1153"/>
      <c r="AB2557" s="733">
        <f t="shared" si="319"/>
        <v>0</v>
      </c>
      <c r="AC2557" s="1152">
        <v>1203087</v>
      </c>
      <c r="AD2557" s="1153">
        <v>1203087</v>
      </c>
      <c r="AE2557" s="1152"/>
      <c r="AF2557" s="1152"/>
      <c r="AG2557" s="1153"/>
      <c r="AH2557" s="1153"/>
      <c r="AI2557" s="732">
        <f t="shared" si="323"/>
        <v>1203087</v>
      </c>
      <c r="AJ2557" s="733">
        <f t="shared" si="324"/>
        <v>1203087</v>
      </c>
    </row>
    <row r="2558" spans="1:36">
      <c r="A2558" s="1020" t="s">
        <v>751</v>
      </c>
      <c r="B2558" s="1021" t="s">
        <v>132</v>
      </c>
      <c r="C2558" s="1026" t="s">
        <v>1354</v>
      </c>
      <c r="D2558" s="1027"/>
      <c r="E2558" s="1125">
        <v>238032</v>
      </c>
      <c r="F2558" s="1025">
        <v>1</v>
      </c>
      <c r="G2558" s="1152"/>
      <c r="H2558" s="1153"/>
      <c r="I2558" s="1152">
        <v>1761948</v>
      </c>
      <c r="J2558" s="1153">
        <v>1761948</v>
      </c>
      <c r="K2558" s="1152"/>
      <c r="L2558" s="1153"/>
      <c r="M2558" s="1152"/>
      <c r="N2558" s="1152"/>
      <c r="O2558" s="732">
        <f t="shared" si="317"/>
        <v>0</v>
      </c>
      <c r="P2558" s="1153"/>
      <c r="Q2558" s="1153"/>
      <c r="R2558" s="733">
        <f t="shared" si="320"/>
        <v>0</v>
      </c>
      <c r="S2558" s="732">
        <f t="shared" si="321"/>
        <v>1761948</v>
      </c>
      <c r="T2558" s="733">
        <f t="shared" si="322"/>
        <v>1761948</v>
      </c>
      <c r="U2558" s="1152"/>
      <c r="V2558" s="1153"/>
      <c r="W2558" s="1152"/>
      <c r="X2558" s="1152"/>
      <c r="Y2558" s="732">
        <f t="shared" si="318"/>
        <v>0</v>
      </c>
      <c r="Z2558" s="1153"/>
      <c r="AA2558" s="1153"/>
      <c r="AB2558" s="733">
        <f t="shared" si="319"/>
        <v>0</v>
      </c>
      <c r="AC2558" s="1152"/>
      <c r="AD2558" s="1153"/>
      <c r="AE2558" s="1152"/>
      <c r="AF2558" s="1152"/>
      <c r="AG2558" s="1153"/>
      <c r="AH2558" s="1153"/>
      <c r="AI2558" s="732">
        <f t="shared" si="323"/>
        <v>1761948</v>
      </c>
      <c r="AJ2558" s="733">
        <f t="shared" si="324"/>
        <v>1761948</v>
      </c>
    </row>
    <row r="2559" spans="1:36">
      <c r="A2559" s="1020" t="s">
        <v>751</v>
      </c>
      <c r="B2559" s="1021" t="s">
        <v>132</v>
      </c>
      <c r="C2559" s="1026" t="s">
        <v>1355</v>
      </c>
      <c r="D2559" s="1027"/>
      <c r="E2559" s="1125">
        <v>238032</v>
      </c>
      <c r="F2559" s="1025">
        <v>1</v>
      </c>
      <c r="G2559" s="1152"/>
      <c r="H2559" s="1153"/>
      <c r="I2559" s="1152">
        <v>336987</v>
      </c>
      <c r="J2559" s="1153">
        <v>336987</v>
      </c>
      <c r="K2559" s="1152"/>
      <c r="L2559" s="1153"/>
      <c r="M2559" s="1152"/>
      <c r="N2559" s="1152"/>
      <c r="O2559" s="732">
        <f t="shared" si="317"/>
        <v>0</v>
      </c>
      <c r="P2559" s="1153"/>
      <c r="Q2559" s="1153"/>
      <c r="R2559" s="733">
        <f t="shared" si="320"/>
        <v>0</v>
      </c>
      <c r="S2559" s="732">
        <f t="shared" si="321"/>
        <v>336987</v>
      </c>
      <c r="T2559" s="733">
        <f t="shared" si="322"/>
        <v>336987</v>
      </c>
      <c r="U2559" s="1152"/>
      <c r="V2559" s="1153"/>
      <c r="W2559" s="1152"/>
      <c r="X2559" s="1152"/>
      <c r="Y2559" s="732">
        <f t="shared" si="318"/>
        <v>0</v>
      </c>
      <c r="Z2559" s="1153"/>
      <c r="AA2559" s="1153"/>
      <c r="AB2559" s="733">
        <f t="shared" si="319"/>
        <v>0</v>
      </c>
      <c r="AC2559" s="1152"/>
      <c r="AD2559" s="1153"/>
      <c r="AE2559" s="1152"/>
      <c r="AF2559" s="1152"/>
      <c r="AG2559" s="1153"/>
      <c r="AH2559" s="1153"/>
      <c r="AI2559" s="732">
        <f t="shared" si="323"/>
        <v>336987</v>
      </c>
      <c r="AJ2559" s="733">
        <f t="shared" si="324"/>
        <v>336987</v>
      </c>
    </row>
    <row r="2560" spans="1:36">
      <c r="A2560" s="1020" t="s">
        <v>751</v>
      </c>
      <c r="B2560" s="1021" t="s">
        <v>64</v>
      </c>
      <c r="C2560" s="1028" t="s">
        <v>70</v>
      </c>
      <c r="D2560" s="1027"/>
      <c r="E2560" s="1128">
        <v>238032</v>
      </c>
      <c r="F2560" s="1025">
        <v>1</v>
      </c>
      <c r="G2560" s="1152"/>
      <c r="H2560" s="1153"/>
      <c r="I2560" s="1152">
        <v>862266</v>
      </c>
      <c r="J2560" s="1153">
        <v>2799219</v>
      </c>
      <c r="K2560" s="1152"/>
      <c r="L2560" s="1153"/>
      <c r="M2560" s="1152"/>
      <c r="N2560" s="1152"/>
      <c r="O2560" s="732">
        <f t="shared" si="317"/>
        <v>0</v>
      </c>
      <c r="P2560" s="1153"/>
      <c r="Q2560" s="1153"/>
      <c r="R2560" s="733">
        <f t="shared" si="320"/>
        <v>0</v>
      </c>
      <c r="S2560" s="732">
        <f t="shared" si="321"/>
        <v>862266</v>
      </c>
      <c r="T2560" s="733">
        <f t="shared" si="322"/>
        <v>2799219</v>
      </c>
      <c r="U2560" s="1152"/>
      <c r="V2560" s="1153"/>
      <c r="W2560" s="1152"/>
      <c r="X2560" s="1152"/>
      <c r="Y2560" s="732">
        <f t="shared" si="318"/>
        <v>0</v>
      </c>
      <c r="Z2560" s="1153"/>
      <c r="AA2560" s="1153"/>
      <c r="AB2560" s="733">
        <f t="shared" si="319"/>
        <v>0</v>
      </c>
      <c r="AC2560" s="1152"/>
      <c r="AD2560" s="1153"/>
      <c r="AE2560" s="1152"/>
      <c r="AF2560" s="1152"/>
      <c r="AG2560" s="1153"/>
      <c r="AH2560" s="1153"/>
      <c r="AI2560" s="732">
        <f t="shared" si="323"/>
        <v>862266</v>
      </c>
      <c r="AJ2560" s="733">
        <f t="shared" si="324"/>
        <v>2799219</v>
      </c>
    </row>
    <row r="2561" spans="1:36">
      <c r="A2561" s="1020" t="s">
        <v>751</v>
      </c>
      <c r="B2561" s="1021" t="s">
        <v>64</v>
      </c>
      <c r="C2561" s="1026" t="s">
        <v>1356</v>
      </c>
      <c r="D2561" s="1027"/>
      <c r="E2561" s="1128">
        <v>238032</v>
      </c>
      <c r="F2561" s="1025">
        <v>1</v>
      </c>
      <c r="G2561" s="1152"/>
      <c r="H2561" s="1153"/>
      <c r="I2561" s="1152"/>
      <c r="J2561" s="1153"/>
      <c r="K2561" s="1152"/>
      <c r="L2561" s="1153"/>
      <c r="M2561" s="1152"/>
      <c r="N2561" s="1152"/>
      <c r="O2561" s="732">
        <f t="shared" si="317"/>
        <v>0</v>
      </c>
      <c r="P2561" s="1153"/>
      <c r="Q2561" s="1153"/>
      <c r="R2561" s="733">
        <f t="shared" si="320"/>
        <v>0</v>
      </c>
      <c r="S2561" s="732">
        <f t="shared" si="321"/>
        <v>0</v>
      </c>
      <c r="T2561" s="733">
        <f t="shared" si="322"/>
        <v>0</v>
      </c>
      <c r="U2561" s="1152"/>
      <c r="V2561" s="1153"/>
      <c r="W2561" s="1152"/>
      <c r="X2561" s="1152"/>
      <c r="Y2561" s="732">
        <f t="shared" si="318"/>
        <v>0</v>
      </c>
      <c r="Z2561" s="1153"/>
      <c r="AA2561" s="1153"/>
      <c r="AB2561" s="733">
        <f t="shared" si="319"/>
        <v>0</v>
      </c>
      <c r="AC2561" s="1152"/>
      <c r="AD2561" s="1153"/>
      <c r="AE2561" s="1152"/>
      <c r="AF2561" s="1152"/>
      <c r="AG2561" s="1153"/>
      <c r="AH2561" s="1153"/>
      <c r="AI2561" s="732">
        <f t="shared" si="323"/>
        <v>0</v>
      </c>
      <c r="AJ2561" s="733">
        <f t="shared" si="324"/>
        <v>0</v>
      </c>
    </row>
    <row r="2562" spans="1:36">
      <c r="A2562" s="1020" t="s">
        <v>751</v>
      </c>
      <c r="B2562" s="1021" t="s">
        <v>132</v>
      </c>
      <c r="C2562" s="1026" t="s">
        <v>1357</v>
      </c>
      <c r="D2562" s="1027"/>
      <c r="E2562" s="1125">
        <v>238032</v>
      </c>
      <c r="F2562" s="1025">
        <v>1</v>
      </c>
      <c r="G2562" s="1152"/>
      <c r="H2562" s="1153"/>
      <c r="I2562" s="1152">
        <v>52445</v>
      </c>
      <c r="J2562" s="1153">
        <v>52445</v>
      </c>
      <c r="K2562" s="1152"/>
      <c r="L2562" s="1153"/>
      <c r="M2562" s="1152"/>
      <c r="N2562" s="1152"/>
      <c r="O2562" s="732">
        <f t="shared" si="317"/>
        <v>0</v>
      </c>
      <c r="P2562" s="1153"/>
      <c r="Q2562" s="1153"/>
      <c r="R2562" s="733">
        <f t="shared" si="320"/>
        <v>0</v>
      </c>
      <c r="S2562" s="732">
        <f t="shared" si="321"/>
        <v>52445</v>
      </c>
      <c r="T2562" s="733">
        <f t="shared" si="322"/>
        <v>52445</v>
      </c>
      <c r="U2562" s="1152"/>
      <c r="V2562" s="1153"/>
      <c r="W2562" s="1152"/>
      <c r="X2562" s="1152"/>
      <c r="Y2562" s="732">
        <f t="shared" si="318"/>
        <v>0</v>
      </c>
      <c r="Z2562" s="1153"/>
      <c r="AA2562" s="1153"/>
      <c r="AB2562" s="733">
        <f t="shared" si="319"/>
        <v>0</v>
      </c>
      <c r="AC2562" s="1152"/>
      <c r="AD2562" s="1153"/>
      <c r="AE2562" s="1152"/>
      <c r="AF2562" s="1152"/>
      <c r="AG2562" s="1153"/>
      <c r="AH2562" s="1153"/>
      <c r="AI2562" s="732">
        <f t="shared" si="323"/>
        <v>52445</v>
      </c>
      <c r="AJ2562" s="733">
        <f t="shared" si="324"/>
        <v>52445</v>
      </c>
    </row>
    <row r="2563" spans="1:36">
      <c r="A2563" s="1020" t="s">
        <v>751</v>
      </c>
      <c r="B2563" s="1021" t="s">
        <v>64</v>
      </c>
      <c r="C2563" s="1026" t="s">
        <v>1358</v>
      </c>
      <c r="D2563" s="1027"/>
      <c r="E2563" s="1128">
        <v>238032</v>
      </c>
      <c r="F2563" s="1025">
        <v>1</v>
      </c>
      <c r="G2563" s="1152"/>
      <c r="H2563" s="1153"/>
      <c r="I2563" s="1152"/>
      <c r="J2563" s="1153"/>
      <c r="K2563" s="1152"/>
      <c r="L2563" s="1153"/>
      <c r="M2563" s="1152"/>
      <c r="N2563" s="1152"/>
      <c r="O2563" s="732">
        <f t="shared" si="317"/>
        <v>0</v>
      </c>
      <c r="P2563" s="1153"/>
      <c r="Q2563" s="1153"/>
      <c r="R2563" s="733">
        <f t="shared" si="320"/>
        <v>0</v>
      </c>
      <c r="S2563" s="732">
        <f t="shared" si="321"/>
        <v>0</v>
      </c>
      <c r="T2563" s="733">
        <f t="shared" si="322"/>
        <v>0</v>
      </c>
      <c r="U2563" s="1152"/>
      <c r="V2563" s="1153"/>
      <c r="W2563" s="1152"/>
      <c r="X2563" s="1152"/>
      <c r="Y2563" s="732">
        <f t="shared" si="318"/>
        <v>0</v>
      </c>
      <c r="Z2563" s="1153"/>
      <c r="AA2563" s="1153"/>
      <c r="AB2563" s="733">
        <f t="shared" si="319"/>
        <v>0</v>
      </c>
      <c r="AC2563" s="1152"/>
      <c r="AD2563" s="1153"/>
      <c r="AE2563" s="1152"/>
      <c r="AF2563" s="1152"/>
      <c r="AG2563" s="1153"/>
      <c r="AH2563" s="1153"/>
      <c r="AI2563" s="732">
        <f t="shared" si="323"/>
        <v>0</v>
      </c>
      <c r="AJ2563" s="733">
        <f t="shared" si="324"/>
        <v>0</v>
      </c>
    </row>
    <row r="2564" spans="1:36">
      <c r="A2564" s="1020" t="s">
        <v>751</v>
      </c>
      <c r="B2564" s="1021" t="s">
        <v>64</v>
      </c>
      <c r="C2564" s="1026" t="s">
        <v>1359</v>
      </c>
      <c r="D2564" s="1027"/>
      <c r="E2564" s="1128">
        <v>238032</v>
      </c>
      <c r="F2564" s="1025">
        <v>1</v>
      </c>
      <c r="G2564" s="1152"/>
      <c r="H2564" s="1153"/>
      <c r="I2564" s="1152"/>
      <c r="J2564" s="1153"/>
      <c r="K2564" s="1152"/>
      <c r="L2564" s="1153"/>
      <c r="M2564" s="1152"/>
      <c r="N2564" s="1152"/>
      <c r="O2564" s="732">
        <f t="shared" si="317"/>
        <v>0</v>
      </c>
      <c r="P2564" s="1153"/>
      <c r="Q2564" s="1153"/>
      <c r="R2564" s="733">
        <f t="shared" si="320"/>
        <v>0</v>
      </c>
      <c r="S2564" s="732">
        <f t="shared" si="321"/>
        <v>0</v>
      </c>
      <c r="T2564" s="733">
        <f t="shared" si="322"/>
        <v>0</v>
      </c>
      <c r="U2564" s="1152"/>
      <c r="V2564" s="1153"/>
      <c r="W2564" s="1152"/>
      <c r="X2564" s="1152"/>
      <c r="Y2564" s="732">
        <f t="shared" si="318"/>
        <v>0</v>
      </c>
      <c r="Z2564" s="1153"/>
      <c r="AA2564" s="1153"/>
      <c r="AB2564" s="733">
        <f t="shared" si="319"/>
        <v>0</v>
      </c>
      <c r="AC2564" s="1152"/>
      <c r="AD2564" s="1153"/>
      <c r="AE2564" s="1152"/>
      <c r="AF2564" s="1152"/>
      <c r="AG2564" s="1153"/>
      <c r="AH2564" s="1153"/>
      <c r="AI2564" s="732">
        <f t="shared" si="323"/>
        <v>0</v>
      </c>
      <c r="AJ2564" s="733">
        <f t="shared" si="324"/>
        <v>0</v>
      </c>
    </row>
    <row r="2565" spans="1:36">
      <c r="A2565" s="1020" t="s">
        <v>751</v>
      </c>
      <c r="B2565" s="1021" t="s">
        <v>74</v>
      </c>
      <c r="C2565" s="1028" t="s">
        <v>75</v>
      </c>
      <c r="D2565" s="1027"/>
      <c r="E2565" s="1128">
        <v>238032</v>
      </c>
      <c r="F2565" s="1025">
        <v>1</v>
      </c>
      <c r="G2565" s="1152"/>
      <c r="H2565" s="1153"/>
      <c r="I2565" s="1152">
        <v>15899167</v>
      </c>
      <c r="J2565" s="1153">
        <v>14856080</v>
      </c>
      <c r="K2565" s="1152"/>
      <c r="L2565" s="1153"/>
      <c r="M2565" s="1152"/>
      <c r="N2565" s="1152"/>
      <c r="O2565" s="732">
        <f t="shared" si="317"/>
        <v>0</v>
      </c>
      <c r="P2565" s="1153"/>
      <c r="Q2565" s="1153"/>
      <c r="R2565" s="733">
        <f t="shared" si="320"/>
        <v>0</v>
      </c>
      <c r="S2565" s="732">
        <f t="shared" si="321"/>
        <v>15899167</v>
      </c>
      <c r="T2565" s="733">
        <f t="shared" si="322"/>
        <v>14856080</v>
      </c>
      <c r="U2565" s="1152"/>
      <c r="V2565" s="1153"/>
      <c r="W2565" s="1152"/>
      <c r="X2565" s="1152"/>
      <c r="Y2565" s="732">
        <f t="shared" si="318"/>
        <v>0</v>
      </c>
      <c r="Z2565" s="1153"/>
      <c r="AA2565" s="1153"/>
      <c r="AB2565" s="733">
        <f t="shared" si="319"/>
        <v>0</v>
      </c>
      <c r="AC2565" s="1152"/>
      <c r="AD2565" s="1153"/>
      <c r="AE2565" s="1152"/>
      <c r="AF2565" s="1152"/>
      <c r="AG2565" s="1153"/>
      <c r="AH2565" s="1153"/>
      <c r="AI2565" s="732">
        <f t="shared" si="323"/>
        <v>15899167</v>
      </c>
      <c r="AJ2565" s="733">
        <f t="shared" si="324"/>
        <v>14856080</v>
      </c>
    </row>
    <row r="2566" spans="1:36">
      <c r="A2566" s="1020" t="s">
        <v>751</v>
      </c>
      <c r="B2566" s="1021" t="s">
        <v>76</v>
      </c>
      <c r="C2566" s="1028" t="s">
        <v>77</v>
      </c>
      <c r="D2566" s="1027"/>
      <c r="E2566" s="1128">
        <v>238032</v>
      </c>
      <c r="F2566" s="1025">
        <v>1</v>
      </c>
      <c r="G2566" s="1152"/>
      <c r="H2566" s="1153"/>
      <c r="I2566" s="1152">
        <v>9746705</v>
      </c>
      <c r="J2566" s="1153">
        <v>8240177</v>
      </c>
      <c r="K2566" s="1152"/>
      <c r="L2566" s="1153"/>
      <c r="M2566" s="1152"/>
      <c r="N2566" s="1152"/>
      <c r="O2566" s="732">
        <f t="shared" si="317"/>
        <v>0</v>
      </c>
      <c r="P2566" s="1153"/>
      <c r="Q2566" s="1153"/>
      <c r="R2566" s="733">
        <f t="shared" si="320"/>
        <v>0</v>
      </c>
      <c r="S2566" s="732">
        <f t="shared" si="321"/>
        <v>9746705</v>
      </c>
      <c r="T2566" s="733">
        <f t="shared" si="322"/>
        <v>8240177</v>
      </c>
      <c r="U2566" s="1152"/>
      <c r="V2566" s="1153"/>
      <c r="W2566" s="1152"/>
      <c r="X2566" s="1152"/>
      <c r="Y2566" s="732">
        <f t="shared" si="318"/>
        <v>0</v>
      </c>
      <c r="Z2566" s="1153"/>
      <c r="AA2566" s="1153"/>
      <c r="AB2566" s="733">
        <f t="shared" si="319"/>
        <v>0</v>
      </c>
      <c r="AC2566" s="1152"/>
      <c r="AD2566" s="1153"/>
      <c r="AE2566" s="1152"/>
      <c r="AF2566" s="1152"/>
      <c r="AG2566" s="1153"/>
      <c r="AH2566" s="1153"/>
      <c r="AI2566" s="732">
        <f t="shared" si="323"/>
        <v>9746705</v>
      </c>
      <c r="AJ2566" s="733">
        <f t="shared" si="324"/>
        <v>8240177</v>
      </c>
    </row>
    <row r="2567" spans="1:36">
      <c r="A2567" s="1020" t="s">
        <v>751</v>
      </c>
      <c r="B2567" s="1021" t="s">
        <v>381</v>
      </c>
      <c r="C2567" s="1028" t="s">
        <v>752</v>
      </c>
      <c r="D2567" s="1027"/>
      <c r="E2567" s="1128">
        <v>238032</v>
      </c>
      <c r="F2567" s="1025">
        <v>1</v>
      </c>
      <c r="G2567" s="1152"/>
      <c r="H2567" s="1153"/>
      <c r="I2567" s="1152">
        <v>6763442</v>
      </c>
      <c r="J2567" s="1153">
        <v>6423918</v>
      </c>
      <c r="K2567" s="1152"/>
      <c r="L2567" s="1153"/>
      <c r="M2567" s="1152"/>
      <c r="N2567" s="1152"/>
      <c r="O2567" s="732">
        <f t="shared" si="317"/>
        <v>0</v>
      </c>
      <c r="P2567" s="1153"/>
      <c r="Q2567" s="1153"/>
      <c r="R2567" s="733">
        <f t="shared" si="320"/>
        <v>0</v>
      </c>
      <c r="S2567" s="732">
        <f t="shared" si="321"/>
        <v>6763442</v>
      </c>
      <c r="T2567" s="733">
        <f t="shared" si="322"/>
        <v>6423918</v>
      </c>
      <c r="U2567" s="1152"/>
      <c r="V2567" s="1153"/>
      <c r="W2567" s="1152"/>
      <c r="X2567" s="1152"/>
      <c r="Y2567" s="732">
        <f t="shared" si="318"/>
        <v>0</v>
      </c>
      <c r="Z2567" s="1153"/>
      <c r="AA2567" s="1153"/>
      <c r="AB2567" s="733">
        <f t="shared" si="319"/>
        <v>0</v>
      </c>
      <c r="AC2567" s="1152"/>
      <c r="AD2567" s="1153"/>
      <c r="AE2567" s="1152"/>
      <c r="AF2567" s="1152"/>
      <c r="AG2567" s="1153"/>
      <c r="AH2567" s="1153"/>
      <c r="AI2567" s="732">
        <f t="shared" si="323"/>
        <v>6763442</v>
      </c>
      <c r="AJ2567" s="733">
        <f t="shared" si="324"/>
        <v>6423918</v>
      </c>
    </row>
    <row r="2568" spans="1:36">
      <c r="A2568" s="1020" t="s">
        <v>751</v>
      </c>
      <c r="B2568" s="1021" t="s">
        <v>78</v>
      </c>
      <c r="C2568" s="1028" t="s">
        <v>79</v>
      </c>
      <c r="D2568" s="1027"/>
      <c r="E2568" s="1128">
        <v>238032</v>
      </c>
      <c r="F2568" s="1025">
        <v>1</v>
      </c>
      <c r="G2568" s="1152"/>
      <c r="H2568" s="1153"/>
      <c r="I2568" s="1152">
        <v>2121530</v>
      </c>
      <c r="J2568" s="1153">
        <v>2031036</v>
      </c>
      <c r="K2568" s="1152"/>
      <c r="L2568" s="1153"/>
      <c r="M2568" s="1152"/>
      <c r="N2568" s="1152"/>
      <c r="O2568" s="732">
        <f t="shared" si="317"/>
        <v>0</v>
      </c>
      <c r="P2568" s="1153"/>
      <c r="Q2568" s="1153"/>
      <c r="R2568" s="733">
        <f t="shared" si="320"/>
        <v>0</v>
      </c>
      <c r="S2568" s="732">
        <f t="shared" si="321"/>
        <v>2121530</v>
      </c>
      <c r="T2568" s="733">
        <f t="shared" si="322"/>
        <v>2031036</v>
      </c>
      <c r="U2568" s="1152"/>
      <c r="V2568" s="1153"/>
      <c r="W2568" s="1152"/>
      <c r="X2568" s="1152"/>
      <c r="Y2568" s="732">
        <f t="shared" si="318"/>
        <v>0</v>
      </c>
      <c r="Z2568" s="1153"/>
      <c r="AA2568" s="1153"/>
      <c r="AB2568" s="733">
        <f t="shared" si="319"/>
        <v>0</v>
      </c>
      <c r="AC2568" s="1152"/>
      <c r="AD2568" s="1153"/>
      <c r="AE2568" s="1152"/>
      <c r="AF2568" s="1152"/>
      <c r="AG2568" s="1153"/>
      <c r="AH2568" s="1153"/>
      <c r="AI2568" s="732">
        <f t="shared" si="323"/>
        <v>2121530</v>
      </c>
      <c r="AJ2568" s="733">
        <f t="shared" si="324"/>
        <v>2031036</v>
      </c>
    </row>
    <row r="2569" spans="1:36">
      <c r="A2569" s="1020" t="s">
        <v>751</v>
      </c>
      <c r="B2569" s="1021" t="s">
        <v>78</v>
      </c>
      <c r="C2569" s="1026" t="s">
        <v>1360</v>
      </c>
      <c r="D2569" s="1027"/>
      <c r="E2569" s="1128">
        <v>238032</v>
      </c>
      <c r="F2569" s="1025">
        <v>1</v>
      </c>
      <c r="G2569" s="1152"/>
      <c r="H2569" s="1153"/>
      <c r="I2569" s="1152">
        <v>1811089</v>
      </c>
      <c r="J2569" s="1153">
        <v>1616782</v>
      </c>
      <c r="K2569" s="1152"/>
      <c r="L2569" s="1153"/>
      <c r="M2569" s="1152"/>
      <c r="N2569" s="1152"/>
      <c r="O2569" s="732">
        <f t="shared" si="317"/>
        <v>0</v>
      </c>
      <c r="P2569" s="1153"/>
      <c r="Q2569" s="1153"/>
      <c r="R2569" s="733">
        <f t="shared" si="320"/>
        <v>0</v>
      </c>
      <c r="S2569" s="732">
        <f t="shared" si="321"/>
        <v>1811089</v>
      </c>
      <c r="T2569" s="733">
        <f t="shared" si="322"/>
        <v>1616782</v>
      </c>
      <c r="U2569" s="1152"/>
      <c r="V2569" s="1153"/>
      <c r="W2569" s="1152"/>
      <c r="X2569" s="1152"/>
      <c r="Y2569" s="732">
        <f t="shared" si="318"/>
        <v>0</v>
      </c>
      <c r="Z2569" s="1153"/>
      <c r="AA2569" s="1153"/>
      <c r="AB2569" s="733">
        <f t="shared" si="319"/>
        <v>0</v>
      </c>
      <c r="AC2569" s="1152"/>
      <c r="AD2569" s="1153"/>
      <c r="AE2569" s="1152"/>
      <c r="AF2569" s="1152"/>
      <c r="AG2569" s="1153"/>
      <c r="AH2569" s="1153"/>
      <c r="AI2569" s="732">
        <f t="shared" si="323"/>
        <v>1811089</v>
      </c>
      <c r="AJ2569" s="733">
        <f t="shared" si="324"/>
        <v>1616782</v>
      </c>
    </row>
    <row r="2570" spans="1:36">
      <c r="A2570" s="1020" t="s">
        <v>751</v>
      </c>
      <c r="B2570" s="1021" t="s">
        <v>99</v>
      </c>
      <c r="C2570" s="1028" t="s">
        <v>1070</v>
      </c>
      <c r="D2570" s="1027"/>
      <c r="E2570" s="1128">
        <v>238032</v>
      </c>
      <c r="F2570" s="1025">
        <v>1</v>
      </c>
      <c r="G2570" s="1152"/>
      <c r="H2570" s="1153"/>
      <c r="I2570" s="1152">
        <v>1190949</v>
      </c>
      <c r="J2570" s="1153">
        <f>382935+491458+316556</f>
        <v>1190949</v>
      </c>
      <c r="K2570" s="1152"/>
      <c r="L2570" s="1153"/>
      <c r="M2570" s="1152"/>
      <c r="N2570" s="1152"/>
      <c r="O2570" s="732">
        <f t="shared" ref="O2570:O2633" si="325">SUM(M2570:N2570)</f>
        <v>0</v>
      </c>
      <c r="P2570" s="1153"/>
      <c r="Q2570" s="1153"/>
      <c r="R2570" s="733">
        <f t="shared" si="320"/>
        <v>0</v>
      </c>
      <c r="S2570" s="732">
        <f t="shared" si="321"/>
        <v>1190949</v>
      </c>
      <c r="T2570" s="733">
        <f t="shared" si="322"/>
        <v>1190949</v>
      </c>
      <c r="U2570" s="1152"/>
      <c r="V2570" s="1153"/>
      <c r="W2570" s="1152"/>
      <c r="X2570" s="1152"/>
      <c r="Y2570" s="732">
        <f t="shared" ref="Y2570:Y2633" si="326">SUM(W2570:X2570)</f>
        <v>0</v>
      </c>
      <c r="Z2570" s="1153"/>
      <c r="AA2570" s="1153"/>
      <c r="AB2570" s="733">
        <f t="shared" ref="AB2570:AB2633" si="327">SUM(Z2570:AA2570)</f>
        <v>0</v>
      </c>
      <c r="AC2570" s="1152"/>
      <c r="AD2570" s="1153"/>
      <c r="AE2570" s="1152"/>
      <c r="AF2570" s="1152"/>
      <c r="AG2570" s="1153"/>
      <c r="AH2570" s="1153"/>
      <c r="AI2570" s="732">
        <f t="shared" si="323"/>
        <v>1190949</v>
      </c>
      <c r="AJ2570" s="733">
        <f t="shared" si="324"/>
        <v>1190949</v>
      </c>
    </row>
    <row r="2571" spans="1:36">
      <c r="A2571" s="1020" t="s">
        <v>751</v>
      </c>
      <c r="B2571" s="1021" t="s">
        <v>99</v>
      </c>
      <c r="C2571" s="1026" t="s">
        <v>1361</v>
      </c>
      <c r="D2571" s="1027"/>
      <c r="E2571" s="1128">
        <v>238032</v>
      </c>
      <c r="F2571" s="1025">
        <v>1</v>
      </c>
      <c r="G2571" s="1152"/>
      <c r="H2571" s="1153"/>
      <c r="I2571" s="1152">
        <v>313517</v>
      </c>
      <c r="J2571" s="1153">
        <v>313517</v>
      </c>
      <c r="K2571" s="1152"/>
      <c r="L2571" s="1153"/>
      <c r="M2571" s="1152"/>
      <c r="N2571" s="1152"/>
      <c r="O2571" s="732">
        <f t="shared" si="325"/>
        <v>0</v>
      </c>
      <c r="P2571" s="1153"/>
      <c r="Q2571" s="1153"/>
      <c r="R2571" s="733">
        <f t="shared" ref="R2571:R2634" si="328">SUM(P2571:Q2571)</f>
        <v>0</v>
      </c>
      <c r="S2571" s="732">
        <f t="shared" ref="S2571:S2634" si="329">SUM(G2571,I2571,K2571,M2571)</f>
        <v>313517</v>
      </c>
      <c r="T2571" s="733">
        <f t="shared" ref="T2571:T2634" si="330">SUM(H2571,J2571,L2571,P2571)</f>
        <v>313517</v>
      </c>
      <c r="U2571" s="1152"/>
      <c r="V2571" s="1153"/>
      <c r="W2571" s="1152"/>
      <c r="X2571" s="1152"/>
      <c r="Y2571" s="732">
        <f t="shared" si="326"/>
        <v>0</v>
      </c>
      <c r="Z2571" s="1153"/>
      <c r="AA2571" s="1153"/>
      <c r="AB2571" s="733">
        <f t="shared" si="327"/>
        <v>0</v>
      </c>
      <c r="AC2571" s="1152"/>
      <c r="AD2571" s="1153"/>
      <c r="AE2571" s="1152"/>
      <c r="AF2571" s="1152"/>
      <c r="AG2571" s="1153"/>
      <c r="AH2571" s="1153"/>
      <c r="AI2571" s="732">
        <f t="shared" ref="AI2571:AI2634" si="331">SUM(S2571,U2571,W2571,AC2571,AE2571)</f>
        <v>313517</v>
      </c>
      <c r="AJ2571" s="733">
        <f t="shared" ref="AJ2571:AJ2634" si="332">SUM(T2571,V2571,Z2571,AD2571,AG2571)</f>
        <v>313517</v>
      </c>
    </row>
    <row r="2572" spans="1:36">
      <c r="A2572" s="1020" t="s">
        <v>751</v>
      </c>
      <c r="B2572" s="1021" t="s">
        <v>62</v>
      </c>
      <c r="C2572" s="1022" t="s">
        <v>1362</v>
      </c>
      <c r="D2572" s="1023"/>
      <c r="E2572" s="1128">
        <v>237525</v>
      </c>
      <c r="F2572" s="1025">
        <v>3</v>
      </c>
      <c r="G2572" s="1152">
        <v>45270055</v>
      </c>
      <c r="H2572" s="1153">
        <v>45244442</v>
      </c>
      <c r="I2572" s="1152"/>
      <c r="J2572" s="1153"/>
      <c r="K2572" s="1152"/>
      <c r="L2572" s="1153"/>
      <c r="M2572" s="1152">
        <v>111348800</v>
      </c>
      <c r="N2572" s="1152">
        <v>1290148</v>
      </c>
      <c r="O2572" s="732">
        <f t="shared" si="325"/>
        <v>112638948</v>
      </c>
      <c r="P2572" s="1153">
        <v>112816509</v>
      </c>
      <c r="Q2572" s="1153">
        <v>1291745</v>
      </c>
      <c r="R2572" s="733">
        <f t="shared" si="328"/>
        <v>114108254</v>
      </c>
      <c r="S2572" s="732">
        <f t="shared" si="329"/>
        <v>156618855</v>
      </c>
      <c r="T2572" s="733">
        <f t="shared" si="330"/>
        <v>158060951</v>
      </c>
      <c r="U2572" s="1152"/>
      <c r="V2572" s="1153"/>
      <c r="W2572" s="1152"/>
      <c r="X2572" s="1152"/>
      <c r="Y2572" s="732">
        <f t="shared" si="326"/>
        <v>0</v>
      </c>
      <c r="Z2572" s="1153"/>
      <c r="AA2572" s="1153"/>
      <c r="AB2572" s="733">
        <f t="shared" si="327"/>
        <v>0</v>
      </c>
      <c r="AC2572" s="1152"/>
      <c r="AD2572" s="1153"/>
      <c r="AE2572" s="1152"/>
      <c r="AF2572" s="1152"/>
      <c r="AG2572" s="1153"/>
      <c r="AH2572" s="1153"/>
      <c r="AI2572" s="732">
        <f t="shared" si="331"/>
        <v>156618855</v>
      </c>
      <c r="AJ2572" s="733">
        <f t="shared" si="332"/>
        <v>158060951</v>
      </c>
    </row>
    <row r="2573" spans="1:36">
      <c r="A2573" s="1020" t="s">
        <v>751</v>
      </c>
      <c r="B2573" s="1021" t="s">
        <v>78</v>
      </c>
      <c r="C2573" s="1028" t="s">
        <v>79</v>
      </c>
      <c r="D2573" s="1027"/>
      <c r="E2573" s="1128">
        <v>237525</v>
      </c>
      <c r="F2573" s="1025">
        <v>3</v>
      </c>
      <c r="G2573" s="1152"/>
      <c r="H2573" s="1153"/>
      <c r="I2573" s="1152"/>
      <c r="J2573" s="1153"/>
      <c r="K2573" s="1152"/>
      <c r="L2573" s="1153"/>
      <c r="M2573" s="1152"/>
      <c r="N2573" s="1152"/>
      <c r="O2573" s="732">
        <f t="shared" si="325"/>
        <v>0</v>
      </c>
      <c r="P2573" s="1153"/>
      <c r="Q2573" s="1153"/>
      <c r="R2573" s="733">
        <f t="shared" si="328"/>
        <v>0</v>
      </c>
      <c r="S2573" s="732">
        <f t="shared" si="329"/>
        <v>0</v>
      </c>
      <c r="T2573" s="733">
        <f t="shared" si="330"/>
        <v>0</v>
      </c>
      <c r="U2573" s="1152"/>
      <c r="V2573" s="1153"/>
      <c r="W2573" s="1152"/>
      <c r="X2573" s="1152"/>
      <c r="Y2573" s="732">
        <f t="shared" si="326"/>
        <v>0</v>
      </c>
      <c r="Z2573" s="1153"/>
      <c r="AA2573" s="1153"/>
      <c r="AB2573" s="733">
        <f t="shared" si="327"/>
        <v>0</v>
      </c>
      <c r="AC2573" s="1152"/>
      <c r="AD2573" s="1153"/>
      <c r="AE2573" s="1152"/>
      <c r="AF2573" s="1152"/>
      <c r="AG2573" s="1153"/>
      <c r="AH2573" s="1153"/>
      <c r="AI2573" s="732">
        <f t="shared" si="331"/>
        <v>0</v>
      </c>
      <c r="AJ2573" s="733">
        <f t="shared" si="332"/>
        <v>0</v>
      </c>
    </row>
    <row r="2574" spans="1:36">
      <c r="A2574" s="1020" t="s">
        <v>751</v>
      </c>
      <c r="B2574" s="1021" t="s">
        <v>99</v>
      </c>
      <c r="C2574" s="1026" t="s">
        <v>1363</v>
      </c>
      <c r="D2574" s="1027"/>
      <c r="E2574" s="1128">
        <v>237525</v>
      </c>
      <c r="F2574" s="1025">
        <v>3</v>
      </c>
      <c r="G2574" s="1152"/>
      <c r="H2574" s="1153"/>
      <c r="I2574" s="1152"/>
      <c r="J2574" s="1153"/>
      <c r="K2574" s="1152"/>
      <c r="L2574" s="1153"/>
      <c r="M2574" s="1152"/>
      <c r="N2574" s="1152"/>
      <c r="O2574" s="732">
        <f t="shared" si="325"/>
        <v>0</v>
      </c>
      <c r="P2574" s="1153"/>
      <c r="Q2574" s="1153"/>
      <c r="R2574" s="733">
        <f t="shared" si="328"/>
        <v>0</v>
      </c>
      <c r="S2574" s="732">
        <f t="shared" si="329"/>
        <v>0</v>
      </c>
      <c r="T2574" s="733">
        <f t="shared" si="330"/>
        <v>0</v>
      </c>
      <c r="U2574" s="1152"/>
      <c r="V2574" s="1153"/>
      <c r="W2574" s="1152"/>
      <c r="X2574" s="1152"/>
      <c r="Y2574" s="732">
        <f t="shared" si="326"/>
        <v>0</v>
      </c>
      <c r="Z2574" s="1153"/>
      <c r="AA2574" s="1153"/>
      <c r="AB2574" s="733">
        <f t="shared" si="327"/>
        <v>0</v>
      </c>
      <c r="AC2574" s="1152"/>
      <c r="AD2574" s="1153"/>
      <c r="AE2574" s="1152"/>
      <c r="AF2574" s="1152"/>
      <c r="AG2574" s="1153"/>
      <c r="AH2574" s="1153"/>
      <c r="AI2574" s="732">
        <f t="shared" si="331"/>
        <v>0</v>
      </c>
      <c r="AJ2574" s="733">
        <f t="shared" si="332"/>
        <v>0</v>
      </c>
    </row>
    <row r="2575" spans="1:36">
      <c r="A2575" s="1020" t="s">
        <v>751</v>
      </c>
      <c r="B2575" s="1021" t="s">
        <v>78</v>
      </c>
      <c r="C2575" s="1026" t="s">
        <v>1364</v>
      </c>
      <c r="D2575" s="1027"/>
      <c r="E2575" s="1128">
        <v>237525</v>
      </c>
      <c r="F2575" s="1025">
        <v>3</v>
      </c>
      <c r="G2575" s="1152"/>
      <c r="H2575" s="1153"/>
      <c r="I2575" s="1152">
        <v>1808381</v>
      </c>
      <c r="J2575" s="1153">
        <v>1808381</v>
      </c>
      <c r="K2575" s="1152"/>
      <c r="L2575" s="1153"/>
      <c r="M2575" s="1152"/>
      <c r="N2575" s="1152"/>
      <c r="O2575" s="732">
        <f t="shared" si="325"/>
        <v>0</v>
      </c>
      <c r="P2575" s="1153"/>
      <c r="Q2575" s="1153"/>
      <c r="R2575" s="733">
        <f t="shared" si="328"/>
        <v>0</v>
      </c>
      <c r="S2575" s="732">
        <f t="shared" si="329"/>
        <v>1808381</v>
      </c>
      <c r="T2575" s="733">
        <f t="shared" si="330"/>
        <v>1808381</v>
      </c>
      <c r="U2575" s="1152"/>
      <c r="V2575" s="1153"/>
      <c r="W2575" s="1152"/>
      <c r="X2575" s="1152"/>
      <c r="Y2575" s="732">
        <f t="shared" si="326"/>
        <v>0</v>
      </c>
      <c r="Z2575" s="1153"/>
      <c r="AA2575" s="1153"/>
      <c r="AB2575" s="733">
        <f t="shared" si="327"/>
        <v>0</v>
      </c>
      <c r="AC2575" s="1152"/>
      <c r="AD2575" s="1153"/>
      <c r="AE2575" s="1152"/>
      <c r="AF2575" s="1152"/>
      <c r="AG2575" s="1153"/>
      <c r="AH2575" s="1153"/>
      <c r="AI2575" s="732">
        <f t="shared" si="331"/>
        <v>1808381</v>
      </c>
      <c r="AJ2575" s="733">
        <f t="shared" si="332"/>
        <v>1808381</v>
      </c>
    </row>
    <row r="2576" spans="1:36">
      <c r="A2576" s="1020" t="s">
        <v>751</v>
      </c>
      <c r="B2576" s="1021" t="s">
        <v>99</v>
      </c>
      <c r="C2576" s="1028" t="s">
        <v>1070</v>
      </c>
      <c r="D2576" s="1027"/>
      <c r="E2576" s="1128">
        <v>237525</v>
      </c>
      <c r="F2576" s="1025">
        <v>3</v>
      </c>
      <c r="G2576" s="1152"/>
      <c r="H2576" s="1153"/>
      <c r="I2576" s="1152">
        <v>564037</v>
      </c>
      <c r="J2576" s="1153">
        <v>564037</v>
      </c>
      <c r="K2576" s="1152"/>
      <c r="L2576" s="1153"/>
      <c r="M2576" s="1152"/>
      <c r="N2576" s="1152"/>
      <c r="O2576" s="732">
        <f t="shared" si="325"/>
        <v>0</v>
      </c>
      <c r="P2576" s="1153"/>
      <c r="Q2576" s="1153"/>
      <c r="R2576" s="733">
        <f t="shared" si="328"/>
        <v>0</v>
      </c>
      <c r="S2576" s="732">
        <f t="shared" si="329"/>
        <v>564037</v>
      </c>
      <c r="T2576" s="733">
        <f t="shared" si="330"/>
        <v>564037</v>
      </c>
      <c r="U2576" s="1152"/>
      <c r="V2576" s="1153"/>
      <c r="W2576" s="1152"/>
      <c r="X2576" s="1152"/>
      <c r="Y2576" s="732">
        <f t="shared" si="326"/>
        <v>0</v>
      </c>
      <c r="Z2576" s="1153"/>
      <c r="AA2576" s="1153"/>
      <c r="AB2576" s="733">
        <f t="shared" si="327"/>
        <v>0</v>
      </c>
      <c r="AC2576" s="1152"/>
      <c r="AD2576" s="1153"/>
      <c r="AE2576" s="1152"/>
      <c r="AF2576" s="1152"/>
      <c r="AG2576" s="1153"/>
      <c r="AH2576" s="1153"/>
      <c r="AI2576" s="732">
        <f t="shared" si="331"/>
        <v>564037</v>
      </c>
      <c r="AJ2576" s="733">
        <f t="shared" si="332"/>
        <v>564037</v>
      </c>
    </row>
    <row r="2577" spans="1:36">
      <c r="A2577" s="1020" t="s">
        <v>751</v>
      </c>
      <c r="B2577" s="1021" t="s">
        <v>64</v>
      </c>
      <c r="C2577" s="1028" t="s">
        <v>334</v>
      </c>
      <c r="D2577" s="1027"/>
      <c r="E2577" s="1128">
        <v>237525</v>
      </c>
      <c r="F2577" s="1025">
        <v>3</v>
      </c>
      <c r="G2577" s="1152"/>
      <c r="H2577" s="1153"/>
      <c r="I2577" s="1152"/>
      <c r="J2577" s="1153"/>
      <c r="K2577" s="1152"/>
      <c r="L2577" s="1153"/>
      <c r="M2577" s="1152"/>
      <c r="N2577" s="1152"/>
      <c r="O2577" s="732">
        <f t="shared" si="325"/>
        <v>0</v>
      </c>
      <c r="P2577" s="1153"/>
      <c r="Q2577" s="1153"/>
      <c r="R2577" s="733">
        <f t="shared" si="328"/>
        <v>0</v>
      </c>
      <c r="S2577" s="732">
        <f t="shared" si="329"/>
        <v>0</v>
      </c>
      <c r="T2577" s="733">
        <f t="shared" si="330"/>
        <v>0</v>
      </c>
      <c r="U2577" s="1152"/>
      <c r="V2577" s="1153"/>
      <c r="W2577" s="1152"/>
      <c r="X2577" s="1152"/>
      <c r="Y2577" s="732">
        <f t="shared" si="326"/>
        <v>0</v>
      </c>
      <c r="Z2577" s="1153"/>
      <c r="AA2577" s="1153"/>
      <c r="AB2577" s="733">
        <f t="shared" si="327"/>
        <v>0</v>
      </c>
      <c r="AC2577" s="1152">
        <v>17841562</v>
      </c>
      <c r="AD2577" s="1153">
        <v>17917175</v>
      </c>
      <c r="AE2577" s="1152">
        <v>9803250</v>
      </c>
      <c r="AF2577" s="1152" t="s">
        <v>421</v>
      </c>
      <c r="AG2577" s="1153">
        <v>9803250</v>
      </c>
      <c r="AH2577" s="1153"/>
      <c r="AI2577" s="732">
        <f t="shared" si="331"/>
        <v>27644812</v>
      </c>
      <c r="AJ2577" s="733">
        <f t="shared" si="332"/>
        <v>27720425</v>
      </c>
    </row>
    <row r="2578" spans="1:36">
      <c r="A2578" s="1020" t="s">
        <v>751</v>
      </c>
      <c r="B2578" s="1021" t="s">
        <v>64</v>
      </c>
      <c r="C2578" s="1026" t="s">
        <v>1365</v>
      </c>
      <c r="D2578" s="1027"/>
      <c r="E2578" s="1128">
        <v>237525</v>
      </c>
      <c r="F2578" s="1025">
        <v>3</v>
      </c>
      <c r="G2578" s="1152"/>
      <c r="H2578" s="1153"/>
      <c r="I2578" s="1152"/>
      <c r="J2578" s="1153"/>
      <c r="K2578" s="1152"/>
      <c r="L2578" s="1153"/>
      <c r="M2578" s="1152"/>
      <c r="N2578" s="1152"/>
      <c r="O2578" s="732">
        <f t="shared" si="325"/>
        <v>0</v>
      </c>
      <c r="P2578" s="1153"/>
      <c r="Q2578" s="1153"/>
      <c r="R2578" s="733">
        <f t="shared" si="328"/>
        <v>0</v>
      </c>
      <c r="S2578" s="732">
        <f t="shared" si="329"/>
        <v>0</v>
      </c>
      <c r="T2578" s="733">
        <f t="shared" si="330"/>
        <v>0</v>
      </c>
      <c r="U2578" s="1152"/>
      <c r="V2578" s="1153"/>
      <c r="W2578" s="1152"/>
      <c r="X2578" s="1152"/>
      <c r="Y2578" s="732">
        <f t="shared" si="326"/>
        <v>0</v>
      </c>
      <c r="Z2578" s="1153"/>
      <c r="AA2578" s="1153"/>
      <c r="AB2578" s="733">
        <f t="shared" si="327"/>
        <v>0</v>
      </c>
      <c r="AC2578" s="1152"/>
      <c r="AD2578" s="1153"/>
      <c r="AE2578" s="1152"/>
      <c r="AF2578" s="1152"/>
      <c r="AG2578" s="1153"/>
      <c r="AH2578" s="1153"/>
      <c r="AI2578" s="732">
        <f t="shared" si="331"/>
        <v>0</v>
      </c>
      <c r="AJ2578" s="733">
        <f t="shared" si="332"/>
        <v>0</v>
      </c>
    </row>
    <row r="2579" spans="1:36">
      <c r="A2579" s="1020" t="s">
        <v>751</v>
      </c>
      <c r="B2579" s="1021" t="s">
        <v>64</v>
      </c>
      <c r="C2579" s="1026" t="s">
        <v>1366</v>
      </c>
      <c r="D2579" s="1027"/>
      <c r="E2579" s="1128">
        <v>237525</v>
      </c>
      <c r="F2579" s="1025">
        <v>3</v>
      </c>
      <c r="G2579" s="1152"/>
      <c r="H2579" s="1153"/>
      <c r="I2579" s="1152"/>
      <c r="J2579" s="1153"/>
      <c r="K2579" s="1152"/>
      <c r="L2579" s="1153"/>
      <c r="M2579" s="1152"/>
      <c r="N2579" s="1152"/>
      <c r="O2579" s="732">
        <f t="shared" si="325"/>
        <v>0</v>
      </c>
      <c r="P2579" s="1153"/>
      <c r="Q2579" s="1153"/>
      <c r="R2579" s="733">
        <f t="shared" si="328"/>
        <v>0</v>
      </c>
      <c r="S2579" s="732">
        <f t="shared" si="329"/>
        <v>0</v>
      </c>
      <c r="T2579" s="733">
        <f t="shared" si="330"/>
        <v>0</v>
      </c>
      <c r="U2579" s="1152"/>
      <c r="V2579" s="1153"/>
      <c r="W2579" s="1152"/>
      <c r="X2579" s="1152"/>
      <c r="Y2579" s="732">
        <f t="shared" si="326"/>
        <v>0</v>
      </c>
      <c r="Z2579" s="1153"/>
      <c r="AA2579" s="1153"/>
      <c r="AB2579" s="733">
        <f t="shared" si="327"/>
        <v>0</v>
      </c>
      <c r="AC2579" s="1152"/>
      <c r="AD2579" s="1153"/>
      <c r="AE2579" s="1152"/>
      <c r="AF2579" s="1152"/>
      <c r="AG2579" s="1153"/>
      <c r="AH2579" s="1153"/>
      <c r="AI2579" s="732">
        <f t="shared" si="331"/>
        <v>0</v>
      </c>
      <c r="AJ2579" s="733">
        <f t="shared" si="332"/>
        <v>0</v>
      </c>
    </row>
    <row r="2580" spans="1:36">
      <c r="A2580" s="1020" t="s">
        <v>751</v>
      </c>
      <c r="B2580" s="1021" t="s">
        <v>64</v>
      </c>
      <c r="C2580" s="1026" t="s">
        <v>1367</v>
      </c>
      <c r="D2580" s="1027"/>
      <c r="E2580" s="1128">
        <v>237525</v>
      </c>
      <c r="F2580" s="1025">
        <v>3</v>
      </c>
      <c r="G2580" s="1152"/>
      <c r="H2580" s="1153"/>
      <c r="I2580" s="1152"/>
      <c r="J2580" s="1153"/>
      <c r="K2580" s="1152"/>
      <c r="L2580" s="1153"/>
      <c r="M2580" s="1152"/>
      <c r="N2580" s="1152"/>
      <c r="O2580" s="732">
        <f t="shared" si="325"/>
        <v>0</v>
      </c>
      <c r="P2580" s="1153"/>
      <c r="Q2580" s="1153"/>
      <c r="R2580" s="733">
        <f t="shared" si="328"/>
        <v>0</v>
      </c>
      <c r="S2580" s="732">
        <f t="shared" si="329"/>
        <v>0</v>
      </c>
      <c r="T2580" s="733">
        <f t="shared" si="330"/>
        <v>0</v>
      </c>
      <c r="U2580" s="1152"/>
      <c r="V2580" s="1153"/>
      <c r="W2580" s="1152"/>
      <c r="X2580" s="1152"/>
      <c r="Y2580" s="732">
        <f t="shared" si="326"/>
        <v>0</v>
      </c>
      <c r="Z2580" s="1153"/>
      <c r="AA2580" s="1153"/>
      <c r="AB2580" s="733">
        <f t="shared" si="327"/>
        <v>0</v>
      </c>
      <c r="AC2580" s="1152">
        <v>157096</v>
      </c>
      <c r="AD2580" s="1153">
        <v>157096</v>
      </c>
      <c r="AE2580" s="1152"/>
      <c r="AF2580" s="1152"/>
      <c r="AG2580" s="1153"/>
      <c r="AH2580" s="1153"/>
      <c r="AI2580" s="732">
        <f t="shared" si="331"/>
        <v>157096</v>
      </c>
      <c r="AJ2580" s="733">
        <f t="shared" si="332"/>
        <v>157096</v>
      </c>
    </row>
    <row r="2581" spans="1:36">
      <c r="A2581" s="1020" t="s">
        <v>751</v>
      </c>
      <c r="B2581" s="1021" t="s">
        <v>78</v>
      </c>
      <c r="C2581" s="1026" t="s">
        <v>1368</v>
      </c>
      <c r="D2581" s="1027"/>
      <c r="E2581" s="1128">
        <v>237525</v>
      </c>
      <c r="F2581" s="1025">
        <v>3</v>
      </c>
      <c r="G2581" s="1152"/>
      <c r="H2581" s="1153"/>
      <c r="I2581" s="1152"/>
      <c r="J2581" s="1153"/>
      <c r="K2581" s="1152"/>
      <c r="L2581" s="1153"/>
      <c r="M2581" s="1152"/>
      <c r="N2581" s="1152"/>
      <c r="O2581" s="732">
        <f t="shared" si="325"/>
        <v>0</v>
      </c>
      <c r="P2581" s="1153"/>
      <c r="Q2581" s="1153"/>
      <c r="R2581" s="733">
        <f t="shared" si="328"/>
        <v>0</v>
      </c>
      <c r="S2581" s="732">
        <f t="shared" si="329"/>
        <v>0</v>
      </c>
      <c r="T2581" s="733">
        <f t="shared" si="330"/>
        <v>0</v>
      </c>
      <c r="U2581" s="1152"/>
      <c r="V2581" s="1153"/>
      <c r="W2581" s="1152"/>
      <c r="X2581" s="1152"/>
      <c r="Y2581" s="732">
        <f t="shared" si="326"/>
        <v>0</v>
      </c>
      <c r="Z2581" s="1153"/>
      <c r="AA2581" s="1153"/>
      <c r="AB2581" s="733">
        <f t="shared" si="327"/>
        <v>0</v>
      </c>
      <c r="AC2581" s="1152">
        <v>227415</v>
      </c>
      <c r="AD2581" s="1153">
        <v>227415</v>
      </c>
      <c r="AE2581" s="1152"/>
      <c r="AF2581" s="1152"/>
      <c r="AG2581" s="1153"/>
      <c r="AH2581" s="1153"/>
      <c r="AI2581" s="732">
        <f t="shared" si="331"/>
        <v>227415</v>
      </c>
      <c r="AJ2581" s="733">
        <f t="shared" si="332"/>
        <v>227415</v>
      </c>
    </row>
    <row r="2582" spans="1:36">
      <c r="A2582" s="1020" t="s">
        <v>751</v>
      </c>
      <c r="B2582" s="1021" t="s">
        <v>99</v>
      </c>
      <c r="C2582" s="1026" t="s">
        <v>1353</v>
      </c>
      <c r="D2582" s="1027"/>
      <c r="E2582" s="1128">
        <v>237525</v>
      </c>
      <c r="F2582" s="1025">
        <v>3</v>
      </c>
      <c r="G2582" s="1152"/>
      <c r="H2582" s="1153"/>
      <c r="I2582" s="1152"/>
      <c r="J2582" s="1153"/>
      <c r="K2582" s="1152"/>
      <c r="L2582" s="1153"/>
      <c r="M2582" s="1152"/>
      <c r="N2582" s="1152"/>
      <c r="O2582" s="732">
        <f t="shared" si="325"/>
        <v>0</v>
      </c>
      <c r="P2582" s="1153"/>
      <c r="Q2582" s="1153"/>
      <c r="R2582" s="733">
        <f t="shared" si="328"/>
        <v>0</v>
      </c>
      <c r="S2582" s="732">
        <f t="shared" si="329"/>
        <v>0</v>
      </c>
      <c r="T2582" s="733">
        <f t="shared" si="330"/>
        <v>0</v>
      </c>
      <c r="U2582" s="1152"/>
      <c r="V2582" s="1153"/>
      <c r="W2582" s="1152"/>
      <c r="X2582" s="1152"/>
      <c r="Y2582" s="732">
        <f t="shared" si="326"/>
        <v>0</v>
      </c>
      <c r="Z2582" s="1153"/>
      <c r="AA2582" s="1153"/>
      <c r="AB2582" s="733">
        <f t="shared" si="327"/>
        <v>0</v>
      </c>
      <c r="AC2582" s="1152">
        <v>872612</v>
      </c>
      <c r="AD2582" s="1153">
        <v>872612</v>
      </c>
      <c r="AE2582" s="1152"/>
      <c r="AF2582" s="1152"/>
      <c r="AG2582" s="1153"/>
      <c r="AH2582" s="1153"/>
      <c r="AI2582" s="732">
        <f t="shared" si="331"/>
        <v>872612</v>
      </c>
      <c r="AJ2582" s="733">
        <f t="shared" si="332"/>
        <v>872612</v>
      </c>
    </row>
    <row r="2583" spans="1:36" s="13" customFormat="1" ht="15" customHeight="1">
      <c r="A2583" s="1020" t="s">
        <v>751</v>
      </c>
      <c r="B2583" s="1021" t="s">
        <v>62</v>
      </c>
      <c r="C2583" s="1022" t="s">
        <v>1372</v>
      </c>
      <c r="D2583" s="1129"/>
      <c r="E2583" s="1128">
        <v>237330</v>
      </c>
      <c r="F2583" s="1025">
        <v>5</v>
      </c>
      <c r="G2583" s="1152">
        <v>10476415</v>
      </c>
      <c r="H2583" s="1153">
        <v>10476415</v>
      </c>
      <c r="I2583" s="1152"/>
      <c r="J2583" s="1153"/>
      <c r="K2583" s="1152"/>
      <c r="L2583" s="1153"/>
      <c r="M2583" s="1152">
        <v>15030909</v>
      </c>
      <c r="N2583" s="1152"/>
      <c r="O2583" s="732">
        <f t="shared" si="325"/>
        <v>15030909</v>
      </c>
      <c r="P2583" s="1153">
        <v>15030909</v>
      </c>
      <c r="Q2583" s="1153"/>
      <c r="R2583" s="733">
        <f t="shared" si="328"/>
        <v>15030909</v>
      </c>
      <c r="S2583" s="732">
        <f t="shared" si="329"/>
        <v>25507324</v>
      </c>
      <c r="T2583" s="733">
        <f t="shared" si="330"/>
        <v>25507324</v>
      </c>
      <c r="U2583" s="1152"/>
      <c r="V2583" s="1153"/>
      <c r="W2583" s="1152"/>
      <c r="X2583" s="1152"/>
      <c r="Y2583" s="732">
        <f t="shared" si="326"/>
        <v>0</v>
      </c>
      <c r="Z2583" s="1153"/>
      <c r="AA2583" s="1153"/>
      <c r="AB2583" s="733">
        <f t="shared" si="327"/>
        <v>0</v>
      </c>
      <c r="AC2583" s="1152"/>
      <c r="AD2583" s="1153"/>
      <c r="AE2583" s="1152"/>
      <c r="AF2583" s="1152"/>
      <c r="AG2583" s="1153"/>
      <c r="AH2583" s="1153"/>
      <c r="AI2583" s="732">
        <f t="shared" si="331"/>
        <v>25507324</v>
      </c>
      <c r="AJ2583" s="733">
        <f t="shared" si="332"/>
        <v>25507324</v>
      </c>
    </row>
    <row r="2584" spans="1:36">
      <c r="A2584" s="1020" t="s">
        <v>751</v>
      </c>
      <c r="B2584" s="1021" t="s">
        <v>99</v>
      </c>
      <c r="C2584" s="1028" t="s">
        <v>1070</v>
      </c>
      <c r="D2584" s="1027"/>
      <c r="E2584" s="1128">
        <v>237330</v>
      </c>
      <c r="F2584" s="1025">
        <v>5</v>
      </c>
      <c r="G2584" s="1152"/>
      <c r="H2584" s="1153"/>
      <c r="I2584" s="1152"/>
      <c r="J2584" s="1153"/>
      <c r="K2584" s="1152"/>
      <c r="L2584" s="1153"/>
      <c r="M2584" s="1152"/>
      <c r="N2584" s="1152"/>
      <c r="O2584" s="732">
        <f t="shared" si="325"/>
        <v>0</v>
      </c>
      <c r="P2584" s="1153"/>
      <c r="Q2584" s="1153"/>
      <c r="R2584" s="733">
        <f t="shared" si="328"/>
        <v>0</v>
      </c>
      <c r="S2584" s="732">
        <f t="shared" si="329"/>
        <v>0</v>
      </c>
      <c r="T2584" s="733">
        <f t="shared" si="330"/>
        <v>0</v>
      </c>
      <c r="U2584" s="1152"/>
      <c r="V2584" s="1153"/>
      <c r="W2584" s="1152"/>
      <c r="X2584" s="1152"/>
      <c r="Y2584" s="732">
        <f t="shared" si="326"/>
        <v>0</v>
      </c>
      <c r="Z2584" s="1153"/>
      <c r="AA2584" s="1153"/>
      <c r="AB2584" s="733">
        <f t="shared" si="327"/>
        <v>0</v>
      </c>
      <c r="AC2584" s="1152"/>
      <c r="AD2584" s="1153"/>
      <c r="AE2584" s="1152"/>
      <c r="AF2584" s="1152"/>
      <c r="AG2584" s="1153"/>
      <c r="AH2584" s="1153"/>
      <c r="AI2584" s="732">
        <f t="shared" si="331"/>
        <v>0</v>
      </c>
      <c r="AJ2584" s="733">
        <f t="shared" si="332"/>
        <v>0</v>
      </c>
    </row>
    <row r="2585" spans="1:36">
      <c r="A2585" s="1020" t="s">
        <v>751</v>
      </c>
      <c r="B2585" s="1021" t="s">
        <v>62</v>
      </c>
      <c r="C2585" s="1030" t="s">
        <v>1369</v>
      </c>
      <c r="D2585" s="1031"/>
      <c r="E2585" s="1128">
        <v>237367</v>
      </c>
      <c r="F2585" s="1025">
        <v>5</v>
      </c>
      <c r="G2585" s="1152">
        <v>18600341</v>
      </c>
      <c r="H2585" s="1153">
        <v>18600341</v>
      </c>
      <c r="I2585" s="1152"/>
      <c r="J2585" s="1153"/>
      <c r="K2585" s="1152"/>
      <c r="L2585" s="1153"/>
      <c r="M2585" s="1152">
        <v>27301717</v>
      </c>
      <c r="N2585" s="1152">
        <v>826553</v>
      </c>
      <c r="O2585" s="732">
        <f t="shared" si="325"/>
        <v>28128270</v>
      </c>
      <c r="P2585" s="1153">
        <v>27303478</v>
      </c>
      <c r="Q2585" s="1153">
        <v>824792</v>
      </c>
      <c r="R2585" s="733">
        <f t="shared" si="328"/>
        <v>28128270</v>
      </c>
      <c r="S2585" s="732">
        <f t="shared" si="329"/>
        <v>45902058</v>
      </c>
      <c r="T2585" s="733">
        <f t="shared" si="330"/>
        <v>45903819</v>
      </c>
      <c r="U2585" s="1152"/>
      <c r="V2585" s="1153"/>
      <c r="W2585" s="1152"/>
      <c r="X2585" s="1152"/>
      <c r="Y2585" s="732">
        <f t="shared" si="326"/>
        <v>0</v>
      </c>
      <c r="Z2585" s="1153"/>
      <c r="AA2585" s="1153"/>
      <c r="AB2585" s="733">
        <f t="shared" si="327"/>
        <v>0</v>
      </c>
      <c r="AC2585" s="1152"/>
      <c r="AD2585" s="1153"/>
      <c r="AE2585" s="1152"/>
      <c r="AF2585" s="1152"/>
      <c r="AG2585" s="1153"/>
      <c r="AH2585" s="1153"/>
      <c r="AI2585" s="732">
        <f t="shared" si="331"/>
        <v>45902058</v>
      </c>
      <c r="AJ2585" s="733">
        <f t="shared" si="332"/>
        <v>45903819</v>
      </c>
    </row>
    <row r="2586" spans="1:36">
      <c r="A2586" s="1020" t="s">
        <v>751</v>
      </c>
      <c r="B2586" s="1021" t="s">
        <v>62</v>
      </c>
      <c r="C2586" s="1030" t="s">
        <v>1370</v>
      </c>
      <c r="D2586" s="1031"/>
      <c r="E2586" s="1128">
        <v>237792</v>
      </c>
      <c r="F2586" s="1025">
        <v>5</v>
      </c>
      <c r="G2586" s="1152">
        <v>12683829</v>
      </c>
      <c r="H2586" s="1153">
        <v>12683829</v>
      </c>
      <c r="I2586" s="1152"/>
      <c r="J2586" s="1153"/>
      <c r="K2586" s="1152"/>
      <c r="L2586" s="1153"/>
      <c r="M2586" s="1152">
        <v>27067872</v>
      </c>
      <c r="N2586" s="1152"/>
      <c r="O2586" s="732">
        <f t="shared" si="325"/>
        <v>27067872</v>
      </c>
      <c r="P2586" s="1153">
        <v>27067872</v>
      </c>
      <c r="Q2586" s="1153"/>
      <c r="R2586" s="733">
        <f t="shared" si="328"/>
        <v>27067872</v>
      </c>
      <c r="S2586" s="732">
        <f t="shared" si="329"/>
        <v>39751701</v>
      </c>
      <c r="T2586" s="733">
        <f t="shared" si="330"/>
        <v>39751701</v>
      </c>
      <c r="U2586" s="1152"/>
      <c r="V2586" s="1153"/>
      <c r="W2586" s="1152"/>
      <c r="X2586" s="1152"/>
      <c r="Y2586" s="732">
        <f t="shared" si="326"/>
        <v>0</v>
      </c>
      <c r="Z2586" s="1153"/>
      <c r="AA2586" s="1153"/>
      <c r="AB2586" s="733">
        <f t="shared" si="327"/>
        <v>0</v>
      </c>
      <c r="AC2586" s="1152"/>
      <c r="AD2586" s="1153"/>
      <c r="AE2586" s="1152"/>
      <c r="AF2586" s="1152"/>
      <c r="AG2586" s="1153"/>
      <c r="AH2586" s="1153"/>
      <c r="AI2586" s="732">
        <f t="shared" si="331"/>
        <v>39751701</v>
      </c>
      <c r="AJ2586" s="733">
        <f t="shared" si="332"/>
        <v>39751701</v>
      </c>
    </row>
    <row r="2587" spans="1:36">
      <c r="A2587" s="1020" t="s">
        <v>751</v>
      </c>
      <c r="B2587" s="1021" t="s">
        <v>99</v>
      </c>
      <c r="C2587" s="1028" t="s">
        <v>1070</v>
      </c>
      <c r="D2587" s="1027"/>
      <c r="E2587" s="1128">
        <v>237792</v>
      </c>
      <c r="F2587" s="1025">
        <v>5</v>
      </c>
      <c r="G2587" s="1152"/>
      <c r="H2587" s="1153"/>
      <c r="I2587" s="1152"/>
      <c r="J2587" s="1153"/>
      <c r="K2587" s="1152"/>
      <c r="L2587" s="1153"/>
      <c r="M2587" s="1152"/>
      <c r="N2587" s="1152"/>
      <c r="O2587" s="732">
        <f t="shared" si="325"/>
        <v>0</v>
      </c>
      <c r="P2587" s="1153"/>
      <c r="Q2587" s="1153"/>
      <c r="R2587" s="733">
        <f t="shared" si="328"/>
        <v>0</v>
      </c>
      <c r="S2587" s="732">
        <f t="shared" si="329"/>
        <v>0</v>
      </c>
      <c r="T2587" s="733">
        <f t="shared" si="330"/>
        <v>0</v>
      </c>
      <c r="U2587" s="1152"/>
      <c r="V2587" s="1153"/>
      <c r="W2587" s="1152"/>
      <c r="X2587" s="1152"/>
      <c r="Y2587" s="732">
        <f t="shared" si="326"/>
        <v>0</v>
      </c>
      <c r="Z2587" s="1153"/>
      <c r="AA2587" s="1153"/>
      <c r="AB2587" s="733">
        <f t="shared" si="327"/>
        <v>0</v>
      </c>
      <c r="AC2587" s="1152"/>
      <c r="AD2587" s="1153"/>
      <c r="AE2587" s="1152"/>
      <c r="AF2587" s="1152"/>
      <c r="AG2587" s="1153"/>
      <c r="AH2587" s="1153"/>
      <c r="AI2587" s="732">
        <f t="shared" si="331"/>
        <v>0</v>
      </c>
      <c r="AJ2587" s="733">
        <f t="shared" si="332"/>
        <v>0</v>
      </c>
    </row>
    <row r="2588" spans="1:36">
      <c r="A2588" s="1020" t="s">
        <v>751</v>
      </c>
      <c r="B2588" s="1021" t="s">
        <v>62</v>
      </c>
      <c r="C2588" s="1022" t="s">
        <v>1374</v>
      </c>
      <c r="D2588" s="1145" t="s">
        <v>1811</v>
      </c>
      <c r="E2588" s="1128">
        <v>237932</v>
      </c>
      <c r="F2588" s="1025">
        <v>5</v>
      </c>
      <c r="G2588" s="1152">
        <v>9102662</v>
      </c>
      <c r="H2588" s="1153">
        <v>9102662</v>
      </c>
      <c r="I2588" s="1152"/>
      <c r="J2588" s="1153"/>
      <c r="K2588" s="1152"/>
      <c r="L2588" s="1153"/>
      <c r="M2588" s="1152">
        <v>22353120</v>
      </c>
      <c r="N2588" s="1152">
        <v>207872</v>
      </c>
      <c r="O2588" s="732">
        <f t="shared" si="325"/>
        <v>22560992</v>
      </c>
      <c r="P2588" s="1153">
        <v>22805710</v>
      </c>
      <c r="Q2588" s="1153">
        <v>206502</v>
      </c>
      <c r="R2588" s="733">
        <f t="shared" si="328"/>
        <v>23012212</v>
      </c>
      <c r="S2588" s="732">
        <f t="shared" si="329"/>
        <v>31455782</v>
      </c>
      <c r="T2588" s="733">
        <f t="shared" si="330"/>
        <v>31908372</v>
      </c>
      <c r="U2588" s="1152"/>
      <c r="V2588" s="1153"/>
      <c r="W2588" s="1152"/>
      <c r="X2588" s="1152"/>
      <c r="Y2588" s="732">
        <f t="shared" si="326"/>
        <v>0</v>
      </c>
      <c r="Z2588" s="1153"/>
      <c r="AA2588" s="1153"/>
      <c r="AB2588" s="733">
        <f t="shared" si="327"/>
        <v>0</v>
      </c>
      <c r="AC2588" s="1152"/>
      <c r="AD2588" s="1153"/>
      <c r="AE2588" s="1152"/>
      <c r="AF2588" s="1152"/>
      <c r="AG2588" s="1153"/>
      <c r="AH2588" s="1153"/>
      <c r="AI2588" s="732">
        <f t="shared" si="331"/>
        <v>31455782</v>
      </c>
      <c r="AJ2588" s="733">
        <f t="shared" si="332"/>
        <v>31908372</v>
      </c>
    </row>
    <row r="2589" spans="1:36">
      <c r="A2589" s="1020" t="s">
        <v>751</v>
      </c>
      <c r="B2589" s="1021" t="s">
        <v>62</v>
      </c>
      <c r="C2589" s="1021" t="s">
        <v>1371</v>
      </c>
      <c r="D2589" s="1034"/>
      <c r="E2589" s="1128">
        <v>237215</v>
      </c>
      <c r="F2589" s="1025">
        <v>6</v>
      </c>
      <c r="G2589" s="1152">
        <v>6383221</v>
      </c>
      <c r="H2589" s="1153">
        <v>6383221</v>
      </c>
      <c r="I2589" s="1152"/>
      <c r="J2589" s="1153"/>
      <c r="K2589" s="1152"/>
      <c r="L2589" s="1153"/>
      <c r="M2589" s="1152">
        <v>9721168</v>
      </c>
      <c r="N2589" s="1152"/>
      <c r="O2589" s="732">
        <f t="shared" si="325"/>
        <v>9721168</v>
      </c>
      <c r="P2589" s="1153">
        <v>9847543</v>
      </c>
      <c r="Q2589" s="1153"/>
      <c r="R2589" s="733">
        <f t="shared" si="328"/>
        <v>9847543</v>
      </c>
      <c r="S2589" s="732">
        <f t="shared" si="329"/>
        <v>16104389</v>
      </c>
      <c r="T2589" s="733">
        <f t="shared" si="330"/>
        <v>16230764</v>
      </c>
      <c r="U2589" s="1152"/>
      <c r="V2589" s="1153"/>
      <c r="W2589" s="1152"/>
      <c r="X2589" s="1152"/>
      <c r="Y2589" s="732">
        <f t="shared" si="326"/>
        <v>0</v>
      </c>
      <c r="Z2589" s="1153"/>
      <c r="AA2589" s="1153"/>
      <c r="AB2589" s="733">
        <f t="shared" si="327"/>
        <v>0</v>
      </c>
      <c r="AC2589" s="1152"/>
      <c r="AD2589" s="1153"/>
      <c r="AE2589" s="1152"/>
      <c r="AF2589" s="1152"/>
      <c r="AG2589" s="1153"/>
      <c r="AH2589" s="1153"/>
      <c r="AI2589" s="732">
        <f t="shared" si="331"/>
        <v>16104389</v>
      </c>
      <c r="AJ2589" s="733">
        <f t="shared" si="332"/>
        <v>16230764</v>
      </c>
    </row>
    <row r="2590" spans="1:36">
      <c r="A2590" s="1020" t="s">
        <v>751</v>
      </c>
      <c r="B2590" s="1021" t="s">
        <v>62</v>
      </c>
      <c r="C2590" s="1022" t="s">
        <v>1373</v>
      </c>
      <c r="D2590" s="1023"/>
      <c r="E2590" s="1128">
        <v>237385</v>
      </c>
      <c r="F2590" s="1025">
        <v>6</v>
      </c>
      <c r="G2590" s="1152">
        <v>6446942</v>
      </c>
      <c r="H2590" s="1153">
        <v>6446942</v>
      </c>
      <c r="I2590" s="1152"/>
      <c r="J2590" s="1153"/>
      <c r="K2590" s="1152"/>
      <c r="L2590" s="1153"/>
      <c r="M2590" s="1152">
        <v>10538165</v>
      </c>
      <c r="N2590" s="1152">
        <v>85406</v>
      </c>
      <c r="O2590" s="732">
        <f t="shared" si="325"/>
        <v>10623571</v>
      </c>
      <c r="P2590" s="1153">
        <v>11377990</v>
      </c>
      <c r="Q2590" s="1153">
        <v>84843</v>
      </c>
      <c r="R2590" s="733">
        <f t="shared" si="328"/>
        <v>11462833</v>
      </c>
      <c r="S2590" s="732">
        <f t="shared" si="329"/>
        <v>16985107</v>
      </c>
      <c r="T2590" s="733">
        <f t="shared" si="330"/>
        <v>17824932</v>
      </c>
      <c r="U2590" s="1152"/>
      <c r="V2590" s="1153"/>
      <c r="W2590" s="1152"/>
      <c r="X2590" s="1152"/>
      <c r="Y2590" s="732">
        <f t="shared" si="326"/>
        <v>0</v>
      </c>
      <c r="Z2590" s="1153"/>
      <c r="AA2590" s="1153"/>
      <c r="AB2590" s="733">
        <f t="shared" si="327"/>
        <v>0</v>
      </c>
      <c r="AC2590" s="1152"/>
      <c r="AD2590" s="1153"/>
      <c r="AE2590" s="1152"/>
      <c r="AF2590" s="1152"/>
      <c r="AG2590" s="1153"/>
      <c r="AH2590" s="1153"/>
      <c r="AI2590" s="732">
        <f t="shared" si="331"/>
        <v>16985107</v>
      </c>
      <c r="AJ2590" s="733">
        <f t="shared" si="332"/>
        <v>17824932</v>
      </c>
    </row>
    <row r="2591" spans="1:36">
      <c r="A2591" s="1020" t="s">
        <v>751</v>
      </c>
      <c r="B2591" s="1021" t="s">
        <v>99</v>
      </c>
      <c r="C2591" s="1028" t="s">
        <v>1070</v>
      </c>
      <c r="D2591" s="1027"/>
      <c r="E2591" s="1128">
        <v>237385</v>
      </c>
      <c r="F2591" s="1025">
        <v>6</v>
      </c>
      <c r="G2591" s="1152"/>
      <c r="H2591" s="1153"/>
      <c r="I2591" s="1152"/>
      <c r="J2591" s="1153"/>
      <c r="K2591" s="1152"/>
      <c r="L2591" s="1153"/>
      <c r="M2591" s="1152"/>
      <c r="N2591" s="1152"/>
      <c r="O2591" s="732">
        <f t="shared" si="325"/>
        <v>0</v>
      </c>
      <c r="P2591" s="1153"/>
      <c r="Q2591" s="1153"/>
      <c r="R2591" s="733">
        <f t="shared" si="328"/>
        <v>0</v>
      </c>
      <c r="S2591" s="732">
        <f t="shared" si="329"/>
        <v>0</v>
      </c>
      <c r="T2591" s="733">
        <f t="shared" si="330"/>
        <v>0</v>
      </c>
      <c r="U2591" s="1152"/>
      <c r="V2591" s="1153"/>
      <c r="W2591" s="1152"/>
      <c r="X2591" s="1152"/>
      <c r="Y2591" s="732">
        <f t="shared" si="326"/>
        <v>0</v>
      </c>
      <c r="Z2591" s="1153"/>
      <c r="AA2591" s="1153"/>
      <c r="AB2591" s="733">
        <f t="shared" si="327"/>
        <v>0</v>
      </c>
      <c r="AC2591" s="1152"/>
      <c r="AD2591" s="1153"/>
      <c r="AE2591" s="1152"/>
      <c r="AF2591" s="1152"/>
      <c r="AG2591" s="1153"/>
      <c r="AH2591" s="1153"/>
      <c r="AI2591" s="732">
        <f t="shared" si="331"/>
        <v>0</v>
      </c>
      <c r="AJ2591" s="733">
        <f t="shared" si="332"/>
        <v>0</v>
      </c>
    </row>
    <row r="2592" spans="1:36">
      <c r="A2592" s="1020" t="s">
        <v>751</v>
      </c>
      <c r="B2592" s="1021" t="s">
        <v>62</v>
      </c>
      <c r="C2592" s="1022" t="s">
        <v>1375</v>
      </c>
      <c r="D2592" s="1145" t="s">
        <v>1811</v>
      </c>
      <c r="E2592" s="1128">
        <v>237899</v>
      </c>
      <c r="F2592" s="1025">
        <v>6</v>
      </c>
      <c r="G2592" s="1152">
        <v>14292704</v>
      </c>
      <c r="H2592" s="1153">
        <v>14292704</v>
      </c>
      <c r="I2592" s="1152"/>
      <c r="J2592" s="1153"/>
      <c r="K2592" s="1152"/>
      <c r="L2592" s="1153"/>
      <c r="M2592" s="1152">
        <v>18185712</v>
      </c>
      <c r="N2592" s="1152"/>
      <c r="O2592" s="732">
        <f t="shared" si="325"/>
        <v>18185712</v>
      </c>
      <c r="P2592" s="1153">
        <v>18658541</v>
      </c>
      <c r="Q2592" s="1153"/>
      <c r="R2592" s="733">
        <f t="shared" si="328"/>
        <v>18658541</v>
      </c>
      <c r="S2592" s="732">
        <f t="shared" si="329"/>
        <v>32478416</v>
      </c>
      <c r="T2592" s="733">
        <f t="shared" si="330"/>
        <v>32951245</v>
      </c>
      <c r="U2592" s="1152"/>
      <c r="V2592" s="1153"/>
      <c r="W2592" s="1152"/>
      <c r="X2592" s="1152"/>
      <c r="Y2592" s="732">
        <f t="shared" si="326"/>
        <v>0</v>
      </c>
      <c r="Z2592" s="1153"/>
      <c r="AA2592" s="1153"/>
      <c r="AB2592" s="733">
        <f t="shared" si="327"/>
        <v>0</v>
      </c>
      <c r="AC2592" s="1152"/>
      <c r="AD2592" s="1153"/>
      <c r="AE2592" s="1152"/>
      <c r="AF2592" s="1152"/>
      <c r="AG2592" s="1153"/>
      <c r="AH2592" s="1153"/>
      <c r="AI2592" s="732">
        <f t="shared" si="331"/>
        <v>32478416</v>
      </c>
      <c r="AJ2592" s="733">
        <f t="shared" si="332"/>
        <v>32951245</v>
      </c>
    </row>
    <row r="2593" spans="1:36">
      <c r="A2593" s="1020" t="s">
        <v>751</v>
      </c>
      <c r="B2593" s="1021" t="s">
        <v>62</v>
      </c>
      <c r="C2593" s="1130" t="s">
        <v>1377</v>
      </c>
      <c r="D2593" s="1131"/>
      <c r="E2593" s="1128">
        <v>237950</v>
      </c>
      <c r="F2593" s="1025">
        <v>6</v>
      </c>
      <c r="G2593" s="1152">
        <v>8020938</v>
      </c>
      <c r="H2593" s="1153">
        <v>8020938</v>
      </c>
      <c r="I2593" s="1152"/>
      <c r="J2593" s="1153"/>
      <c r="K2593" s="1152"/>
      <c r="L2593" s="1153"/>
      <c r="M2593" s="1152">
        <v>11992060</v>
      </c>
      <c r="N2593" s="1152"/>
      <c r="O2593" s="732">
        <f t="shared" si="325"/>
        <v>11992060</v>
      </c>
      <c r="P2593" s="1153">
        <v>11992060</v>
      </c>
      <c r="Q2593" s="1153"/>
      <c r="R2593" s="733">
        <f t="shared" si="328"/>
        <v>11992060</v>
      </c>
      <c r="S2593" s="732">
        <f t="shared" si="329"/>
        <v>20012998</v>
      </c>
      <c r="T2593" s="733">
        <f t="shared" si="330"/>
        <v>20012998</v>
      </c>
      <c r="U2593" s="1152"/>
      <c r="V2593" s="1153"/>
      <c r="W2593" s="1152"/>
      <c r="X2593" s="1152"/>
      <c r="Y2593" s="732">
        <f t="shared" si="326"/>
        <v>0</v>
      </c>
      <c r="Z2593" s="1153"/>
      <c r="AA2593" s="1153"/>
      <c r="AB2593" s="733">
        <f t="shared" si="327"/>
        <v>0</v>
      </c>
      <c r="AC2593" s="1152"/>
      <c r="AD2593" s="1153"/>
      <c r="AE2593" s="1152"/>
      <c r="AF2593" s="1152"/>
      <c r="AG2593" s="1153"/>
      <c r="AH2593" s="1153"/>
      <c r="AI2593" s="732">
        <f t="shared" si="331"/>
        <v>20012998</v>
      </c>
      <c r="AJ2593" s="733">
        <f t="shared" si="332"/>
        <v>20012998</v>
      </c>
    </row>
    <row r="2594" spans="1:36">
      <c r="A2594" s="1020" t="s">
        <v>751</v>
      </c>
      <c r="B2594" s="1021" t="s">
        <v>99</v>
      </c>
      <c r="C2594" s="1132" t="s">
        <v>1378</v>
      </c>
      <c r="D2594" s="1133"/>
      <c r="E2594" s="1128">
        <v>237950</v>
      </c>
      <c r="F2594" s="1025">
        <v>6</v>
      </c>
      <c r="G2594" s="1152"/>
      <c r="H2594" s="1153"/>
      <c r="I2594" s="1152"/>
      <c r="J2594" s="1153"/>
      <c r="K2594" s="1152"/>
      <c r="L2594" s="1153"/>
      <c r="M2594" s="1152"/>
      <c r="N2594" s="1152"/>
      <c r="O2594" s="732">
        <f t="shared" si="325"/>
        <v>0</v>
      </c>
      <c r="P2594" s="1153"/>
      <c r="Q2594" s="1153"/>
      <c r="R2594" s="733">
        <f t="shared" si="328"/>
        <v>0</v>
      </c>
      <c r="S2594" s="732">
        <f t="shared" si="329"/>
        <v>0</v>
      </c>
      <c r="T2594" s="733">
        <f t="shared" si="330"/>
        <v>0</v>
      </c>
      <c r="U2594" s="1152"/>
      <c r="V2594" s="1153"/>
      <c r="W2594" s="1152"/>
      <c r="X2594" s="1152"/>
      <c r="Y2594" s="732">
        <f t="shared" si="326"/>
        <v>0</v>
      </c>
      <c r="Z2594" s="1153"/>
      <c r="AA2594" s="1153"/>
      <c r="AB2594" s="733">
        <f t="shared" si="327"/>
        <v>0</v>
      </c>
      <c r="AC2594" s="1152"/>
      <c r="AD2594" s="1153"/>
      <c r="AE2594" s="1152"/>
      <c r="AF2594" s="1152"/>
      <c r="AG2594" s="1153"/>
      <c r="AH2594" s="1153"/>
      <c r="AI2594" s="732">
        <f t="shared" si="331"/>
        <v>0</v>
      </c>
      <c r="AJ2594" s="733">
        <f t="shared" si="332"/>
        <v>0</v>
      </c>
    </row>
    <row r="2595" spans="1:36">
      <c r="A2595" s="1020" t="s">
        <v>751</v>
      </c>
      <c r="B2595" s="1021" t="s">
        <v>62</v>
      </c>
      <c r="C2595" s="1130" t="s">
        <v>1379</v>
      </c>
      <c r="D2595" s="1131"/>
      <c r="E2595" s="1128">
        <v>237701</v>
      </c>
      <c r="F2595" s="1025">
        <v>7</v>
      </c>
      <c r="G2595" s="1152">
        <v>4512711</v>
      </c>
      <c r="H2595" s="1153">
        <v>4512711</v>
      </c>
      <c r="I2595" s="1152"/>
      <c r="J2595" s="1153"/>
      <c r="K2595" s="1152"/>
      <c r="L2595" s="1153"/>
      <c r="M2595" s="1152">
        <v>5818791</v>
      </c>
      <c r="N2595" s="1152"/>
      <c r="O2595" s="732">
        <f t="shared" si="325"/>
        <v>5818791</v>
      </c>
      <c r="P2595" s="1153">
        <v>5818791</v>
      </c>
      <c r="Q2595" s="1153"/>
      <c r="R2595" s="733">
        <f t="shared" si="328"/>
        <v>5818791</v>
      </c>
      <c r="S2595" s="732">
        <f t="shared" si="329"/>
        <v>10331502</v>
      </c>
      <c r="T2595" s="733">
        <f t="shared" si="330"/>
        <v>10331502</v>
      </c>
      <c r="U2595" s="1152"/>
      <c r="V2595" s="1153"/>
      <c r="W2595" s="1152"/>
      <c r="X2595" s="1152"/>
      <c r="Y2595" s="732">
        <f t="shared" si="326"/>
        <v>0</v>
      </c>
      <c r="Z2595" s="1153"/>
      <c r="AA2595" s="1153"/>
      <c r="AB2595" s="733">
        <f t="shared" si="327"/>
        <v>0</v>
      </c>
      <c r="AC2595" s="1152"/>
      <c r="AD2595" s="1153"/>
      <c r="AE2595" s="1152"/>
      <c r="AF2595" s="1152"/>
      <c r="AG2595" s="1153"/>
      <c r="AH2595" s="1153"/>
      <c r="AI2595" s="732">
        <f t="shared" si="331"/>
        <v>10331502</v>
      </c>
      <c r="AJ2595" s="733">
        <f t="shared" si="332"/>
        <v>10331502</v>
      </c>
    </row>
    <row r="2596" spans="1:36">
      <c r="A2596" s="1020" t="s">
        <v>751</v>
      </c>
      <c r="B2596" s="1021" t="s">
        <v>99</v>
      </c>
      <c r="C2596" s="1028" t="s">
        <v>1070</v>
      </c>
      <c r="D2596" s="1027"/>
      <c r="E2596" s="1128">
        <v>237701</v>
      </c>
      <c r="F2596" s="1025">
        <v>7</v>
      </c>
      <c r="G2596" s="1152"/>
      <c r="H2596" s="1153"/>
      <c r="I2596" s="1152"/>
      <c r="J2596" s="1153"/>
      <c r="K2596" s="1152"/>
      <c r="L2596" s="1153"/>
      <c r="M2596" s="1152"/>
      <c r="N2596" s="1152"/>
      <c r="O2596" s="732">
        <f t="shared" si="325"/>
        <v>0</v>
      </c>
      <c r="P2596" s="1153"/>
      <c r="Q2596" s="1153"/>
      <c r="R2596" s="733">
        <f t="shared" si="328"/>
        <v>0</v>
      </c>
      <c r="S2596" s="732">
        <f t="shared" si="329"/>
        <v>0</v>
      </c>
      <c r="T2596" s="733">
        <f t="shared" si="330"/>
        <v>0</v>
      </c>
      <c r="U2596" s="1152"/>
      <c r="V2596" s="1153"/>
      <c r="W2596" s="1152"/>
      <c r="X2596" s="1152"/>
      <c r="Y2596" s="732">
        <f t="shared" si="326"/>
        <v>0</v>
      </c>
      <c r="Z2596" s="1153"/>
      <c r="AA2596" s="1153"/>
      <c r="AB2596" s="733">
        <f t="shared" si="327"/>
        <v>0</v>
      </c>
      <c r="AC2596" s="1152"/>
      <c r="AD2596" s="1153"/>
      <c r="AE2596" s="1152"/>
      <c r="AF2596" s="1152"/>
      <c r="AG2596" s="1153"/>
      <c r="AH2596" s="1153"/>
      <c r="AI2596" s="732">
        <f t="shared" si="331"/>
        <v>0</v>
      </c>
      <c r="AJ2596" s="733">
        <f t="shared" si="332"/>
        <v>0</v>
      </c>
    </row>
    <row r="2597" spans="1:36">
      <c r="A2597" s="1020" t="s">
        <v>751</v>
      </c>
      <c r="B2597" s="1021" t="s">
        <v>62</v>
      </c>
      <c r="C2597" s="1130" t="s">
        <v>1376</v>
      </c>
      <c r="D2597" s="1145" t="s">
        <v>1799</v>
      </c>
      <c r="E2597" s="1125">
        <v>237686</v>
      </c>
      <c r="F2597" s="1025">
        <v>7</v>
      </c>
      <c r="G2597" s="1152">
        <v>10319284</v>
      </c>
      <c r="H2597" s="1153">
        <v>10319284</v>
      </c>
      <c r="I2597" s="1152"/>
      <c r="J2597" s="1153"/>
      <c r="K2597" s="1152"/>
      <c r="L2597" s="1153"/>
      <c r="M2597" s="1152">
        <v>9117000</v>
      </c>
      <c r="N2597" s="1152"/>
      <c r="O2597" s="732">
        <f t="shared" si="325"/>
        <v>9117000</v>
      </c>
      <c r="P2597" s="1153">
        <v>9117000</v>
      </c>
      <c r="Q2597" s="1153"/>
      <c r="R2597" s="733">
        <f t="shared" si="328"/>
        <v>9117000</v>
      </c>
      <c r="S2597" s="732">
        <f t="shared" si="329"/>
        <v>19436284</v>
      </c>
      <c r="T2597" s="733">
        <f t="shared" si="330"/>
        <v>19436284</v>
      </c>
      <c r="U2597" s="1152"/>
      <c r="V2597" s="1153"/>
      <c r="W2597" s="1152"/>
      <c r="X2597" s="1152"/>
      <c r="Y2597" s="732">
        <f t="shared" si="326"/>
        <v>0</v>
      </c>
      <c r="Z2597" s="1153"/>
      <c r="AA2597" s="1153"/>
      <c r="AB2597" s="733">
        <f t="shared" si="327"/>
        <v>0</v>
      </c>
      <c r="AC2597" s="1152"/>
      <c r="AD2597" s="1153"/>
      <c r="AE2597" s="1152"/>
      <c r="AF2597" s="1152"/>
      <c r="AG2597" s="1153"/>
      <c r="AH2597" s="1153"/>
      <c r="AI2597" s="732">
        <f t="shared" si="331"/>
        <v>19436284</v>
      </c>
      <c r="AJ2597" s="733">
        <f t="shared" si="332"/>
        <v>19436284</v>
      </c>
    </row>
    <row r="2598" spans="1:36">
      <c r="A2598" s="1020" t="s">
        <v>751</v>
      </c>
      <c r="B2598" s="1021" t="s">
        <v>99</v>
      </c>
      <c r="C2598" s="1028" t="s">
        <v>1070</v>
      </c>
      <c r="D2598" s="1031"/>
      <c r="E2598" s="1128">
        <v>237686</v>
      </c>
      <c r="F2598" s="1025">
        <v>7</v>
      </c>
      <c r="G2598" s="1152"/>
      <c r="H2598" s="1153"/>
      <c r="I2598" s="1152"/>
      <c r="J2598" s="1153"/>
      <c r="K2598" s="1152"/>
      <c r="L2598" s="1153"/>
      <c r="M2598" s="1152"/>
      <c r="N2598" s="1152"/>
      <c r="O2598" s="732">
        <f t="shared" si="325"/>
        <v>0</v>
      </c>
      <c r="P2598" s="1153"/>
      <c r="Q2598" s="1153"/>
      <c r="R2598" s="733">
        <f t="shared" si="328"/>
        <v>0</v>
      </c>
      <c r="S2598" s="732">
        <f t="shared" si="329"/>
        <v>0</v>
      </c>
      <c r="T2598" s="733">
        <f t="shared" si="330"/>
        <v>0</v>
      </c>
      <c r="U2598" s="1152"/>
      <c r="V2598" s="1153"/>
      <c r="W2598" s="1152"/>
      <c r="X2598" s="1152"/>
      <c r="Y2598" s="732">
        <f t="shared" si="326"/>
        <v>0</v>
      </c>
      <c r="Z2598" s="1153"/>
      <c r="AA2598" s="1153"/>
      <c r="AB2598" s="733">
        <f t="shared" si="327"/>
        <v>0</v>
      </c>
      <c r="AC2598" s="1152"/>
      <c r="AD2598" s="1153"/>
      <c r="AE2598" s="1152"/>
      <c r="AF2598" s="1152"/>
      <c r="AG2598" s="1153"/>
      <c r="AH2598" s="1153"/>
      <c r="AI2598" s="732">
        <f t="shared" si="331"/>
        <v>0</v>
      </c>
      <c r="AJ2598" s="733">
        <f t="shared" si="332"/>
        <v>0</v>
      </c>
    </row>
    <row r="2599" spans="1:36" s="13" customFormat="1" ht="15" customHeight="1">
      <c r="A2599" s="1020" t="s">
        <v>751</v>
      </c>
      <c r="B2599" s="1021" t="s">
        <v>62</v>
      </c>
      <c r="C2599" s="1030" t="s">
        <v>1380</v>
      </c>
      <c r="D2599" s="1129"/>
      <c r="E2599" s="1128">
        <v>447582</v>
      </c>
      <c r="F2599" s="1025">
        <v>10</v>
      </c>
      <c r="G2599" s="1152">
        <v>5864886</v>
      </c>
      <c r="H2599" s="1153">
        <v>5864886</v>
      </c>
      <c r="I2599" s="1152"/>
      <c r="J2599" s="1153"/>
      <c r="K2599" s="1152"/>
      <c r="L2599" s="1153"/>
      <c r="M2599" s="1152">
        <v>5416717</v>
      </c>
      <c r="N2599" s="1152"/>
      <c r="O2599" s="732">
        <f t="shared" si="325"/>
        <v>5416717</v>
      </c>
      <c r="P2599" s="1153">
        <v>5416717</v>
      </c>
      <c r="Q2599" s="1153"/>
      <c r="R2599" s="733">
        <f t="shared" si="328"/>
        <v>5416717</v>
      </c>
      <c r="S2599" s="732">
        <f t="shared" si="329"/>
        <v>11281603</v>
      </c>
      <c r="T2599" s="733">
        <f t="shared" si="330"/>
        <v>11281603</v>
      </c>
      <c r="U2599" s="1152"/>
      <c r="V2599" s="1153"/>
      <c r="W2599" s="1152"/>
      <c r="X2599" s="1152"/>
      <c r="Y2599" s="732">
        <f t="shared" si="326"/>
        <v>0</v>
      </c>
      <c r="Z2599" s="1153"/>
      <c r="AA2599" s="1153"/>
      <c r="AB2599" s="733">
        <f t="shared" si="327"/>
        <v>0</v>
      </c>
      <c r="AC2599" s="1152"/>
      <c r="AD2599" s="1153"/>
      <c r="AE2599" s="1152"/>
      <c r="AF2599" s="1152"/>
      <c r="AG2599" s="1153"/>
      <c r="AH2599" s="1153"/>
      <c r="AI2599" s="732">
        <f t="shared" si="331"/>
        <v>11281603</v>
      </c>
      <c r="AJ2599" s="733">
        <f t="shared" si="332"/>
        <v>11281603</v>
      </c>
    </row>
    <row r="2600" spans="1:36">
      <c r="A2600" s="1020" t="s">
        <v>751</v>
      </c>
      <c r="B2600" s="1021" t="s">
        <v>99</v>
      </c>
      <c r="C2600" s="1028" t="s">
        <v>1070</v>
      </c>
      <c r="D2600" s="1027"/>
      <c r="E2600" s="1128">
        <v>447582</v>
      </c>
      <c r="F2600" s="1025">
        <v>10</v>
      </c>
      <c r="G2600" s="1152"/>
      <c r="H2600" s="1153"/>
      <c r="I2600" s="1152"/>
      <c r="J2600" s="1153"/>
      <c r="K2600" s="1152"/>
      <c r="L2600" s="1153"/>
      <c r="M2600" s="1152"/>
      <c r="N2600" s="1152"/>
      <c r="O2600" s="732">
        <f t="shared" si="325"/>
        <v>0</v>
      </c>
      <c r="P2600" s="1153"/>
      <c r="Q2600" s="1153"/>
      <c r="R2600" s="733">
        <f t="shared" si="328"/>
        <v>0</v>
      </c>
      <c r="S2600" s="732">
        <f t="shared" si="329"/>
        <v>0</v>
      </c>
      <c r="T2600" s="733">
        <f t="shared" si="330"/>
        <v>0</v>
      </c>
      <c r="U2600" s="1152"/>
      <c r="V2600" s="1153"/>
      <c r="W2600" s="1152"/>
      <c r="X2600" s="1152"/>
      <c r="Y2600" s="732">
        <f t="shared" si="326"/>
        <v>0</v>
      </c>
      <c r="Z2600" s="1153"/>
      <c r="AA2600" s="1153"/>
      <c r="AB2600" s="733">
        <f t="shared" si="327"/>
        <v>0</v>
      </c>
      <c r="AC2600" s="1152"/>
      <c r="AD2600" s="1153"/>
      <c r="AE2600" s="1152"/>
      <c r="AF2600" s="1152"/>
      <c r="AG2600" s="1153"/>
      <c r="AH2600" s="1153"/>
      <c r="AI2600" s="732">
        <f t="shared" si="331"/>
        <v>0</v>
      </c>
      <c r="AJ2600" s="733">
        <f t="shared" si="332"/>
        <v>0</v>
      </c>
    </row>
    <row r="2601" spans="1:36" s="13" customFormat="1" ht="15" customHeight="1">
      <c r="A2601" s="1020" t="s">
        <v>751</v>
      </c>
      <c r="B2601" s="1021" t="s">
        <v>62</v>
      </c>
      <c r="C2601" s="1130" t="s">
        <v>1381</v>
      </c>
      <c r="D2601" s="1129"/>
      <c r="E2601" s="1128">
        <v>443492</v>
      </c>
      <c r="F2601" s="1025">
        <v>10</v>
      </c>
      <c r="G2601" s="1152">
        <v>7820129</v>
      </c>
      <c r="H2601" s="1153">
        <v>7820129</v>
      </c>
      <c r="I2601" s="1152"/>
      <c r="J2601" s="1153"/>
      <c r="K2601" s="1152"/>
      <c r="L2601" s="1153"/>
      <c r="M2601" s="1152">
        <v>7193382</v>
      </c>
      <c r="N2601" s="1152"/>
      <c r="O2601" s="732">
        <f t="shared" si="325"/>
        <v>7193382</v>
      </c>
      <c r="P2601" s="1153">
        <v>7409183</v>
      </c>
      <c r="Q2601" s="1153"/>
      <c r="R2601" s="733">
        <f t="shared" si="328"/>
        <v>7409183</v>
      </c>
      <c r="S2601" s="732">
        <f t="shared" si="329"/>
        <v>15013511</v>
      </c>
      <c r="T2601" s="733">
        <f t="shared" si="330"/>
        <v>15229312</v>
      </c>
      <c r="U2601" s="1152"/>
      <c r="V2601" s="1153"/>
      <c r="W2601" s="1152"/>
      <c r="X2601" s="1152"/>
      <c r="Y2601" s="732">
        <f t="shared" si="326"/>
        <v>0</v>
      </c>
      <c r="Z2601" s="1153"/>
      <c r="AA2601" s="1153"/>
      <c r="AB2601" s="733">
        <f t="shared" si="327"/>
        <v>0</v>
      </c>
      <c r="AC2601" s="1152"/>
      <c r="AD2601" s="1153"/>
      <c r="AE2601" s="1152"/>
      <c r="AF2601" s="1152"/>
      <c r="AG2601" s="1153"/>
      <c r="AH2601" s="1153"/>
      <c r="AI2601" s="732">
        <f t="shared" si="331"/>
        <v>15013511</v>
      </c>
      <c r="AJ2601" s="733">
        <f t="shared" si="332"/>
        <v>15229312</v>
      </c>
    </row>
    <row r="2602" spans="1:36">
      <c r="A2602" s="1020" t="s">
        <v>751</v>
      </c>
      <c r="B2602" s="1021" t="s">
        <v>99</v>
      </c>
      <c r="C2602" s="1028" t="s">
        <v>1070</v>
      </c>
      <c r="D2602" s="1027"/>
      <c r="E2602" s="1128">
        <v>443492</v>
      </c>
      <c r="F2602" s="1025">
        <v>10</v>
      </c>
      <c r="G2602" s="1152"/>
      <c r="H2602" s="1153"/>
      <c r="I2602" s="1152"/>
      <c r="J2602" s="1153"/>
      <c r="K2602" s="1152"/>
      <c r="L2602" s="1153"/>
      <c r="M2602" s="1152"/>
      <c r="N2602" s="1152"/>
      <c r="O2602" s="732">
        <f t="shared" si="325"/>
        <v>0</v>
      </c>
      <c r="P2602" s="1153"/>
      <c r="Q2602" s="1153"/>
      <c r="R2602" s="733">
        <f t="shared" si="328"/>
        <v>0</v>
      </c>
      <c r="S2602" s="732">
        <f t="shared" si="329"/>
        <v>0</v>
      </c>
      <c r="T2602" s="733">
        <f t="shared" si="330"/>
        <v>0</v>
      </c>
      <c r="U2602" s="1152"/>
      <c r="V2602" s="1153"/>
      <c r="W2602" s="1152"/>
      <c r="X2602" s="1152"/>
      <c r="Y2602" s="732">
        <f t="shared" si="326"/>
        <v>0</v>
      </c>
      <c r="Z2602" s="1153"/>
      <c r="AA2602" s="1153"/>
      <c r="AB2602" s="733">
        <f t="shared" si="327"/>
        <v>0</v>
      </c>
      <c r="AC2602" s="1152"/>
      <c r="AD2602" s="1153"/>
      <c r="AE2602" s="1152"/>
      <c r="AF2602" s="1152"/>
      <c r="AG2602" s="1153"/>
      <c r="AH2602" s="1153"/>
      <c r="AI2602" s="732">
        <f t="shared" si="331"/>
        <v>0</v>
      </c>
      <c r="AJ2602" s="733">
        <f t="shared" si="332"/>
        <v>0</v>
      </c>
    </row>
    <row r="2603" spans="1:36">
      <c r="A2603" s="1020" t="s">
        <v>751</v>
      </c>
      <c r="B2603" s="1021" t="s">
        <v>62</v>
      </c>
      <c r="C2603" s="1022" t="s">
        <v>1382</v>
      </c>
      <c r="D2603" s="1145" t="s">
        <v>1795</v>
      </c>
      <c r="E2603" s="1128">
        <v>446774</v>
      </c>
      <c r="F2603" s="1134">
        <v>9</v>
      </c>
      <c r="G2603" s="1152">
        <v>7830842</v>
      </c>
      <c r="H2603" s="1153">
        <v>7830842</v>
      </c>
      <c r="I2603" s="1152"/>
      <c r="J2603" s="1153"/>
      <c r="K2603" s="1152"/>
      <c r="L2603" s="1153"/>
      <c r="M2603" s="1152">
        <v>7514455</v>
      </c>
      <c r="N2603" s="1152"/>
      <c r="O2603" s="732">
        <f t="shared" si="325"/>
        <v>7514455</v>
      </c>
      <c r="P2603" s="1153">
        <v>7514455</v>
      </c>
      <c r="Q2603" s="1153"/>
      <c r="R2603" s="733">
        <f t="shared" si="328"/>
        <v>7514455</v>
      </c>
      <c r="S2603" s="732">
        <f t="shared" si="329"/>
        <v>15345297</v>
      </c>
      <c r="T2603" s="733">
        <f t="shared" si="330"/>
        <v>15345297</v>
      </c>
      <c r="U2603" s="1152"/>
      <c r="V2603" s="1153"/>
      <c r="W2603" s="1152"/>
      <c r="X2603" s="1152"/>
      <c r="Y2603" s="732">
        <f t="shared" si="326"/>
        <v>0</v>
      </c>
      <c r="Z2603" s="1153"/>
      <c r="AA2603" s="1153"/>
      <c r="AB2603" s="733">
        <f t="shared" si="327"/>
        <v>0</v>
      </c>
      <c r="AC2603" s="1152"/>
      <c r="AD2603" s="1153"/>
      <c r="AE2603" s="1152"/>
      <c r="AF2603" s="1152"/>
      <c r="AG2603" s="1153"/>
      <c r="AH2603" s="1153"/>
      <c r="AI2603" s="732">
        <f t="shared" si="331"/>
        <v>15345297</v>
      </c>
      <c r="AJ2603" s="733">
        <f t="shared" si="332"/>
        <v>15345297</v>
      </c>
    </row>
    <row r="2604" spans="1:36">
      <c r="A2604" s="1020" t="s">
        <v>751</v>
      </c>
      <c r="B2604" s="1021" t="s">
        <v>99</v>
      </c>
      <c r="C2604" s="1028" t="s">
        <v>1070</v>
      </c>
      <c r="D2604" s="1032" t="s">
        <v>1784</v>
      </c>
      <c r="E2604" s="1128">
        <v>446774</v>
      </c>
      <c r="F2604" s="1135">
        <v>9</v>
      </c>
      <c r="G2604" s="1152"/>
      <c r="H2604" s="1153"/>
      <c r="I2604" s="1152"/>
      <c r="J2604" s="1153"/>
      <c r="K2604" s="1152"/>
      <c r="L2604" s="1153"/>
      <c r="M2604" s="1152"/>
      <c r="N2604" s="1152"/>
      <c r="O2604" s="732">
        <f t="shared" si="325"/>
        <v>0</v>
      </c>
      <c r="P2604" s="1153"/>
      <c r="Q2604" s="1153"/>
      <c r="R2604" s="733">
        <f t="shared" si="328"/>
        <v>0</v>
      </c>
      <c r="S2604" s="732">
        <f t="shared" si="329"/>
        <v>0</v>
      </c>
      <c r="T2604" s="733">
        <f t="shared" si="330"/>
        <v>0</v>
      </c>
      <c r="U2604" s="1152"/>
      <c r="V2604" s="1153"/>
      <c r="W2604" s="1152"/>
      <c r="X2604" s="1152"/>
      <c r="Y2604" s="732">
        <f t="shared" si="326"/>
        <v>0</v>
      </c>
      <c r="Z2604" s="1153"/>
      <c r="AA2604" s="1153"/>
      <c r="AB2604" s="733">
        <f t="shared" si="327"/>
        <v>0</v>
      </c>
      <c r="AC2604" s="1152"/>
      <c r="AD2604" s="1153"/>
      <c r="AE2604" s="1152"/>
      <c r="AF2604" s="1152"/>
      <c r="AG2604" s="1153"/>
      <c r="AH2604" s="1153"/>
      <c r="AI2604" s="732">
        <f t="shared" si="331"/>
        <v>0</v>
      </c>
      <c r="AJ2604" s="733">
        <f t="shared" si="332"/>
        <v>0</v>
      </c>
    </row>
    <row r="2605" spans="1:36">
      <c r="A2605" s="1020" t="s">
        <v>751</v>
      </c>
      <c r="B2605" s="1021" t="s">
        <v>62</v>
      </c>
      <c r="C2605" s="1030" t="s">
        <v>1383</v>
      </c>
      <c r="D2605" s="1031"/>
      <c r="E2605" s="1128">
        <v>484932</v>
      </c>
      <c r="F2605" s="1025">
        <v>10</v>
      </c>
      <c r="G2605" s="1152">
        <v>8098811</v>
      </c>
      <c r="H2605" s="1153">
        <v>8098811</v>
      </c>
      <c r="I2605" s="1152"/>
      <c r="J2605" s="1153"/>
      <c r="K2605" s="1152"/>
      <c r="L2605" s="1153"/>
      <c r="M2605" s="1152">
        <v>7151872</v>
      </c>
      <c r="N2605" s="1152"/>
      <c r="O2605" s="732">
        <f t="shared" si="325"/>
        <v>7151872</v>
      </c>
      <c r="P2605" s="1153">
        <v>7294909</v>
      </c>
      <c r="Q2605" s="1153"/>
      <c r="R2605" s="733">
        <f t="shared" si="328"/>
        <v>7294909</v>
      </c>
      <c r="S2605" s="732">
        <f t="shared" si="329"/>
        <v>15250683</v>
      </c>
      <c r="T2605" s="733">
        <f t="shared" si="330"/>
        <v>15393720</v>
      </c>
      <c r="U2605" s="1152"/>
      <c r="V2605" s="1153"/>
      <c r="W2605" s="1152"/>
      <c r="X2605" s="1152"/>
      <c r="Y2605" s="732">
        <f t="shared" si="326"/>
        <v>0</v>
      </c>
      <c r="Z2605" s="1153"/>
      <c r="AA2605" s="1153"/>
      <c r="AB2605" s="733">
        <f t="shared" si="327"/>
        <v>0</v>
      </c>
      <c r="AC2605" s="1152"/>
      <c r="AD2605" s="1153"/>
      <c r="AE2605" s="1152"/>
      <c r="AF2605" s="1152"/>
      <c r="AG2605" s="1153"/>
      <c r="AH2605" s="1153"/>
      <c r="AI2605" s="732">
        <f t="shared" si="331"/>
        <v>15250683</v>
      </c>
      <c r="AJ2605" s="733">
        <f t="shared" si="332"/>
        <v>15393720</v>
      </c>
    </row>
    <row r="2606" spans="1:36">
      <c r="A2606" s="1020" t="s">
        <v>751</v>
      </c>
      <c r="B2606" s="1021" t="s">
        <v>62</v>
      </c>
      <c r="C2606" s="1130" t="s">
        <v>1384</v>
      </c>
      <c r="D2606" s="1131"/>
      <c r="E2606" s="1128">
        <v>438708</v>
      </c>
      <c r="F2606" s="1025">
        <v>10</v>
      </c>
      <c r="G2606" s="1152">
        <v>2179912</v>
      </c>
      <c r="H2606" s="1153">
        <v>2179912</v>
      </c>
      <c r="I2606" s="1152"/>
      <c r="J2606" s="1153"/>
      <c r="K2606" s="1152"/>
      <c r="L2606" s="1153"/>
      <c r="M2606" s="1152">
        <v>1103016</v>
      </c>
      <c r="N2606" s="1152"/>
      <c r="O2606" s="732">
        <f t="shared" si="325"/>
        <v>1103016</v>
      </c>
      <c r="P2606" s="1153">
        <v>1378770</v>
      </c>
      <c r="Q2606" s="1153"/>
      <c r="R2606" s="733">
        <f t="shared" si="328"/>
        <v>1378770</v>
      </c>
      <c r="S2606" s="732">
        <f t="shared" si="329"/>
        <v>3282928</v>
      </c>
      <c r="T2606" s="733">
        <f t="shared" si="330"/>
        <v>3558682</v>
      </c>
      <c r="U2606" s="1152"/>
      <c r="V2606" s="1153"/>
      <c r="W2606" s="1152"/>
      <c r="X2606" s="1152"/>
      <c r="Y2606" s="732">
        <f t="shared" si="326"/>
        <v>0</v>
      </c>
      <c r="Z2606" s="1153"/>
      <c r="AA2606" s="1153"/>
      <c r="AB2606" s="733">
        <f t="shared" si="327"/>
        <v>0</v>
      </c>
      <c r="AC2606" s="1152"/>
      <c r="AD2606" s="1153"/>
      <c r="AE2606" s="1152"/>
      <c r="AF2606" s="1152"/>
      <c r="AG2606" s="1153"/>
      <c r="AH2606" s="1153"/>
      <c r="AI2606" s="732">
        <f t="shared" si="331"/>
        <v>3282928</v>
      </c>
      <c r="AJ2606" s="733">
        <f t="shared" si="332"/>
        <v>3558682</v>
      </c>
    </row>
    <row r="2607" spans="1:36">
      <c r="A2607" s="1020" t="s">
        <v>751</v>
      </c>
      <c r="B2607" s="1021" t="s">
        <v>99</v>
      </c>
      <c r="C2607" s="1028" t="s">
        <v>1070</v>
      </c>
      <c r="D2607" s="1027"/>
      <c r="E2607" s="1128">
        <v>438708</v>
      </c>
      <c r="F2607" s="1025">
        <v>10</v>
      </c>
      <c r="G2607" s="1152"/>
      <c r="H2607" s="1153"/>
      <c r="I2607" s="1152"/>
      <c r="J2607" s="1153"/>
      <c r="K2607" s="1152"/>
      <c r="L2607" s="1153"/>
      <c r="M2607" s="1152"/>
      <c r="N2607" s="1152"/>
      <c r="O2607" s="732">
        <f t="shared" si="325"/>
        <v>0</v>
      </c>
      <c r="P2607" s="1153"/>
      <c r="Q2607" s="1153"/>
      <c r="R2607" s="733">
        <f t="shared" si="328"/>
        <v>0</v>
      </c>
      <c r="S2607" s="732">
        <f t="shared" si="329"/>
        <v>0</v>
      </c>
      <c r="T2607" s="733">
        <f t="shared" si="330"/>
        <v>0</v>
      </c>
      <c r="U2607" s="1152"/>
      <c r="V2607" s="1153"/>
      <c r="W2607" s="1152"/>
      <c r="X2607" s="1152"/>
      <c r="Y2607" s="732">
        <f t="shared" si="326"/>
        <v>0</v>
      </c>
      <c r="Z2607" s="1153"/>
      <c r="AA2607" s="1153"/>
      <c r="AB2607" s="733">
        <f t="shared" si="327"/>
        <v>0</v>
      </c>
      <c r="AC2607" s="1152"/>
      <c r="AD2607" s="1153"/>
      <c r="AE2607" s="1152"/>
      <c r="AF2607" s="1152"/>
      <c r="AG2607" s="1153"/>
      <c r="AH2607" s="1153"/>
      <c r="AI2607" s="732">
        <f t="shared" si="331"/>
        <v>0</v>
      </c>
      <c r="AJ2607" s="733">
        <f t="shared" si="332"/>
        <v>0</v>
      </c>
    </row>
    <row r="2608" spans="1:36">
      <c r="A2608" s="1020" t="s">
        <v>751</v>
      </c>
      <c r="B2608" s="1021" t="s">
        <v>62</v>
      </c>
      <c r="C2608" s="1030" t="s">
        <v>1385</v>
      </c>
      <c r="D2608" s="1031"/>
      <c r="E2608" s="1128">
        <v>444954</v>
      </c>
      <c r="F2608" s="1025">
        <v>10</v>
      </c>
      <c r="G2608" s="1152">
        <v>6489307</v>
      </c>
      <c r="H2608" s="1153">
        <v>6489307</v>
      </c>
      <c r="I2608" s="1152"/>
      <c r="J2608" s="1153"/>
      <c r="K2608" s="1152"/>
      <c r="L2608" s="1153"/>
      <c r="M2608" s="1152">
        <v>6695294</v>
      </c>
      <c r="N2608" s="1152">
        <v>76562</v>
      </c>
      <c r="O2608" s="732">
        <f t="shared" si="325"/>
        <v>6771856</v>
      </c>
      <c r="P2608" s="1153">
        <v>7162955</v>
      </c>
      <c r="Q2608" s="1153">
        <v>76159</v>
      </c>
      <c r="R2608" s="733">
        <f t="shared" si="328"/>
        <v>7239114</v>
      </c>
      <c r="S2608" s="732">
        <f t="shared" si="329"/>
        <v>13184601</v>
      </c>
      <c r="T2608" s="733">
        <f t="shared" si="330"/>
        <v>13652262</v>
      </c>
      <c r="U2608" s="1152"/>
      <c r="V2608" s="1153"/>
      <c r="W2608" s="1152"/>
      <c r="X2608" s="1152"/>
      <c r="Y2608" s="732">
        <f t="shared" si="326"/>
        <v>0</v>
      </c>
      <c r="Z2608" s="1153"/>
      <c r="AA2608" s="1153"/>
      <c r="AB2608" s="733">
        <f t="shared" si="327"/>
        <v>0</v>
      </c>
      <c r="AC2608" s="1152"/>
      <c r="AD2608" s="1153"/>
      <c r="AE2608" s="1152"/>
      <c r="AF2608" s="1152"/>
      <c r="AG2608" s="1153"/>
      <c r="AH2608" s="1153"/>
      <c r="AI2608" s="732">
        <f t="shared" si="331"/>
        <v>13184601</v>
      </c>
      <c r="AJ2608" s="733">
        <f t="shared" si="332"/>
        <v>13652262</v>
      </c>
    </row>
    <row r="2609" spans="1:36">
      <c r="A2609" s="1020" t="s">
        <v>751</v>
      </c>
      <c r="B2609" s="1021" t="s">
        <v>99</v>
      </c>
      <c r="C2609" s="1028" t="s">
        <v>1070</v>
      </c>
      <c r="D2609" s="1027"/>
      <c r="E2609" s="1128">
        <v>444954</v>
      </c>
      <c r="F2609" s="1025">
        <v>10</v>
      </c>
      <c r="G2609" s="1152"/>
      <c r="H2609" s="1153"/>
      <c r="I2609" s="1152"/>
      <c r="J2609" s="1153"/>
      <c r="K2609" s="1152"/>
      <c r="L2609" s="1153"/>
      <c r="M2609" s="1152"/>
      <c r="N2609" s="1152"/>
      <c r="O2609" s="732">
        <f t="shared" si="325"/>
        <v>0</v>
      </c>
      <c r="P2609" s="1153"/>
      <c r="Q2609" s="1153"/>
      <c r="R2609" s="733">
        <f t="shared" si="328"/>
        <v>0</v>
      </c>
      <c r="S2609" s="732">
        <f t="shared" si="329"/>
        <v>0</v>
      </c>
      <c r="T2609" s="733">
        <f t="shared" si="330"/>
        <v>0</v>
      </c>
      <c r="U2609" s="1152"/>
      <c r="V2609" s="1153"/>
      <c r="W2609" s="1152"/>
      <c r="X2609" s="1152"/>
      <c r="Y2609" s="732">
        <f t="shared" si="326"/>
        <v>0</v>
      </c>
      <c r="Z2609" s="1153"/>
      <c r="AA2609" s="1153"/>
      <c r="AB2609" s="733">
        <f t="shared" si="327"/>
        <v>0</v>
      </c>
      <c r="AC2609" s="1152"/>
      <c r="AD2609" s="1153"/>
      <c r="AE2609" s="1152"/>
      <c r="AF2609" s="1152"/>
      <c r="AG2609" s="1153"/>
      <c r="AH2609" s="1153"/>
      <c r="AI2609" s="732">
        <f t="shared" si="331"/>
        <v>0</v>
      </c>
      <c r="AJ2609" s="733">
        <f t="shared" si="332"/>
        <v>0</v>
      </c>
    </row>
    <row r="2610" spans="1:36">
      <c r="A2610" s="1020" t="s">
        <v>751</v>
      </c>
      <c r="B2610" s="1021" t="s">
        <v>62</v>
      </c>
      <c r="C2610" s="1130" t="s">
        <v>1386</v>
      </c>
      <c r="D2610" s="1131"/>
      <c r="E2610" s="1128">
        <v>237817</v>
      </c>
      <c r="F2610" s="1025">
        <v>10</v>
      </c>
      <c r="G2610" s="1152">
        <v>8241823</v>
      </c>
      <c r="H2610" s="1153">
        <v>8241823</v>
      </c>
      <c r="I2610" s="1152"/>
      <c r="J2610" s="1153"/>
      <c r="K2610" s="1152"/>
      <c r="L2610" s="1153"/>
      <c r="M2610" s="1152">
        <v>5529676</v>
      </c>
      <c r="N2610" s="1152"/>
      <c r="O2610" s="732">
        <f t="shared" si="325"/>
        <v>5529676</v>
      </c>
      <c r="P2610" s="1153">
        <v>5651329</v>
      </c>
      <c r="Q2610" s="1153"/>
      <c r="R2610" s="733">
        <f t="shared" si="328"/>
        <v>5651329</v>
      </c>
      <c r="S2610" s="732">
        <f t="shared" si="329"/>
        <v>13771499</v>
      </c>
      <c r="T2610" s="733">
        <f t="shared" si="330"/>
        <v>13893152</v>
      </c>
      <c r="U2610" s="1152"/>
      <c r="V2610" s="1153"/>
      <c r="W2610" s="1152"/>
      <c r="X2610" s="1152"/>
      <c r="Y2610" s="732">
        <f t="shared" si="326"/>
        <v>0</v>
      </c>
      <c r="Z2610" s="1153"/>
      <c r="AA2610" s="1153"/>
      <c r="AB2610" s="733">
        <f t="shared" si="327"/>
        <v>0</v>
      </c>
      <c r="AC2610" s="1152"/>
      <c r="AD2610" s="1153"/>
      <c r="AE2610" s="1152"/>
      <c r="AF2610" s="1152"/>
      <c r="AG2610" s="1153"/>
      <c r="AH2610" s="1153"/>
      <c r="AI2610" s="732">
        <f t="shared" si="331"/>
        <v>13771499</v>
      </c>
      <c r="AJ2610" s="733">
        <f t="shared" si="332"/>
        <v>13893152</v>
      </c>
    </row>
    <row r="2611" spans="1:36">
      <c r="A2611" s="1020" t="s">
        <v>751</v>
      </c>
      <c r="B2611" s="1021" t="s">
        <v>99</v>
      </c>
      <c r="C2611" s="1028" t="s">
        <v>1070</v>
      </c>
      <c r="D2611" s="1027"/>
      <c r="E2611" s="1128">
        <v>237817</v>
      </c>
      <c r="F2611" s="1025">
        <v>10</v>
      </c>
      <c r="G2611" s="1152"/>
      <c r="H2611" s="1153"/>
      <c r="I2611" s="1152"/>
      <c r="J2611" s="1153"/>
      <c r="K2611" s="1152"/>
      <c r="L2611" s="1153"/>
      <c r="M2611" s="1152"/>
      <c r="N2611" s="1152"/>
      <c r="O2611" s="732">
        <f t="shared" si="325"/>
        <v>0</v>
      </c>
      <c r="P2611" s="1153"/>
      <c r="Q2611" s="1153"/>
      <c r="R2611" s="733">
        <f t="shared" si="328"/>
        <v>0</v>
      </c>
      <c r="S2611" s="732">
        <f t="shared" si="329"/>
        <v>0</v>
      </c>
      <c r="T2611" s="733">
        <f t="shared" si="330"/>
        <v>0</v>
      </c>
      <c r="U2611" s="1152"/>
      <c r="V2611" s="1153"/>
      <c r="W2611" s="1152"/>
      <c r="X2611" s="1152"/>
      <c r="Y2611" s="732">
        <f t="shared" si="326"/>
        <v>0</v>
      </c>
      <c r="Z2611" s="1153"/>
      <c r="AA2611" s="1153"/>
      <c r="AB2611" s="733">
        <f t="shared" si="327"/>
        <v>0</v>
      </c>
      <c r="AC2611" s="1152"/>
      <c r="AD2611" s="1153"/>
      <c r="AE2611" s="1152"/>
      <c r="AF2611" s="1152"/>
      <c r="AG2611" s="1153"/>
      <c r="AH2611" s="1153"/>
      <c r="AI2611" s="732">
        <f t="shared" si="331"/>
        <v>0</v>
      </c>
      <c r="AJ2611" s="733">
        <f t="shared" si="332"/>
        <v>0</v>
      </c>
    </row>
    <row r="2612" spans="1:36">
      <c r="A2612" s="1020" t="s">
        <v>751</v>
      </c>
      <c r="B2612" s="1021" t="s">
        <v>62</v>
      </c>
      <c r="C2612" s="1030" t="s">
        <v>1387</v>
      </c>
      <c r="D2612" s="1029"/>
      <c r="E2612" s="1128">
        <v>238014</v>
      </c>
      <c r="F2612" s="1025">
        <v>10</v>
      </c>
      <c r="G2612" s="1152">
        <v>7285825</v>
      </c>
      <c r="H2612" s="1153">
        <v>7285825</v>
      </c>
      <c r="I2612" s="1152"/>
      <c r="J2612" s="1153"/>
      <c r="K2612" s="1152"/>
      <c r="L2612" s="1153"/>
      <c r="M2612" s="1152">
        <v>4374727</v>
      </c>
      <c r="N2612" s="1152"/>
      <c r="O2612" s="732">
        <f t="shared" si="325"/>
        <v>4374727</v>
      </c>
      <c r="P2612" s="1153">
        <v>4457847</v>
      </c>
      <c r="Q2612" s="1153"/>
      <c r="R2612" s="733">
        <f t="shared" si="328"/>
        <v>4457847</v>
      </c>
      <c r="S2612" s="732">
        <f t="shared" si="329"/>
        <v>11660552</v>
      </c>
      <c r="T2612" s="733">
        <f t="shared" si="330"/>
        <v>11743672</v>
      </c>
      <c r="U2612" s="1152"/>
      <c r="V2612" s="1153"/>
      <c r="W2612" s="1152"/>
      <c r="X2612" s="1152"/>
      <c r="Y2612" s="732">
        <f t="shared" si="326"/>
        <v>0</v>
      </c>
      <c r="Z2612" s="1153"/>
      <c r="AA2612" s="1153"/>
      <c r="AB2612" s="733">
        <f t="shared" si="327"/>
        <v>0</v>
      </c>
      <c r="AC2612" s="1152"/>
      <c r="AD2612" s="1153"/>
      <c r="AE2612" s="1152"/>
      <c r="AF2612" s="1152"/>
      <c r="AG2612" s="1153"/>
      <c r="AH2612" s="1153"/>
      <c r="AI2612" s="732">
        <f t="shared" si="331"/>
        <v>11660552</v>
      </c>
      <c r="AJ2612" s="733">
        <f t="shared" si="332"/>
        <v>11743672</v>
      </c>
    </row>
    <row r="2613" spans="1:36">
      <c r="A2613" s="1020" t="s">
        <v>751</v>
      </c>
      <c r="B2613" s="1021" t="s">
        <v>99</v>
      </c>
      <c r="C2613" s="1028" t="s">
        <v>1070</v>
      </c>
      <c r="D2613" s="1027"/>
      <c r="E2613" s="1128">
        <v>238014</v>
      </c>
      <c r="F2613" s="1025">
        <v>10</v>
      </c>
      <c r="G2613" s="1152"/>
      <c r="H2613" s="1153"/>
      <c r="I2613" s="1152"/>
      <c r="J2613" s="1153"/>
      <c r="K2613" s="1152"/>
      <c r="L2613" s="1153"/>
      <c r="M2613" s="1152"/>
      <c r="N2613" s="1152"/>
      <c r="O2613" s="732">
        <f t="shared" si="325"/>
        <v>0</v>
      </c>
      <c r="P2613" s="1153"/>
      <c r="Q2613" s="1153"/>
      <c r="R2613" s="733">
        <f t="shared" si="328"/>
        <v>0</v>
      </c>
      <c r="S2613" s="732">
        <f t="shared" si="329"/>
        <v>0</v>
      </c>
      <c r="T2613" s="733">
        <f t="shared" si="330"/>
        <v>0</v>
      </c>
      <c r="U2613" s="1152"/>
      <c r="V2613" s="1153"/>
      <c r="W2613" s="1152"/>
      <c r="X2613" s="1152"/>
      <c r="Y2613" s="732">
        <f t="shared" si="326"/>
        <v>0</v>
      </c>
      <c r="Z2613" s="1153"/>
      <c r="AA2613" s="1153"/>
      <c r="AB2613" s="733">
        <f t="shared" si="327"/>
        <v>0</v>
      </c>
      <c r="AC2613" s="1152"/>
      <c r="AD2613" s="1153"/>
      <c r="AE2613" s="1152"/>
      <c r="AF2613" s="1152"/>
      <c r="AG2613" s="1153"/>
      <c r="AH2613" s="1153"/>
      <c r="AI2613" s="732">
        <f t="shared" si="331"/>
        <v>0</v>
      </c>
      <c r="AJ2613" s="733">
        <f t="shared" si="332"/>
        <v>0</v>
      </c>
    </row>
    <row r="2614" spans="1:36">
      <c r="A2614" s="1020" t="s">
        <v>751</v>
      </c>
      <c r="B2614" s="1021" t="s">
        <v>238</v>
      </c>
      <c r="C2614" s="1130" t="s">
        <v>1388</v>
      </c>
      <c r="D2614" s="1131"/>
      <c r="E2614" s="1128">
        <v>237880</v>
      </c>
      <c r="F2614" s="1025">
        <v>15</v>
      </c>
      <c r="G2614" s="1152"/>
      <c r="H2614" s="1153"/>
      <c r="I2614" s="1152"/>
      <c r="J2614" s="1153"/>
      <c r="K2614" s="1152"/>
      <c r="L2614" s="1153"/>
      <c r="M2614" s="1152"/>
      <c r="N2614" s="1152"/>
      <c r="O2614" s="732">
        <f t="shared" si="325"/>
        <v>0</v>
      </c>
      <c r="P2614" s="1153"/>
      <c r="Q2614" s="1153"/>
      <c r="R2614" s="733">
        <f t="shared" si="328"/>
        <v>0</v>
      </c>
      <c r="S2614" s="732">
        <f t="shared" si="329"/>
        <v>0</v>
      </c>
      <c r="T2614" s="733">
        <f t="shared" si="330"/>
        <v>0</v>
      </c>
      <c r="U2614" s="1152"/>
      <c r="V2614" s="1153"/>
      <c r="W2614" s="1152"/>
      <c r="X2614" s="1152"/>
      <c r="Y2614" s="732">
        <f t="shared" si="326"/>
        <v>0</v>
      </c>
      <c r="Z2614" s="1153"/>
      <c r="AA2614" s="1153"/>
      <c r="AB2614" s="733">
        <f t="shared" si="327"/>
        <v>0</v>
      </c>
      <c r="AC2614" s="1152">
        <v>8879296</v>
      </c>
      <c r="AD2614" s="1153">
        <v>8879296</v>
      </c>
      <c r="AE2614" s="1152">
        <v>36654489</v>
      </c>
      <c r="AF2614" s="1152"/>
      <c r="AG2614" s="1153">
        <v>36654489</v>
      </c>
      <c r="AH2614" s="1153"/>
      <c r="AI2614" s="732">
        <f t="shared" si="331"/>
        <v>45533785</v>
      </c>
      <c r="AJ2614" s="733">
        <f t="shared" si="332"/>
        <v>45533785</v>
      </c>
    </row>
    <row r="2615" spans="1:36">
      <c r="A2615" s="1020" t="s">
        <v>751</v>
      </c>
      <c r="B2615" s="1021" t="s">
        <v>99</v>
      </c>
      <c r="C2615" s="1028" t="s">
        <v>1070</v>
      </c>
      <c r="D2615" s="1027"/>
      <c r="E2615" s="1128">
        <v>237880</v>
      </c>
      <c r="F2615" s="1025">
        <v>15</v>
      </c>
      <c r="G2615" s="1152"/>
      <c r="H2615" s="1153"/>
      <c r="I2615" s="1152"/>
      <c r="J2615" s="1153"/>
      <c r="K2615" s="1152"/>
      <c r="L2615" s="1153"/>
      <c r="M2615" s="1152"/>
      <c r="N2615" s="1152"/>
      <c r="O2615" s="732">
        <f t="shared" si="325"/>
        <v>0</v>
      </c>
      <c r="P2615" s="1153"/>
      <c r="Q2615" s="1153"/>
      <c r="R2615" s="733">
        <f t="shared" si="328"/>
        <v>0</v>
      </c>
      <c r="S2615" s="732">
        <f t="shared" si="329"/>
        <v>0</v>
      </c>
      <c r="T2615" s="733">
        <f t="shared" si="330"/>
        <v>0</v>
      </c>
      <c r="U2615" s="1152"/>
      <c r="V2615" s="1153"/>
      <c r="W2615" s="1152"/>
      <c r="X2615" s="1152"/>
      <c r="Y2615" s="732">
        <f t="shared" si="326"/>
        <v>0</v>
      </c>
      <c r="Z2615" s="1153"/>
      <c r="AA2615" s="1153"/>
      <c r="AB2615" s="733">
        <f t="shared" si="327"/>
        <v>0</v>
      </c>
      <c r="AC2615" s="1152"/>
      <c r="AD2615" s="1153"/>
      <c r="AE2615" s="1152"/>
      <c r="AF2615" s="1152"/>
      <c r="AG2615" s="1153"/>
      <c r="AH2615" s="1153"/>
      <c r="AI2615" s="732">
        <f t="shared" si="331"/>
        <v>0</v>
      </c>
      <c r="AJ2615" s="733">
        <f t="shared" si="332"/>
        <v>0</v>
      </c>
    </row>
    <row r="2616" spans="1:36">
      <c r="A2616" s="1020" t="s">
        <v>751</v>
      </c>
      <c r="B2616" s="1021" t="s">
        <v>99</v>
      </c>
      <c r="C2616" s="1026" t="s">
        <v>1353</v>
      </c>
      <c r="D2616" s="1027"/>
      <c r="E2616" s="1128">
        <v>237880</v>
      </c>
      <c r="F2616" s="1025">
        <v>15</v>
      </c>
      <c r="G2616" s="1152"/>
      <c r="H2616" s="1153"/>
      <c r="I2616" s="1152"/>
      <c r="J2616" s="1153"/>
      <c r="K2616" s="1152"/>
      <c r="L2616" s="1153"/>
      <c r="M2616" s="1152"/>
      <c r="N2616" s="1152"/>
      <c r="O2616" s="732">
        <f t="shared" si="325"/>
        <v>0</v>
      </c>
      <c r="P2616" s="1153"/>
      <c r="Q2616" s="1153"/>
      <c r="R2616" s="733">
        <f t="shared" si="328"/>
        <v>0</v>
      </c>
      <c r="S2616" s="732">
        <f t="shared" si="329"/>
        <v>0</v>
      </c>
      <c r="T2616" s="733">
        <f t="shared" si="330"/>
        <v>0</v>
      </c>
      <c r="U2616" s="1152"/>
      <c r="V2616" s="1153"/>
      <c r="W2616" s="1152"/>
      <c r="X2616" s="1152"/>
      <c r="Y2616" s="732">
        <f t="shared" si="326"/>
        <v>0</v>
      </c>
      <c r="Z2616" s="1153"/>
      <c r="AA2616" s="1153"/>
      <c r="AB2616" s="733">
        <f t="shared" si="327"/>
        <v>0</v>
      </c>
      <c r="AC2616" s="1152">
        <v>153405</v>
      </c>
      <c r="AD2616" s="1153">
        <v>153405</v>
      </c>
      <c r="AE2616" s="1152"/>
      <c r="AF2616" s="1152"/>
      <c r="AG2616" s="1153"/>
      <c r="AH2616" s="1153"/>
      <c r="AI2616" s="732">
        <f t="shared" si="331"/>
        <v>153405</v>
      </c>
      <c r="AJ2616" s="733">
        <f t="shared" si="332"/>
        <v>153405</v>
      </c>
    </row>
    <row r="2617" spans="1:36">
      <c r="A2617" s="1020" t="s">
        <v>751</v>
      </c>
      <c r="B2617" s="1021" t="s">
        <v>118</v>
      </c>
      <c r="C2617" s="1023" t="s">
        <v>406</v>
      </c>
      <c r="D2617" s="1023"/>
      <c r="E2617" s="1136"/>
      <c r="F2617" s="1036">
        <v>99</v>
      </c>
      <c r="G2617" s="1152"/>
      <c r="H2617" s="1153"/>
      <c r="I2617" s="1152"/>
      <c r="J2617" s="1153"/>
      <c r="K2617" s="1152"/>
      <c r="L2617" s="1153"/>
      <c r="M2617" s="1152"/>
      <c r="N2617" s="1152"/>
      <c r="O2617" s="732">
        <f t="shared" si="325"/>
        <v>0</v>
      </c>
      <c r="P2617" s="1153"/>
      <c r="Q2617" s="1153"/>
      <c r="R2617" s="733">
        <f t="shared" si="328"/>
        <v>0</v>
      </c>
      <c r="S2617" s="732">
        <f t="shared" si="329"/>
        <v>0</v>
      </c>
      <c r="T2617" s="733">
        <f t="shared" si="330"/>
        <v>0</v>
      </c>
      <c r="U2617" s="1152"/>
      <c r="V2617" s="1153"/>
      <c r="W2617" s="1152"/>
      <c r="X2617" s="1152"/>
      <c r="Y2617" s="732">
        <f t="shared" si="326"/>
        <v>0</v>
      </c>
      <c r="Z2617" s="1153"/>
      <c r="AA2617" s="1153"/>
      <c r="AB2617" s="733">
        <f t="shared" si="327"/>
        <v>0</v>
      </c>
      <c r="AC2617" s="1152"/>
      <c r="AD2617" s="1153"/>
      <c r="AE2617" s="1152"/>
      <c r="AF2617" s="1152"/>
      <c r="AG2617" s="1153"/>
      <c r="AH2617" s="1153"/>
      <c r="AI2617" s="732">
        <f t="shared" si="331"/>
        <v>0</v>
      </c>
      <c r="AJ2617" s="733">
        <f t="shared" si="332"/>
        <v>0</v>
      </c>
    </row>
    <row r="2618" spans="1:36">
      <c r="A2618" s="1020" t="s">
        <v>751</v>
      </c>
      <c r="B2618" s="1021" t="s">
        <v>336</v>
      </c>
      <c r="C2618" s="1028" t="s">
        <v>70</v>
      </c>
      <c r="D2618" s="1027"/>
      <c r="E2618" s="1136"/>
      <c r="F2618" s="1036">
        <v>99</v>
      </c>
      <c r="G2618" s="1152"/>
      <c r="H2618" s="1153"/>
      <c r="I2618" s="1152"/>
      <c r="J2618" s="1153"/>
      <c r="K2618" s="1152"/>
      <c r="L2618" s="1153"/>
      <c r="M2618" s="1152"/>
      <c r="N2618" s="1152"/>
      <c r="O2618" s="732">
        <f t="shared" si="325"/>
        <v>0</v>
      </c>
      <c r="P2618" s="1153"/>
      <c r="Q2618" s="1153"/>
      <c r="R2618" s="733">
        <f t="shared" si="328"/>
        <v>0</v>
      </c>
      <c r="S2618" s="732">
        <f t="shared" si="329"/>
        <v>0</v>
      </c>
      <c r="T2618" s="733">
        <f t="shared" si="330"/>
        <v>0</v>
      </c>
      <c r="U2618" s="1152"/>
      <c r="V2618" s="1153"/>
      <c r="W2618" s="1152"/>
      <c r="X2618" s="1152"/>
      <c r="Y2618" s="732">
        <f t="shared" si="326"/>
        <v>0</v>
      </c>
      <c r="Z2618" s="1153"/>
      <c r="AA2618" s="1153"/>
      <c r="AB2618" s="733">
        <f t="shared" si="327"/>
        <v>0</v>
      </c>
      <c r="AC2618" s="1152"/>
      <c r="AD2618" s="1153"/>
      <c r="AE2618" s="1152"/>
      <c r="AF2618" s="1152"/>
      <c r="AG2618" s="1153"/>
      <c r="AH2618" s="1153"/>
      <c r="AI2618" s="732">
        <f t="shared" si="331"/>
        <v>0</v>
      </c>
      <c r="AJ2618" s="733">
        <f t="shared" si="332"/>
        <v>0</v>
      </c>
    </row>
    <row r="2619" spans="1:36">
      <c r="A2619" s="1020" t="s">
        <v>751</v>
      </c>
      <c r="B2619" s="1021" t="s">
        <v>336</v>
      </c>
      <c r="C2619" s="1026" t="s">
        <v>1389</v>
      </c>
      <c r="D2619" s="1027"/>
      <c r="E2619" s="1136"/>
      <c r="F2619" s="1036">
        <v>99</v>
      </c>
      <c r="G2619" s="1152"/>
      <c r="H2619" s="1153"/>
      <c r="I2619" s="1152"/>
      <c r="J2619" s="1153"/>
      <c r="K2619" s="1152"/>
      <c r="L2619" s="1153"/>
      <c r="M2619" s="1152"/>
      <c r="N2619" s="1152"/>
      <c r="O2619" s="732">
        <f t="shared" si="325"/>
        <v>0</v>
      </c>
      <c r="P2619" s="1153"/>
      <c r="Q2619" s="1153"/>
      <c r="R2619" s="733">
        <f t="shared" si="328"/>
        <v>0</v>
      </c>
      <c r="S2619" s="732">
        <f t="shared" si="329"/>
        <v>0</v>
      </c>
      <c r="T2619" s="733">
        <f t="shared" si="330"/>
        <v>0</v>
      </c>
      <c r="U2619" s="1152">
        <v>2399141</v>
      </c>
      <c r="V2619" s="1153">
        <v>2399141</v>
      </c>
      <c r="W2619" s="1152"/>
      <c r="X2619" s="1152"/>
      <c r="Y2619" s="732">
        <f t="shared" si="326"/>
        <v>0</v>
      </c>
      <c r="Z2619" s="1153"/>
      <c r="AA2619" s="1153"/>
      <c r="AB2619" s="733">
        <f t="shared" si="327"/>
        <v>0</v>
      </c>
      <c r="AC2619" s="1152"/>
      <c r="AD2619" s="1153"/>
      <c r="AE2619" s="1152"/>
      <c r="AF2619" s="1152"/>
      <c r="AG2619" s="1153"/>
      <c r="AH2619" s="1153"/>
      <c r="AI2619" s="732">
        <f t="shared" si="331"/>
        <v>2399141</v>
      </c>
      <c r="AJ2619" s="733">
        <f t="shared" si="332"/>
        <v>2399141</v>
      </c>
    </row>
    <row r="2620" spans="1:36">
      <c r="A2620" s="1020" t="s">
        <v>751</v>
      </c>
      <c r="B2620" s="1021" t="s">
        <v>336</v>
      </c>
      <c r="C2620" s="1026" t="s">
        <v>1390</v>
      </c>
      <c r="D2620" s="1027"/>
      <c r="E2620" s="1136"/>
      <c r="F2620" s="1036">
        <v>99</v>
      </c>
      <c r="G2620" s="1152"/>
      <c r="H2620" s="1153"/>
      <c r="I2620" s="1152"/>
      <c r="J2620" s="1153"/>
      <c r="K2620" s="1152"/>
      <c r="L2620" s="1153"/>
      <c r="M2620" s="1152"/>
      <c r="N2620" s="1152"/>
      <c r="O2620" s="732">
        <f t="shared" si="325"/>
        <v>0</v>
      </c>
      <c r="P2620" s="1153"/>
      <c r="Q2620" s="1153"/>
      <c r="R2620" s="733">
        <f t="shared" si="328"/>
        <v>0</v>
      </c>
      <c r="S2620" s="732">
        <f t="shared" si="329"/>
        <v>0</v>
      </c>
      <c r="T2620" s="733">
        <f t="shared" si="330"/>
        <v>0</v>
      </c>
      <c r="U2620" s="1152">
        <v>88913</v>
      </c>
      <c r="V2620" s="1153">
        <v>88913</v>
      </c>
      <c r="W2620" s="1152"/>
      <c r="X2620" s="1152"/>
      <c r="Y2620" s="732">
        <f t="shared" si="326"/>
        <v>0</v>
      </c>
      <c r="Z2620" s="1153"/>
      <c r="AA2620" s="1153"/>
      <c r="AB2620" s="733">
        <f t="shared" si="327"/>
        <v>0</v>
      </c>
      <c r="AC2620" s="1152"/>
      <c r="AD2620" s="1153"/>
      <c r="AE2620" s="1152"/>
      <c r="AF2620" s="1152"/>
      <c r="AG2620" s="1153"/>
      <c r="AH2620" s="1153"/>
      <c r="AI2620" s="732">
        <f t="shared" si="331"/>
        <v>88913</v>
      </c>
      <c r="AJ2620" s="733">
        <f t="shared" si="332"/>
        <v>88913</v>
      </c>
    </row>
    <row r="2621" spans="1:36">
      <c r="A2621" s="1137" t="s">
        <v>751</v>
      </c>
      <c r="B2621" s="1021" t="s">
        <v>336</v>
      </c>
      <c r="C2621" s="1026" t="s">
        <v>1391</v>
      </c>
      <c r="D2621" s="1027"/>
      <c r="E2621" s="1136"/>
      <c r="F2621" s="1036">
        <v>99</v>
      </c>
      <c r="G2621" s="1152"/>
      <c r="H2621" s="1153"/>
      <c r="I2621" s="1152"/>
      <c r="J2621" s="1153"/>
      <c r="K2621" s="1152"/>
      <c r="L2621" s="1153"/>
      <c r="M2621" s="1152"/>
      <c r="N2621" s="1152"/>
      <c r="O2621" s="732">
        <f t="shared" si="325"/>
        <v>0</v>
      </c>
      <c r="P2621" s="1153"/>
      <c r="Q2621" s="1153"/>
      <c r="R2621" s="733">
        <f t="shared" si="328"/>
        <v>0</v>
      </c>
      <c r="S2621" s="732">
        <f t="shared" si="329"/>
        <v>0</v>
      </c>
      <c r="T2621" s="733">
        <f t="shared" si="330"/>
        <v>0</v>
      </c>
      <c r="U2621" s="1152">
        <v>2153048</v>
      </c>
      <c r="V2621" s="1153">
        <v>2233048</v>
      </c>
      <c r="W2621" s="1152"/>
      <c r="X2621" s="1152"/>
      <c r="Y2621" s="732">
        <f t="shared" si="326"/>
        <v>0</v>
      </c>
      <c r="Z2621" s="1153"/>
      <c r="AA2621" s="1153"/>
      <c r="AB2621" s="733">
        <f t="shared" si="327"/>
        <v>0</v>
      </c>
      <c r="AC2621" s="1152"/>
      <c r="AD2621" s="1153"/>
      <c r="AE2621" s="1152"/>
      <c r="AF2621" s="1152"/>
      <c r="AG2621" s="1153"/>
      <c r="AH2621" s="1153"/>
      <c r="AI2621" s="732">
        <f t="shared" si="331"/>
        <v>2153048</v>
      </c>
      <c r="AJ2621" s="733">
        <f t="shared" si="332"/>
        <v>2233048</v>
      </c>
    </row>
    <row r="2622" spans="1:36">
      <c r="A2622" s="1137" t="s">
        <v>751</v>
      </c>
      <c r="B2622" s="1021" t="s">
        <v>685</v>
      </c>
      <c r="C2622" s="1026" t="s">
        <v>1392</v>
      </c>
      <c r="D2622" s="1027"/>
      <c r="E2622" s="1136"/>
      <c r="F2622" s="1036">
        <v>99</v>
      </c>
      <c r="G2622" s="1152"/>
      <c r="H2622" s="1153"/>
      <c r="I2622" s="1152"/>
      <c r="J2622" s="1153"/>
      <c r="K2622" s="1152"/>
      <c r="L2622" s="1153"/>
      <c r="M2622" s="1152"/>
      <c r="N2622" s="1152"/>
      <c r="O2622" s="732">
        <f t="shared" si="325"/>
        <v>0</v>
      </c>
      <c r="P2622" s="1153"/>
      <c r="Q2622" s="1153"/>
      <c r="R2622" s="733">
        <f t="shared" si="328"/>
        <v>0</v>
      </c>
      <c r="S2622" s="732">
        <f t="shared" si="329"/>
        <v>0</v>
      </c>
      <c r="T2622" s="733">
        <f t="shared" si="330"/>
        <v>0</v>
      </c>
      <c r="U2622" s="1152">
        <v>234086</v>
      </c>
      <c r="V2622" s="1153">
        <v>234086</v>
      </c>
      <c r="W2622" s="1152"/>
      <c r="X2622" s="1152"/>
      <c r="Y2622" s="732">
        <f t="shared" si="326"/>
        <v>0</v>
      </c>
      <c r="Z2622" s="1153"/>
      <c r="AA2622" s="1153"/>
      <c r="AB2622" s="733">
        <f t="shared" si="327"/>
        <v>0</v>
      </c>
      <c r="AC2622" s="1152"/>
      <c r="AD2622" s="1153"/>
      <c r="AE2622" s="1152"/>
      <c r="AF2622" s="1152"/>
      <c r="AG2622" s="1153"/>
      <c r="AH2622" s="1153"/>
      <c r="AI2622" s="732">
        <f t="shared" si="331"/>
        <v>234086</v>
      </c>
      <c r="AJ2622" s="733">
        <f t="shared" si="332"/>
        <v>234086</v>
      </c>
    </row>
    <row r="2623" spans="1:36">
      <c r="A2623" s="1137" t="s">
        <v>751</v>
      </c>
      <c r="B2623" s="1021" t="s">
        <v>132</v>
      </c>
      <c r="C2623" s="1023" t="s">
        <v>1071</v>
      </c>
      <c r="D2623" s="1023"/>
      <c r="E2623" s="1136"/>
      <c r="F2623" s="1036">
        <v>99</v>
      </c>
      <c r="G2623" s="1152"/>
      <c r="H2623" s="1153"/>
      <c r="I2623" s="1152"/>
      <c r="J2623" s="1153"/>
      <c r="K2623" s="1152"/>
      <c r="L2623" s="1153"/>
      <c r="M2623" s="1152"/>
      <c r="N2623" s="1152"/>
      <c r="O2623" s="732">
        <f t="shared" si="325"/>
        <v>0</v>
      </c>
      <c r="P2623" s="1153"/>
      <c r="Q2623" s="1153"/>
      <c r="R2623" s="733">
        <f t="shared" si="328"/>
        <v>0</v>
      </c>
      <c r="S2623" s="732">
        <f t="shared" si="329"/>
        <v>0</v>
      </c>
      <c r="T2623" s="733">
        <f t="shared" si="330"/>
        <v>0</v>
      </c>
      <c r="U2623" s="1152"/>
      <c r="V2623" s="1153"/>
      <c r="W2623" s="1152"/>
      <c r="X2623" s="1152"/>
      <c r="Y2623" s="732">
        <f t="shared" si="326"/>
        <v>0</v>
      </c>
      <c r="Z2623" s="1153"/>
      <c r="AA2623" s="1153"/>
      <c r="AB2623" s="733">
        <f t="shared" si="327"/>
        <v>0</v>
      </c>
      <c r="AC2623" s="1152"/>
      <c r="AD2623" s="1153"/>
      <c r="AE2623" s="1152"/>
      <c r="AF2623" s="1152"/>
      <c r="AG2623" s="1153"/>
      <c r="AH2623" s="1153"/>
      <c r="AI2623" s="732">
        <f t="shared" si="331"/>
        <v>0</v>
      </c>
      <c r="AJ2623" s="733">
        <f t="shared" si="332"/>
        <v>0</v>
      </c>
    </row>
    <row r="2624" spans="1:36">
      <c r="A2624" s="1137" t="s">
        <v>751</v>
      </c>
      <c r="B2624" s="1021" t="s">
        <v>132</v>
      </c>
      <c r="C2624" s="1026" t="s">
        <v>1393</v>
      </c>
      <c r="D2624" s="1027"/>
      <c r="E2624" s="1136"/>
      <c r="F2624" s="1036">
        <v>99</v>
      </c>
      <c r="G2624" s="1152"/>
      <c r="H2624" s="1153"/>
      <c r="I2624" s="1152">
        <v>278222</v>
      </c>
      <c r="J2624" s="1153">
        <v>278222</v>
      </c>
      <c r="K2624" s="1152"/>
      <c r="L2624" s="1153"/>
      <c r="M2624" s="1152"/>
      <c r="N2624" s="1152"/>
      <c r="O2624" s="732">
        <f t="shared" si="325"/>
        <v>0</v>
      </c>
      <c r="P2624" s="1153"/>
      <c r="Q2624" s="1153"/>
      <c r="R2624" s="733">
        <f t="shared" si="328"/>
        <v>0</v>
      </c>
      <c r="S2624" s="732">
        <f t="shared" si="329"/>
        <v>278222</v>
      </c>
      <c r="T2624" s="733">
        <f t="shared" si="330"/>
        <v>278222</v>
      </c>
      <c r="U2624" s="1152"/>
      <c r="V2624" s="1153"/>
      <c r="W2624" s="1152"/>
      <c r="X2624" s="1152"/>
      <c r="Y2624" s="732">
        <f t="shared" si="326"/>
        <v>0</v>
      </c>
      <c r="Z2624" s="1153"/>
      <c r="AA2624" s="1153"/>
      <c r="AB2624" s="733">
        <f t="shared" si="327"/>
        <v>0</v>
      </c>
      <c r="AC2624" s="1152"/>
      <c r="AD2624" s="1153"/>
      <c r="AE2624" s="1152"/>
      <c r="AF2624" s="1152"/>
      <c r="AG2624" s="1153"/>
      <c r="AH2624" s="1153"/>
      <c r="AI2624" s="732">
        <f t="shared" si="331"/>
        <v>278222</v>
      </c>
      <c r="AJ2624" s="733">
        <f t="shared" si="332"/>
        <v>278222</v>
      </c>
    </row>
    <row r="2625" spans="1:36">
      <c r="A2625" s="1137" t="s">
        <v>751</v>
      </c>
      <c r="B2625" s="1021" t="s">
        <v>132</v>
      </c>
      <c r="C2625" s="1026" t="s">
        <v>1394</v>
      </c>
      <c r="D2625" s="1027"/>
      <c r="E2625" s="1136"/>
      <c r="F2625" s="1036">
        <v>99</v>
      </c>
      <c r="G2625" s="1152"/>
      <c r="H2625" s="1153"/>
      <c r="I2625" s="1152"/>
      <c r="J2625" s="1153"/>
      <c r="K2625" s="1152"/>
      <c r="L2625" s="1153"/>
      <c r="M2625" s="1152"/>
      <c r="N2625" s="1152"/>
      <c r="O2625" s="732">
        <f t="shared" si="325"/>
        <v>0</v>
      </c>
      <c r="P2625" s="1153"/>
      <c r="Q2625" s="1153"/>
      <c r="R2625" s="733">
        <f t="shared" si="328"/>
        <v>0</v>
      </c>
      <c r="S2625" s="732">
        <f t="shared" si="329"/>
        <v>0</v>
      </c>
      <c r="T2625" s="733">
        <f t="shared" si="330"/>
        <v>0</v>
      </c>
      <c r="U2625" s="1152">
        <v>34293</v>
      </c>
      <c r="V2625" s="1153">
        <v>34293</v>
      </c>
      <c r="W2625" s="1152"/>
      <c r="X2625" s="1152"/>
      <c r="Y2625" s="732">
        <f t="shared" si="326"/>
        <v>0</v>
      </c>
      <c r="Z2625" s="1153"/>
      <c r="AA2625" s="1153"/>
      <c r="AB2625" s="733">
        <f t="shared" si="327"/>
        <v>0</v>
      </c>
      <c r="AC2625" s="1152"/>
      <c r="AD2625" s="1153"/>
      <c r="AE2625" s="1152"/>
      <c r="AF2625" s="1152"/>
      <c r="AG2625" s="1153"/>
      <c r="AH2625" s="1153"/>
      <c r="AI2625" s="732">
        <f t="shared" si="331"/>
        <v>34293</v>
      </c>
      <c r="AJ2625" s="733">
        <f t="shared" si="332"/>
        <v>34293</v>
      </c>
    </row>
    <row r="2626" spans="1:36">
      <c r="A2626" s="1137" t="s">
        <v>751</v>
      </c>
      <c r="B2626" s="1021" t="s">
        <v>132</v>
      </c>
      <c r="C2626" s="1026" t="s">
        <v>1395</v>
      </c>
      <c r="D2626" s="1027"/>
      <c r="E2626" s="1136"/>
      <c r="F2626" s="1036">
        <v>99</v>
      </c>
      <c r="G2626" s="1152"/>
      <c r="H2626" s="1153"/>
      <c r="I2626" s="1152"/>
      <c r="J2626" s="1153"/>
      <c r="K2626" s="1152"/>
      <c r="L2626" s="1153"/>
      <c r="M2626" s="1152"/>
      <c r="N2626" s="1152"/>
      <c r="O2626" s="732">
        <f t="shared" si="325"/>
        <v>0</v>
      </c>
      <c r="P2626" s="1153"/>
      <c r="Q2626" s="1153"/>
      <c r="R2626" s="733">
        <f t="shared" si="328"/>
        <v>0</v>
      </c>
      <c r="S2626" s="732">
        <f t="shared" si="329"/>
        <v>0</v>
      </c>
      <c r="T2626" s="733">
        <f t="shared" si="330"/>
        <v>0</v>
      </c>
      <c r="U2626" s="1152">
        <v>7706620</v>
      </c>
      <c r="V2626" s="1153">
        <v>5206620</v>
      </c>
      <c r="W2626" s="1152"/>
      <c r="X2626" s="1152"/>
      <c r="Y2626" s="732">
        <f t="shared" si="326"/>
        <v>0</v>
      </c>
      <c r="Z2626" s="1153"/>
      <c r="AA2626" s="1153"/>
      <c r="AB2626" s="733">
        <f t="shared" si="327"/>
        <v>0</v>
      </c>
      <c r="AC2626" s="1152"/>
      <c r="AD2626" s="1153"/>
      <c r="AE2626" s="1152"/>
      <c r="AF2626" s="1152"/>
      <c r="AG2626" s="1153"/>
      <c r="AH2626" s="1153"/>
      <c r="AI2626" s="732">
        <f t="shared" si="331"/>
        <v>7706620</v>
      </c>
      <c r="AJ2626" s="733">
        <f t="shared" si="332"/>
        <v>5206620</v>
      </c>
    </row>
    <row r="2627" spans="1:36">
      <c r="A2627" s="1137" t="s">
        <v>1458</v>
      </c>
      <c r="B2627" s="1021" t="s">
        <v>132</v>
      </c>
      <c r="C2627" s="1026" t="s">
        <v>1396</v>
      </c>
      <c r="D2627" s="1027"/>
      <c r="E2627" s="1136"/>
      <c r="F2627" s="1036">
        <v>99</v>
      </c>
      <c r="G2627" s="1152"/>
      <c r="H2627" s="1153"/>
      <c r="I2627" s="1152"/>
      <c r="J2627" s="1153"/>
      <c r="K2627" s="1152"/>
      <c r="L2627" s="1153"/>
      <c r="M2627" s="1152"/>
      <c r="N2627" s="1152"/>
      <c r="O2627" s="732">
        <f t="shared" si="325"/>
        <v>0</v>
      </c>
      <c r="P2627" s="1153"/>
      <c r="Q2627" s="1153"/>
      <c r="R2627" s="733">
        <f t="shared" si="328"/>
        <v>0</v>
      </c>
      <c r="S2627" s="732">
        <f t="shared" si="329"/>
        <v>0</v>
      </c>
      <c r="T2627" s="733">
        <f t="shared" si="330"/>
        <v>0</v>
      </c>
      <c r="U2627" s="1152">
        <v>1630000</v>
      </c>
      <c r="V2627" s="1153">
        <v>1630000</v>
      </c>
      <c r="W2627" s="1152"/>
      <c r="X2627" s="1152"/>
      <c r="Y2627" s="732">
        <f t="shared" si="326"/>
        <v>0</v>
      </c>
      <c r="Z2627" s="1153"/>
      <c r="AA2627" s="1153"/>
      <c r="AB2627" s="733">
        <f t="shared" si="327"/>
        <v>0</v>
      </c>
      <c r="AC2627" s="1152"/>
      <c r="AD2627" s="1153"/>
      <c r="AE2627" s="1152"/>
      <c r="AF2627" s="1152"/>
      <c r="AG2627" s="1153"/>
      <c r="AH2627" s="1153"/>
      <c r="AI2627" s="732">
        <f t="shared" si="331"/>
        <v>1630000</v>
      </c>
      <c r="AJ2627" s="733">
        <f t="shared" si="332"/>
        <v>1630000</v>
      </c>
    </row>
    <row r="2628" spans="1:36">
      <c r="A2628" s="1137" t="s">
        <v>751</v>
      </c>
      <c r="B2628" s="1021" t="s">
        <v>132</v>
      </c>
      <c r="C2628" s="1026" t="s">
        <v>1745</v>
      </c>
      <c r="D2628" s="1027"/>
      <c r="E2628" s="1136"/>
      <c r="F2628" s="1036">
        <v>99</v>
      </c>
      <c r="G2628" s="1152"/>
      <c r="H2628" s="1153"/>
      <c r="I2628" s="1152"/>
      <c r="J2628" s="1153"/>
      <c r="K2628" s="1152"/>
      <c r="L2628" s="1153"/>
      <c r="M2628" s="1152"/>
      <c r="N2628" s="1152"/>
      <c r="O2628" s="732">
        <f t="shared" si="325"/>
        <v>0</v>
      </c>
      <c r="P2628" s="1153"/>
      <c r="Q2628" s="1153"/>
      <c r="R2628" s="733">
        <f t="shared" si="328"/>
        <v>0</v>
      </c>
      <c r="S2628" s="732">
        <f t="shared" si="329"/>
        <v>0</v>
      </c>
      <c r="T2628" s="733">
        <f t="shared" si="330"/>
        <v>0</v>
      </c>
      <c r="U2628" s="1152">
        <v>0</v>
      </c>
      <c r="V2628" s="1153">
        <v>330000</v>
      </c>
      <c r="W2628" s="1152"/>
      <c r="X2628" s="1152"/>
      <c r="Y2628" s="732">
        <f t="shared" si="326"/>
        <v>0</v>
      </c>
      <c r="Z2628" s="1153"/>
      <c r="AA2628" s="1153"/>
      <c r="AB2628" s="733">
        <f t="shared" si="327"/>
        <v>0</v>
      </c>
      <c r="AC2628" s="1152"/>
      <c r="AD2628" s="1153"/>
      <c r="AE2628" s="1152"/>
      <c r="AF2628" s="1152"/>
      <c r="AG2628" s="1153"/>
      <c r="AH2628" s="1153"/>
      <c r="AI2628" s="732">
        <f t="shared" si="331"/>
        <v>0</v>
      </c>
      <c r="AJ2628" s="733">
        <f t="shared" si="332"/>
        <v>330000</v>
      </c>
    </row>
    <row r="2629" spans="1:36">
      <c r="A2629" s="1137" t="s">
        <v>751</v>
      </c>
      <c r="B2629" s="1021" t="s">
        <v>138</v>
      </c>
      <c r="C2629" s="1023" t="s">
        <v>139</v>
      </c>
      <c r="D2629" s="1023"/>
      <c r="E2629" s="1136"/>
      <c r="F2629" s="1036">
        <v>99</v>
      </c>
      <c r="G2629" s="1152"/>
      <c r="H2629" s="1153"/>
      <c r="I2629" s="1152"/>
      <c r="J2629" s="1153"/>
      <c r="K2629" s="1152"/>
      <c r="L2629" s="1153"/>
      <c r="M2629" s="1152"/>
      <c r="N2629" s="1152"/>
      <c r="O2629" s="732">
        <f t="shared" si="325"/>
        <v>0</v>
      </c>
      <c r="P2629" s="1153"/>
      <c r="Q2629" s="1153"/>
      <c r="R2629" s="733">
        <f t="shared" si="328"/>
        <v>0</v>
      </c>
      <c r="S2629" s="732">
        <f t="shared" si="329"/>
        <v>0</v>
      </c>
      <c r="T2629" s="733">
        <f t="shared" si="330"/>
        <v>0</v>
      </c>
      <c r="U2629" s="1152"/>
      <c r="V2629" s="1153"/>
      <c r="W2629" s="1152"/>
      <c r="X2629" s="1152"/>
      <c r="Y2629" s="732">
        <f t="shared" si="326"/>
        <v>0</v>
      </c>
      <c r="Z2629" s="1153"/>
      <c r="AA2629" s="1153"/>
      <c r="AB2629" s="733">
        <f t="shared" si="327"/>
        <v>0</v>
      </c>
      <c r="AC2629" s="1152"/>
      <c r="AD2629" s="1153"/>
      <c r="AE2629" s="1152"/>
      <c r="AF2629" s="1152"/>
      <c r="AG2629" s="1153"/>
      <c r="AH2629" s="1153"/>
      <c r="AI2629" s="732">
        <f t="shared" si="331"/>
        <v>0</v>
      </c>
      <c r="AJ2629" s="733">
        <f t="shared" si="332"/>
        <v>0</v>
      </c>
    </row>
    <row r="2630" spans="1:36">
      <c r="A2630" s="1137" t="s">
        <v>751</v>
      </c>
      <c r="B2630" s="1021" t="s">
        <v>140</v>
      </c>
      <c r="C2630" s="1028" t="s">
        <v>141</v>
      </c>
      <c r="D2630" s="1027"/>
      <c r="E2630" s="1136"/>
      <c r="F2630" s="1036">
        <v>99</v>
      </c>
      <c r="G2630" s="1152"/>
      <c r="H2630" s="1153"/>
      <c r="I2630" s="1152"/>
      <c r="J2630" s="1153"/>
      <c r="K2630" s="1152"/>
      <c r="L2630" s="1153"/>
      <c r="M2630" s="1152"/>
      <c r="N2630" s="1152"/>
      <c r="O2630" s="732">
        <f t="shared" si="325"/>
        <v>0</v>
      </c>
      <c r="P2630" s="1153"/>
      <c r="Q2630" s="1153"/>
      <c r="R2630" s="733">
        <f t="shared" si="328"/>
        <v>0</v>
      </c>
      <c r="S2630" s="732">
        <f t="shared" si="329"/>
        <v>0</v>
      </c>
      <c r="T2630" s="733">
        <f t="shared" si="330"/>
        <v>0</v>
      </c>
      <c r="U2630" s="1152"/>
      <c r="V2630" s="1153"/>
      <c r="W2630" s="1152"/>
      <c r="X2630" s="1152"/>
      <c r="Y2630" s="732">
        <f t="shared" si="326"/>
        <v>0</v>
      </c>
      <c r="Z2630" s="1153"/>
      <c r="AA2630" s="1153"/>
      <c r="AB2630" s="733">
        <f t="shared" si="327"/>
        <v>0</v>
      </c>
      <c r="AC2630" s="1152"/>
      <c r="AD2630" s="1153"/>
      <c r="AE2630" s="1152"/>
      <c r="AF2630" s="1152"/>
      <c r="AG2630" s="1153"/>
      <c r="AH2630" s="1153"/>
      <c r="AI2630" s="732">
        <f t="shared" si="331"/>
        <v>0</v>
      </c>
      <c r="AJ2630" s="733">
        <f t="shared" si="332"/>
        <v>0</v>
      </c>
    </row>
    <row r="2631" spans="1:36">
      <c r="A2631" s="1137" t="s">
        <v>751</v>
      </c>
      <c r="B2631" s="1021" t="s">
        <v>140</v>
      </c>
      <c r="C2631" s="1028" t="s">
        <v>1397</v>
      </c>
      <c r="D2631" s="1027"/>
      <c r="E2631" s="1136"/>
      <c r="F2631" s="1036">
        <v>99</v>
      </c>
      <c r="G2631" s="1152"/>
      <c r="H2631" s="1153"/>
      <c r="I2631" s="1152"/>
      <c r="J2631" s="1153"/>
      <c r="K2631" s="1152"/>
      <c r="L2631" s="1153"/>
      <c r="M2631" s="1152"/>
      <c r="N2631" s="1152"/>
      <c r="O2631" s="732">
        <f t="shared" si="325"/>
        <v>0</v>
      </c>
      <c r="P2631" s="1153"/>
      <c r="Q2631" s="1153"/>
      <c r="R2631" s="733">
        <f t="shared" si="328"/>
        <v>0</v>
      </c>
      <c r="S2631" s="732">
        <f t="shared" si="329"/>
        <v>0</v>
      </c>
      <c r="T2631" s="733">
        <f t="shared" si="330"/>
        <v>0</v>
      </c>
      <c r="U2631" s="1152">
        <v>5600372</v>
      </c>
      <c r="V2631" s="1153">
        <v>5601831</v>
      </c>
      <c r="W2631" s="1152"/>
      <c r="X2631" s="1152"/>
      <c r="Y2631" s="732">
        <f t="shared" si="326"/>
        <v>0</v>
      </c>
      <c r="Z2631" s="1153"/>
      <c r="AA2631" s="1153"/>
      <c r="AB2631" s="733">
        <f t="shared" si="327"/>
        <v>0</v>
      </c>
      <c r="AC2631" s="1152"/>
      <c r="AD2631" s="1153"/>
      <c r="AE2631" s="1152"/>
      <c r="AF2631" s="1152"/>
      <c r="AG2631" s="1153"/>
      <c r="AH2631" s="1153"/>
      <c r="AI2631" s="732">
        <f t="shared" si="331"/>
        <v>5600372</v>
      </c>
      <c r="AJ2631" s="733">
        <f t="shared" si="332"/>
        <v>5601831</v>
      </c>
    </row>
    <row r="2632" spans="1:36">
      <c r="A2632" s="1137" t="s">
        <v>751</v>
      </c>
      <c r="B2632" s="1021" t="s">
        <v>140</v>
      </c>
      <c r="C2632" s="1028" t="s">
        <v>1398</v>
      </c>
      <c r="D2632" s="1027"/>
      <c r="E2632" s="1136"/>
      <c r="F2632" s="1036">
        <v>99</v>
      </c>
      <c r="G2632" s="1152"/>
      <c r="H2632" s="1153"/>
      <c r="I2632" s="1152"/>
      <c r="J2632" s="1153"/>
      <c r="K2632" s="1152"/>
      <c r="L2632" s="1153"/>
      <c r="M2632" s="1152"/>
      <c r="N2632" s="1152"/>
      <c r="O2632" s="732">
        <f t="shared" si="325"/>
        <v>0</v>
      </c>
      <c r="P2632" s="1153"/>
      <c r="Q2632" s="1153"/>
      <c r="R2632" s="733">
        <f t="shared" si="328"/>
        <v>0</v>
      </c>
      <c r="S2632" s="732">
        <f t="shared" si="329"/>
        <v>0</v>
      </c>
      <c r="T2632" s="733">
        <f t="shared" si="330"/>
        <v>0</v>
      </c>
      <c r="U2632" s="1152">
        <v>1747826</v>
      </c>
      <c r="V2632" s="1153">
        <v>1747826</v>
      </c>
      <c r="W2632" s="1152"/>
      <c r="X2632" s="1152"/>
      <c r="Y2632" s="732">
        <f t="shared" si="326"/>
        <v>0</v>
      </c>
      <c r="Z2632" s="1153"/>
      <c r="AA2632" s="1153"/>
      <c r="AB2632" s="733">
        <f t="shared" si="327"/>
        <v>0</v>
      </c>
      <c r="AC2632" s="1152"/>
      <c r="AD2632" s="1153"/>
      <c r="AE2632" s="1152"/>
      <c r="AF2632" s="1152"/>
      <c r="AG2632" s="1153"/>
      <c r="AH2632" s="1153"/>
      <c r="AI2632" s="732">
        <f t="shared" si="331"/>
        <v>1747826</v>
      </c>
      <c r="AJ2632" s="733">
        <f t="shared" si="332"/>
        <v>1747826</v>
      </c>
    </row>
    <row r="2633" spans="1:36">
      <c r="A2633" s="1137" t="s">
        <v>751</v>
      </c>
      <c r="B2633" s="1021" t="s">
        <v>142</v>
      </c>
      <c r="C2633" s="1028" t="s">
        <v>143</v>
      </c>
      <c r="D2633" s="1027"/>
      <c r="E2633" s="1136"/>
      <c r="F2633" s="1036">
        <v>99</v>
      </c>
      <c r="G2633" s="1152"/>
      <c r="H2633" s="1153"/>
      <c r="I2633" s="1152"/>
      <c r="J2633" s="1153"/>
      <c r="K2633" s="1152"/>
      <c r="L2633" s="1153"/>
      <c r="M2633" s="1152"/>
      <c r="N2633" s="1152"/>
      <c r="O2633" s="732">
        <f t="shared" si="325"/>
        <v>0</v>
      </c>
      <c r="P2633" s="1153"/>
      <c r="Q2633" s="1153"/>
      <c r="R2633" s="733">
        <f t="shared" si="328"/>
        <v>0</v>
      </c>
      <c r="S2633" s="732">
        <f t="shared" si="329"/>
        <v>0</v>
      </c>
      <c r="T2633" s="733">
        <f t="shared" si="330"/>
        <v>0</v>
      </c>
      <c r="U2633" s="1152"/>
      <c r="V2633" s="1153"/>
      <c r="W2633" s="1152"/>
      <c r="X2633" s="1152"/>
      <c r="Y2633" s="732">
        <f t="shared" si="326"/>
        <v>0</v>
      </c>
      <c r="Z2633" s="1153"/>
      <c r="AA2633" s="1153"/>
      <c r="AB2633" s="733">
        <f t="shared" si="327"/>
        <v>0</v>
      </c>
      <c r="AC2633" s="1152"/>
      <c r="AD2633" s="1153"/>
      <c r="AE2633" s="1152"/>
      <c r="AF2633" s="1152"/>
      <c r="AG2633" s="1153"/>
      <c r="AH2633" s="1153"/>
      <c r="AI2633" s="732">
        <f t="shared" si="331"/>
        <v>0</v>
      </c>
      <c r="AJ2633" s="733">
        <f t="shared" si="332"/>
        <v>0</v>
      </c>
    </row>
    <row r="2634" spans="1:36">
      <c r="A2634" s="1137" t="s">
        <v>751</v>
      </c>
      <c r="B2634" s="1021" t="s">
        <v>142</v>
      </c>
      <c r="C2634" s="1026" t="s">
        <v>1399</v>
      </c>
      <c r="D2634" s="1027"/>
      <c r="E2634" s="1136"/>
      <c r="F2634" s="1036">
        <v>99</v>
      </c>
      <c r="G2634" s="1152"/>
      <c r="H2634" s="1153"/>
      <c r="I2634" s="1152"/>
      <c r="J2634" s="1153"/>
      <c r="K2634" s="1152"/>
      <c r="L2634" s="1153"/>
      <c r="M2634" s="1152"/>
      <c r="N2634" s="1152"/>
      <c r="O2634" s="732">
        <f t="shared" ref="O2634:O2697" si="333">SUM(M2634:N2634)</f>
        <v>0</v>
      </c>
      <c r="P2634" s="1153"/>
      <c r="Q2634" s="1153"/>
      <c r="R2634" s="733">
        <f t="shared" si="328"/>
        <v>0</v>
      </c>
      <c r="S2634" s="732">
        <f t="shared" si="329"/>
        <v>0</v>
      </c>
      <c r="T2634" s="733">
        <f t="shared" si="330"/>
        <v>0</v>
      </c>
      <c r="U2634" s="1152">
        <v>738955</v>
      </c>
      <c r="V2634" s="1153">
        <v>3238955</v>
      </c>
      <c r="W2634" s="1152"/>
      <c r="X2634" s="1152"/>
      <c r="Y2634" s="732">
        <f t="shared" ref="Y2634:Y2697" si="334">SUM(W2634:X2634)</f>
        <v>0</v>
      </c>
      <c r="Z2634" s="1153"/>
      <c r="AA2634" s="1153"/>
      <c r="AB2634" s="733">
        <f t="shared" ref="AB2634:AB2697" si="335">SUM(Z2634:AA2634)</f>
        <v>0</v>
      </c>
      <c r="AC2634" s="1152"/>
      <c r="AD2634" s="1153"/>
      <c r="AE2634" s="1152"/>
      <c r="AF2634" s="1152"/>
      <c r="AG2634" s="1153"/>
      <c r="AH2634" s="1153"/>
      <c r="AI2634" s="732">
        <f t="shared" si="331"/>
        <v>738955</v>
      </c>
      <c r="AJ2634" s="733">
        <f t="shared" si="332"/>
        <v>3238955</v>
      </c>
    </row>
    <row r="2635" spans="1:36">
      <c r="A2635" s="1137" t="s">
        <v>751</v>
      </c>
      <c r="B2635" s="1021" t="s">
        <v>145</v>
      </c>
      <c r="C2635" s="1028" t="s">
        <v>146</v>
      </c>
      <c r="D2635" s="1027"/>
      <c r="E2635" s="1136"/>
      <c r="F2635" s="1036">
        <v>99</v>
      </c>
      <c r="G2635" s="1152"/>
      <c r="H2635" s="1153"/>
      <c r="I2635" s="1152"/>
      <c r="J2635" s="1153"/>
      <c r="K2635" s="1152"/>
      <c r="L2635" s="1153"/>
      <c r="M2635" s="1152"/>
      <c r="N2635" s="1152"/>
      <c r="O2635" s="732">
        <f t="shared" si="333"/>
        <v>0</v>
      </c>
      <c r="P2635" s="1153"/>
      <c r="Q2635" s="1153"/>
      <c r="R2635" s="733">
        <f t="shared" ref="R2635:R2698" si="336">SUM(P2635:Q2635)</f>
        <v>0</v>
      </c>
      <c r="S2635" s="732">
        <f t="shared" ref="S2635:S2698" si="337">SUM(G2635,I2635,K2635,M2635)</f>
        <v>0</v>
      </c>
      <c r="T2635" s="733">
        <f t="shared" ref="T2635:T2698" si="338">SUM(H2635,J2635,L2635,P2635)</f>
        <v>0</v>
      </c>
      <c r="U2635" s="1152"/>
      <c r="V2635" s="1153"/>
      <c r="W2635" s="1152"/>
      <c r="X2635" s="1152"/>
      <c r="Y2635" s="732">
        <f t="shared" si="334"/>
        <v>0</v>
      </c>
      <c r="Z2635" s="1153"/>
      <c r="AA2635" s="1153"/>
      <c r="AB2635" s="733">
        <f t="shared" si="335"/>
        <v>0</v>
      </c>
      <c r="AC2635" s="1152"/>
      <c r="AD2635" s="1153"/>
      <c r="AE2635" s="1152"/>
      <c r="AF2635" s="1152"/>
      <c r="AG2635" s="1153"/>
      <c r="AH2635" s="1153"/>
      <c r="AI2635" s="732">
        <f t="shared" ref="AI2635:AI2698" si="339">SUM(S2635,U2635,W2635,AC2635,AE2635)</f>
        <v>0</v>
      </c>
      <c r="AJ2635" s="733">
        <f t="shared" ref="AJ2635:AJ2698" si="340">SUM(T2635,V2635,Z2635,AD2635,AG2635)</f>
        <v>0</v>
      </c>
    </row>
    <row r="2636" spans="1:36">
      <c r="A2636" s="1137" t="s">
        <v>751</v>
      </c>
      <c r="B2636" s="1021" t="s">
        <v>149</v>
      </c>
      <c r="C2636" s="1028" t="s">
        <v>247</v>
      </c>
      <c r="D2636" s="1027"/>
      <c r="E2636" s="1136"/>
      <c r="F2636" s="1036">
        <v>99</v>
      </c>
      <c r="G2636" s="1152"/>
      <c r="H2636" s="1153"/>
      <c r="I2636" s="1152"/>
      <c r="J2636" s="1153"/>
      <c r="K2636" s="1152"/>
      <c r="L2636" s="1153"/>
      <c r="M2636" s="1152"/>
      <c r="N2636" s="1152"/>
      <c r="O2636" s="732">
        <f t="shared" si="333"/>
        <v>0</v>
      </c>
      <c r="P2636" s="1153"/>
      <c r="Q2636" s="1153"/>
      <c r="R2636" s="733">
        <f t="shared" si="336"/>
        <v>0</v>
      </c>
      <c r="S2636" s="732">
        <f t="shared" si="337"/>
        <v>0</v>
      </c>
      <c r="T2636" s="733">
        <f t="shared" si="338"/>
        <v>0</v>
      </c>
      <c r="U2636" s="1152">
        <v>1613870</v>
      </c>
      <c r="V2636" s="1153">
        <v>1996881</v>
      </c>
      <c r="W2636" s="1152"/>
      <c r="X2636" s="1152"/>
      <c r="Y2636" s="732">
        <f t="shared" si="334"/>
        <v>0</v>
      </c>
      <c r="Z2636" s="1153"/>
      <c r="AA2636" s="1153"/>
      <c r="AB2636" s="733">
        <f t="shared" si="335"/>
        <v>0</v>
      </c>
      <c r="AC2636" s="1152"/>
      <c r="AD2636" s="1153"/>
      <c r="AE2636" s="1152"/>
      <c r="AF2636" s="1152"/>
      <c r="AG2636" s="1153"/>
      <c r="AH2636" s="1153"/>
      <c r="AI2636" s="732">
        <f t="shared" si="339"/>
        <v>1613870</v>
      </c>
      <c r="AJ2636" s="733">
        <f t="shared" si="340"/>
        <v>1996881</v>
      </c>
    </row>
    <row r="2637" spans="1:36">
      <c r="A2637" s="1137" t="s">
        <v>751</v>
      </c>
      <c r="B2637" s="1021" t="s">
        <v>151</v>
      </c>
      <c r="C2637" s="1023" t="s">
        <v>152</v>
      </c>
      <c r="D2637" s="1023"/>
      <c r="E2637" s="1136"/>
      <c r="F2637" s="1036">
        <v>99</v>
      </c>
      <c r="G2637" s="1152"/>
      <c r="H2637" s="1153"/>
      <c r="I2637" s="1152"/>
      <c r="J2637" s="1153"/>
      <c r="K2637" s="1152"/>
      <c r="L2637" s="1153"/>
      <c r="M2637" s="1152"/>
      <c r="N2637" s="1152"/>
      <c r="O2637" s="732">
        <f t="shared" si="333"/>
        <v>0</v>
      </c>
      <c r="P2637" s="1153"/>
      <c r="Q2637" s="1153"/>
      <c r="R2637" s="733">
        <f t="shared" si="336"/>
        <v>0</v>
      </c>
      <c r="S2637" s="732">
        <f t="shared" si="337"/>
        <v>0</v>
      </c>
      <c r="T2637" s="733">
        <f t="shared" si="338"/>
        <v>0</v>
      </c>
      <c r="U2637" s="1152"/>
      <c r="V2637" s="1153"/>
      <c r="W2637" s="1152"/>
      <c r="X2637" s="1152"/>
      <c r="Y2637" s="732">
        <f t="shared" si="334"/>
        <v>0</v>
      </c>
      <c r="Z2637" s="1153"/>
      <c r="AA2637" s="1153"/>
      <c r="AB2637" s="733">
        <f t="shared" si="335"/>
        <v>0</v>
      </c>
      <c r="AC2637" s="1152"/>
      <c r="AD2637" s="1153"/>
      <c r="AE2637" s="1152"/>
      <c r="AF2637" s="1152"/>
      <c r="AG2637" s="1153"/>
      <c r="AH2637" s="1153"/>
      <c r="AI2637" s="732">
        <f t="shared" si="339"/>
        <v>0</v>
      </c>
      <c r="AJ2637" s="733">
        <f t="shared" si="340"/>
        <v>0</v>
      </c>
    </row>
    <row r="2638" spans="1:36">
      <c r="A2638" s="1137" t="s">
        <v>751</v>
      </c>
      <c r="B2638" s="1021" t="s">
        <v>248</v>
      </c>
      <c r="C2638" s="1023" t="s">
        <v>249</v>
      </c>
      <c r="D2638" s="1023"/>
      <c r="E2638" s="1136"/>
      <c r="F2638" s="1036">
        <v>99</v>
      </c>
      <c r="G2638" s="1152"/>
      <c r="H2638" s="1153"/>
      <c r="I2638" s="1152"/>
      <c r="J2638" s="1153"/>
      <c r="K2638" s="1152"/>
      <c r="L2638" s="1153"/>
      <c r="M2638" s="1152"/>
      <c r="N2638" s="1152"/>
      <c r="O2638" s="732">
        <f t="shared" si="333"/>
        <v>0</v>
      </c>
      <c r="P2638" s="1153"/>
      <c r="Q2638" s="1153"/>
      <c r="R2638" s="733">
        <f t="shared" si="336"/>
        <v>0</v>
      </c>
      <c r="S2638" s="732">
        <f t="shared" si="337"/>
        <v>0</v>
      </c>
      <c r="T2638" s="733">
        <f t="shared" si="338"/>
        <v>0</v>
      </c>
      <c r="U2638" s="1152"/>
      <c r="V2638" s="1153"/>
      <c r="W2638" s="1152"/>
      <c r="X2638" s="1152"/>
      <c r="Y2638" s="732">
        <f t="shared" si="334"/>
        <v>0</v>
      </c>
      <c r="Z2638" s="1153"/>
      <c r="AA2638" s="1153"/>
      <c r="AB2638" s="733">
        <f t="shared" si="335"/>
        <v>0</v>
      </c>
      <c r="AC2638" s="1152"/>
      <c r="AD2638" s="1153"/>
      <c r="AE2638" s="1152"/>
      <c r="AF2638" s="1152"/>
      <c r="AG2638" s="1153"/>
      <c r="AH2638" s="1153"/>
      <c r="AI2638" s="732">
        <f t="shared" si="339"/>
        <v>0</v>
      </c>
      <c r="AJ2638" s="733">
        <f t="shared" si="340"/>
        <v>0</v>
      </c>
    </row>
    <row r="2639" spans="1:36">
      <c r="A2639" s="1137" t="s">
        <v>751</v>
      </c>
      <c r="B2639" s="1021" t="s">
        <v>157</v>
      </c>
      <c r="C2639" s="1028" t="s">
        <v>158</v>
      </c>
      <c r="D2639" s="1027"/>
      <c r="E2639" s="1136"/>
      <c r="F2639" s="1036">
        <v>99</v>
      </c>
      <c r="G2639" s="1152"/>
      <c r="H2639" s="1153"/>
      <c r="I2639" s="1152"/>
      <c r="J2639" s="1153"/>
      <c r="K2639" s="1152"/>
      <c r="L2639" s="1153"/>
      <c r="M2639" s="1152"/>
      <c r="N2639" s="1152"/>
      <c r="O2639" s="732">
        <f t="shared" si="333"/>
        <v>0</v>
      </c>
      <c r="P2639" s="1153"/>
      <c r="Q2639" s="1153"/>
      <c r="R2639" s="733">
        <f t="shared" si="336"/>
        <v>0</v>
      </c>
      <c r="S2639" s="732">
        <f t="shared" si="337"/>
        <v>0</v>
      </c>
      <c r="T2639" s="733">
        <f t="shared" si="338"/>
        <v>0</v>
      </c>
      <c r="U2639" s="1152">
        <v>0</v>
      </c>
      <c r="V2639" s="1153">
        <v>0</v>
      </c>
      <c r="W2639" s="1152"/>
      <c r="X2639" s="1152"/>
      <c r="Y2639" s="732">
        <f t="shared" si="334"/>
        <v>0</v>
      </c>
      <c r="Z2639" s="1153"/>
      <c r="AA2639" s="1153"/>
      <c r="AB2639" s="733">
        <f t="shared" si="335"/>
        <v>0</v>
      </c>
      <c r="AC2639" s="1152"/>
      <c r="AD2639" s="1153"/>
      <c r="AE2639" s="1152"/>
      <c r="AF2639" s="1152"/>
      <c r="AG2639" s="1153"/>
      <c r="AH2639" s="1153"/>
      <c r="AI2639" s="732">
        <f t="shared" si="339"/>
        <v>0</v>
      </c>
      <c r="AJ2639" s="733">
        <f t="shared" si="340"/>
        <v>0</v>
      </c>
    </row>
    <row r="2640" spans="1:36">
      <c r="A2640" s="1137" t="s">
        <v>751</v>
      </c>
      <c r="B2640" s="1021" t="s">
        <v>157</v>
      </c>
      <c r="C2640" s="1026" t="s">
        <v>1459</v>
      </c>
      <c r="D2640" s="1027"/>
      <c r="E2640" s="1136"/>
      <c r="F2640" s="1036">
        <v>99</v>
      </c>
      <c r="G2640" s="1152"/>
      <c r="H2640" s="1153"/>
      <c r="I2640" s="1152"/>
      <c r="J2640" s="1153"/>
      <c r="K2640" s="1152"/>
      <c r="L2640" s="1153"/>
      <c r="M2640" s="1152"/>
      <c r="N2640" s="1152"/>
      <c r="O2640" s="732">
        <f t="shared" si="333"/>
        <v>0</v>
      </c>
      <c r="P2640" s="1153"/>
      <c r="Q2640" s="1153"/>
      <c r="R2640" s="733">
        <f t="shared" si="336"/>
        <v>0</v>
      </c>
      <c r="S2640" s="732">
        <f t="shared" si="337"/>
        <v>0</v>
      </c>
      <c r="T2640" s="733">
        <f t="shared" si="338"/>
        <v>0</v>
      </c>
      <c r="U2640" s="1152">
        <v>484971</v>
      </c>
      <c r="V2640" s="1153">
        <v>494351</v>
      </c>
      <c r="W2640" s="1152"/>
      <c r="X2640" s="1152"/>
      <c r="Y2640" s="732">
        <f t="shared" si="334"/>
        <v>0</v>
      </c>
      <c r="Z2640" s="1153"/>
      <c r="AA2640" s="1153"/>
      <c r="AB2640" s="733">
        <f t="shared" si="335"/>
        <v>0</v>
      </c>
      <c r="AC2640" s="1152"/>
      <c r="AD2640" s="1153"/>
      <c r="AE2640" s="1152"/>
      <c r="AF2640" s="1152"/>
      <c r="AG2640" s="1153"/>
      <c r="AH2640" s="1153"/>
      <c r="AI2640" s="732">
        <f t="shared" si="339"/>
        <v>484971</v>
      </c>
      <c r="AJ2640" s="733">
        <f t="shared" si="340"/>
        <v>494351</v>
      </c>
    </row>
    <row r="2641" spans="1:36">
      <c r="A2641" s="1137" t="s">
        <v>751</v>
      </c>
      <c r="B2641" s="1021" t="s">
        <v>157</v>
      </c>
      <c r="C2641" s="1026" t="s">
        <v>1460</v>
      </c>
      <c r="D2641" s="1027"/>
      <c r="E2641" s="1136"/>
      <c r="F2641" s="1036">
        <v>99</v>
      </c>
      <c r="G2641" s="1152"/>
      <c r="H2641" s="1153"/>
      <c r="I2641" s="1152"/>
      <c r="J2641" s="1153"/>
      <c r="K2641" s="1152"/>
      <c r="L2641" s="1153"/>
      <c r="M2641" s="1152"/>
      <c r="N2641" s="1152"/>
      <c r="O2641" s="732">
        <f t="shared" si="333"/>
        <v>0</v>
      </c>
      <c r="P2641" s="1153"/>
      <c r="Q2641" s="1153"/>
      <c r="R2641" s="733">
        <f t="shared" si="336"/>
        <v>0</v>
      </c>
      <c r="S2641" s="732">
        <f t="shared" si="337"/>
        <v>0</v>
      </c>
      <c r="T2641" s="733">
        <f t="shared" si="338"/>
        <v>0</v>
      </c>
      <c r="U2641" s="1152">
        <v>565799</v>
      </c>
      <c r="V2641" s="1153">
        <v>576743</v>
      </c>
      <c r="W2641" s="1152"/>
      <c r="X2641" s="1152"/>
      <c r="Y2641" s="732">
        <f t="shared" si="334"/>
        <v>0</v>
      </c>
      <c r="Z2641" s="1153"/>
      <c r="AA2641" s="1153"/>
      <c r="AB2641" s="733">
        <f t="shared" si="335"/>
        <v>0</v>
      </c>
      <c r="AC2641" s="1152"/>
      <c r="AD2641" s="1153"/>
      <c r="AE2641" s="1152"/>
      <c r="AF2641" s="1152"/>
      <c r="AG2641" s="1153"/>
      <c r="AH2641" s="1153"/>
      <c r="AI2641" s="732">
        <f t="shared" si="339"/>
        <v>565799</v>
      </c>
      <c r="AJ2641" s="733">
        <f t="shared" si="340"/>
        <v>576743</v>
      </c>
    </row>
    <row r="2642" spans="1:36">
      <c r="A2642" s="1137" t="s">
        <v>751</v>
      </c>
      <c r="B2642" s="1021" t="s">
        <v>157</v>
      </c>
      <c r="C2642" s="1026" t="s">
        <v>1461</v>
      </c>
      <c r="D2642" s="1027"/>
      <c r="E2642" s="1136"/>
      <c r="F2642" s="1036">
        <v>99</v>
      </c>
      <c r="G2642" s="1152"/>
      <c r="H2642" s="1153"/>
      <c r="I2642" s="1152"/>
      <c r="J2642" s="1153"/>
      <c r="K2642" s="1152"/>
      <c r="L2642" s="1153"/>
      <c r="M2642" s="1152"/>
      <c r="N2642" s="1152"/>
      <c r="O2642" s="732">
        <f t="shared" si="333"/>
        <v>0</v>
      </c>
      <c r="P2642" s="1153"/>
      <c r="Q2642" s="1153"/>
      <c r="R2642" s="733">
        <f t="shared" si="336"/>
        <v>0</v>
      </c>
      <c r="S2642" s="732">
        <f t="shared" si="337"/>
        <v>0</v>
      </c>
      <c r="T2642" s="733">
        <f t="shared" si="338"/>
        <v>0</v>
      </c>
      <c r="U2642" s="1152">
        <v>34870</v>
      </c>
      <c r="V2642" s="1153">
        <v>59241</v>
      </c>
      <c r="W2642" s="1152"/>
      <c r="X2642" s="1152"/>
      <c r="Y2642" s="732">
        <f t="shared" si="334"/>
        <v>0</v>
      </c>
      <c r="Z2642" s="1153"/>
      <c r="AA2642" s="1153"/>
      <c r="AB2642" s="733">
        <f t="shared" si="335"/>
        <v>0</v>
      </c>
      <c r="AC2642" s="1152"/>
      <c r="AD2642" s="1153"/>
      <c r="AE2642" s="1152"/>
      <c r="AF2642" s="1152"/>
      <c r="AG2642" s="1153"/>
      <c r="AH2642" s="1153"/>
      <c r="AI2642" s="732">
        <f t="shared" si="339"/>
        <v>34870</v>
      </c>
      <c r="AJ2642" s="733">
        <f t="shared" si="340"/>
        <v>59241</v>
      </c>
    </row>
    <row r="2643" spans="1:36">
      <c r="A2643" s="1137" t="s">
        <v>751</v>
      </c>
      <c r="B2643" s="1021" t="s">
        <v>157</v>
      </c>
      <c r="C2643" s="1026" t="s">
        <v>1462</v>
      </c>
      <c r="D2643" s="1027"/>
      <c r="E2643" s="1136"/>
      <c r="F2643" s="1036">
        <v>99</v>
      </c>
      <c r="G2643" s="1152"/>
      <c r="H2643" s="1153"/>
      <c r="I2643" s="1152"/>
      <c r="J2643" s="1153"/>
      <c r="K2643" s="1152"/>
      <c r="L2643" s="1153"/>
      <c r="M2643" s="1152"/>
      <c r="N2643" s="1152"/>
      <c r="O2643" s="732">
        <f t="shared" si="333"/>
        <v>0</v>
      </c>
      <c r="P2643" s="1153"/>
      <c r="Q2643" s="1153"/>
      <c r="R2643" s="733">
        <f t="shared" si="336"/>
        <v>0</v>
      </c>
      <c r="S2643" s="732">
        <f t="shared" si="337"/>
        <v>0</v>
      </c>
      <c r="T2643" s="733">
        <f t="shared" si="338"/>
        <v>0</v>
      </c>
      <c r="U2643" s="1152">
        <v>34870</v>
      </c>
      <c r="V2643" s="1153">
        <v>11848</v>
      </c>
      <c r="W2643" s="1152"/>
      <c r="X2643" s="1152"/>
      <c r="Y2643" s="732">
        <f t="shared" si="334"/>
        <v>0</v>
      </c>
      <c r="Z2643" s="1153"/>
      <c r="AA2643" s="1153"/>
      <c r="AB2643" s="733">
        <f t="shared" si="335"/>
        <v>0</v>
      </c>
      <c r="AC2643" s="1152"/>
      <c r="AD2643" s="1153"/>
      <c r="AE2643" s="1152"/>
      <c r="AF2643" s="1152"/>
      <c r="AG2643" s="1153"/>
      <c r="AH2643" s="1153"/>
      <c r="AI2643" s="732">
        <f t="shared" si="339"/>
        <v>34870</v>
      </c>
      <c r="AJ2643" s="733">
        <f t="shared" si="340"/>
        <v>11848</v>
      </c>
    </row>
    <row r="2644" spans="1:36">
      <c r="A2644" s="1137" t="s">
        <v>751</v>
      </c>
      <c r="B2644" s="1021" t="s">
        <v>157</v>
      </c>
      <c r="C2644" s="1026" t="s">
        <v>255</v>
      </c>
      <c r="D2644" s="1027"/>
      <c r="E2644" s="1136"/>
      <c r="F2644" s="1036">
        <v>99</v>
      </c>
      <c r="G2644" s="1152"/>
      <c r="H2644" s="1153"/>
      <c r="I2644" s="1152"/>
      <c r="J2644" s="1153"/>
      <c r="K2644" s="1152"/>
      <c r="L2644" s="1153"/>
      <c r="M2644" s="1152"/>
      <c r="N2644" s="1152"/>
      <c r="O2644" s="732">
        <f t="shared" si="333"/>
        <v>0</v>
      </c>
      <c r="P2644" s="1153"/>
      <c r="Q2644" s="1153"/>
      <c r="R2644" s="733">
        <f t="shared" si="336"/>
        <v>0</v>
      </c>
      <c r="S2644" s="732">
        <f t="shared" si="337"/>
        <v>0</v>
      </c>
      <c r="T2644" s="733">
        <f t="shared" si="338"/>
        <v>0</v>
      </c>
      <c r="U2644" s="1152">
        <v>104610</v>
      </c>
      <c r="V2644" s="1153">
        <v>82937</v>
      </c>
      <c r="W2644" s="1152"/>
      <c r="X2644" s="1152"/>
      <c r="Y2644" s="732">
        <f t="shared" si="334"/>
        <v>0</v>
      </c>
      <c r="Z2644" s="1153"/>
      <c r="AA2644" s="1153"/>
      <c r="AB2644" s="733">
        <f t="shared" si="335"/>
        <v>0</v>
      </c>
      <c r="AC2644" s="1152"/>
      <c r="AD2644" s="1153"/>
      <c r="AE2644" s="1152"/>
      <c r="AF2644" s="1152"/>
      <c r="AG2644" s="1153"/>
      <c r="AH2644" s="1153"/>
      <c r="AI2644" s="732">
        <f t="shared" si="339"/>
        <v>104610</v>
      </c>
      <c r="AJ2644" s="733">
        <f t="shared" si="340"/>
        <v>82937</v>
      </c>
    </row>
    <row r="2645" spans="1:36">
      <c r="A2645" s="1137" t="s">
        <v>751</v>
      </c>
      <c r="B2645" s="1021" t="s">
        <v>157</v>
      </c>
      <c r="C2645" s="1026" t="s">
        <v>1463</v>
      </c>
      <c r="D2645" s="1027"/>
      <c r="E2645" s="1136"/>
      <c r="F2645" s="1036">
        <v>99</v>
      </c>
      <c r="G2645" s="1152"/>
      <c r="H2645" s="1153"/>
      <c r="I2645" s="1152"/>
      <c r="J2645" s="1153"/>
      <c r="K2645" s="1152"/>
      <c r="L2645" s="1153"/>
      <c r="M2645" s="1152"/>
      <c r="N2645" s="1152"/>
      <c r="O2645" s="732">
        <f t="shared" si="333"/>
        <v>0</v>
      </c>
      <c r="P2645" s="1153"/>
      <c r="Q2645" s="1153"/>
      <c r="R2645" s="733">
        <f t="shared" si="336"/>
        <v>0</v>
      </c>
      <c r="S2645" s="732">
        <f t="shared" si="337"/>
        <v>0</v>
      </c>
      <c r="T2645" s="733">
        <f t="shared" si="338"/>
        <v>0</v>
      </c>
      <c r="U2645" s="1152"/>
      <c r="V2645" s="1153"/>
      <c r="W2645" s="1152"/>
      <c r="X2645" s="1152"/>
      <c r="Y2645" s="732">
        <f t="shared" si="334"/>
        <v>0</v>
      </c>
      <c r="Z2645" s="1153"/>
      <c r="AA2645" s="1153"/>
      <c r="AB2645" s="733">
        <f t="shared" si="335"/>
        <v>0</v>
      </c>
      <c r="AC2645" s="1152"/>
      <c r="AD2645" s="1153"/>
      <c r="AE2645" s="1152"/>
      <c r="AF2645" s="1152"/>
      <c r="AG2645" s="1153"/>
      <c r="AH2645" s="1153"/>
      <c r="AI2645" s="732">
        <f t="shared" si="339"/>
        <v>0</v>
      </c>
      <c r="AJ2645" s="733">
        <f t="shared" si="340"/>
        <v>0</v>
      </c>
    </row>
    <row r="2646" spans="1:36">
      <c r="A2646" s="1137" t="s">
        <v>751</v>
      </c>
      <c r="B2646" s="1021" t="s">
        <v>159</v>
      </c>
      <c r="C2646" s="1023" t="s">
        <v>160</v>
      </c>
      <c r="D2646" s="1023"/>
      <c r="E2646" s="1136"/>
      <c r="F2646" s="1036">
        <v>99</v>
      </c>
      <c r="G2646" s="1152"/>
      <c r="H2646" s="1153"/>
      <c r="I2646" s="1152"/>
      <c r="J2646" s="1153"/>
      <c r="K2646" s="1152"/>
      <c r="L2646" s="1153"/>
      <c r="M2646" s="1152"/>
      <c r="N2646" s="1152"/>
      <c r="O2646" s="732">
        <f t="shared" si="333"/>
        <v>0</v>
      </c>
      <c r="P2646" s="1153"/>
      <c r="Q2646" s="1153"/>
      <c r="R2646" s="733">
        <f t="shared" si="336"/>
        <v>0</v>
      </c>
      <c r="S2646" s="732">
        <f t="shared" si="337"/>
        <v>0</v>
      </c>
      <c r="T2646" s="733">
        <f t="shared" si="338"/>
        <v>0</v>
      </c>
      <c r="U2646" s="1152"/>
      <c r="V2646" s="1153"/>
      <c r="W2646" s="1152"/>
      <c r="X2646" s="1152"/>
      <c r="Y2646" s="732">
        <f t="shared" si="334"/>
        <v>0</v>
      </c>
      <c r="Z2646" s="1153"/>
      <c r="AA2646" s="1153"/>
      <c r="AB2646" s="733">
        <f t="shared" si="335"/>
        <v>0</v>
      </c>
      <c r="AC2646" s="1152"/>
      <c r="AD2646" s="1153"/>
      <c r="AE2646" s="1152"/>
      <c r="AF2646" s="1152"/>
      <c r="AG2646" s="1153"/>
      <c r="AH2646" s="1153"/>
      <c r="AI2646" s="732">
        <f t="shared" si="339"/>
        <v>0</v>
      </c>
      <c r="AJ2646" s="733">
        <f t="shared" si="340"/>
        <v>0</v>
      </c>
    </row>
    <row r="2647" spans="1:36">
      <c r="A2647" s="1137" t="s">
        <v>751</v>
      </c>
      <c r="B2647" s="1021" t="s">
        <v>161</v>
      </c>
      <c r="C2647" s="1039" t="s">
        <v>162</v>
      </c>
      <c r="D2647" s="1034"/>
      <c r="E2647" s="1136"/>
      <c r="F2647" s="1036">
        <v>99</v>
      </c>
      <c r="G2647" s="1152"/>
      <c r="H2647" s="1153"/>
      <c r="I2647" s="1152"/>
      <c r="J2647" s="1153"/>
      <c r="K2647" s="1152"/>
      <c r="L2647" s="1153"/>
      <c r="M2647" s="1152"/>
      <c r="N2647" s="1152"/>
      <c r="O2647" s="732">
        <f t="shared" si="333"/>
        <v>0</v>
      </c>
      <c r="P2647" s="1153"/>
      <c r="Q2647" s="1153"/>
      <c r="R2647" s="733">
        <f t="shared" si="336"/>
        <v>0</v>
      </c>
      <c r="S2647" s="732">
        <f t="shared" si="337"/>
        <v>0</v>
      </c>
      <c r="T2647" s="733">
        <f t="shared" si="338"/>
        <v>0</v>
      </c>
      <c r="U2647" s="1152"/>
      <c r="V2647" s="1153"/>
      <c r="W2647" s="1152"/>
      <c r="X2647" s="1152"/>
      <c r="Y2647" s="732">
        <f t="shared" si="334"/>
        <v>0</v>
      </c>
      <c r="Z2647" s="1153"/>
      <c r="AA2647" s="1153"/>
      <c r="AB2647" s="733">
        <f t="shared" si="335"/>
        <v>0</v>
      </c>
      <c r="AC2647" s="1152"/>
      <c r="AD2647" s="1153"/>
      <c r="AE2647" s="1152"/>
      <c r="AF2647" s="1152"/>
      <c r="AG2647" s="1153"/>
      <c r="AH2647" s="1153"/>
      <c r="AI2647" s="732">
        <f t="shared" si="339"/>
        <v>0</v>
      </c>
      <c r="AJ2647" s="733">
        <f t="shared" si="340"/>
        <v>0</v>
      </c>
    </row>
    <row r="2648" spans="1:36">
      <c r="A2648" s="1137" t="s">
        <v>751</v>
      </c>
      <c r="B2648" s="1021" t="s">
        <v>161</v>
      </c>
      <c r="C2648" s="1040" t="s">
        <v>1401</v>
      </c>
      <c r="D2648" s="1027"/>
      <c r="E2648" s="1136"/>
      <c r="F2648" s="1036">
        <v>99</v>
      </c>
      <c r="G2648" s="1152"/>
      <c r="H2648" s="1153"/>
      <c r="I2648" s="1152"/>
      <c r="J2648" s="1153"/>
      <c r="K2648" s="1152"/>
      <c r="L2648" s="1153"/>
      <c r="M2648" s="1152"/>
      <c r="N2648" s="1152"/>
      <c r="O2648" s="732">
        <f t="shared" si="333"/>
        <v>0</v>
      </c>
      <c r="P2648" s="1153"/>
      <c r="Q2648" s="1153"/>
      <c r="R2648" s="733">
        <f t="shared" si="336"/>
        <v>0</v>
      </c>
      <c r="S2648" s="732">
        <f t="shared" si="337"/>
        <v>0</v>
      </c>
      <c r="T2648" s="733">
        <f t="shared" si="338"/>
        <v>0</v>
      </c>
      <c r="U2648" s="1152"/>
      <c r="V2648" s="1153"/>
      <c r="W2648" s="1152"/>
      <c r="X2648" s="1152"/>
      <c r="Y2648" s="732">
        <f t="shared" si="334"/>
        <v>0</v>
      </c>
      <c r="Z2648" s="1153"/>
      <c r="AA2648" s="1153"/>
      <c r="AB2648" s="733">
        <f t="shared" si="335"/>
        <v>0</v>
      </c>
      <c r="AC2648" s="1152"/>
      <c r="AD2648" s="1153"/>
      <c r="AE2648" s="1152"/>
      <c r="AF2648" s="1152"/>
      <c r="AG2648" s="1153"/>
      <c r="AH2648" s="1153"/>
      <c r="AI2648" s="732">
        <f t="shared" si="339"/>
        <v>0</v>
      </c>
      <c r="AJ2648" s="733">
        <f t="shared" si="340"/>
        <v>0</v>
      </c>
    </row>
    <row r="2649" spans="1:36">
      <c r="A2649" s="1137" t="s">
        <v>751</v>
      </c>
      <c r="B2649" s="1047" t="s">
        <v>170</v>
      </c>
      <c r="C2649" s="1026" t="s">
        <v>171</v>
      </c>
      <c r="D2649" s="1027"/>
      <c r="E2649" s="1138"/>
      <c r="F2649" s="1036">
        <v>99</v>
      </c>
      <c r="G2649" s="1152"/>
      <c r="H2649" s="1153"/>
      <c r="I2649" s="1152"/>
      <c r="J2649" s="1153"/>
      <c r="K2649" s="1152"/>
      <c r="L2649" s="1153"/>
      <c r="M2649" s="1152"/>
      <c r="N2649" s="1152"/>
      <c r="O2649" s="732">
        <f t="shared" si="333"/>
        <v>0</v>
      </c>
      <c r="P2649" s="1153"/>
      <c r="Q2649" s="1153"/>
      <c r="R2649" s="733">
        <f t="shared" si="336"/>
        <v>0</v>
      </c>
      <c r="S2649" s="732">
        <f t="shared" si="337"/>
        <v>0</v>
      </c>
      <c r="T2649" s="733">
        <f t="shared" si="338"/>
        <v>0</v>
      </c>
      <c r="U2649" s="1152"/>
      <c r="V2649" s="1153"/>
      <c r="W2649" s="1152"/>
      <c r="X2649" s="1152"/>
      <c r="Y2649" s="732">
        <f t="shared" si="334"/>
        <v>0</v>
      </c>
      <c r="Z2649" s="1153"/>
      <c r="AA2649" s="1153"/>
      <c r="AB2649" s="733">
        <f t="shared" si="335"/>
        <v>0</v>
      </c>
      <c r="AC2649" s="1152"/>
      <c r="AD2649" s="1153"/>
      <c r="AE2649" s="1152"/>
      <c r="AF2649" s="1152"/>
      <c r="AG2649" s="1153"/>
      <c r="AH2649" s="1153"/>
      <c r="AI2649" s="732">
        <f t="shared" si="339"/>
        <v>0</v>
      </c>
      <c r="AJ2649" s="733">
        <f t="shared" si="340"/>
        <v>0</v>
      </c>
    </row>
    <row r="2650" spans="1:36">
      <c r="A2650" s="1020" t="s">
        <v>751</v>
      </c>
      <c r="B2650" s="1047" t="s">
        <v>172</v>
      </c>
      <c r="C2650" s="1026" t="s">
        <v>165</v>
      </c>
      <c r="D2650" s="1027"/>
      <c r="E2650" s="1138"/>
      <c r="F2650" s="1036">
        <v>99</v>
      </c>
      <c r="G2650" s="1152"/>
      <c r="H2650" s="1153"/>
      <c r="I2650" s="1152"/>
      <c r="J2650" s="1153"/>
      <c r="K2650" s="1152"/>
      <c r="L2650" s="1153"/>
      <c r="M2650" s="1152"/>
      <c r="N2650" s="1152"/>
      <c r="O2650" s="732">
        <f t="shared" si="333"/>
        <v>0</v>
      </c>
      <c r="P2650" s="1153"/>
      <c r="Q2650" s="1153"/>
      <c r="R2650" s="733">
        <f t="shared" si="336"/>
        <v>0</v>
      </c>
      <c r="S2650" s="732">
        <f t="shared" si="337"/>
        <v>0</v>
      </c>
      <c r="T2650" s="733">
        <f t="shared" si="338"/>
        <v>0</v>
      </c>
      <c r="U2650" s="1152">
        <v>43719455</v>
      </c>
      <c r="V2650" s="1153">
        <v>43951048</v>
      </c>
      <c r="W2650" s="1152"/>
      <c r="X2650" s="1152"/>
      <c r="Y2650" s="732">
        <f t="shared" si="334"/>
        <v>0</v>
      </c>
      <c r="Z2650" s="1153"/>
      <c r="AA2650" s="1153"/>
      <c r="AB2650" s="733">
        <f t="shared" si="335"/>
        <v>0</v>
      </c>
      <c r="AC2650" s="1152"/>
      <c r="AD2650" s="1153"/>
      <c r="AE2650" s="1152"/>
      <c r="AF2650" s="1152"/>
      <c r="AG2650" s="1153"/>
      <c r="AH2650" s="1153"/>
      <c r="AI2650" s="732">
        <f t="shared" si="339"/>
        <v>43719455</v>
      </c>
      <c r="AJ2650" s="733">
        <f t="shared" si="340"/>
        <v>43951048</v>
      </c>
    </row>
    <row r="2651" spans="1:36">
      <c r="A2651" s="1020" t="s">
        <v>751</v>
      </c>
      <c r="B2651" s="1047" t="s">
        <v>173</v>
      </c>
      <c r="C2651" s="1026" t="s">
        <v>167</v>
      </c>
      <c r="D2651" s="1027"/>
      <c r="E2651" s="1138"/>
      <c r="F2651" s="1036">
        <v>99</v>
      </c>
      <c r="G2651" s="1152"/>
      <c r="H2651" s="1153"/>
      <c r="I2651" s="1152"/>
      <c r="J2651" s="1153"/>
      <c r="K2651" s="1152"/>
      <c r="L2651" s="1153"/>
      <c r="M2651" s="1152"/>
      <c r="N2651" s="1152"/>
      <c r="O2651" s="732">
        <f t="shared" si="333"/>
        <v>0</v>
      </c>
      <c r="P2651" s="1153"/>
      <c r="Q2651" s="1153"/>
      <c r="R2651" s="733">
        <f t="shared" si="336"/>
        <v>0</v>
      </c>
      <c r="S2651" s="732">
        <f t="shared" si="337"/>
        <v>0</v>
      </c>
      <c r="T2651" s="733">
        <f t="shared" si="338"/>
        <v>0</v>
      </c>
      <c r="U2651" s="1152"/>
      <c r="V2651" s="1153"/>
      <c r="W2651" s="1152"/>
      <c r="X2651" s="1152"/>
      <c r="Y2651" s="732">
        <f t="shared" si="334"/>
        <v>0</v>
      </c>
      <c r="Z2651" s="1153"/>
      <c r="AA2651" s="1153"/>
      <c r="AB2651" s="733">
        <f t="shared" si="335"/>
        <v>0</v>
      </c>
      <c r="AC2651" s="1152"/>
      <c r="AD2651" s="1153"/>
      <c r="AE2651" s="1152"/>
      <c r="AF2651" s="1152"/>
      <c r="AG2651" s="1153"/>
      <c r="AH2651" s="1153"/>
      <c r="AI2651" s="732">
        <f t="shared" si="339"/>
        <v>0</v>
      </c>
      <c r="AJ2651" s="733">
        <f t="shared" si="340"/>
        <v>0</v>
      </c>
    </row>
    <row r="2652" spans="1:36">
      <c r="A2652" s="1020" t="s">
        <v>751</v>
      </c>
      <c r="B2652" s="1021" t="s">
        <v>176</v>
      </c>
      <c r="C2652" s="1026" t="s">
        <v>177</v>
      </c>
      <c r="D2652" s="1027"/>
      <c r="E2652" s="1138"/>
      <c r="F2652" s="1036">
        <v>99</v>
      </c>
      <c r="G2652" s="1152"/>
      <c r="H2652" s="1153"/>
      <c r="I2652" s="1152"/>
      <c r="J2652" s="1153"/>
      <c r="K2652" s="1152"/>
      <c r="L2652" s="1153"/>
      <c r="M2652" s="1152"/>
      <c r="N2652" s="1152"/>
      <c r="O2652" s="732">
        <f t="shared" si="333"/>
        <v>0</v>
      </c>
      <c r="P2652" s="1153"/>
      <c r="Q2652" s="1153"/>
      <c r="R2652" s="733">
        <f t="shared" si="336"/>
        <v>0</v>
      </c>
      <c r="S2652" s="732">
        <f t="shared" si="337"/>
        <v>0</v>
      </c>
      <c r="T2652" s="733">
        <f t="shared" si="338"/>
        <v>0</v>
      </c>
      <c r="U2652" s="1152"/>
      <c r="V2652" s="1153"/>
      <c r="W2652" s="1152"/>
      <c r="X2652" s="1152"/>
      <c r="Y2652" s="732">
        <f t="shared" si="334"/>
        <v>0</v>
      </c>
      <c r="Z2652" s="1153"/>
      <c r="AA2652" s="1153"/>
      <c r="AB2652" s="733">
        <f t="shared" si="335"/>
        <v>0</v>
      </c>
      <c r="AC2652" s="1152"/>
      <c r="AD2652" s="1153"/>
      <c r="AE2652" s="1152"/>
      <c r="AF2652" s="1152"/>
      <c r="AG2652" s="1153"/>
      <c r="AH2652" s="1153"/>
      <c r="AI2652" s="732">
        <f t="shared" si="339"/>
        <v>0</v>
      </c>
      <c r="AJ2652" s="733">
        <f t="shared" si="340"/>
        <v>0</v>
      </c>
    </row>
    <row r="2653" spans="1:36">
      <c r="A2653" s="1020" t="s">
        <v>751</v>
      </c>
      <c r="B2653" s="1047" t="s">
        <v>180</v>
      </c>
      <c r="C2653" s="1026" t="s">
        <v>165</v>
      </c>
      <c r="D2653" s="1027"/>
      <c r="E2653" s="1138"/>
      <c r="F2653" s="1036">
        <v>99</v>
      </c>
      <c r="G2653" s="1152"/>
      <c r="H2653" s="1153"/>
      <c r="I2653" s="1152"/>
      <c r="J2653" s="1153"/>
      <c r="K2653" s="1152"/>
      <c r="L2653" s="1153"/>
      <c r="M2653" s="1152"/>
      <c r="N2653" s="1152"/>
      <c r="O2653" s="732">
        <f t="shared" si="333"/>
        <v>0</v>
      </c>
      <c r="P2653" s="1153"/>
      <c r="Q2653" s="1153"/>
      <c r="R2653" s="733">
        <f t="shared" si="336"/>
        <v>0</v>
      </c>
      <c r="S2653" s="732">
        <f t="shared" si="337"/>
        <v>0</v>
      </c>
      <c r="T2653" s="733">
        <f t="shared" si="338"/>
        <v>0</v>
      </c>
      <c r="U2653" s="1152">
        <v>3175330</v>
      </c>
      <c r="V2653" s="1153">
        <v>2832076</v>
      </c>
      <c r="W2653" s="1152"/>
      <c r="X2653" s="1152"/>
      <c r="Y2653" s="732">
        <f t="shared" si="334"/>
        <v>0</v>
      </c>
      <c r="Z2653" s="1153"/>
      <c r="AA2653" s="1153"/>
      <c r="AB2653" s="733">
        <f t="shared" si="335"/>
        <v>0</v>
      </c>
      <c r="AC2653" s="1152"/>
      <c r="AD2653" s="1153"/>
      <c r="AE2653" s="1152"/>
      <c r="AF2653" s="1152"/>
      <c r="AG2653" s="1153"/>
      <c r="AH2653" s="1153"/>
      <c r="AI2653" s="732">
        <f t="shared" si="339"/>
        <v>3175330</v>
      </c>
      <c r="AJ2653" s="733">
        <f t="shared" si="340"/>
        <v>2832076</v>
      </c>
    </row>
    <row r="2654" spans="1:36">
      <c r="A2654" s="1020" t="s">
        <v>751</v>
      </c>
      <c r="B2654" s="1047" t="s">
        <v>178</v>
      </c>
      <c r="C2654" s="1026" t="s">
        <v>167</v>
      </c>
      <c r="D2654" s="1027"/>
      <c r="E2654" s="1138"/>
      <c r="F2654" s="1036">
        <v>99</v>
      </c>
      <c r="G2654" s="1152"/>
      <c r="H2654" s="1153"/>
      <c r="I2654" s="1152"/>
      <c r="J2654" s="1153"/>
      <c r="K2654" s="1152"/>
      <c r="L2654" s="1153"/>
      <c r="M2654" s="1152"/>
      <c r="N2654" s="1152"/>
      <c r="O2654" s="732">
        <f t="shared" si="333"/>
        <v>0</v>
      </c>
      <c r="P2654" s="1153"/>
      <c r="Q2654" s="1153"/>
      <c r="R2654" s="733">
        <f t="shared" si="336"/>
        <v>0</v>
      </c>
      <c r="S2654" s="732">
        <f t="shared" si="337"/>
        <v>0</v>
      </c>
      <c r="T2654" s="733">
        <f t="shared" si="338"/>
        <v>0</v>
      </c>
      <c r="U2654" s="1152"/>
      <c r="V2654" s="1153"/>
      <c r="W2654" s="1152"/>
      <c r="X2654" s="1152"/>
      <c r="Y2654" s="732">
        <f t="shared" si="334"/>
        <v>0</v>
      </c>
      <c r="Z2654" s="1153"/>
      <c r="AA2654" s="1153"/>
      <c r="AB2654" s="733">
        <f t="shared" si="335"/>
        <v>0</v>
      </c>
      <c r="AC2654" s="1152"/>
      <c r="AD2654" s="1153"/>
      <c r="AE2654" s="1152"/>
      <c r="AF2654" s="1152"/>
      <c r="AG2654" s="1153"/>
      <c r="AH2654" s="1153"/>
      <c r="AI2654" s="732">
        <f t="shared" si="339"/>
        <v>0</v>
      </c>
      <c r="AJ2654" s="733">
        <f t="shared" si="340"/>
        <v>0</v>
      </c>
    </row>
    <row r="2655" spans="1:36">
      <c r="A2655" s="1020" t="s">
        <v>751</v>
      </c>
      <c r="B2655" s="1021" t="s">
        <v>161</v>
      </c>
      <c r="C2655" s="1040" t="s">
        <v>1400</v>
      </c>
      <c r="D2655" s="1027"/>
      <c r="E2655" s="1138"/>
      <c r="F2655" s="1036">
        <v>99</v>
      </c>
      <c r="G2655" s="1152"/>
      <c r="H2655" s="1153"/>
      <c r="I2655" s="1152"/>
      <c r="J2655" s="1153"/>
      <c r="K2655" s="1152"/>
      <c r="L2655" s="1153"/>
      <c r="M2655" s="1152"/>
      <c r="N2655" s="1152"/>
      <c r="O2655" s="732">
        <f t="shared" si="333"/>
        <v>0</v>
      </c>
      <c r="P2655" s="1153"/>
      <c r="Q2655" s="1153"/>
      <c r="R2655" s="733">
        <f t="shared" si="336"/>
        <v>0</v>
      </c>
      <c r="S2655" s="732">
        <f t="shared" si="337"/>
        <v>0</v>
      </c>
      <c r="T2655" s="733">
        <f t="shared" si="338"/>
        <v>0</v>
      </c>
      <c r="U2655" s="1152"/>
      <c r="V2655" s="1153"/>
      <c r="W2655" s="1152"/>
      <c r="X2655" s="1152"/>
      <c r="Y2655" s="732">
        <f t="shared" si="334"/>
        <v>0</v>
      </c>
      <c r="Z2655" s="1153"/>
      <c r="AA2655" s="1153"/>
      <c r="AB2655" s="733">
        <f t="shared" si="335"/>
        <v>0</v>
      </c>
      <c r="AC2655" s="1152"/>
      <c r="AD2655" s="1153"/>
      <c r="AE2655" s="1152"/>
      <c r="AF2655" s="1152"/>
      <c r="AG2655" s="1153"/>
      <c r="AH2655" s="1153"/>
      <c r="AI2655" s="732">
        <f t="shared" si="339"/>
        <v>0</v>
      </c>
      <c r="AJ2655" s="733">
        <f t="shared" si="340"/>
        <v>0</v>
      </c>
    </row>
    <row r="2656" spans="1:36">
      <c r="A2656" s="1020" t="s">
        <v>751</v>
      </c>
      <c r="B2656" s="1047" t="s">
        <v>170</v>
      </c>
      <c r="C2656" s="1026" t="s">
        <v>171</v>
      </c>
      <c r="D2656" s="1027"/>
      <c r="E2656" s="1138"/>
      <c r="F2656" s="1036">
        <v>99</v>
      </c>
      <c r="G2656" s="1152"/>
      <c r="H2656" s="1153"/>
      <c r="I2656" s="1152"/>
      <c r="J2656" s="1153"/>
      <c r="K2656" s="1152"/>
      <c r="L2656" s="1153"/>
      <c r="M2656" s="1152"/>
      <c r="N2656" s="1152"/>
      <c r="O2656" s="732">
        <f t="shared" si="333"/>
        <v>0</v>
      </c>
      <c r="P2656" s="1153"/>
      <c r="Q2656" s="1153"/>
      <c r="R2656" s="733">
        <f t="shared" si="336"/>
        <v>0</v>
      </c>
      <c r="S2656" s="732">
        <f t="shared" si="337"/>
        <v>0</v>
      </c>
      <c r="T2656" s="733">
        <f t="shared" si="338"/>
        <v>0</v>
      </c>
      <c r="U2656" s="1152"/>
      <c r="V2656" s="1153"/>
      <c r="W2656" s="1152"/>
      <c r="X2656" s="1152"/>
      <c r="Y2656" s="732">
        <f t="shared" si="334"/>
        <v>0</v>
      </c>
      <c r="Z2656" s="1153"/>
      <c r="AA2656" s="1153"/>
      <c r="AB2656" s="733">
        <f t="shared" si="335"/>
        <v>0</v>
      </c>
      <c r="AC2656" s="1152"/>
      <c r="AD2656" s="1153"/>
      <c r="AE2656" s="1152"/>
      <c r="AF2656" s="1152"/>
      <c r="AG2656" s="1153"/>
      <c r="AH2656" s="1153"/>
      <c r="AI2656" s="732">
        <f t="shared" si="339"/>
        <v>0</v>
      </c>
      <c r="AJ2656" s="733">
        <f t="shared" si="340"/>
        <v>0</v>
      </c>
    </row>
    <row r="2657" spans="1:36">
      <c r="A2657" s="1020" t="s">
        <v>751</v>
      </c>
      <c r="B2657" s="1047" t="s">
        <v>172</v>
      </c>
      <c r="C2657" s="1026" t="s">
        <v>165</v>
      </c>
      <c r="D2657" s="1027"/>
      <c r="E2657" s="1138"/>
      <c r="F2657" s="1036">
        <v>99</v>
      </c>
      <c r="G2657" s="1152"/>
      <c r="H2657" s="1153"/>
      <c r="I2657" s="1152"/>
      <c r="J2657" s="1153"/>
      <c r="K2657" s="1152"/>
      <c r="L2657" s="1153"/>
      <c r="M2657" s="1152"/>
      <c r="N2657" s="1152"/>
      <c r="O2657" s="732">
        <f t="shared" si="333"/>
        <v>0</v>
      </c>
      <c r="P2657" s="1153"/>
      <c r="Q2657" s="1153"/>
      <c r="R2657" s="733">
        <f t="shared" si="336"/>
        <v>0</v>
      </c>
      <c r="S2657" s="732">
        <f t="shared" si="337"/>
        <v>0</v>
      </c>
      <c r="T2657" s="733">
        <f t="shared" si="338"/>
        <v>0</v>
      </c>
      <c r="U2657" s="1152"/>
      <c r="V2657" s="1153"/>
      <c r="W2657" s="1152"/>
      <c r="X2657" s="1152"/>
      <c r="Y2657" s="732">
        <f t="shared" si="334"/>
        <v>0</v>
      </c>
      <c r="Z2657" s="1153"/>
      <c r="AA2657" s="1153"/>
      <c r="AB2657" s="733">
        <f t="shared" si="335"/>
        <v>0</v>
      </c>
      <c r="AC2657" s="1152"/>
      <c r="AD2657" s="1153"/>
      <c r="AE2657" s="1152"/>
      <c r="AF2657" s="1152"/>
      <c r="AG2657" s="1153"/>
      <c r="AH2657" s="1153"/>
      <c r="AI2657" s="732">
        <f t="shared" si="339"/>
        <v>0</v>
      </c>
      <c r="AJ2657" s="733">
        <f t="shared" si="340"/>
        <v>0</v>
      </c>
    </row>
    <row r="2658" spans="1:36">
      <c r="A2658" s="1020" t="s">
        <v>751</v>
      </c>
      <c r="B2658" s="1047" t="s">
        <v>173</v>
      </c>
      <c r="C2658" s="1026" t="s">
        <v>167</v>
      </c>
      <c r="D2658" s="1027"/>
      <c r="E2658" s="1138"/>
      <c r="F2658" s="1036">
        <v>99</v>
      </c>
      <c r="G2658" s="1152"/>
      <c r="H2658" s="1153"/>
      <c r="I2658" s="1152"/>
      <c r="J2658" s="1153"/>
      <c r="K2658" s="1152"/>
      <c r="L2658" s="1153"/>
      <c r="M2658" s="1152"/>
      <c r="N2658" s="1152"/>
      <c r="O2658" s="732">
        <f t="shared" si="333"/>
        <v>0</v>
      </c>
      <c r="P2658" s="1153"/>
      <c r="Q2658" s="1153"/>
      <c r="R2658" s="733">
        <f t="shared" si="336"/>
        <v>0</v>
      </c>
      <c r="S2658" s="732">
        <f t="shared" si="337"/>
        <v>0</v>
      </c>
      <c r="T2658" s="733">
        <f t="shared" si="338"/>
        <v>0</v>
      </c>
      <c r="U2658" s="1152">
        <v>38411129</v>
      </c>
      <c r="V2658" s="1153">
        <v>35201850</v>
      </c>
      <c r="W2658" s="1152"/>
      <c r="X2658" s="1152"/>
      <c r="Y2658" s="732">
        <f t="shared" si="334"/>
        <v>0</v>
      </c>
      <c r="Z2658" s="1153"/>
      <c r="AA2658" s="1153"/>
      <c r="AB2658" s="733">
        <f t="shared" si="335"/>
        <v>0</v>
      </c>
      <c r="AC2658" s="1152"/>
      <c r="AD2658" s="1153"/>
      <c r="AE2658" s="1152"/>
      <c r="AF2658" s="1152"/>
      <c r="AG2658" s="1153"/>
      <c r="AH2658" s="1153"/>
      <c r="AI2658" s="732">
        <f t="shared" si="339"/>
        <v>38411129</v>
      </c>
      <c r="AJ2658" s="733">
        <f t="shared" si="340"/>
        <v>35201850</v>
      </c>
    </row>
    <row r="2659" spans="1:36">
      <c r="A2659" s="1020" t="s">
        <v>751</v>
      </c>
      <c r="B2659" s="1021" t="s">
        <v>176</v>
      </c>
      <c r="C2659" s="1026" t="s">
        <v>177</v>
      </c>
      <c r="D2659" s="1027"/>
      <c r="E2659" s="1138"/>
      <c r="F2659" s="1036">
        <v>99</v>
      </c>
      <c r="G2659" s="1152"/>
      <c r="H2659" s="1153"/>
      <c r="I2659" s="1152"/>
      <c r="J2659" s="1153"/>
      <c r="K2659" s="1152"/>
      <c r="L2659" s="1153"/>
      <c r="M2659" s="1152"/>
      <c r="N2659" s="1152"/>
      <c r="O2659" s="732">
        <f t="shared" si="333"/>
        <v>0</v>
      </c>
      <c r="P2659" s="1153"/>
      <c r="Q2659" s="1153"/>
      <c r="R2659" s="733">
        <f t="shared" si="336"/>
        <v>0</v>
      </c>
      <c r="S2659" s="732">
        <f t="shared" si="337"/>
        <v>0</v>
      </c>
      <c r="T2659" s="733">
        <f t="shared" si="338"/>
        <v>0</v>
      </c>
      <c r="U2659" s="1152"/>
      <c r="V2659" s="1153"/>
      <c r="W2659" s="1152"/>
      <c r="X2659" s="1152"/>
      <c r="Y2659" s="732">
        <f t="shared" si="334"/>
        <v>0</v>
      </c>
      <c r="Z2659" s="1153"/>
      <c r="AA2659" s="1153"/>
      <c r="AB2659" s="733">
        <f t="shared" si="335"/>
        <v>0</v>
      </c>
      <c r="AC2659" s="1152"/>
      <c r="AD2659" s="1153"/>
      <c r="AE2659" s="1152"/>
      <c r="AF2659" s="1152"/>
      <c r="AG2659" s="1153"/>
      <c r="AH2659" s="1153"/>
      <c r="AI2659" s="732">
        <f t="shared" si="339"/>
        <v>0</v>
      </c>
      <c r="AJ2659" s="733">
        <f t="shared" si="340"/>
        <v>0</v>
      </c>
    </row>
    <row r="2660" spans="1:36">
      <c r="A2660" s="1020" t="s">
        <v>751</v>
      </c>
      <c r="B2660" s="1047" t="s">
        <v>180</v>
      </c>
      <c r="C2660" s="1026" t="s">
        <v>165</v>
      </c>
      <c r="D2660" s="1027"/>
      <c r="E2660" s="1138"/>
      <c r="F2660" s="1036">
        <v>99</v>
      </c>
      <c r="G2660" s="1152"/>
      <c r="H2660" s="1153"/>
      <c r="I2660" s="1152"/>
      <c r="J2660" s="1153"/>
      <c r="K2660" s="1152"/>
      <c r="L2660" s="1153"/>
      <c r="M2660" s="1152"/>
      <c r="N2660" s="1152"/>
      <c r="O2660" s="732">
        <f t="shared" si="333"/>
        <v>0</v>
      </c>
      <c r="P2660" s="1153"/>
      <c r="Q2660" s="1153"/>
      <c r="R2660" s="733">
        <f t="shared" si="336"/>
        <v>0</v>
      </c>
      <c r="S2660" s="732">
        <f t="shared" si="337"/>
        <v>0</v>
      </c>
      <c r="T2660" s="733">
        <f t="shared" si="338"/>
        <v>0</v>
      </c>
      <c r="U2660" s="1152"/>
      <c r="V2660" s="1153"/>
      <c r="W2660" s="1152"/>
      <c r="X2660" s="1152"/>
      <c r="Y2660" s="732">
        <f t="shared" si="334"/>
        <v>0</v>
      </c>
      <c r="Z2660" s="1153"/>
      <c r="AA2660" s="1153"/>
      <c r="AB2660" s="733">
        <f t="shared" si="335"/>
        <v>0</v>
      </c>
      <c r="AC2660" s="1152"/>
      <c r="AD2660" s="1153"/>
      <c r="AE2660" s="1152"/>
      <c r="AF2660" s="1152"/>
      <c r="AG2660" s="1153"/>
      <c r="AH2660" s="1153"/>
      <c r="AI2660" s="732">
        <f t="shared" si="339"/>
        <v>0</v>
      </c>
      <c r="AJ2660" s="733">
        <f t="shared" si="340"/>
        <v>0</v>
      </c>
    </row>
    <row r="2661" spans="1:36">
      <c r="A2661" s="1020" t="s">
        <v>751</v>
      </c>
      <c r="B2661" s="1047" t="s">
        <v>178</v>
      </c>
      <c r="C2661" s="1026" t="s">
        <v>167</v>
      </c>
      <c r="D2661" s="1027"/>
      <c r="E2661" s="1138"/>
      <c r="F2661" s="1036">
        <v>99</v>
      </c>
      <c r="G2661" s="1152"/>
      <c r="H2661" s="1153"/>
      <c r="I2661" s="1152"/>
      <c r="J2661" s="1153"/>
      <c r="K2661" s="1152"/>
      <c r="L2661" s="1153"/>
      <c r="M2661" s="1152"/>
      <c r="N2661" s="1152"/>
      <c r="O2661" s="732">
        <f t="shared" si="333"/>
        <v>0</v>
      </c>
      <c r="P2661" s="1153"/>
      <c r="Q2661" s="1153"/>
      <c r="R2661" s="733">
        <f t="shared" si="336"/>
        <v>0</v>
      </c>
      <c r="S2661" s="732">
        <f t="shared" si="337"/>
        <v>0</v>
      </c>
      <c r="T2661" s="733">
        <f t="shared" si="338"/>
        <v>0</v>
      </c>
      <c r="U2661" s="1152">
        <v>1316469</v>
      </c>
      <c r="V2661" s="1153">
        <v>4426340</v>
      </c>
      <c r="W2661" s="1152"/>
      <c r="X2661" s="1152"/>
      <c r="Y2661" s="732">
        <f t="shared" si="334"/>
        <v>0</v>
      </c>
      <c r="Z2661" s="1153"/>
      <c r="AA2661" s="1153"/>
      <c r="AB2661" s="733">
        <f t="shared" si="335"/>
        <v>0</v>
      </c>
      <c r="AC2661" s="1152"/>
      <c r="AD2661" s="1153"/>
      <c r="AE2661" s="1152"/>
      <c r="AF2661" s="1152"/>
      <c r="AG2661" s="1153"/>
      <c r="AH2661" s="1153"/>
      <c r="AI2661" s="732">
        <f t="shared" si="339"/>
        <v>1316469</v>
      </c>
      <c r="AJ2661" s="733">
        <f t="shared" si="340"/>
        <v>4426340</v>
      </c>
    </row>
    <row r="2662" spans="1:36">
      <c r="A2662" s="1020" t="s">
        <v>751</v>
      </c>
      <c r="B2662" s="1021" t="s">
        <v>161</v>
      </c>
      <c r="C2662" s="1040" t="s">
        <v>1402</v>
      </c>
      <c r="D2662" s="1027"/>
      <c r="E2662" s="1136"/>
      <c r="F2662" s="1036">
        <v>99</v>
      </c>
      <c r="G2662" s="1152"/>
      <c r="H2662" s="1153"/>
      <c r="I2662" s="1152"/>
      <c r="J2662" s="1153"/>
      <c r="K2662" s="1152"/>
      <c r="L2662" s="1153"/>
      <c r="M2662" s="1152"/>
      <c r="N2662" s="1152"/>
      <c r="O2662" s="732">
        <f t="shared" si="333"/>
        <v>0</v>
      </c>
      <c r="P2662" s="1153"/>
      <c r="Q2662" s="1153"/>
      <c r="R2662" s="733">
        <f t="shared" si="336"/>
        <v>0</v>
      </c>
      <c r="S2662" s="732">
        <f t="shared" si="337"/>
        <v>0</v>
      </c>
      <c r="T2662" s="733">
        <f t="shared" si="338"/>
        <v>0</v>
      </c>
      <c r="U2662" s="1152"/>
      <c r="V2662" s="1153"/>
      <c r="W2662" s="1152"/>
      <c r="X2662" s="1152"/>
      <c r="Y2662" s="732">
        <f t="shared" si="334"/>
        <v>0</v>
      </c>
      <c r="Z2662" s="1153"/>
      <c r="AA2662" s="1153"/>
      <c r="AB2662" s="733">
        <f t="shared" si="335"/>
        <v>0</v>
      </c>
      <c r="AC2662" s="1152"/>
      <c r="AD2662" s="1153"/>
      <c r="AE2662" s="1152"/>
      <c r="AF2662" s="1152"/>
      <c r="AG2662" s="1153"/>
      <c r="AH2662" s="1153"/>
      <c r="AI2662" s="732">
        <f t="shared" si="339"/>
        <v>0</v>
      </c>
      <c r="AJ2662" s="733">
        <f t="shared" si="340"/>
        <v>0</v>
      </c>
    </row>
    <row r="2663" spans="1:36">
      <c r="A2663" s="1020" t="s">
        <v>751</v>
      </c>
      <c r="B2663" s="1047" t="s">
        <v>170</v>
      </c>
      <c r="C2663" s="1026" t="s">
        <v>171</v>
      </c>
      <c r="D2663" s="1027"/>
      <c r="E2663" s="1138"/>
      <c r="F2663" s="1036">
        <v>99</v>
      </c>
      <c r="G2663" s="1152"/>
      <c r="H2663" s="1153"/>
      <c r="I2663" s="1152"/>
      <c r="J2663" s="1153"/>
      <c r="K2663" s="1152"/>
      <c r="L2663" s="1153"/>
      <c r="M2663" s="1152"/>
      <c r="N2663" s="1152"/>
      <c r="O2663" s="732">
        <f t="shared" si="333"/>
        <v>0</v>
      </c>
      <c r="P2663" s="1153"/>
      <c r="Q2663" s="1153"/>
      <c r="R2663" s="733">
        <f t="shared" si="336"/>
        <v>0</v>
      </c>
      <c r="S2663" s="732">
        <f t="shared" si="337"/>
        <v>0</v>
      </c>
      <c r="T2663" s="733">
        <f t="shared" si="338"/>
        <v>0</v>
      </c>
      <c r="U2663" s="1152"/>
      <c r="V2663" s="1153"/>
      <c r="W2663" s="1152"/>
      <c r="X2663" s="1152"/>
      <c r="Y2663" s="732">
        <f t="shared" si="334"/>
        <v>0</v>
      </c>
      <c r="Z2663" s="1153"/>
      <c r="AA2663" s="1153"/>
      <c r="AB2663" s="733">
        <f t="shared" si="335"/>
        <v>0</v>
      </c>
      <c r="AC2663" s="1152"/>
      <c r="AD2663" s="1153"/>
      <c r="AE2663" s="1152"/>
      <c r="AF2663" s="1152"/>
      <c r="AG2663" s="1153"/>
      <c r="AH2663" s="1153"/>
      <c r="AI2663" s="732">
        <f t="shared" si="339"/>
        <v>0</v>
      </c>
      <c r="AJ2663" s="733">
        <f t="shared" si="340"/>
        <v>0</v>
      </c>
    </row>
    <row r="2664" spans="1:36">
      <c r="A2664" s="1020" t="s">
        <v>751</v>
      </c>
      <c r="B2664" s="1047" t="s">
        <v>172</v>
      </c>
      <c r="C2664" s="1026" t="s">
        <v>165</v>
      </c>
      <c r="D2664" s="1027"/>
      <c r="E2664" s="1138"/>
      <c r="F2664" s="1036">
        <v>99</v>
      </c>
      <c r="G2664" s="1152"/>
      <c r="H2664" s="1153"/>
      <c r="I2664" s="1152"/>
      <c r="J2664" s="1153"/>
      <c r="K2664" s="1152"/>
      <c r="L2664" s="1153"/>
      <c r="M2664" s="1152"/>
      <c r="N2664" s="1152"/>
      <c r="O2664" s="732">
        <f t="shared" si="333"/>
        <v>0</v>
      </c>
      <c r="P2664" s="1153"/>
      <c r="Q2664" s="1153"/>
      <c r="R2664" s="733">
        <f t="shared" si="336"/>
        <v>0</v>
      </c>
      <c r="S2664" s="732">
        <f t="shared" si="337"/>
        <v>0</v>
      </c>
      <c r="T2664" s="733">
        <f t="shared" si="338"/>
        <v>0</v>
      </c>
      <c r="U2664" s="1152">
        <v>129604</v>
      </c>
      <c r="V2664" s="1153">
        <v>129604</v>
      </c>
      <c r="W2664" s="1152"/>
      <c r="X2664" s="1152"/>
      <c r="Y2664" s="732">
        <f t="shared" si="334"/>
        <v>0</v>
      </c>
      <c r="Z2664" s="1153"/>
      <c r="AA2664" s="1153"/>
      <c r="AB2664" s="733">
        <f t="shared" si="335"/>
        <v>0</v>
      </c>
      <c r="AC2664" s="1152"/>
      <c r="AD2664" s="1153"/>
      <c r="AE2664" s="1152"/>
      <c r="AF2664" s="1152"/>
      <c r="AG2664" s="1153"/>
      <c r="AH2664" s="1153"/>
      <c r="AI2664" s="732">
        <f t="shared" si="339"/>
        <v>129604</v>
      </c>
      <c r="AJ2664" s="733">
        <f t="shared" si="340"/>
        <v>129604</v>
      </c>
    </row>
    <row r="2665" spans="1:36">
      <c r="A2665" s="1020" t="s">
        <v>751</v>
      </c>
      <c r="B2665" s="1047" t="s">
        <v>173</v>
      </c>
      <c r="C2665" s="1026" t="s">
        <v>167</v>
      </c>
      <c r="D2665" s="1027"/>
      <c r="E2665" s="1138"/>
      <c r="F2665" s="1036">
        <v>99</v>
      </c>
      <c r="G2665" s="1152"/>
      <c r="H2665" s="1153"/>
      <c r="I2665" s="1152"/>
      <c r="J2665" s="1153"/>
      <c r="K2665" s="1152"/>
      <c r="L2665" s="1153"/>
      <c r="M2665" s="1152"/>
      <c r="N2665" s="1152"/>
      <c r="O2665" s="732">
        <f t="shared" si="333"/>
        <v>0</v>
      </c>
      <c r="P2665" s="1153"/>
      <c r="Q2665" s="1153"/>
      <c r="R2665" s="733">
        <f t="shared" si="336"/>
        <v>0</v>
      </c>
      <c r="S2665" s="732">
        <f t="shared" si="337"/>
        <v>0</v>
      </c>
      <c r="T2665" s="733">
        <f t="shared" si="338"/>
        <v>0</v>
      </c>
      <c r="U2665" s="1152"/>
      <c r="V2665" s="1153"/>
      <c r="W2665" s="1152"/>
      <c r="X2665" s="1152"/>
      <c r="Y2665" s="732">
        <f t="shared" si="334"/>
        <v>0</v>
      </c>
      <c r="Z2665" s="1153"/>
      <c r="AA2665" s="1153"/>
      <c r="AB2665" s="733">
        <f t="shared" si="335"/>
        <v>0</v>
      </c>
      <c r="AC2665" s="1152"/>
      <c r="AD2665" s="1153"/>
      <c r="AE2665" s="1152"/>
      <c r="AF2665" s="1152"/>
      <c r="AG2665" s="1153"/>
      <c r="AH2665" s="1153"/>
      <c r="AI2665" s="732">
        <f t="shared" si="339"/>
        <v>0</v>
      </c>
      <c r="AJ2665" s="733">
        <f t="shared" si="340"/>
        <v>0</v>
      </c>
    </row>
    <row r="2666" spans="1:36">
      <c r="A2666" s="1020" t="s">
        <v>751</v>
      </c>
      <c r="B2666" s="1021" t="s">
        <v>176</v>
      </c>
      <c r="C2666" s="1026" t="s">
        <v>177</v>
      </c>
      <c r="D2666" s="1027"/>
      <c r="E2666" s="1138"/>
      <c r="F2666" s="1036">
        <v>99</v>
      </c>
      <c r="G2666" s="1152"/>
      <c r="H2666" s="1153"/>
      <c r="I2666" s="1152"/>
      <c r="J2666" s="1153"/>
      <c r="K2666" s="1152"/>
      <c r="L2666" s="1153"/>
      <c r="M2666" s="1152"/>
      <c r="N2666" s="1152"/>
      <c r="O2666" s="732">
        <f t="shared" si="333"/>
        <v>0</v>
      </c>
      <c r="P2666" s="1153"/>
      <c r="Q2666" s="1153"/>
      <c r="R2666" s="733">
        <f t="shared" si="336"/>
        <v>0</v>
      </c>
      <c r="S2666" s="732">
        <f t="shared" si="337"/>
        <v>0</v>
      </c>
      <c r="T2666" s="733">
        <f t="shared" si="338"/>
        <v>0</v>
      </c>
      <c r="U2666" s="1152"/>
      <c r="V2666" s="1153"/>
      <c r="W2666" s="1152"/>
      <c r="X2666" s="1152"/>
      <c r="Y2666" s="732">
        <f t="shared" si="334"/>
        <v>0</v>
      </c>
      <c r="Z2666" s="1153"/>
      <c r="AA2666" s="1153"/>
      <c r="AB2666" s="733">
        <f t="shared" si="335"/>
        <v>0</v>
      </c>
      <c r="AC2666" s="1152"/>
      <c r="AD2666" s="1153"/>
      <c r="AE2666" s="1152"/>
      <c r="AF2666" s="1152"/>
      <c r="AG2666" s="1153"/>
      <c r="AH2666" s="1153"/>
      <c r="AI2666" s="732">
        <f t="shared" si="339"/>
        <v>0</v>
      </c>
      <c r="AJ2666" s="733">
        <f t="shared" si="340"/>
        <v>0</v>
      </c>
    </row>
    <row r="2667" spans="1:36">
      <c r="A2667" s="1020" t="s">
        <v>751</v>
      </c>
      <c r="B2667" s="1047" t="s">
        <v>180</v>
      </c>
      <c r="C2667" s="1026" t="s">
        <v>165</v>
      </c>
      <c r="D2667" s="1027"/>
      <c r="E2667" s="1138"/>
      <c r="F2667" s="1036">
        <v>99</v>
      </c>
      <c r="G2667" s="1152"/>
      <c r="H2667" s="1153"/>
      <c r="I2667" s="1152"/>
      <c r="J2667" s="1153"/>
      <c r="K2667" s="1152"/>
      <c r="L2667" s="1153"/>
      <c r="M2667" s="1152"/>
      <c r="N2667" s="1152"/>
      <c r="O2667" s="732">
        <f t="shared" si="333"/>
        <v>0</v>
      </c>
      <c r="P2667" s="1153"/>
      <c r="Q2667" s="1153"/>
      <c r="R2667" s="733">
        <f t="shared" si="336"/>
        <v>0</v>
      </c>
      <c r="S2667" s="732">
        <f t="shared" si="337"/>
        <v>0</v>
      </c>
      <c r="T2667" s="733">
        <f t="shared" si="338"/>
        <v>0</v>
      </c>
      <c r="U2667" s="1152"/>
      <c r="V2667" s="1153"/>
      <c r="W2667" s="1152"/>
      <c r="X2667" s="1152"/>
      <c r="Y2667" s="732">
        <f t="shared" si="334"/>
        <v>0</v>
      </c>
      <c r="Z2667" s="1153"/>
      <c r="AA2667" s="1153"/>
      <c r="AB2667" s="733">
        <f t="shared" si="335"/>
        <v>0</v>
      </c>
      <c r="AC2667" s="1152"/>
      <c r="AD2667" s="1153"/>
      <c r="AE2667" s="1152"/>
      <c r="AF2667" s="1152"/>
      <c r="AG2667" s="1153"/>
      <c r="AH2667" s="1153"/>
      <c r="AI2667" s="732">
        <f t="shared" si="339"/>
        <v>0</v>
      </c>
      <c r="AJ2667" s="733">
        <f t="shared" si="340"/>
        <v>0</v>
      </c>
    </row>
    <row r="2668" spans="1:36">
      <c r="A2668" s="1020" t="s">
        <v>751</v>
      </c>
      <c r="B2668" s="1047" t="s">
        <v>178</v>
      </c>
      <c r="C2668" s="1026" t="s">
        <v>167</v>
      </c>
      <c r="D2668" s="1027"/>
      <c r="E2668" s="1138"/>
      <c r="F2668" s="1036">
        <v>99</v>
      </c>
      <c r="G2668" s="1152"/>
      <c r="H2668" s="1153"/>
      <c r="I2668" s="1152"/>
      <c r="J2668" s="1153"/>
      <c r="K2668" s="1152"/>
      <c r="L2668" s="1153"/>
      <c r="M2668" s="1152"/>
      <c r="N2668" s="1152"/>
      <c r="O2668" s="732">
        <f t="shared" si="333"/>
        <v>0</v>
      </c>
      <c r="P2668" s="1153"/>
      <c r="Q2668" s="1153"/>
      <c r="R2668" s="733">
        <f t="shared" si="336"/>
        <v>0</v>
      </c>
      <c r="S2668" s="732">
        <f t="shared" si="337"/>
        <v>0</v>
      </c>
      <c r="T2668" s="733">
        <f t="shared" si="338"/>
        <v>0</v>
      </c>
      <c r="U2668" s="1152"/>
      <c r="V2668" s="1153"/>
      <c r="W2668" s="1152"/>
      <c r="X2668" s="1152"/>
      <c r="Y2668" s="732">
        <f t="shared" si="334"/>
        <v>0</v>
      </c>
      <c r="Z2668" s="1153"/>
      <c r="AA2668" s="1153"/>
      <c r="AB2668" s="733">
        <f t="shared" si="335"/>
        <v>0</v>
      </c>
      <c r="AC2668" s="1152"/>
      <c r="AD2668" s="1153"/>
      <c r="AE2668" s="1152"/>
      <c r="AF2668" s="1152"/>
      <c r="AG2668" s="1153"/>
      <c r="AH2668" s="1153"/>
      <c r="AI2668" s="732">
        <f t="shared" si="339"/>
        <v>0</v>
      </c>
      <c r="AJ2668" s="733">
        <f t="shared" si="340"/>
        <v>0</v>
      </c>
    </row>
    <row r="2669" spans="1:36">
      <c r="A2669" s="1020" t="s">
        <v>751</v>
      </c>
      <c r="B2669" s="1021" t="s">
        <v>161</v>
      </c>
      <c r="C2669" s="1040" t="s">
        <v>1403</v>
      </c>
      <c r="D2669" s="1027"/>
      <c r="E2669" s="1136"/>
      <c r="F2669" s="1036">
        <v>99</v>
      </c>
      <c r="G2669" s="1152"/>
      <c r="H2669" s="1153"/>
      <c r="I2669" s="1152"/>
      <c r="J2669" s="1153"/>
      <c r="K2669" s="1152"/>
      <c r="L2669" s="1153"/>
      <c r="M2669" s="1152"/>
      <c r="N2669" s="1152"/>
      <c r="O2669" s="732">
        <f t="shared" si="333"/>
        <v>0</v>
      </c>
      <c r="P2669" s="1153"/>
      <c r="Q2669" s="1153"/>
      <c r="R2669" s="733">
        <f t="shared" si="336"/>
        <v>0</v>
      </c>
      <c r="S2669" s="732">
        <f t="shared" si="337"/>
        <v>0</v>
      </c>
      <c r="T2669" s="733">
        <f t="shared" si="338"/>
        <v>0</v>
      </c>
      <c r="U2669" s="1152"/>
      <c r="V2669" s="1153"/>
      <c r="W2669" s="1152"/>
      <c r="X2669" s="1152"/>
      <c r="Y2669" s="732">
        <f t="shared" si="334"/>
        <v>0</v>
      </c>
      <c r="Z2669" s="1153"/>
      <c r="AA2669" s="1153"/>
      <c r="AB2669" s="733">
        <f t="shared" si="335"/>
        <v>0</v>
      </c>
      <c r="AC2669" s="1152"/>
      <c r="AD2669" s="1153"/>
      <c r="AE2669" s="1152"/>
      <c r="AF2669" s="1152"/>
      <c r="AG2669" s="1153"/>
      <c r="AH2669" s="1153"/>
      <c r="AI2669" s="732">
        <f t="shared" si="339"/>
        <v>0</v>
      </c>
      <c r="AJ2669" s="733">
        <f t="shared" si="340"/>
        <v>0</v>
      </c>
    </row>
    <row r="2670" spans="1:36">
      <c r="A2670" s="1020" t="s">
        <v>751</v>
      </c>
      <c r="B2670" s="1047" t="s">
        <v>170</v>
      </c>
      <c r="C2670" s="1026" t="s">
        <v>171</v>
      </c>
      <c r="D2670" s="1027"/>
      <c r="E2670" s="1138"/>
      <c r="F2670" s="1036">
        <v>99</v>
      </c>
      <c r="G2670" s="1152"/>
      <c r="H2670" s="1153"/>
      <c r="I2670" s="1152"/>
      <c r="J2670" s="1153"/>
      <c r="K2670" s="1152"/>
      <c r="L2670" s="1153"/>
      <c r="M2670" s="1152"/>
      <c r="N2670" s="1152"/>
      <c r="O2670" s="732">
        <f t="shared" si="333"/>
        <v>0</v>
      </c>
      <c r="P2670" s="1153"/>
      <c r="Q2670" s="1153"/>
      <c r="R2670" s="733">
        <f t="shared" si="336"/>
        <v>0</v>
      </c>
      <c r="S2670" s="732">
        <f t="shared" si="337"/>
        <v>0</v>
      </c>
      <c r="T2670" s="733">
        <f t="shared" si="338"/>
        <v>0</v>
      </c>
      <c r="U2670" s="1152"/>
      <c r="V2670" s="1153"/>
      <c r="W2670" s="1152"/>
      <c r="X2670" s="1152"/>
      <c r="Y2670" s="732">
        <f t="shared" si="334"/>
        <v>0</v>
      </c>
      <c r="Z2670" s="1153"/>
      <c r="AA2670" s="1153"/>
      <c r="AB2670" s="733">
        <f t="shared" si="335"/>
        <v>0</v>
      </c>
      <c r="AC2670" s="1152"/>
      <c r="AD2670" s="1153"/>
      <c r="AE2670" s="1152"/>
      <c r="AF2670" s="1152"/>
      <c r="AG2670" s="1153"/>
      <c r="AH2670" s="1153"/>
      <c r="AI2670" s="732">
        <f t="shared" si="339"/>
        <v>0</v>
      </c>
      <c r="AJ2670" s="733">
        <f t="shared" si="340"/>
        <v>0</v>
      </c>
    </row>
    <row r="2671" spans="1:36">
      <c r="A2671" s="1020" t="s">
        <v>751</v>
      </c>
      <c r="B2671" s="1047" t="s">
        <v>172</v>
      </c>
      <c r="C2671" s="1026" t="s">
        <v>165</v>
      </c>
      <c r="D2671" s="1027"/>
      <c r="E2671" s="1138"/>
      <c r="F2671" s="1036">
        <v>99</v>
      </c>
      <c r="G2671" s="1152"/>
      <c r="H2671" s="1153"/>
      <c r="I2671" s="1152"/>
      <c r="J2671" s="1153"/>
      <c r="K2671" s="1152"/>
      <c r="L2671" s="1153"/>
      <c r="M2671" s="1152"/>
      <c r="N2671" s="1152"/>
      <c r="O2671" s="732">
        <f t="shared" si="333"/>
        <v>0</v>
      </c>
      <c r="P2671" s="1153"/>
      <c r="Q2671" s="1153"/>
      <c r="R2671" s="733">
        <f t="shared" si="336"/>
        <v>0</v>
      </c>
      <c r="S2671" s="732">
        <f t="shared" si="337"/>
        <v>0</v>
      </c>
      <c r="T2671" s="733">
        <f t="shared" si="338"/>
        <v>0</v>
      </c>
      <c r="U2671" s="1152"/>
      <c r="V2671" s="1153"/>
      <c r="W2671" s="1152"/>
      <c r="X2671" s="1152"/>
      <c r="Y2671" s="732">
        <f t="shared" si="334"/>
        <v>0</v>
      </c>
      <c r="Z2671" s="1153"/>
      <c r="AA2671" s="1153"/>
      <c r="AB2671" s="733">
        <f t="shared" si="335"/>
        <v>0</v>
      </c>
      <c r="AC2671" s="1152"/>
      <c r="AD2671" s="1153"/>
      <c r="AE2671" s="1152"/>
      <c r="AF2671" s="1152"/>
      <c r="AG2671" s="1153"/>
      <c r="AH2671" s="1153"/>
      <c r="AI2671" s="732">
        <f t="shared" si="339"/>
        <v>0</v>
      </c>
      <c r="AJ2671" s="733">
        <f t="shared" si="340"/>
        <v>0</v>
      </c>
    </row>
    <row r="2672" spans="1:36">
      <c r="A2672" s="1020" t="s">
        <v>751</v>
      </c>
      <c r="B2672" s="1047" t="s">
        <v>173</v>
      </c>
      <c r="C2672" s="1026" t="s">
        <v>167</v>
      </c>
      <c r="D2672" s="1027"/>
      <c r="E2672" s="1138"/>
      <c r="F2672" s="1036">
        <v>99</v>
      </c>
      <c r="G2672" s="1152"/>
      <c r="H2672" s="1153"/>
      <c r="I2672" s="1152"/>
      <c r="J2672" s="1153"/>
      <c r="K2672" s="1152"/>
      <c r="L2672" s="1153"/>
      <c r="M2672" s="1152"/>
      <c r="N2672" s="1152"/>
      <c r="O2672" s="732">
        <f t="shared" si="333"/>
        <v>0</v>
      </c>
      <c r="P2672" s="1153"/>
      <c r="Q2672" s="1153"/>
      <c r="R2672" s="733">
        <f t="shared" si="336"/>
        <v>0</v>
      </c>
      <c r="S2672" s="732">
        <f t="shared" si="337"/>
        <v>0</v>
      </c>
      <c r="T2672" s="733">
        <f t="shared" si="338"/>
        <v>0</v>
      </c>
      <c r="U2672" s="1152">
        <v>628349</v>
      </c>
      <c r="V2672" s="1153">
        <v>557361</v>
      </c>
      <c r="W2672" s="1152"/>
      <c r="X2672" s="1152"/>
      <c r="Y2672" s="732">
        <f t="shared" si="334"/>
        <v>0</v>
      </c>
      <c r="Z2672" s="1153"/>
      <c r="AA2672" s="1153"/>
      <c r="AB2672" s="733">
        <f t="shared" si="335"/>
        <v>0</v>
      </c>
      <c r="AC2672" s="1152"/>
      <c r="AD2672" s="1153"/>
      <c r="AE2672" s="1152"/>
      <c r="AF2672" s="1152"/>
      <c r="AG2672" s="1153"/>
      <c r="AH2672" s="1153"/>
      <c r="AI2672" s="732">
        <f t="shared" si="339"/>
        <v>628349</v>
      </c>
      <c r="AJ2672" s="733">
        <f t="shared" si="340"/>
        <v>557361</v>
      </c>
    </row>
    <row r="2673" spans="1:36">
      <c r="A2673" s="1020" t="s">
        <v>751</v>
      </c>
      <c r="B2673" s="1021" t="s">
        <v>176</v>
      </c>
      <c r="C2673" s="1026" t="s">
        <v>177</v>
      </c>
      <c r="D2673" s="1027"/>
      <c r="E2673" s="1138"/>
      <c r="F2673" s="1036">
        <v>99</v>
      </c>
      <c r="G2673" s="1152"/>
      <c r="H2673" s="1153"/>
      <c r="I2673" s="1152"/>
      <c r="J2673" s="1153"/>
      <c r="K2673" s="1152"/>
      <c r="L2673" s="1153"/>
      <c r="M2673" s="1152"/>
      <c r="N2673" s="1152"/>
      <c r="O2673" s="732">
        <f t="shared" si="333"/>
        <v>0</v>
      </c>
      <c r="P2673" s="1153"/>
      <c r="Q2673" s="1153"/>
      <c r="R2673" s="733">
        <f t="shared" si="336"/>
        <v>0</v>
      </c>
      <c r="S2673" s="732">
        <f t="shared" si="337"/>
        <v>0</v>
      </c>
      <c r="T2673" s="733">
        <f t="shared" si="338"/>
        <v>0</v>
      </c>
      <c r="U2673" s="1152"/>
      <c r="V2673" s="1153"/>
      <c r="W2673" s="1152"/>
      <c r="X2673" s="1152"/>
      <c r="Y2673" s="732">
        <f t="shared" si="334"/>
        <v>0</v>
      </c>
      <c r="Z2673" s="1153"/>
      <c r="AA2673" s="1153"/>
      <c r="AB2673" s="733">
        <f t="shared" si="335"/>
        <v>0</v>
      </c>
      <c r="AC2673" s="1152"/>
      <c r="AD2673" s="1153"/>
      <c r="AE2673" s="1152"/>
      <c r="AF2673" s="1152"/>
      <c r="AG2673" s="1153"/>
      <c r="AH2673" s="1153"/>
      <c r="AI2673" s="732">
        <f t="shared" si="339"/>
        <v>0</v>
      </c>
      <c r="AJ2673" s="733">
        <f t="shared" si="340"/>
        <v>0</v>
      </c>
    </row>
    <row r="2674" spans="1:36">
      <c r="A2674" s="1020" t="s">
        <v>751</v>
      </c>
      <c r="B2674" s="1047" t="s">
        <v>180</v>
      </c>
      <c r="C2674" s="1026" t="s">
        <v>165</v>
      </c>
      <c r="D2674" s="1027"/>
      <c r="E2674" s="1138"/>
      <c r="F2674" s="1036">
        <v>99</v>
      </c>
      <c r="G2674" s="1152"/>
      <c r="H2674" s="1153"/>
      <c r="I2674" s="1152"/>
      <c r="J2674" s="1153"/>
      <c r="K2674" s="1152"/>
      <c r="L2674" s="1153"/>
      <c r="M2674" s="1152"/>
      <c r="N2674" s="1152"/>
      <c r="O2674" s="732">
        <f t="shared" si="333"/>
        <v>0</v>
      </c>
      <c r="P2674" s="1153"/>
      <c r="Q2674" s="1153"/>
      <c r="R2674" s="733">
        <f t="shared" si="336"/>
        <v>0</v>
      </c>
      <c r="S2674" s="732">
        <f t="shared" si="337"/>
        <v>0</v>
      </c>
      <c r="T2674" s="733">
        <f t="shared" si="338"/>
        <v>0</v>
      </c>
      <c r="U2674" s="1152"/>
      <c r="V2674" s="1153"/>
      <c r="W2674" s="1152"/>
      <c r="X2674" s="1152"/>
      <c r="Y2674" s="732">
        <f t="shared" si="334"/>
        <v>0</v>
      </c>
      <c r="Z2674" s="1153"/>
      <c r="AA2674" s="1153"/>
      <c r="AB2674" s="733">
        <f t="shared" si="335"/>
        <v>0</v>
      </c>
      <c r="AC2674" s="1152"/>
      <c r="AD2674" s="1153"/>
      <c r="AE2674" s="1152"/>
      <c r="AF2674" s="1152"/>
      <c r="AG2674" s="1153"/>
      <c r="AH2674" s="1153"/>
      <c r="AI2674" s="732">
        <f t="shared" si="339"/>
        <v>0</v>
      </c>
      <c r="AJ2674" s="733">
        <f t="shared" si="340"/>
        <v>0</v>
      </c>
    </row>
    <row r="2675" spans="1:36">
      <c r="A2675" s="1020" t="s">
        <v>751</v>
      </c>
      <c r="B2675" s="1047" t="s">
        <v>178</v>
      </c>
      <c r="C2675" s="1026" t="s">
        <v>167</v>
      </c>
      <c r="D2675" s="1027"/>
      <c r="E2675" s="1138"/>
      <c r="F2675" s="1036">
        <v>99</v>
      </c>
      <c r="G2675" s="1152"/>
      <c r="H2675" s="1153"/>
      <c r="I2675" s="1152"/>
      <c r="J2675" s="1153"/>
      <c r="K2675" s="1152"/>
      <c r="L2675" s="1153"/>
      <c r="M2675" s="1152"/>
      <c r="N2675" s="1152"/>
      <c r="O2675" s="732">
        <f t="shared" si="333"/>
        <v>0</v>
      </c>
      <c r="P2675" s="1153"/>
      <c r="Q2675" s="1153"/>
      <c r="R2675" s="733">
        <f t="shared" si="336"/>
        <v>0</v>
      </c>
      <c r="S2675" s="732">
        <f t="shared" si="337"/>
        <v>0</v>
      </c>
      <c r="T2675" s="733">
        <f t="shared" si="338"/>
        <v>0</v>
      </c>
      <c r="U2675" s="1152">
        <v>0</v>
      </c>
      <c r="V2675" s="1153">
        <v>70988</v>
      </c>
      <c r="W2675" s="1152"/>
      <c r="X2675" s="1152"/>
      <c r="Y2675" s="732">
        <f t="shared" si="334"/>
        <v>0</v>
      </c>
      <c r="Z2675" s="1153"/>
      <c r="AA2675" s="1153"/>
      <c r="AB2675" s="733">
        <f t="shared" si="335"/>
        <v>0</v>
      </c>
      <c r="AC2675" s="1152"/>
      <c r="AD2675" s="1153"/>
      <c r="AE2675" s="1152"/>
      <c r="AF2675" s="1152"/>
      <c r="AG2675" s="1153"/>
      <c r="AH2675" s="1153"/>
      <c r="AI2675" s="732">
        <f t="shared" si="339"/>
        <v>0</v>
      </c>
      <c r="AJ2675" s="733">
        <f t="shared" si="340"/>
        <v>70988</v>
      </c>
    </row>
    <row r="2676" spans="1:36">
      <c r="A2676" s="1020" t="s">
        <v>751</v>
      </c>
      <c r="B2676" s="1021" t="s">
        <v>161</v>
      </c>
      <c r="C2676" s="1040" t="s">
        <v>1404</v>
      </c>
      <c r="D2676" s="1027"/>
      <c r="E2676" s="1138"/>
      <c r="F2676" s="1036">
        <v>99</v>
      </c>
      <c r="G2676" s="1152"/>
      <c r="H2676" s="1153"/>
      <c r="I2676" s="1152"/>
      <c r="J2676" s="1153"/>
      <c r="K2676" s="1152"/>
      <c r="L2676" s="1153"/>
      <c r="M2676" s="1152"/>
      <c r="N2676" s="1152"/>
      <c r="O2676" s="732">
        <f t="shared" si="333"/>
        <v>0</v>
      </c>
      <c r="P2676" s="1153"/>
      <c r="Q2676" s="1153"/>
      <c r="R2676" s="733">
        <f t="shared" si="336"/>
        <v>0</v>
      </c>
      <c r="S2676" s="732">
        <f t="shared" si="337"/>
        <v>0</v>
      </c>
      <c r="T2676" s="733">
        <f t="shared" si="338"/>
        <v>0</v>
      </c>
      <c r="U2676" s="1152"/>
      <c r="V2676" s="1153"/>
      <c r="W2676" s="1152"/>
      <c r="X2676" s="1152"/>
      <c r="Y2676" s="732">
        <f t="shared" si="334"/>
        <v>0</v>
      </c>
      <c r="Z2676" s="1153"/>
      <c r="AA2676" s="1153"/>
      <c r="AB2676" s="733">
        <f t="shared" si="335"/>
        <v>0</v>
      </c>
      <c r="AC2676" s="1152"/>
      <c r="AD2676" s="1153"/>
      <c r="AE2676" s="1152"/>
      <c r="AF2676" s="1152"/>
      <c r="AG2676" s="1153"/>
      <c r="AH2676" s="1153"/>
      <c r="AI2676" s="732">
        <f t="shared" si="339"/>
        <v>0</v>
      </c>
      <c r="AJ2676" s="733">
        <f t="shared" si="340"/>
        <v>0</v>
      </c>
    </row>
    <row r="2677" spans="1:36">
      <c r="A2677" s="1020" t="s">
        <v>751</v>
      </c>
      <c r="B2677" s="1047" t="s">
        <v>170</v>
      </c>
      <c r="C2677" s="1026" t="s">
        <v>171</v>
      </c>
      <c r="D2677" s="1027"/>
      <c r="E2677" s="1138"/>
      <c r="F2677" s="1036">
        <v>99</v>
      </c>
      <c r="G2677" s="1152"/>
      <c r="H2677" s="1153"/>
      <c r="I2677" s="1152"/>
      <c r="J2677" s="1153"/>
      <c r="K2677" s="1152"/>
      <c r="L2677" s="1153"/>
      <c r="M2677" s="1152"/>
      <c r="N2677" s="1152"/>
      <c r="O2677" s="732">
        <f t="shared" si="333"/>
        <v>0</v>
      </c>
      <c r="P2677" s="1153"/>
      <c r="Q2677" s="1153"/>
      <c r="R2677" s="733">
        <f t="shared" si="336"/>
        <v>0</v>
      </c>
      <c r="S2677" s="732">
        <f t="shared" si="337"/>
        <v>0</v>
      </c>
      <c r="T2677" s="733">
        <f t="shared" si="338"/>
        <v>0</v>
      </c>
      <c r="U2677" s="1152"/>
      <c r="V2677" s="1153"/>
      <c r="W2677" s="1152"/>
      <c r="X2677" s="1152"/>
      <c r="Y2677" s="732">
        <f t="shared" si="334"/>
        <v>0</v>
      </c>
      <c r="Z2677" s="1153"/>
      <c r="AA2677" s="1153"/>
      <c r="AB2677" s="733">
        <f t="shared" si="335"/>
        <v>0</v>
      </c>
      <c r="AC2677" s="1152"/>
      <c r="AD2677" s="1153"/>
      <c r="AE2677" s="1152"/>
      <c r="AF2677" s="1152"/>
      <c r="AG2677" s="1153"/>
      <c r="AH2677" s="1153"/>
      <c r="AI2677" s="732">
        <f t="shared" si="339"/>
        <v>0</v>
      </c>
      <c r="AJ2677" s="733">
        <f t="shared" si="340"/>
        <v>0</v>
      </c>
    </row>
    <row r="2678" spans="1:36">
      <c r="A2678" s="1020" t="s">
        <v>751</v>
      </c>
      <c r="B2678" s="1047" t="s">
        <v>172</v>
      </c>
      <c r="C2678" s="1026" t="s">
        <v>165</v>
      </c>
      <c r="D2678" s="1027"/>
      <c r="E2678" s="1138"/>
      <c r="F2678" s="1036">
        <v>99</v>
      </c>
      <c r="G2678" s="1152"/>
      <c r="H2678" s="1153"/>
      <c r="I2678" s="1152"/>
      <c r="J2678" s="1153"/>
      <c r="K2678" s="1152"/>
      <c r="L2678" s="1153"/>
      <c r="M2678" s="1152"/>
      <c r="N2678" s="1152"/>
      <c r="O2678" s="732">
        <f t="shared" si="333"/>
        <v>0</v>
      </c>
      <c r="P2678" s="1153"/>
      <c r="Q2678" s="1153"/>
      <c r="R2678" s="733">
        <f t="shared" si="336"/>
        <v>0</v>
      </c>
      <c r="S2678" s="732">
        <f t="shared" si="337"/>
        <v>0</v>
      </c>
      <c r="T2678" s="733">
        <f t="shared" si="338"/>
        <v>0</v>
      </c>
      <c r="U2678" s="1152"/>
      <c r="V2678" s="1153"/>
      <c r="W2678" s="1152"/>
      <c r="X2678" s="1152"/>
      <c r="Y2678" s="732">
        <f t="shared" si="334"/>
        <v>0</v>
      </c>
      <c r="Z2678" s="1153"/>
      <c r="AA2678" s="1153"/>
      <c r="AB2678" s="733">
        <f t="shared" si="335"/>
        <v>0</v>
      </c>
      <c r="AC2678" s="1152"/>
      <c r="AD2678" s="1153"/>
      <c r="AE2678" s="1152"/>
      <c r="AF2678" s="1152"/>
      <c r="AG2678" s="1153"/>
      <c r="AH2678" s="1153"/>
      <c r="AI2678" s="732">
        <f t="shared" si="339"/>
        <v>0</v>
      </c>
      <c r="AJ2678" s="733">
        <f t="shared" si="340"/>
        <v>0</v>
      </c>
    </row>
    <row r="2679" spans="1:36">
      <c r="A2679" s="1020" t="s">
        <v>751</v>
      </c>
      <c r="B2679" s="1047" t="s">
        <v>173</v>
      </c>
      <c r="C2679" s="1026" t="s">
        <v>167</v>
      </c>
      <c r="D2679" s="1027"/>
      <c r="E2679" s="1138"/>
      <c r="F2679" s="1036">
        <v>99</v>
      </c>
      <c r="G2679" s="1152"/>
      <c r="H2679" s="1153"/>
      <c r="I2679" s="1152"/>
      <c r="J2679" s="1153"/>
      <c r="K2679" s="1152"/>
      <c r="L2679" s="1153"/>
      <c r="M2679" s="1152"/>
      <c r="N2679" s="1152"/>
      <c r="O2679" s="732">
        <f t="shared" si="333"/>
        <v>0</v>
      </c>
      <c r="P2679" s="1153"/>
      <c r="Q2679" s="1153"/>
      <c r="R2679" s="733">
        <f t="shared" si="336"/>
        <v>0</v>
      </c>
      <c r="S2679" s="732">
        <f t="shared" si="337"/>
        <v>0</v>
      </c>
      <c r="T2679" s="733">
        <f t="shared" si="338"/>
        <v>0</v>
      </c>
      <c r="U2679" s="1152">
        <v>424647</v>
      </c>
      <c r="V2679" s="1153">
        <v>429653</v>
      </c>
      <c r="W2679" s="1152"/>
      <c r="X2679" s="1152"/>
      <c r="Y2679" s="732">
        <f t="shared" si="334"/>
        <v>0</v>
      </c>
      <c r="Z2679" s="1153"/>
      <c r="AA2679" s="1153"/>
      <c r="AB2679" s="733">
        <f t="shared" si="335"/>
        <v>0</v>
      </c>
      <c r="AC2679" s="1152"/>
      <c r="AD2679" s="1153"/>
      <c r="AE2679" s="1152"/>
      <c r="AF2679" s="1152"/>
      <c r="AG2679" s="1153"/>
      <c r="AH2679" s="1153"/>
      <c r="AI2679" s="732">
        <f t="shared" si="339"/>
        <v>424647</v>
      </c>
      <c r="AJ2679" s="733">
        <f t="shared" si="340"/>
        <v>429653</v>
      </c>
    </row>
    <row r="2680" spans="1:36">
      <c r="A2680" s="1020" t="s">
        <v>751</v>
      </c>
      <c r="B2680" s="1047" t="s">
        <v>176</v>
      </c>
      <c r="C2680" s="1026" t="s">
        <v>177</v>
      </c>
      <c r="D2680" s="1027"/>
      <c r="E2680" s="1138"/>
      <c r="F2680" s="1036">
        <v>99</v>
      </c>
      <c r="G2680" s="1152"/>
      <c r="H2680" s="1153"/>
      <c r="I2680" s="1152"/>
      <c r="J2680" s="1153"/>
      <c r="K2680" s="1152"/>
      <c r="L2680" s="1153"/>
      <c r="M2680" s="1152"/>
      <c r="N2680" s="1152"/>
      <c r="O2680" s="732">
        <f t="shared" si="333"/>
        <v>0</v>
      </c>
      <c r="P2680" s="1153"/>
      <c r="Q2680" s="1153"/>
      <c r="R2680" s="733">
        <f t="shared" si="336"/>
        <v>0</v>
      </c>
      <c r="S2680" s="732">
        <f t="shared" si="337"/>
        <v>0</v>
      </c>
      <c r="T2680" s="733">
        <f t="shared" si="338"/>
        <v>0</v>
      </c>
      <c r="U2680" s="1152"/>
      <c r="V2680" s="1153"/>
      <c r="W2680" s="1152"/>
      <c r="X2680" s="1152"/>
      <c r="Y2680" s="732">
        <f t="shared" si="334"/>
        <v>0</v>
      </c>
      <c r="Z2680" s="1153"/>
      <c r="AA2680" s="1153"/>
      <c r="AB2680" s="733">
        <f t="shared" si="335"/>
        <v>0</v>
      </c>
      <c r="AC2680" s="1152"/>
      <c r="AD2680" s="1153"/>
      <c r="AE2680" s="1152"/>
      <c r="AF2680" s="1152"/>
      <c r="AG2680" s="1153"/>
      <c r="AH2680" s="1153"/>
      <c r="AI2680" s="732">
        <f t="shared" si="339"/>
        <v>0</v>
      </c>
      <c r="AJ2680" s="733">
        <f t="shared" si="340"/>
        <v>0</v>
      </c>
    </row>
    <row r="2681" spans="1:36">
      <c r="A2681" s="1020" t="s">
        <v>751</v>
      </c>
      <c r="B2681" s="1047" t="s">
        <v>180</v>
      </c>
      <c r="C2681" s="1026" t="s">
        <v>165</v>
      </c>
      <c r="D2681" s="1027"/>
      <c r="E2681" s="1138"/>
      <c r="F2681" s="1036">
        <v>99</v>
      </c>
      <c r="G2681" s="1152"/>
      <c r="H2681" s="1153"/>
      <c r="I2681" s="1152"/>
      <c r="J2681" s="1153"/>
      <c r="K2681" s="1152"/>
      <c r="L2681" s="1153"/>
      <c r="M2681" s="1152"/>
      <c r="N2681" s="1152"/>
      <c r="O2681" s="732">
        <f t="shared" si="333"/>
        <v>0</v>
      </c>
      <c r="P2681" s="1153"/>
      <c r="Q2681" s="1153"/>
      <c r="R2681" s="733">
        <f t="shared" si="336"/>
        <v>0</v>
      </c>
      <c r="S2681" s="732">
        <f t="shared" si="337"/>
        <v>0</v>
      </c>
      <c r="T2681" s="733">
        <f t="shared" si="338"/>
        <v>0</v>
      </c>
      <c r="U2681" s="1152"/>
      <c r="V2681" s="1153"/>
      <c r="W2681" s="1152"/>
      <c r="X2681" s="1152"/>
      <c r="Y2681" s="732">
        <f t="shared" si="334"/>
        <v>0</v>
      </c>
      <c r="Z2681" s="1153"/>
      <c r="AA2681" s="1153"/>
      <c r="AB2681" s="733">
        <f t="shared" si="335"/>
        <v>0</v>
      </c>
      <c r="AC2681" s="1152"/>
      <c r="AD2681" s="1153"/>
      <c r="AE2681" s="1152"/>
      <c r="AF2681" s="1152"/>
      <c r="AG2681" s="1153"/>
      <c r="AH2681" s="1153"/>
      <c r="AI2681" s="732">
        <f t="shared" si="339"/>
        <v>0</v>
      </c>
      <c r="AJ2681" s="733">
        <f t="shared" si="340"/>
        <v>0</v>
      </c>
    </row>
    <row r="2682" spans="1:36">
      <c r="A2682" s="1020" t="s">
        <v>751</v>
      </c>
      <c r="B2682" s="1047" t="s">
        <v>178</v>
      </c>
      <c r="C2682" s="1026" t="s">
        <v>167</v>
      </c>
      <c r="D2682" s="1027"/>
      <c r="E2682" s="1138"/>
      <c r="F2682" s="1036">
        <v>99</v>
      </c>
      <c r="G2682" s="1152"/>
      <c r="H2682" s="1153"/>
      <c r="I2682" s="1152"/>
      <c r="J2682" s="1153"/>
      <c r="K2682" s="1152"/>
      <c r="L2682" s="1153"/>
      <c r="M2682" s="1152"/>
      <c r="N2682" s="1152"/>
      <c r="O2682" s="732">
        <f t="shared" si="333"/>
        <v>0</v>
      </c>
      <c r="P2682" s="1153"/>
      <c r="Q2682" s="1153"/>
      <c r="R2682" s="733">
        <f t="shared" si="336"/>
        <v>0</v>
      </c>
      <c r="S2682" s="732">
        <f t="shared" si="337"/>
        <v>0</v>
      </c>
      <c r="T2682" s="733">
        <f t="shared" si="338"/>
        <v>0</v>
      </c>
      <c r="U2682" s="1152">
        <v>28184</v>
      </c>
      <c r="V2682" s="1153">
        <v>23178</v>
      </c>
      <c r="W2682" s="1152"/>
      <c r="X2682" s="1152"/>
      <c r="Y2682" s="732">
        <f t="shared" si="334"/>
        <v>0</v>
      </c>
      <c r="Z2682" s="1153"/>
      <c r="AA2682" s="1153"/>
      <c r="AB2682" s="733">
        <f t="shared" si="335"/>
        <v>0</v>
      </c>
      <c r="AC2682" s="1152"/>
      <c r="AD2682" s="1153"/>
      <c r="AE2682" s="1152"/>
      <c r="AF2682" s="1152"/>
      <c r="AG2682" s="1153"/>
      <c r="AH2682" s="1153"/>
      <c r="AI2682" s="732">
        <f t="shared" si="339"/>
        <v>28184</v>
      </c>
      <c r="AJ2682" s="733">
        <f t="shared" si="340"/>
        <v>23178</v>
      </c>
    </row>
    <row r="2683" spans="1:36">
      <c r="A2683" s="1020" t="s">
        <v>751</v>
      </c>
      <c r="B2683" s="1021" t="s">
        <v>161</v>
      </c>
      <c r="C2683" s="1040" t="s">
        <v>1405</v>
      </c>
      <c r="D2683" s="1027"/>
      <c r="E2683" s="1136"/>
      <c r="F2683" s="1036">
        <v>99</v>
      </c>
      <c r="G2683" s="1152"/>
      <c r="H2683" s="1153"/>
      <c r="I2683" s="1152"/>
      <c r="J2683" s="1153"/>
      <c r="K2683" s="1152"/>
      <c r="L2683" s="1153"/>
      <c r="M2683" s="1152"/>
      <c r="N2683" s="1152"/>
      <c r="O2683" s="732">
        <f t="shared" si="333"/>
        <v>0</v>
      </c>
      <c r="P2683" s="1153"/>
      <c r="Q2683" s="1153"/>
      <c r="R2683" s="733">
        <f t="shared" si="336"/>
        <v>0</v>
      </c>
      <c r="S2683" s="732">
        <f t="shared" si="337"/>
        <v>0</v>
      </c>
      <c r="T2683" s="733">
        <f t="shared" si="338"/>
        <v>0</v>
      </c>
      <c r="U2683" s="1152"/>
      <c r="V2683" s="1153"/>
      <c r="W2683" s="1152"/>
      <c r="X2683" s="1152"/>
      <c r="Y2683" s="732">
        <f t="shared" si="334"/>
        <v>0</v>
      </c>
      <c r="Z2683" s="1153"/>
      <c r="AA2683" s="1153"/>
      <c r="AB2683" s="733">
        <f t="shared" si="335"/>
        <v>0</v>
      </c>
      <c r="AC2683" s="1152"/>
      <c r="AD2683" s="1153"/>
      <c r="AE2683" s="1152"/>
      <c r="AF2683" s="1152"/>
      <c r="AG2683" s="1153"/>
      <c r="AH2683" s="1153"/>
      <c r="AI2683" s="732">
        <f t="shared" si="339"/>
        <v>0</v>
      </c>
      <c r="AJ2683" s="733">
        <f t="shared" si="340"/>
        <v>0</v>
      </c>
    </row>
    <row r="2684" spans="1:36">
      <c r="A2684" s="1020" t="s">
        <v>751</v>
      </c>
      <c r="B2684" s="1047" t="s">
        <v>170</v>
      </c>
      <c r="C2684" s="1026" t="s">
        <v>171</v>
      </c>
      <c r="D2684" s="1027"/>
      <c r="E2684" s="1138"/>
      <c r="F2684" s="1036">
        <v>99</v>
      </c>
      <c r="G2684" s="1152"/>
      <c r="H2684" s="1153"/>
      <c r="I2684" s="1152"/>
      <c r="J2684" s="1153"/>
      <c r="K2684" s="1152"/>
      <c r="L2684" s="1153"/>
      <c r="M2684" s="1152"/>
      <c r="N2684" s="1152"/>
      <c r="O2684" s="732">
        <f t="shared" si="333"/>
        <v>0</v>
      </c>
      <c r="P2684" s="1153"/>
      <c r="Q2684" s="1153"/>
      <c r="R2684" s="733">
        <f t="shared" si="336"/>
        <v>0</v>
      </c>
      <c r="S2684" s="732">
        <f t="shared" si="337"/>
        <v>0</v>
      </c>
      <c r="T2684" s="733">
        <f t="shared" si="338"/>
        <v>0</v>
      </c>
      <c r="U2684" s="1152"/>
      <c r="V2684" s="1153"/>
      <c r="W2684" s="1152"/>
      <c r="X2684" s="1152"/>
      <c r="Y2684" s="732">
        <f t="shared" si="334"/>
        <v>0</v>
      </c>
      <c r="Z2684" s="1153"/>
      <c r="AA2684" s="1153"/>
      <c r="AB2684" s="733">
        <f t="shared" si="335"/>
        <v>0</v>
      </c>
      <c r="AC2684" s="1152"/>
      <c r="AD2684" s="1153"/>
      <c r="AE2684" s="1152"/>
      <c r="AF2684" s="1152"/>
      <c r="AG2684" s="1153"/>
      <c r="AH2684" s="1153"/>
      <c r="AI2684" s="732">
        <f t="shared" si="339"/>
        <v>0</v>
      </c>
      <c r="AJ2684" s="733">
        <f t="shared" si="340"/>
        <v>0</v>
      </c>
    </row>
    <row r="2685" spans="1:36">
      <c r="A2685" s="1020" t="s">
        <v>751</v>
      </c>
      <c r="B2685" s="1047" t="s">
        <v>172</v>
      </c>
      <c r="C2685" s="1026" t="s">
        <v>165</v>
      </c>
      <c r="D2685" s="1027"/>
      <c r="E2685" s="1138"/>
      <c r="F2685" s="1036">
        <v>99</v>
      </c>
      <c r="G2685" s="1152"/>
      <c r="H2685" s="1153"/>
      <c r="I2685" s="1152"/>
      <c r="J2685" s="1153"/>
      <c r="K2685" s="1152"/>
      <c r="L2685" s="1153"/>
      <c r="M2685" s="1152"/>
      <c r="N2685" s="1152"/>
      <c r="O2685" s="732">
        <f t="shared" si="333"/>
        <v>0</v>
      </c>
      <c r="P2685" s="1153"/>
      <c r="Q2685" s="1153"/>
      <c r="R2685" s="733">
        <f t="shared" si="336"/>
        <v>0</v>
      </c>
      <c r="S2685" s="732">
        <f t="shared" si="337"/>
        <v>0</v>
      </c>
      <c r="T2685" s="733">
        <f t="shared" si="338"/>
        <v>0</v>
      </c>
      <c r="U2685" s="1152"/>
      <c r="V2685" s="1153"/>
      <c r="W2685" s="1152"/>
      <c r="X2685" s="1152"/>
      <c r="Y2685" s="732">
        <f t="shared" si="334"/>
        <v>0</v>
      </c>
      <c r="Z2685" s="1153"/>
      <c r="AA2685" s="1153"/>
      <c r="AB2685" s="733">
        <f t="shared" si="335"/>
        <v>0</v>
      </c>
      <c r="AC2685" s="1152"/>
      <c r="AD2685" s="1153"/>
      <c r="AE2685" s="1152"/>
      <c r="AF2685" s="1152"/>
      <c r="AG2685" s="1153"/>
      <c r="AH2685" s="1153"/>
      <c r="AI2685" s="732">
        <f t="shared" si="339"/>
        <v>0</v>
      </c>
      <c r="AJ2685" s="733">
        <f t="shared" si="340"/>
        <v>0</v>
      </c>
    </row>
    <row r="2686" spans="1:36">
      <c r="A2686" s="1020" t="s">
        <v>751</v>
      </c>
      <c r="B2686" s="1047" t="s">
        <v>173</v>
      </c>
      <c r="C2686" s="1026" t="s">
        <v>167</v>
      </c>
      <c r="D2686" s="1027"/>
      <c r="E2686" s="1138"/>
      <c r="F2686" s="1036">
        <v>99</v>
      </c>
      <c r="G2686" s="1152"/>
      <c r="H2686" s="1153"/>
      <c r="I2686" s="1152"/>
      <c r="J2686" s="1153"/>
      <c r="K2686" s="1152"/>
      <c r="L2686" s="1153"/>
      <c r="M2686" s="1152"/>
      <c r="N2686" s="1152"/>
      <c r="O2686" s="732">
        <f t="shared" si="333"/>
        <v>0</v>
      </c>
      <c r="P2686" s="1153"/>
      <c r="Q2686" s="1153"/>
      <c r="R2686" s="733">
        <f t="shared" si="336"/>
        <v>0</v>
      </c>
      <c r="S2686" s="732">
        <f t="shared" si="337"/>
        <v>0</v>
      </c>
      <c r="T2686" s="733">
        <f t="shared" si="338"/>
        <v>0</v>
      </c>
      <c r="U2686" s="1152">
        <v>225527</v>
      </c>
      <c r="V2686" s="1153">
        <v>225527</v>
      </c>
      <c r="W2686" s="1152"/>
      <c r="X2686" s="1152"/>
      <c r="Y2686" s="732">
        <f t="shared" si="334"/>
        <v>0</v>
      </c>
      <c r="Z2686" s="1153"/>
      <c r="AA2686" s="1153"/>
      <c r="AB2686" s="733">
        <f t="shared" si="335"/>
        <v>0</v>
      </c>
      <c r="AC2686" s="1152"/>
      <c r="AD2686" s="1153"/>
      <c r="AE2686" s="1152"/>
      <c r="AF2686" s="1152"/>
      <c r="AG2686" s="1153"/>
      <c r="AH2686" s="1153"/>
      <c r="AI2686" s="732">
        <f t="shared" si="339"/>
        <v>225527</v>
      </c>
      <c r="AJ2686" s="733">
        <f t="shared" si="340"/>
        <v>225527</v>
      </c>
    </row>
    <row r="2687" spans="1:36">
      <c r="A2687" s="1020" t="s">
        <v>751</v>
      </c>
      <c r="B2687" s="1021" t="s">
        <v>176</v>
      </c>
      <c r="C2687" s="1026" t="s">
        <v>177</v>
      </c>
      <c r="D2687" s="1027"/>
      <c r="E2687" s="1138"/>
      <c r="F2687" s="1036">
        <v>99</v>
      </c>
      <c r="G2687" s="1152"/>
      <c r="H2687" s="1153"/>
      <c r="I2687" s="1152"/>
      <c r="J2687" s="1153"/>
      <c r="K2687" s="1152"/>
      <c r="L2687" s="1153"/>
      <c r="M2687" s="1152"/>
      <c r="N2687" s="1152"/>
      <c r="O2687" s="732">
        <f t="shared" si="333"/>
        <v>0</v>
      </c>
      <c r="P2687" s="1153"/>
      <c r="Q2687" s="1153"/>
      <c r="R2687" s="733">
        <f t="shared" si="336"/>
        <v>0</v>
      </c>
      <c r="S2687" s="732">
        <f t="shared" si="337"/>
        <v>0</v>
      </c>
      <c r="T2687" s="733">
        <f t="shared" si="338"/>
        <v>0</v>
      </c>
      <c r="U2687" s="1152"/>
      <c r="V2687" s="1153"/>
      <c r="W2687" s="1152"/>
      <c r="X2687" s="1152"/>
      <c r="Y2687" s="732">
        <f t="shared" si="334"/>
        <v>0</v>
      </c>
      <c r="Z2687" s="1153"/>
      <c r="AA2687" s="1153"/>
      <c r="AB2687" s="733">
        <f t="shared" si="335"/>
        <v>0</v>
      </c>
      <c r="AC2687" s="1152"/>
      <c r="AD2687" s="1153"/>
      <c r="AE2687" s="1152"/>
      <c r="AF2687" s="1152"/>
      <c r="AG2687" s="1153"/>
      <c r="AH2687" s="1153"/>
      <c r="AI2687" s="732">
        <f t="shared" si="339"/>
        <v>0</v>
      </c>
      <c r="AJ2687" s="733">
        <f t="shared" si="340"/>
        <v>0</v>
      </c>
    </row>
    <row r="2688" spans="1:36">
      <c r="A2688" s="1020" t="s">
        <v>751</v>
      </c>
      <c r="B2688" s="1047" t="s">
        <v>180</v>
      </c>
      <c r="C2688" s="1026" t="s">
        <v>165</v>
      </c>
      <c r="D2688" s="1027"/>
      <c r="E2688" s="1138"/>
      <c r="F2688" s="1036">
        <v>99</v>
      </c>
      <c r="G2688" s="1152"/>
      <c r="H2688" s="1153"/>
      <c r="I2688" s="1152"/>
      <c r="J2688" s="1153"/>
      <c r="K2688" s="1152"/>
      <c r="L2688" s="1153"/>
      <c r="M2688" s="1152"/>
      <c r="N2688" s="1152"/>
      <c r="O2688" s="732">
        <f t="shared" si="333"/>
        <v>0</v>
      </c>
      <c r="P2688" s="1153"/>
      <c r="Q2688" s="1153"/>
      <c r="R2688" s="733">
        <f t="shared" si="336"/>
        <v>0</v>
      </c>
      <c r="S2688" s="732">
        <f t="shared" si="337"/>
        <v>0</v>
      </c>
      <c r="T2688" s="733">
        <f t="shared" si="338"/>
        <v>0</v>
      </c>
      <c r="U2688" s="1152"/>
      <c r="V2688" s="1153"/>
      <c r="W2688" s="1152"/>
      <c r="X2688" s="1152"/>
      <c r="Y2688" s="732">
        <f t="shared" si="334"/>
        <v>0</v>
      </c>
      <c r="Z2688" s="1153"/>
      <c r="AA2688" s="1153"/>
      <c r="AB2688" s="733">
        <f t="shared" si="335"/>
        <v>0</v>
      </c>
      <c r="AC2688" s="1152"/>
      <c r="AD2688" s="1153"/>
      <c r="AE2688" s="1152"/>
      <c r="AF2688" s="1152"/>
      <c r="AG2688" s="1153"/>
      <c r="AH2688" s="1153"/>
      <c r="AI2688" s="732">
        <f t="shared" si="339"/>
        <v>0</v>
      </c>
      <c r="AJ2688" s="733">
        <f t="shared" si="340"/>
        <v>0</v>
      </c>
    </row>
    <row r="2689" spans="1:36">
      <c r="A2689" s="1020" t="s">
        <v>751</v>
      </c>
      <c r="B2689" s="1047" t="s">
        <v>178</v>
      </c>
      <c r="C2689" s="1026" t="s">
        <v>167</v>
      </c>
      <c r="D2689" s="1027"/>
      <c r="E2689" s="1138"/>
      <c r="F2689" s="1036">
        <v>99</v>
      </c>
      <c r="G2689" s="1152"/>
      <c r="H2689" s="1153"/>
      <c r="I2689" s="1152"/>
      <c r="J2689" s="1153"/>
      <c r="K2689" s="1152"/>
      <c r="L2689" s="1153"/>
      <c r="M2689" s="1152"/>
      <c r="N2689" s="1152"/>
      <c r="O2689" s="732">
        <f t="shared" si="333"/>
        <v>0</v>
      </c>
      <c r="P2689" s="1153"/>
      <c r="Q2689" s="1153"/>
      <c r="R2689" s="733">
        <f t="shared" si="336"/>
        <v>0</v>
      </c>
      <c r="S2689" s="732">
        <f t="shared" si="337"/>
        <v>0</v>
      </c>
      <c r="T2689" s="733">
        <f t="shared" si="338"/>
        <v>0</v>
      </c>
      <c r="U2689" s="1152">
        <v>0</v>
      </c>
      <c r="V2689" s="1153">
        <v>0</v>
      </c>
      <c r="W2689" s="1152"/>
      <c r="X2689" s="1152"/>
      <c r="Y2689" s="732">
        <f t="shared" si="334"/>
        <v>0</v>
      </c>
      <c r="Z2689" s="1153"/>
      <c r="AA2689" s="1153"/>
      <c r="AB2689" s="733">
        <f t="shared" si="335"/>
        <v>0</v>
      </c>
      <c r="AC2689" s="1152"/>
      <c r="AD2689" s="1153"/>
      <c r="AE2689" s="1152"/>
      <c r="AF2689" s="1152"/>
      <c r="AG2689" s="1153"/>
      <c r="AH2689" s="1153"/>
      <c r="AI2689" s="732">
        <f t="shared" si="339"/>
        <v>0</v>
      </c>
      <c r="AJ2689" s="733">
        <f t="shared" si="340"/>
        <v>0</v>
      </c>
    </row>
    <row r="2690" spans="1:36">
      <c r="A2690" s="1020" t="s">
        <v>751</v>
      </c>
      <c r="B2690" s="1021" t="s">
        <v>161</v>
      </c>
      <c r="C2690" s="1040" t="s">
        <v>1406</v>
      </c>
      <c r="D2690" s="1027"/>
      <c r="E2690" s="1136"/>
      <c r="F2690" s="1036">
        <v>99</v>
      </c>
      <c r="G2690" s="1152"/>
      <c r="H2690" s="1153"/>
      <c r="I2690" s="1152"/>
      <c r="J2690" s="1153"/>
      <c r="K2690" s="1152"/>
      <c r="L2690" s="1153"/>
      <c r="M2690" s="1152"/>
      <c r="N2690" s="1152"/>
      <c r="O2690" s="732">
        <f t="shared" si="333"/>
        <v>0</v>
      </c>
      <c r="P2690" s="1153"/>
      <c r="Q2690" s="1153"/>
      <c r="R2690" s="733">
        <f t="shared" si="336"/>
        <v>0</v>
      </c>
      <c r="S2690" s="732">
        <f t="shared" si="337"/>
        <v>0</v>
      </c>
      <c r="T2690" s="733">
        <f t="shared" si="338"/>
        <v>0</v>
      </c>
      <c r="U2690" s="1152"/>
      <c r="V2690" s="1153"/>
      <c r="W2690" s="1152"/>
      <c r="X2690" s="1152"/>
      <c r="Y2690" s="732">
        <f t="shared" si="334"/>
        <v>0</v>
      </c>
      <c r="Z2690" s="1153"/>
      <c r="AA2690" s="1153"/>
      <c r="AB2690" s="733">
        <f t="shared" si="335"/>
        <v>0</v>
      </c>
      <c r="AC2690" s="1152"/>
      <c r="AD2690" s="1153"/>
      <c r="AE2690" s="1152"/>
      <c r="AF2690" s="1152"/>
      <c r="AG2690" s="1153"/>
      <c r="AH2690" s="1153"/>
      <c r="AI2690" s="732">
        <f t="shared" si="339"/>
        <v>0</v>
      </c>
      <c r="AJ2690" s="733">
        <f t="shared" si="340"/>
        <v>0</v>
      </c>
    </row>
    <row r="2691" spans="1:36">
      <c r="A2691" s="1020" t="s">
        <v>751</v>
      </c>
      <c r="B2691" s="1047" t="s">
        <v>170</v>
      </c>
      <c r="C2691" s="1026" t="s">
        <v>171</v>
      </c>
      <c r="D2691" s="1027"/>
      <c r="E2691" s="1138"/>
      <c r="F2691" s="1036">
        <v>99</v>
      </c>
      <c r="G2691" s="1152"/>
      <c r="H2691" s="1153"/>
      <c r="I2691" s="1152"/>
      <c r="J2691" s="1153"/>
      <c r="K2691" s="1152"/>
      <c r="L2691" s="1153"/>
      <c r="M2691" s="1152"/>
      <c r="N2691" s="1152"/>
      <c r="O2691" s="732">
        <f t="shared" si="333"/>
        <v>0</v>
      </c>
      <c r="P2691" s="1153"/>
      <c r="Q2691" s="1153"/>
      <c r="R2691" s="733">
        <f t="shared" si="336"/>
        <v>0</v>
      </c>
      <c r="S2691" s="732">
        <f t="shared" si="337"/>
        <v>0</v>
      </c>
      <c r="T2691" s="733">
        <f t="shared" si="338"/>
        <v>0</v>
      </c>
      <c r="U2691" s="1152"/>
      <c r="V2691" s="1153"/>
      <c r="W2691" s="1152"/>
      <c r="X2691" s="1152"/>
      <c r="Y2691" s="732">
        <f t="shared" si="334"/>
        <v>0</v>
      </c>
      <c r="Z2691" s="1153"/>
      <c r="AA2691" s="1153"/>
      <c r="AB2691" s="733">
        <f t="shared" si="335"/>
        <v>0</v>
      </c>
      <c r="AC2691" s="1152"/>
      <c r="AD2691" s="1153"/>
      <c r="AE2691" s="1152"/>
      <c r="AF2691" s="1152"/>
      <c r="AG2691" s="1153"/>
      <c r="AH2691" s="1153"/>
      <c r="AI2691" s="732">
        <f t="shared" si="339"/>
        <v>0</v>
      </c>
      <c r="AJ2691" s="733">
        <f t="shared" si="340"/>
        <v>0</v>
      </c>
    </row>
    <row r="2692" spans="1:36">
      <c r="A2692" s="1020" t="s">
        <v>751</v>
      </c>
      <c r="B2692" s="1047" t="s">
        <v>172</v>
      </c>
      <c r="C2692" s="1026" t="s">
        <v>165</v>
      </c>
      <c r="D2692" s="1027"/>
      <c r="E2692" s="1138"/>
      <c r="F2692" s="1036">
        <v>99</v>
      </c>
      <c r="G2692" s="1152"/>
      <c r="H2692" s="1153"/>
      <c r="I2692" s="1152"/>
      <c r="J2692" s="1153"/>
      <c r="K2692" s="1152"/>
      <c r="L2692" s="1153"/>
      <c r="M2692" s="1152"/>
      <c r="N2692" s="1152"/>
      <c r="O2692" s="732">
        <f t="shared" si="333"/>
        <v>0</v>
      </c>
      <c r="P2692" s="1153"/>
      <c r="Q2692" s="1153"/>
      <c r="R2692" s="733">
        <f t="shared" si="336"/>
        <v>0</v>
      </c>
      <c r="S2692" s="732">
        <f t="shared" si="337"/>
        <v>0</v>
      </c>
      <c r="T2692" s="733">
        <f t="shared" si="338"/>
        <v>0</v>
      </c>
      <c r="U2692" s="1152">
        <v>4325749</v>
      </c>
      <c r="V2692" s="1153">
        <v>4134090</v>
      </c>
      <c r="W2692" s="1152"/>
      <c r="X2692" s="1152"/>
      <c r="Y2692" s="732">
        <f t="shared" si="334"/>
        <v>0</v>
      </c>
      <c r="Z2692" s="1153"/>
      <c r="AA2692" s="1153"/>
      <c r="AB2692" s="733">
        <f t="shared" si="335"/>
        <v>0</v>
      </c>
      <c r="AC2692" s="1152"/>
      <c r="AD2692" s="1153"/>
      <c r="AE2692" s="1152"/>
      <c r="AF2692" s="1152"/>
      <c r="AG2692" s="1153"/>
      <c r="AH2692" s="1153"/>
      <c r="AI2692" s="732">
        <f t="shared" si="339"/>
        <v>4325749</v>
      </c>
      <c r="AJ2692" s="733">
        <f t="shared" si="340"/>
        <v>4134090</v>
      </c>
    </row>
    <row r="2693" spans="1:36">
      <c r="A2693" s="1020" t="s">
        <v>751</v>
      </c>
      <c r="B2693" s="1047" t="s">
        <v>173</v>
      </c>
      <c r="C2693" s="1026" t="s">
        <v>167</v>
      </c>
      <c r="D2693" s="1027"/>
      <c r="E2693" s="1138"/>
      <c r="F2693" s="1036">
        <v>99</v>
      </c>
      <c r="G2693" s="1152"/>
      <c r="H2693" s="1153"/>
      <c r="I2693" s="1152"/>
      <c r="J2693" s="1153"/>
      <c r="K2693" s="1152"/>
      <c r="L2693" s="1153"/>
      <c r="M2693" s="1152"/>
      <c r="N2693" s="1152"/>
      <c r="O2693" s="732">
        <f t="shared" si="333"/>
        <v>0</v>
      </c>
      <c r="P2693" s="1153"/>
      <c r="Q2693" s="1153"/>
      <c r="R2693" s="733">
        <f t="shared" si="336"/>
        <v>0</v>
      </c>
      <c r="S2693" s="732">
        <f t="shared" si="337"/>
        <v>0</v>
      </c>
      <c r="T2693" s="733">
        <f t="shared" si="338"/>
        <v>0</v>
      </c>
      <c r="U2693" s="1152"/>
      <c r="V2693" s="1153"/>
      <c r="W2693" s="1152"/>
      <c r="X2693" s="1152"/>
      <c r="Y2693" s="732">
        <f t="shared" si="334"/>
        <v>0</v>
      </c>
      <c r="Z2693" s="1153"/>
      <c r="AA2693" s="1153"/>
      <c r="AB2693" s="733">
        <f t="shared" si="335"/>
        <v>0</v>
      </c>
      <c r="AC2693" s="1152"/>
      <c r="AD2693" s="1153"/>
      <c r="AE2693" s="1152"/>
      <c r="AF2693" s="1152"/>
      <c r="AG2693" s="1153"/>
      <c r="AH2693" s="1153"/>
      <c r="AI2693" s="732">
        <f t="shared" si="339"/>
        <v>0</v>
      </c>
      <c r="AJ2693" s="733">
        <f t="shared" si="340"/>
        <v>0</v>
      </c>
    </row>
    <row r="2694" spans="1:36">
      <c r="A2694" s="1020" t="s">
        <v>751</v>
      </c>
      <c r="B2694" s="1021" t="s">
        <v>176</v>
      </c>
      <c r="C2694" s="1026" t="s">
        <v>177</v>
      </c>
      <c r="D2694" s="1027"/>
      <c r="E2694" s="1138"/>
      <c r="F2694" s="1036">
        <v>99</v>
      </c>
      <c r="G2694" s="1152"/>
      <c r="H2694" s="1153"/>
      <c r="I2694" s="1152"/>
      <c r="J2694" s="1153"/>
      <c r="K2694" s="1152"/>
      <c r="L2694" s="1153"/>
      <c r="M2694" s="1152"/>
      <c r="N2694" s="1152"/>
      <c r="O2694" s="732">
        <f t="shared" si="333"/>
        <v>0</v>
      </c>
      <c r="P2694" s="1153"/>
      <c r="Q2694" s="1153"/>
      <c r="R2694" s="733">
        <f t="shared" si="336"/>
        <v>0</v>
      </c>
      <c r="S2694" s="732">
        <f t="shared" si="337"/>
        <v>0</v>
      </c>
      <c r="T2694" s="733">
        <f t="shared" si="338"/>
        <v>0</v>
      </c>
      <c r="U2694" s="1152"/>
      <c r="V2694" s="1153"/>
      <c r="W2694" s="1152"/>
      <c r="X2694" s="1152"/>
      <c r="Y2694" s="732">
        <f t="shared" si="334"/>
        <v>0</v>
      </c>
      <c r="Z2694" s="1153"/>
      <c r="AA2694" s="1153"/>
      <c r="AB2694" s="733">
        <f t="shared" si="335"/>
        <v>0</v>
      </c>
      <c r="AC2694" s="1152"/>
      <c r="AD2694" s="1153"/>
      <c r="AE2694" s="1152"/>
      <c r="AF2694" s="1152"/>
      <c r="AG2694" s="1153"/>
      <c r="AH2694" s="1153"/>
      <c r="AI2694" s="732">
        <f t="shared" si="339"/>
        <v>0</v>
      </c>
      <c r="AJ2694" s="733">
        <f t="shared" si="340"/>
        <v>0</v>
      </c>
    </row>
    <row r="2695" spans="1:36">
      <c r="A2695" s="1020" t="s">
        <v>751</v>
      </c>
      <c r="B2695" s="1021" t="s">
        <v>180</v>
      </c>
      <c r="C2695" s="1026" t="s">
        <v>165</v>
      </c>
      <c r="D2695" s="1027"/>
      <c r="E2695" s="1138"/>
      <c r="F2695" s="1036">
        <v>99</v>
      </c>
      <c r="G2695" s="1152"/>
      <c r="H2695" s="1153"/>
      <c r="I2695" s="1152"/>
      <c r="J2695" s="1153"/>
      <c r="K2695" s="1152"/>
      <c r="L2695" s="1153"/>
      <c r="M2695" s="1152"/>
      <c r="N2695" s="1152"/>
      <c r="O2695" s="732">
        <f t="shared" si="333"/>
        <v>0</v>
      </c>
      <c r="P2695" s="1153"/>
      <c r="Q2695" s="1153"/>
      <c r="R2695" s="733">
        <f t="shared" si="336"/>
        <v>0</v>
      </c>
      <c r="S2695" s="732">
        <f t="shared" si="337"/>
        <v>0</v>
      </c>
      <c r="T2695" s="733">
        <f t="shared" si="338"/>
        <v>0</v>
      </c>
      <c r="U2695" s="1152">
        <v>572590</v>
      </c>
      <c r="V2695" s="1153">
        <v>592307</v>
      </c>
      <c r="W2695" s="1152"/>
      <c r="X2695" s="1152"/>
      <c r="Y2695" s="732">
        <f t="shared" si="334"/>
        <v>0</v>
      </c>
      <c r="Z2695" s="1153"/>
      <c r="AA2695" s="1153"/>
      <c r="AB2695" s="733">
        <f t="shared" si="335"/>
        <v>0</v>
      </c>
      <c r="AC2695" s="1152"/>
      <c r="AD2695" s="1153"/>
      <c r="AE2695" s="1152"/>
      <c r="AF2695" s="1152"/>
      <c r="AG2695" s="1153"/>
      <c r="AH2695" s="1153"/>
      <c r="AI2695" s="732">
        <f t="shared" si="339"/>
        <v>572590</v>
      </c>
      <c r="AJ2695" s="733">
        <f t="shared" si="340"/>
        <v>592307</v>
      </c>
    </row>
    <row r="2696" spans="1:36">
      <c r="A2696" s="1020" t="s">
        <v>751</v>
      </c>
      <c r="B2696" s="1021" t="s">
        <v>161</v>
      </c>
      <c r="C2696" s="1040" t="s">
        <v>1464</v>
      </c>
      <c r="D2696" s="1027"/>
      <c r="E2696" s="1136"/>
      <c r="F2696" s="1036">
        <v>99</v>
      </c>
      <c r="G2696" s="1152"/>
      <c r="H2696" s="1153"/>
      <c r="I2696" s="1152"/>
      <c r="J2696" s="1153"/>
      <c r="K2696" s="1152"/>
      <c r="L2696" s="1153"/>
      <c r="M2696" s="1152"/>
      <c r="N2696" s="1152"/>
      <c r="O2696" s="732">
        <f t="shared" si="333"/>
        <v>0</v>
      </c>
      <c r="P2696" s="1153"/>
      <c r="Q2696" s="1153"/>
      <c r="R2696" s="733">
        <f t="shared" si="336"/>
        <v>0</v>
      </c>
      <c r="S2696" s="732">
        <f t="shared" si="337"/>
        <v>0</v>
      </c>
      <c r="T2696" s="733">
        <f t="shared" si="338"/>
        <v>0</v>
      </c>
      <c r="U2696" s="1152"/>
      <c r="V2696" s="1153"/>
      <c r="W2696" s="1152"/>
      <c r="X2696" s="1152"/>
      <c r="Y2696" s="732">
        <f t="shared" si="334"/>
        <v>0</v>
      </c>
      <c r="Z2696" s="1153"/>
      <c r="AA2696" s="1153"/>
      <c r="AB2696" s="733">
        <f t="shared" si="335"/>
        <v>0</v>
      </c>
      <c r="AC2696" s="1152"/>
      <c r="AD2696" s="1153"/>
      <c r="AE2696" s="1152"/>
      <c r="AF2696" s="1152"/>
      <c r="AG2696" s="1153"/>
      <c r="AH2696" s="1153"/>
      <c r="AI2696" s="732">
        <f t="shared" si="339"/>
        <v>0</v>
      </c>
      <c r="AJ2696" s="733">
        <f t="shared" si="340"/>
        <v>0</v>
      </c>
    </row>
    <row r="2697" spans="1:36">
      <c r="A2697" s="1137" t="s">
        <v>751</v>
      </c>
      <c r="B2697" s="1021" t="s">
        <v>170</v>
      </c>
      <c r="C2697" s="1026" t="s">
        <v>171</v>
      </c>
      <c r="D2697" s="1027"/>
      <c r="E2697" s="1136"/>
      <c r="F2697" s="1036">
        <v>99</v>
      </c>
      <c r="G2697" s="1152"/>
      <c r="H2697" s="1153"/>
      <c r="I2697" s="1152"/>
      <c r="J2697" s="1153"/>
      <c r="K2697" s="1152"/>
      <c r="L2697" s="1153"/>
      <c r="M2697" s="1152"/>
      <c r="N2697" s="1152"/>
      <c r="O2697" s="732">
        <f t="shared" si="333"/>
        <v>0</v>
      </c>
      <c r="P2697" s="1153"/>
      <c r="Q2697" s="1153"/>
      <c r="R2697" s="733">
        <f t="shared" si="336"/>
        <v>0</v>
      </c>
      <c r="S2697" s="732">
        <f t="shared" si="337"/>
        <v>0</v>
      </c>
      <c r="T2697" s="733">
        <f t="shared" si="338"/>
        <v>0</v>
      </c>
      <c r="U2697" s="1152"/>
      <c r="V2697" s="1153"/>
      <c r="W2697" s="1152"/>
      <c r="X2697" s="1152"/>
      <c r="Y2697" s="732">
        <f t="shared" si="334"/>
        <v>0</v>
      </c>
      <c r="Z2697" s="1153"/>
      <c r="AA2697" s="1153"/>
      <c r="AB2697" s="733">
        <f t="shared" si="335"/>
        <v>0</v>
      </c>
      <c r="AC2697" s="1152"/>
      <c r="AD2697" s="1153"/>
      <c r="AE2697" s="1152"/>
      <c r="AF2697" s="1152"/>
      <c r="AG2697" s="1153"/>
      <c r="AH2697" s="1153"/>
      <c r="AI2697" s="732">
        <f t="shared" si="339"/>
        <v>0</v>
      </c>
      <c r="AJ2697" s="733">
        <f t="shared" si="340"/>
        <v>0</v>
      </c>
    </row>
    <row r="2698" spans="1:36">
      <c r="A2698" s="1137" t="s">
        <v>751</v>
      </c>
      <c r="B2698" s="1021" t="s">
        <v>172</v>
      </c>
      <c r="C2698" s="1026" t="s">
        <v>165</v>
      </c>
      <c r="D2698" s="1027"/>
      <c r="E2698" s="1136"/>
      <c r="F2698" s="1036">
        <v>99</v>
      </c>
      <c r="G2698" s="1152"/>
      <c r="H2698" s="1153"/>
      <c r="I2698" s="1152"/>
      <c r="J2698" s="1153"/>
      <c r="K2698" s="1152"/>
      <c r="L2698" s="1153"/>
      <c r="M2698" s="1152"/>
      <c r="N2698" s="1152"/>
      <c r="O2698" s="732">
        <f t="shared" ref="O2698:O2733" si="341">SUM(M2698:N2698)</f>
        <v>0</v>
      </c>
      <c r="P2698" s="1153"/>
      <c r="Q2698" s="1153"/>
      <c r="R2698" s="733">
        <f t="shared" si="336"/>
        <v>0</v>
      </c>
      <c r="S2698" s="732">
        <f t="shared" si="337"/>
        <v>0</v>
      </c>
      <c r="T2698" s="733">
        <f t="shared" si="338"/>
        <v>0</v>
      </c>
      <c r="U2698" s="1152"/>
      <c r="V2698" s="1153"/>
      <c r="W2698" s="1152"/>
      <c r="X2698" s="1152"/>
      <c r="Y2698" s="732">
        <f t="shared" ref="Y2698:Y2733" si="342">SUM(W2698:X2698)</f>
        <v>0</v>
      </c>
      <c r="Z2698" s="1153"/>
      <c r="AA2698" s="1153"/>
      <c r="AB2698" s="733">
        <f t="shared" ref="AB2698:AB2733" si="343">SUM(Z2698:AA2698)</f>
        <v>0</v>
      </c>
      <c r="AC2698" s="1152"/>
      <c r="AD2698" s="1153"/>
      <c r="AE2698" s="1152"/>
      <c r="AF2698" s="1152"/>
      <c r="AG2698" s="1153"/>
      <c r="AH2698" s="1153"/>
      <c r="AI2698" s="732">
        <f t="shared" si="339"/>
        <v>0</v>
      </c>
      <c r="AJ2698" s="733">
        <f t="shared" si="340"/>
        <v>0</v>
      </c>
    </row>
    <row r="2699" spans="1:36">
      <c r="A2699" s="1137" t="s">
        <v>751</v>
      </c>
      <c r="B2699" s="1021" t="s">
        <v>173</v>
      </c>
      <c r="C2699" s="1026" t="s">
        <v>167</v>
      </c>
      <c r="D2699" s="1027"/>
      <c r="E2699" s="1136"/>
      <c r="F2699" s="1036">
        <v>99</v>
      </c>
      <c r="G2699" s="1152"/>
      <c r="H2699" s="1153"/>
      <c r="I2699" s="1152"/>
      <c r="J2699" s="1153"/>
      <c r="K2699" s="1152"/>
      <c r="L2699" s="1153"/>
      <c r="M2699" s="1152"/>
      <c r="N2699" s="1152"/>
      <c r="O2699" s="732">
        <f t="shared" si="341"/>
        <v>0</v>
      </c>
      <c r="P2699" s="1153"/>
      <c r="Q2699" s="1153"/>
      <c r="R2699" s="733">
        <f t="shared" ref="R2699:R2733" si="344">SUM(P2699:Q2699)</f>
        <v>0</v>
      </c>
      <c r="S2699" s="732">
        <f t="shared" ref="S2699:S2733" si="345">SUM(G2699,I2699,K2699,M2699)</f>
        <v>0</v>
      </c>
      <c r="T2699" s="733">
        <f t="shared" ref="T2699:T2733" si="346">SUM(H2699,J2699,L2699,P2699)</f>
        <v>0</v>
      </c>
      <c r="U2699" s="1152">
        <v>10034748</v>
      </c>
      <c r="V2699" s="1153">
        <v>7034748</v>
      </c>
      <c r="W2699" s="1152"/>
      <c r="X2699" s="1152"/>
      <c r="Y2699" s="732">
        <f t="shared" si="342"/>
        <v>0</v>
      </c>
      <c r="Z2699" s="1153"/>
      <c r="AA2699" s="1153"/>
      <c r="AB2699" s="733">
        <f t="shared" si="343"/>
        <v>0</v>
      </c>
      <c r="AC2699" s="1152"/>
      <c r="AD2699" s="1153"/>
      <c r="AE2699" s="1152"/>
      <c r="AF2699" s="1152"/>
      <c r="AG2699" s="1153"/>
      <c r="AH2699" s="1153"/>
      <c r="AI2699" s="732">
        <f t="shared" ref="AI2699:AI2733" si="347">SUM(S2699,U2699,W2699,AC2699,AE2699)</f>
        <v>10034748</v>
      </c>
      <c r="AJ2699" s="733">
        <f t="shared" ref="AJ2699:AJ2733" si="348">SUM(T2699,V2699,Z2699,AD2699,AG2699)</f>
        <v>7034748</v>
      </c>
    </row>
    <row r="2700" spans="1:36">
      <c r="A2700" s="1137" t="s">
        <v>751</v>
      </c>
      <c r="B2700" s="1021" t="s">
        <v>176</v>
      </c>
      <c r="C2700" s="1026" t="s">
        <v>177</v>
      </c>
      <c r="D2700" s="1027"/>
      <c r="E2700" s="1136"/>
      <c r="F2700" s="1036">
        <v>99</v>
      </c>
      <c r="G2700" s="1152"/>
      <c r="H2700" s="1153"/>
      <c r="I2700" s="1152"/>
      <c r="J2700" s="1153"/>
      <c r="K2700" s="1152"/>
      <c r="L2700" s="1153"/>
      <c r="M2700" s="1152"/>
      <c r="N2700" s="1152"/>
      <c r="O2700" s="732">
        <f t="shared" si="341"/>
        <v>0</v>
      </c>
      <c r="P2700" s="1153"/>
      <c r="Q2700" s="1153"/>
      <c r="R2700" s="733">
        <f t="shared" si="344"/>
        <v>0</v>
      </c>
      <c r="S2700" s="732">
        <f t="shared" si="345"/>
        <v>0</v>
      </c>
      <c r="T2700" s="733">
        <f t="shared" si="346"/>
        <v>0</v>
      </c>
      <c r="U2700" s="1152"/>
      <c r="V2700" s="1153"/>
      <c r="W2700" s="1152"/>
      <c r="X2700" s="1152"/>
      <c r="Y2700" s="732">
        <f t="shared" si="342"/>
        <v>0</v>
      </c>
      <c r="Z2700" s="1153"/>
      <c r="AA2700" s="1153"/>
      <c r="AB2700" s="733">
        <f t="shared" si="343"/>
        <v>0</v>
      </c>
      <c r="AC2700" s="1152"/>
      <c r="AD2700" s="1153"/>
      <c r="AE2700" s="1152"/>
      <c r="AF2700" s="1152"/>
      <c r="AG2700" s="1153"/>
      <c r="AH2700" s="1153"/>
      <c r="AI2700" s="732">
        <f t="shared" si="347"/>
        <v>0</v>
      </c>
      <c r="AJ2700" s="733">
        <f t="shared" si="348"/>
        <v>0</v>
      </c>
    </row>
    <row r="2701" spans="1:36">
      <c r="A2701" s="1137" t="s">
        <v>751</v>
      </c>
      <c r="B2701" s="1021" t="s">
        <v>180</v>
      </c>
      <c r="C2701" s="1026" t="s">
        <v>165</v>
      </c>
      <c r="D2701" s="1027"/>
      <c r="E2701" s="1136"/>
      <c r="F2701" s="1036">
        <v>99</v>
      </c>
      <c r="G2701" s="1152"/>
      <c r="H2701" s="1153"/>
      <c r="I2701" s="1152"/>
      <c r="J2701" s="1153"/>
      <c r="K2701" s="1152"/>
      <c r="L2701" s="1153"/>
      <c r="M2701" s="1152"/>
      <c r="N2701" s="1152"/>
      <c r="O2701" s="732">
        <f t="shared" si="341"/>
        <v>0</v>
      </c>
      <c r="P2701" s="1153"/>
      <c r="Q2701" s="1153"/>
      <c r="R2701" s="733">
        <f t="shared" si="344"/>
        <v>0</v>
      </c>
      <c r="S2701" s="732">
        <f t="shared" si="345"/>
        <v>0</v>
      </c>
      <c r="T2701" s="733">
        <f t="shared" si="346"/>
        <v>0</v>
      </c>
      <c r="U2701" s="1152"/>
      <c r="V2701" s="1153"/>
      <c r="W2701" s="1152"/>
      <c r="X2701" s="1152"/>
      <c r="Y2701" s="732">
        <f t="shared" si="342"/>
        <v>0</v>
      </c>
      <c r="Z2701" s="1153"/>
      <c r="AA2701" s="1153"/>
      <c r="AB2701" s="733">
        <f t="shared" si="343"/>
        <v>0</v>
      </c>
      <c r="AC2701" s="1152"/>
      <c r="AD2701" s="1153"/>
      <c r="AE2701" s="1152"/>
      <c r="AF2701" s="1152"/>
      <c r="AG2701" s="1153"/>
      <c r="AH2701" s="1153"/>
      <c r="AI2701" s="732">
        <f t="shared" si="347"/>
        <v>0</v>
      </c>
      <c r="AJ2701" s="733">
        <f t="shared" si="348"/>
        <v>0</v>
      </c>
    </row>
    <row r="2702" spans="1:36">
      <c r="A2702" s="1020" t="s">
        <v>751</v>
      </c>
      <c r="B2702" s="1021" t="s">
        <v>161</v>
      </c>
      <c r="C2702" s="1040" t="s">
        <v>1465</v>
      </c>
      <c r="D2702" s="1027"/>
      <c r="E2702" s="1136"/>
      <c r="F2702" s="1036">
        <v>99</v>
      </c>
      <c r="G2702" s="1152"/>
      <c r="H2702" s="1153"/>
      <c r="I2702" s="1152"/>
      <c r="J2702" s="1153"/>
      <c r="K2702" s="1152"/>
      <c r="L2702" s="1153"/>
      <c r="M2702" s="1152"/>
      <c r="N2702" s="1152"/>
      <c r="O2702" s="732">
        <f t="shared" si="341"/>
        <v>0</v>
      </c>
      <c r="P2702" s="1153"/>
      <c r="Q2702" s="1153"/>
      <c r="R2702" s="733">
        <f t="shared" si="344"/>
        <v>0</v>
      </c>
      <c r="S2702" s="732">
        <f t="shared" si="345"/>
        <v>0</v>
      </c>
      <c r="T2702" s="733">
        <f t="shared" si="346"/>
        <v>0</v>
      </c>
      <c r="U2702" s="1152"/>
      <c r="V2702" s="1153"/>
      <c r="W2702" s="1152"/>
      <c r="X2702" s="1152"/>
      <c r="Y2702" s="732">
        <f t="shared" si="342"/>
        <v>0</v>
      </c>
      <c r="Z2702" s="1153"/>
      <c r="AA2702" s="1153"/>
      <c r="AB2702" s="733">
        <f t="shared" si="343"/>
        <v>0</v>
      </c>
      <c r="AC2702" s="1152"/>
      <c r="AD2702" s="1153"/>
      <c r="AE2702" s="1152"/>
      <c r="AF2702" s="1152"/>
      <c r="AG2702" s="1153"/>
      <c r="AH2702" s="1153"/>
      <c r="AI2702" s="732">
        <f t="shared" si="347"/>
        <v>0</v>
      </c>
      <c r="AJ2702" s="733">
        <f t="shared" si="348"/>
        <v>0</v>
      </c>
    </row>
    <row r="2703" spans="1:36">
      <c r="A2703" s="1137" t="s">
        <v>751</v>
      </c>
      <c r="B2703" s="1021" t="s">
        <v>170</v>
      </c>
      <c r="C2703" s="1026" t="s">
        <v>171</v>
      </c>
      <c r="D2703" s="1027"/>
      <c r="E2703" s="1136"/>
      <c r="F2703" s="1036">
        <v>99</v>
      </c>
      <c r="G2703" s="1152"/>
      <c r="H2703" s="1153"/>
      <c r="I2703" s="1152"/>
      <c r="J2703" s="1153"/>
      <c r="K2703" s="1152"/>
      <c r="L2703" s="1153"/>
      <c r="M2703" s="1152"/>
      <c r="N2703" s="1152"/>
      <c r="O2703" s="732">
        <f t="shared" si="341"/>
        <v>0</v>
      </c>
      <c r="P2703" s="1153"/>
      <c r="Q2703" s="1153"/>
      <c r="R2703" s="733">
        <f t="shared" si="344"/>
        <v>0</v>
      </c>
      <c r="S2703" s="732">
        <f t="shared" si="345"/>
        <v>0</v>
      </c>
      <c r="T2703" s="733">
        <f t="shared" si="346"/>
        <v>0</v>
      </c>
      <c r="U2703" s="1152"/>
      <c r="V2703" s="1153"/>
      <c r="W2703" s="1152"/>
      <c r="X2703" s="1152"/>
      <c r="Y2703" s="732">
        <f t="shared" si="342"/>
        <v>0</v>
      </c>
      <c r="Z2703" s="1153"/>
      <c r="AA2703" s="1153"/>
      <c r="AB2703" s="733">
        <f t="shared" si="343"/>
        <v>0</v>
      </c>
      <c r="AC2703" s="1152"/>
      <c r="AD2703" s="1153"/>
      <c r="AE2703" s="1152"/>
      <c r="AF2703" s="1152"/>
      <c r="AG2703" s="1153"/>
      <c r="AH2703" s="1153"/>
      <c r="AI2703" s="732">
        <f t="shared" si="347"/>
        <v>0</v>
      </c>
      <c r="AJ2703" s="733">
        <f t="shared" si="348"/>
        <v>0</v>
      </c>
    </row>
    <row r="2704" spans="1:36">
      <c r="A2704" s="1137" t="s">
        <v>751</v>
      </c>
      <c r="B2704" s="1021" t="s">
        <v>172</v>
      </c>
      <c r="C2704" s="1026" t="s">
        <v>165</v>
      </c>
      <c r="D2704" s="1027"/>
      <c r="E2704" s="1136"/>
      <c r="F2704" s="1036">
        <v>99</v>
      </c>
      <c r="G2704" s="1152"/>
      <c r="H2704" s="1153"/>
      <c r="I2704" s="1152"/>
      <c r="J2704" s="1153"/>
      <c r="K2704" s="1152"/>
      <c r="L2704" s="1153"/>
      <c r="M2704" s="1152"/>
      <c r="N2704" s="1152"/>
      <c r="O2704" s="732">
        <f t="shared" si="341"/>
        <v>0</v>
      </c>
      <c r="P2704" s="1153"/>
      <c r="Q2704" s="1153"/>
      <c r="R2704" s="733">
        <f t="shared" si="344"/>
        <v>0</v>
      </c>
      <c r="S2704" s="732">
        <f t="shared" si="345"/>
        <v>0</v>
      </c>
      <c r="T2704" s="733">
        <f t="shared" si="346"/>
        <v>0</v>
      </c>
      <c r="U2704" s="1152"/>
      <c r="V2704" s="1153"/>
      <c r="W2704" s="1152"/>
      <c r="X2704" s="1152"/>
      <c r="Y2704" s="732">
        <f t="shared" si="342"/>
        <v>0</v>
      </c>
      <c r="Z2704" s="1153"/>
      <c r="AA2704" s="1153"/>
      <c r="AB2704" s="733">
        <f t="shared" si="343"/>
        <v>0</v>
      </c>
      <c r="AC2704" s="1152"/>
      <c r="AD2704" s="1153"/>
      <c r="AE2704" s="1152"/>
      <c r="AF2704" s="1152"/>
      <c r="AG2704" s="1153"/>
      <c r="AH2704" s="1153"/>
      <c r="AI2704" s="732">
        <f t="shared" si="347"/>
        <v>0</v>
      </c>
      <c r="AJ2704" s="733">
        <f t="shared" si="348"/>
        <v>0</v>
      </c>
    </row>
    <row r="2705" spans="1:36">
      <c r="A2705" s="1137" t="s">
        <v>751</v>
      </c>
      <c r="B2705" s="1021" t="s">
        <v>173</v>
      </c>
      <c r="C2705" s="1026" t="s">
        <v>167</v>
      </c>
      <c r="D2705" s="1027"/>
      <c r="E2705" s="1136"/>
      <c r="F2705" s="1036">
        <v>99</v>
      </c>
      <c r="G2705" s="1152"/>
      <c r="H2705" s="1153"/>
      <c r="I2705" s="1152"/>
      <c r="J2705" s="1153"/>
      <c r="K2705" s="1152"/>
      <c r="L2705" s="1153"/>
      <c r="M2705" s="1152"/>
      <c r="N2705" s="1152"/>
      <c r="O2705" s="732">
        <f t="shared" si="341"/>
        <v>0</v>
      </c>
      <c r="P2705" s="1153"/>
      <c r="Q2705" s="1153"/>
      <c r="R2705" s="733">
        <f t="shared" si="344"/>
        <v>0</v>
      </c>
      <c r="S2705" s="732">
        <f t="shared" si="345"/>
        <v>0</v>
      </c>
      <c r="T2705" s="733">
        <f t="shared" si="346"/>
        <v>0</v>
      </c>
      <c r="U2705" s="1152">
        <v>182000</v>
      </c>
      <c r="V2705" s="1153">
        <v>381818</v>
      </c>
      <c r="W2705" s="1152"/>
      <c r="X2705" s="1152"/>
      <c r="Y2705" s="732">
        <f t="shared" si="342"/>
        <v>0</v>
      </c>
      <c r="Z2705" s="1153"/>
      <c r="AA2705" s="1153"/>
      <c r="AB2705" s="733">
        <f t="shared" si="343"/>
        <v>0</v>
      </c>
      <c r="AC2705" s="1152"/>
      <c r="AD2705" s="1153"/>
      <c r="AE2705" s="1152"/>
      <c r="AF2705" s="1152"/>
      <c r="AG2705" s="1153"/>
      <c r="AH2705" s="1153"/>
      <c r="AI2705" s="732">
        <f t="shared" si="347"/>
        <v>182000</v>
      </c>
      <c r="AJ2705" s="733">
        <f t="shared" si="348"/>
        <v>381818</v>
      </c>
    </row>
    <row r="2706" spans="1:36">
      <c r="A2706" s="1137" t="s">
        <v>751</v>
      </c>
      <c r="B2706" s="1021" t="s">
        <v>176</v>
      </c>
      <c r="C2706" s="1026" t="s">
        <v>177</v>
      </c>
      <c r="D2706" s="1027"/>
      <c r="E2706" s="1136"/>
      <c r="F2706" s="1036">
        <v>99</v>
      </c>
      <c r="G2706" s="1152"/>
      <c r="H2706" s="1153"/>
      <c r="I2706" s="1152"/>
      <c r="J2706" s="1153"/>
      <c r="K2706" s="1152"/>
      <c r="L2706" s="1153"/>
      <c r="M2706" s="1152"/>
      <c r="N2706" s="1152"/>
      <c r="O2706" s="732">
        <f t="shared" si="341"/>
        <v>0</v>
      </c>
      <c r="P2706" s="1153"/>
      <c r="Q2706" s="1153"/>
      <c r="R2706" s="733">
        <f t="shared" si="344"/>
        <v>0</v>
      </c>
      <c r="S2706" s="732">
        <f t="shared" si="345"/>
        <v>0</v>
      </c>
      <c r="T2706" s="733">
        <f t="shared" si="346"/>
        <v>0</v>
      </c>
      <c r="U2706" s="1152"/>
      <c r="V2706" s="1153"/>
      <c r="W2706" s="1152"/>
      <c r="X2706" s="1152"/>
      <c r="Y2706" s="732">
        <f t="shared" si="342"/>
        <v>0</v>
      </c>
      <c r="Z2706" s="1153"/>
      <c r="AA2706" s="1153"/>
      <c r="AB2706" s="733">
        <f t="shared" si="343"/>
        <v>0</v>
      </c>
      <c r="AC2706" s="1152"/>
      <c r="AD2706" s="1153"/>
      <c r="AE2706" s="1152"/>
      <c r="AF2706" s="1152"/>
      <c r="AG2706" s="1153"/>
      <c r="AH2706" s="1153"/>
      <c r="AI2706" s="732">
        <f t="shared" si="347"/>
        <v>0</v>
      </c>
      <c r="AJ2706" s="733">
        <f t="shared" si="348"/>
        <v>0</v>
      </c>
    </row>
    <row r="2707" spans="1:36">
      <c r="A2707" s="1137" t="s">
        <v>751</v>
      </c>
      <c r="B2707" s="1021" t="s">
        <v>180</v>
      </c>
      <c r="C2707" s="1026" t="s">
        <v>165</v>
      </c>
      <c r="D2707" s="1027"/>
      <c r="E2707" s="1136"/>
      <c r="F2707" s="1036">
        <v>99</v>
      </c>
      <c r="G2707" s="1152"/>
      <c r="H2707" s="1153"/>
      <c r="I2707" s="1152"/>
      <c r="J2707" s="1153"/>
      <c r="K2707" s="1152"/>
      <c r="L2707" s="1153"/>
      <c r="M2707" s="1152"/>
      <c r="N2707" s="1152"/>
      <c r="O2707" s="732">
        <f t="shared" si="341"/>
        <v>0</v>
      </c>
      <c r="P2707" s="1153"/>
      <c r="Q2707" s="1153"/>
      <c r="R2707" s="733">
        <f t="shared" si="344"/>
        <v>0</v>
      </c>
      <c r="S2707" s="732">
        <f t="shared" si="345"/>
        <v>0</v>
      </c>
      <c r="T2707" s="733">
        <f t="shared" si="346"/>
        <v>0</v>
      </c>
      <c r="U2707" s="1152"/>
      <c r="V2707" s="1153">
        <v>18182</v>
      </c>
      <c r="W2707" s="1152"/>
      <c r="X2707" s="1152"/>
      <c r="Y2707" s="732">
        <f t="shared" si="342"/>
        <v>0</v>
      </c>
      <c r="Z2707" s="1153"/>
      <c r="AA2707" s="1153"/>
      <c r="AB2707" s="733">
        <f t="shared" si="343"/>
        <v>0</v>
      </c>
      <c r="AC2707" s="1152"/>
      <c r="AD2707" s="1153"/>
      <c r="AE2707" s="1152"/>
      <c r="AF2707" s="1152"/>
      <c r="AG2707" s="1153"/>
      <c r="AH2707" s="1153"/>
      <c r="AI2707" s="732">
        <f t="shared" si="347"/>
        <v>0</v>
      </c>
      <c r="AJ2707" s="733">
        <f t="shared" si="348"/>
        <v>18182</v>
      </c>
    </row>
    <row r="2708" spans="1:36" customFormat="1" ht="12.65" customHeight="1">
      <c r="A2708" s="808" t="s">
        <v>751</v>
      </c>
      <c r="B2708" s="729" t="s">
        <v>62</v>
      </c>
      <c r="C2708" s="729" t="s">
        <v>1466</v>
      </c>
      <c r="D2708" s="729"/>
      <c r="E2708" s="759">
        <v>237729</v>
      </c>
      <c r="F2708" s="759">
        <v>14</v>
      </c>
      <c r="G2708" s="1152">
        <v>766458.64</v>
      </c>
      <c r="H2708" s="1153">
        <v>779576</v>
      </c>
      <c r="I2708" s="1152"/>
      <c r="J2708" s="1153"/>
      <c r="K2708" s="1152"/>
      <c r="L2708" s="1153"/>
      <c r="M2708" s="1152"/>
      <c r="N2708" s="1152"/>
      <c r="O2708" s="732">
        <f t="shared" si="341"/>
        <v>0</v>
      </c>
      <c r="P2708" s="1153"/>
      <c r="Q2708" s="1153"/>
      <c r="R2708" s="733">
        <f t="shared" si="344"/>
        <v>0</v>
      </c>
      <c r="S2708" s="732">
        <f t="shared" si="345"/>
        <v>766458.64</v>
      </c>
      <c r="T2708" s="733">
        <f t="shared" si="346"/>
        <v>779576</v>
      </c>
      <c r="U2708" s="1152"/>
      <c r="V2708" s="1153"/>
      <c r="W2708" s="1152"/>
      <c r="X2708" s="1152"/>
      <c r="Y2708" s="732">
        <f t="shared" si="342"/>
        <v>0</v>
      </c>
      <c r="Z2708" s="1153"/>
      <c r="AA2708" s="1153"/>
      <c r="AB2708" s="733">
        <f t="shared" si="343"/>
        <v>0</v>
      </c>
      <c r="AC2708" s="1152"/>
      <c r="AD2708" s="1153"/>
      <c r="AE2708" s="1152"/>
      <c r="AF2708" s="1152"/>
      <c r="AG2708" s="1153"/>
      <c r="AH2708" s="1153"/>
      <c r="AI2708" s="732">
        <f t="shared" si="347"/>
        <v>766458.64</v>
      </c>
      <c r="AJ2708" s="733">
        <f t="shared" si="348"/>
        <v>779576</v>
      </c>
    </row>
    <row r="2709" spans="1:36" customFormat="1" ht="12.65" customHeight="1">
      <c r="A2709" s="808" t="s">
        <v>751</v>
      </c>
      <c r="B2709" s="729" t="s">
        <v>62</v>
      </c>
      <c r="C2709" s="729" t="s">
        <v>1467</v>
      </c>
      <c r="D2709" s="729"/>
      <c r="E2709" s="759">
        <v>237172</v>
      </c>
      <c r="F2709" s="759">
        <v>14</v>
      </c>
      <c r="G2709" s="1152">
        <v>267221.96000000002</v>
      </c>
      <c r="H2709" s="1153">
        <v>271764</v>
      </c>
      <c r="I2709" s="1152"/>
      <c r="J2709" s="1153"/>
      <c r="K2709" s="1152"/>
      <c r="L2709" s="1153"/>
      <c r="M2709" s="1152"/>
      <c r="N2709" s="1152"/>
      <c r="O2709" s="732">
        <f t="shared" si="341"/>
        <v>0</v>
      </c>
      <c r="P2709" s="1153"/>
      <c r="Q2709" s="1153"/>
      <c r="R2709" s="733">
        <f t="shared" si="344"/>
        <v>0</v>
      </c>
      <c r="S2709" s="732">
        <f t="shared" si="345"/>
        <v>267221.96000000002</v>
      </c>
      <c r="T2709" s="733">
        <f t="shared" si="346"/>
        <v>271764</v>
      </c>
      <c r="U2709" s="1152"/>
      <c r="V2709" s="1153"/>
      <c r="W2709" s="1152"/>
      <c r="X2709" s="1152"/>
      <c r="Y2709" s="732">
        <f t="shared" si="342"/>
        <v>0</v>
      </c>
      <c r="Z2709" s="1153"/>
      <c r="AA2709" s="1153"/>
      <c r="AB2709" s="733">
        <f t="shared" si="343"/>
        <v>0</v>
      </c>
      <c r="AC2709" s="1152"/>
      <c r="AD2709" s="1153"/>
      <c r="AE2709" s="1152"/>
      <c r="AF2709" s="1152"/>
      <c r="AG2709" s="1153"/>
      <c r="AH2709" s="1153"/>
      <c r="AI2709" s="732">
        <f t="shared" si="347"/>
        <v>267221.96000000002</v>
      </c>
      <c r="AJ2709" s="733">
        <f t="shared" si="348"/>
        <v>271764</v>
      </c>
    </row>
    <row r="2710" spans="1:36" customFormat="1" ht="12.65" customHeight="1">
      <c r="A2710" s="808" t="s">
        <v>751</v>
      </c>
      <c r="B2710" s="729" t="s">
        <v>62</v>
      </c>
      <c r="C2710" s="729" t="s">
        <v>1468</v>
      </c>
      <c r="D2710" s="729"/>
      <c r="E2710" s="759">
        <v>237224</v>
      </c>
      <c r="F2710" s="759">
        <v>14</v>
      </c>
      <c r="G2710" s="1152">
        <v>375770.68</v>
      </c>
      <c r="H2710" s="1153">
        <v>382039</v>
      </c>
      <c r="I2710" s="1152"/>
      <c r="J2710" s="1153"/>
      <c r="K2710" s="1152"/>
      <c r="L2710" s="1153"/>
      <c r="M2710" s="1152"/>
      <c r="N2710" s="1152"/>
      <c r="O2710" s="732">
        <f t="shared" si="341"/>
        <v>0</v>
      </c>
      <c r="P2710" s="1153"/>
      <c r="Q2710" s="1153"/>
      <c r="R2710" s="733">
        <f t="shared" si="344"/>
        <v>0</v>
      </c>
      <c r="S2710" s="732">
        <f t="shared" si="345"/>
        <v>375770.68</v>
      </c>
      <c r="T2710" s="733">
        <f t="shared" si="346"/>
        <v>382039</v>
      </c>
      <c r="U2710" s="1152"/>
      <c r="V2710" s="1153"/>
      <c r="W2710" s="1152"/>
      <c r="X2710" s="1152"/>
      <c r="Y2710" s="732">
        <f t="shared" si="342"/>
        <v>0</v>
      </c>
      <c r="Z2710" s="1153"/>
      <c r="AA2710" s="1153"/>
      <c r="AB2710" s="733">
        <f t="shared" si="343"/>
        <v>0</v>
      </c>
      <c r="AC2710" s="1152"/>
      <c r="AD2710" s="1153"/>
      <c r="AE2710" s="1152"/>
      <c r="AF2710" s="1152"/>
      <c r="AG2710" s="1153"/>
      <c r="AH2710" s="1153"/>
      <c r="AI2710" s="732">
        <f t="shared" si="347"/>
        <v>375770.68</v>
      </c>
      <c r="AJ2710" s="733">
        <f t="shared" si="348"/>
        <v>382039</v>
      </c>
    </row>
    <row r="2711" spans="1:36" customFormat="1" ht="12.65" customHeight="1">
      <c r="A2711" s="759" t="s">
        <v>751</v>
      </c>
      <c r="B2711" s="729" t="s">
        <v>62</v>
      </c>
      <c r="C2711" s="729" t="s">
        <v>1407</v>
      </c>
      <c r="D2711" s="729"/>
      <c r="E2711" s="759">
        <v>237242</v>
      </c>
      <c r="F2711" s="759">
        <v>14</v>
      </c>
      <c r="G2711" s="1152">
        <v>599894.56000000006</v>
      </c>
      <c r="H2711" s="1153">
        <v>610166</v>
      </c>
      <c r="I2711" s="1152"/>
      <c r="J2711" s="1153"/>
      <c r="K2711" s="1152"/>
      <c r="L2711" s="1153"/>
      <c r="M2711" s="1152"/>
      <c r="N2711" s="1152"/>
      <c r="O2711" s="732">
        <f t="shared" si="341"/>
        <v>0</v>
      </c>
      <c r="P2711" s="1153"/>
      <c r="Q2711" s="1153"/>
      <c r="R2711" s="733">
        <f t="shared" si="344"/>
        <v>0</v>
      </c>
      <c r="S2711" s="732">
        <f t="shared" si="345"/>
        <v>599894.56000000006</v>
      </c>
      <c r="T2711" s="733">
        <f t="shared" si="346"/>
        <v>610166</v>
      </c>
      <c r="U2711" s="1152"/>
      <c r="V2711" s="1153"/>
      <c r="W2711" s="1152"/>
      <c r="X2711" s="1152"/>
      <c r="Y2711" s="732">
        <f t="shared" si="342"/>
        <v>0</v>
      </c>
      <c r="Z2711" s="1153"/>
      <c r="AA2711" s="1153"/>
      <c r="AB2711" s="733">
        <f t="shared" si="343"/>
        <v>0</v>
      </c>
      <c r="AC2711" s="1152"/>
      <c r="AD2711" s="1153"/>
      <c r="AE2711" s="1152"/>
      <c r="AF2711" s="1152"/>
      <c r="AG2711" s="1153"/>
      <c r="AH2711" s="1153"/>
      <c r="AI2711" s="732">
        <f t="shared" si="347"/>
        <v>599894.56000000006</v>
      </c>
      <c r="AJ2711" s="733">
        <f t="shared" si="348"/>
        <v>610166</v>
      </c>
    </row>
    <row r="2712" spans="1:36" customFormat="1" ht="12.65" customHeight="1">
      <c r="A2712" s="759" t="s">
        <v>751</v>
      </c>
      <c r="B2712" s="729" t="s">
        <v>62</v>
      </c>
      <c r="C2712" s="729" t="s">
        <v>1469</v>
      </c>
      <c r="D2712" s="729"/>
      <c r="E2712" s="759">
        <v>430795</v>
      </c>
      <c r="F2712" s="759">
        <v>14</v>
      </c>
      <c r="G2712" s="1152">
        <v>712412.6</v>
      </c>
      <c r="H2712" s="1153">
        <v>864013</v>
      </c>
      <c r="I2712" s="1152"/>
      <c r="J2712" s="1153"/>
      <c r="K2712" s="1152"/>
      <c r="L2712" s="1153"/>
      <c r="M2712" s="1152"/>
      <c r="N2712" s="1152"/>
      <c r="O2712" s="732">
        <f t="shared" si="341"/>
        <v>0</v>
      </c>
      <c r="P2712" s="1153"/>
      <c r="Q2712" s="1153"/>
      <c r="R2712" s="733">
        <f t="shared" si="344"/>
        <v>0</v>
      </c>
      <c r="S2712" s="732">
        <f t="shared" si="345"/>
        <v>712412.6</v>
      </c>
      <c r="T2712" s="733">
        <f t="shared" si="346"/>
        <v>864013</v>
      </c>
      <c r="U2712" s="1152"/>
      <c r="V2712" s="1153"/>
      <c r="W2712" s="1152"/>
      <c r="X2712" s="1152"/>
      <c r="Y2712" s="732">
        <f t="shared" si="342"/>
        <v>0</v>
      </c>
      <c r="Z2712" s="1153"/>
      <c r="AA2712" s="1153"/>
      <c r="AB2712" s="733">
        <f t="shared" si="343"/>
        <v>0</v>
      </c>
      <c r="AC2712" s="1152"/>
      <c r="AD2712" s="1153"/>
      <c r="AE2712" s="1152"/>
      <c r="AF2712" s="1152"/>
      <c r="AG2712" s="1153"/>
      <c r="AH2712" s="1153"/>
      <c r="AI2712" s="732">
        <f t="shared" si="347"/>
        <v>712412.6</v>
      </c>
      <c r="AJ2712" s="733">
        <f t="shared" si="348"/>
        <v>864013</v>
      </c>
    </row>
    <row r="2713" spans="1:36" customFormat="1" ht="12.65" customHeight="1">
      <c r="A2713" s="808" t="s">
        <v>751</v>
      </c>
      <c r="B2713" s="729" t="s">
        <v>62</v>
      </c>
      <c r="C2713" s="729" t="s">
        <v>1408</v>
      </c>
      <c r="D2713" s="729"/>
      <c r="E2713" s="759">
        <v>413176</v>
      </c>
      <c r="F2713" s="759">
        <v>14</v>
      </c>
      <c r="G2713" s="1152">
        <v>439450.24</v>
      </c>
      <c r="H2713" s="1153">
        <v>446973</v>
      </c>
      <c r="I2713" s="1152"/>
      <c r="J2713" s="1153"/>
      <c r="K2713" s="1152"/>
      <c r="L2713" s="1153"/>
      <c r="M2713" s="1152"/>
      <c r="N2713" s="1152"/>
      <c r="O2713" s="732">
        <f t="shared" si="341"/>
        <v>0</v>
      </c>
      <c r="P2713" s="1153"/>
      <c r="Q2713" s="1153"/>
      <c r="R2713" s="733">
        <f t="shared" si="344"/>
        <v>0</v>
      </c>
      <c r="S2713" s="732">
        <f t="shared" si="345"/>
        <v>439450.24</v>
      </c>
      <c r="T2713" s="733">
        <f t="shared" si="346"/>
        <v>446973</v>
      </c>
      <c r="U2713" s="1152"/>
      <c r="V2713" s="1153"/>
      <c r="W2713" s="1152"/>
      <c r="X2713" s="1152"/>
      <c r="Y2713" s="732">
        <f t="shared" si="342"/>
        <v>0</v>
      </c>
      <c r="Z2713" s="1153"/>
      <c r="AA2713" s="1153"/>
      <c r="AB2713" s="733">
        <f t="shared" si="343"/>
        <v>0</v>
      </c>
      <c r="AC2713" s="1152"/>
      <c r="AD2713" s="1153"/>
      <c r="AE2713" s="1152"/>
      <c r="AF2713" s="1152"/>
      <c r="AG2713" s="1153"/>
      <c r="AH2713" s="1153"/>
      <c r="AI2713" s="732">
        <f t="shared" si="347"/>
        <v>439450.24</v>
      </c>
      <c r="AJ2713" s="733">
        <f t="shared" si="348"/>
        <v>446973</v>
      </c>
    </row>
    <row r="2714" spans="1:36" customFormat="1" ht="12.65" customHeight="1">
      <c r="A2714" s="808" t="s">
        <v>751</v>
      </c>
      <c r="B2714" s="729" t="s">
        <v>62</v>
      </c>
      <c r="C2714" s="729" t="s">
        <v>1409</v>
      </c>
      <c r="D2714" s="729"/>
      <c r="E2714" s="759">
        <v>237844</v>
      </c>
      <c r="F2714" s="759">
        <v>14</v>
      </c>
      <c r="G2714" s="1152">
        <v>438632.44</v>
      </c>
      <c r="H2714" s="1153">
        <v>446116</v>
      </c>
      <c r="I2714" s="1152"/>
      <c r="J2714" s="1153"/>
      <c r="K2714" s="1152"/>
      <c r="L2714" s="1153"/>
      <c r="M2714" s="1152"/>
      <c r="N2714" s="1152"/>
      <c r="O2714" s="732">
        <f t="shared" si="341"/>
        <v>0</v>
      </c>
      <c r="P2714" s="1153"/>
      <c r="Q2714" s="1153"/>
      <c r="R2714" s="733">
        <f t="shared" si="344"/>
        <v>0</v>
      </c>
      <c r="S2714" s="732">
        <f t="shared" si="345"/>
        <v>438632.44</v>
      </c>
      <c r="T2714" s="733">
        <f t="shared" si="346"/>
        <v>446116</v>
      </c>
      <c r="U2714" s="1152"/>
      <c r="V2714" s="1153"/>
      <c r="W2714" s="1152"/>
      <c r="X2714" s="1152"/>
      <c r="Y2714" s="732">
        <f t="shared" si="342"/>
        <v>0</v>
      </c>
      <c r="Z2714" s="1153"/>
      <c r="AA2714" s="1153"/>
      <c r="AB2714" s="733">
        <f t="shared" si="343"/>
        <v>0</v>
      </c>
      <c r="AC2714" s="1152"/>
      <c r="AD2714" s="1153"/>
      <c r="AE2714" s="1152"/>
      <c r="AF2714" s="1152"/>
      <c r="AG2714" s="1153"/>
      <c r="AH2714" s="1153"/>
      <c r="AI2714" s="732">
        <f t="shared" si="347"/>
        <v>438632.44</v>
      </c>
      <c r="AJ2714" s="733">
        <f t="shared" si="348"/>
        <v>446116</v>
      </c>
    </row>
    <row r="2715" spans="1:36" customFormat="1" ht="12.65" customHeight="1">
      <c r="A2715" s="759" t="s">
        <v>751</v>
      </c>
      <c r="B2715" s="729" t="s">
        <v>62</v>
      </c>
      <c r="C2715" s="729" t="s">
        <v>1410</v>
      </c>
      <c r="D2715" s="729"/>
      <c r="E2715" s="759">
        <v>431169</v>
      </c>
      <c r="F2715" s="759">
        <v>14</v>
      </c>
      <c r="G2715" s="1152">
        <v>618261.24</v>
      </c>
      <c r="H2715" s="1153">
        <v>628839</v>
      </c>
      <c r="I2715" s="1152"/>
      <c r="J2715" s="1153"/>
      <c r="K2715" s="1152"/>
      <c r="L2715" s="1153"/>
      <c r="M2715" s="1152"/>
      <c r="N2715" s="1152"/>
      <c r="O2715" s="732">
        <f t="shared" si="341"/>
        <v>0</v>
      </c>
      <c r="P2715" s="1153"/>
      <c r="Q2715" s="1153"/>
      <c r="R2715" s="733">
        <f t="shared" si="344"/>
        <v>0</v>
      </c>
      <c r="S2715" s="732">
        <f t="shared" si="345"/>
        <v>618261.24</v>
      </c>
      <c r="T2715" s="733">
        <f t="shared" si="346"/>
        <v>628839</v>
      </c>
      <c r="U2715" s="1152"/>
      <c r="V2715" s="1153"/>
      <c r="W2715" s="1152"/>
      <c r="X2715" s="1152"/>
      <c r="Y2715" s="732">
        <f t="shared" si="342"/>
        <v>0</v>
      </c>
      <c r="Z2715" s="1153"/>
      <c r="AA2715" s="1153"/>
      <c r="AB2715" s="733">
        <f t="shared" si="343"/>
        <v>0</v>
      </c>
      <c r="AC2715" s="1152"/>
      <c r="AD2715" s="1153"/>
      <c r="AE2715" s="1152"/>
      <c r="AF2715" s="1152"/>
      <c r="AG2715" s="1153"/>
      <c r="AH2715" s="1153"/>
      <c r="AI2715" s="732">
        <f t="shared" si="347"/>
        <v>618261.24</v>
      </c>
      <c r="AJ2715" s="733">
        <f t="shared" si="348"/>
        <v>628839</v>
      </c>
    </row>
    <row r="2716" spans="1:36" customFormat="1" ht="12.65" customHeight="1">
      <c r="A2716" s="808" t="s">
        <v>751</v>
      </c>
      <c r="B2716" s="729" t="s">
        <v>62</v>
      </c>
      <c r="C2716" s="729" t="s">
        <v>1411</v>
      </c>
      <c r="D2716" s="729"/>
      <c r="E2716" s="759">
        <v>237473</v>
      </c>
      <c r="F2716" s="759">
        <v>14</v>
      </c>
      <c r="G2716" s="1152">
        <v>997666.08</v>
      </c>
      <c r="H2716" s="1153">
        <v>1014725</v>
      </c>
      <c r="I2716" s="1152"/>
      <c r="J2716" s="1153"/>
      <c r="K2716" s="1152"/>
      <c r="L2716" s="1153"/>
      <c r="M2716" s="1152"/>
      <c r="N2716" s="1152"/>
      <c r="O2716" s="732">
        <f t="shared" si="341"/>
        <v>0</v>
      </c>
      <c r="P2716" s="1153"/>
      <c r="Q2716" s="1153"/>
      <c r="R2716" s="733">
        <f t="shared" si="344"/>
        <v>0</v>
      </c>
      <c r="S2716" s="732">
        <f t="shared" si="345"/>
        <v>997666.08</v>
      </c>
      <c r="T2716" s="733">
        <f t="shared" si="346"/>
        <v>1014725</v>
      </c>
      <c r="U2716" s="1152"/>
      <c r="V2716" s="1153"/>
      <c r="W2716" s="1152"/>
      <c r="X2716" s="1152"/>
      <c r="Y2716" s="732">
        <f t="shared" si="342"/>
        <v>0</v>
      </c>
      <c r="Z2716" s="1153"/>
      <c r="AA2716" s="1153"/>
      <c r="AB2716" s="733">
        <f t="shared" si="343"/>
        <v>0</v>
      </c>
      <c r="AC2716" s="1152"/>
      <c r="AD2716" s="1153"/>
      <c r="AE2716" s="1152"/>
      <c r="AF2716" s="1152"/>
      <c r="AG2716" s="1153"/>
      <c r="AH2716" s="1153"/>
      <c r="AI2716" s="732">
        <f t="shared" si="347"/>
        <v>997666.08</v>
      </c>
      <c r="AJ2716" s="733">
        <f t="shared" si="348"/>
        <v>1014725</v>
      </c>
    </row>
    <row r="2717" spans="1:36" customFormat="1" ht="12.65" customHeight="1">
      <c r="A2717" s="808" t="s">
        <v>751</v>
      </c>
      <c r="B2717" s="729" t="s">
        <v>62</v>
      </c>
      <c r="C2717" s="729" t="s">
        <v>1412</v>
      </c>
      <c r="D2717" s="729"/>
      <c r="E2717" s="759">
        <v>446349</v>
      </c>
      <c r="F2717" s="759">
        <v>14</v>
      </c>
      <c r="G2717" s="1152">
        <v>406016.32</v>
      </c>
      <c r="H2717" s="1153">
        <v>412899</v>
      </c>
      <c r="I2717" s="1152"/>
      <c r="J2717" s="1153"/>
      <c r="K2717" s="1152"/>
      <c r="L2717" s="1153"/>
      <c r="M2717" s="1152"/>
      <c r="N2717" s="1152"/>
      <c r="O2717" s="732">
        <f t="shared" si="341"/>
        <v>0</v>
      </c>
      <c r="P2717" s="1153"/>
      <c r="Q2717" s="1153"/>
      <c r="R2717" s="733">
        <f t="shared" si="344"/>
        <v>0</v>
      </c>
      <c r="S2717" s="732">
        <f t="shared" si="345"/>
        <v>406016.32</v>
      </c>
      <c r="T2717" s="733">
        <f t="shared" si="346"/>
        <v>412899</v>
      </c>
      <c r="U2717" s="1152"/>
      <c r="V2717" s="1153"/>
      <c r="W2717" s="1152"/>
      <c r="X2717" s="1152"/>
      <c r="Y2717" s="732">
        <f t="shared" si="342"/>
        <v>0</v>
      </c>
      <c r="Z2717" s="1153"/>
      <c r="AA2717" s="1153"/>
      <c r="AB2717" s="733">
        <f t="shared" si="343"/>
        <v>0</v>
      </c>
      <c r="AC2717" s="1152"/>
      <c r="AD2717" s="1153"/>
      <c r="AE2717" s="1152"/>
      <c r="AF2717" s="1152"/>
      <c r="AG2717" s="1153"/>
      <c r="AH2717" s="1153"/>
      <c r="AI2717" s="732">
        <f t="shared" si="347"/>
        <v>406016.32</v>
      </c>
      <c r="AJ2717" s="733">
        <f t="shared" si="348"/>
        <v>412899</v>
      </c>
    </row>
    <row r="2718" spans="1:36" customFormat="1" ht="12.65" customHeight="1">
      <c r="A2718" s="808" t="s">
        <v>751</v>
      </c>
      <c r="B2718" s="729" t="s">
        <v>62</v>
      </c>
      <c r="C2718" s="729" t="s">
        <v>1470</v>
      </c>
      <c r="D2718" s="729"/>
      <c r="E2718" s="759">
        <v>237516</v>
      </c>
      <c r="F2718" s="759">
        <v>14</v>
      </c>
      <c r="G2718" s="1152">
        <v>60000</v>
      </c>
      <c r="H2718" s="1153">
        <v>55660</v>
      </c>
      <c r="I2718" s="1152"/>
      <c r="J2718" s="1153"/>
      <c r="K2718" s="1152"/>
      <c r="L2718" s="1153"/>
      <c r="M2718" s="1152"/>
      <c r="N2718" s="1152"/>
      <c r="O2718" s="732">
        <f t="shared" si="341"/>
        <v>0</v>
      </c>
      <c r="P2718" s="1153"/>
      <c r="Q2718" s="1153"/>
      <c r="R2718" s="733">
        <f t="shared" si="344"/>
        <v>0</v>
      </c>
      <c r="S2718" s="732">
        <f t="shared" si="345"/>
        <v>60000</v>
      </c>
      <c r="T2718" s="733">
        <f t="shared" si="346"/>
        <v>55660</v>
      </c>
      <c r="U2718" s="1152"/>
      <c r="V2718" s="1153"/>
      <c r="W2718" s="1152"/>
      <c r="X2718" s="1152"/>
      <c r="Y2718" s="732">
        <f t="shared" si="342"/>
        <v>0</v>
      </c>
      <c r="Z2718" s="1153"/>
      <c r="AA2718" s="1153"/>
      <c r="AB2718" s="733">
        <f t="shared" si="343"/>
        <v>0</v>
      </c>
      <c r="AC2718" s="1152"/>
      <c r="AD2718" s="1153"/>
      <c r="AE2718" s="1152"/>
      <c r="AF2718" s="1152"/>
      <c r="AG2718" s="1153"/>
      <c r="AH2718" s="1153"/>
      <c r="AI2718" s="732">
        <f t="shared" si="347"/>
        <v>60000</v>
      </c>
      <c r="AJ2718" s="733">
        <f t="shared" si="348"/>
        <v>55660</v>
      </c>
    </row>
    <row r="2719" spans="1:36" customFormat="1" ht="12.65" customHeight="1">
      <c r="A2719" s="759" t="s">
        <v>751</v>
      </c>
      <c r="B2719" s="729" t="s">
        <v>62</v>
      </c>
      <c r="C2719" s="729" t="s">
        <v>1471</v>
      </c>
      <c r="D2719" s="729"/>
      <c r="E2719" s="759">
        <v>237534</v>
      </c>
      <c r="F2719" s="759">
        <v>14</v>
      </c>
      <c r="G2719" s="1152">
        <v>177075.76</v>
      </c>
      <c r="H2719" s="1153">
        <v>179949</v>
      </c>
      <c r="I2719" s="1152"/>
      <c r="J2719" s="1153"/>
      <c r="K2719" s="1152"/>
      <c r="L2719" s="1153"/>
      <c r="M2719" s="1152"/>
      <c r="N2719" s="1152"/>
      <c r="O2719" s="732">
        <f t="shared" si="341"/>
        <v>0</v>
      </c>
      <c r="P2719" s="1153"/>
      <c r="Q2719" s="1153"/>
      <c r="R2719" s="733">
        <f t="shared" si="344"/>
        <v>0</v>
      </c>
      <c r="S2719" s="732">
        <f t="shared" si="345"/>
        <v>177075.76</v>
      </c>
      <c r="T2719" s="733">
        <f t="shared" si="346"/>
        <v>179949</v>
      </c>
      <c r="U2719" s="1152"/>
      <c r="V2719" s="1153"/>
      <c r="W2719" s="1152"/>
      <c r="X2719" s="1152"/>
      <c r="Y2719" s="732">
        <f t="shared" si="342"/>
        <v>0</v>
      </c>
      <c r="Z2719" s="1153"/>
      <c r="AA2719" s="1153"/>
      <c r="AB2719" s="733">
        <f t="shared" si="343"/>
        <v>0</v>
      </c>
      <c r="AC2719" s="1152"/>
      <c r="AD2719" s="1153"/>
      <c r="AE2719" s="1152"/>
      <c r="AF2719" s="1152"/>
      <c r="AG2719" s="1153"/>
      <c r="AH2719" s="1153"/>
      <c r="AI2719" s="732">
        <f t="shared" si="347"/>
        <v>177075.76</v>
      </c>
      <c r="AJ2719" s="733">
        <f t="shared" si="348"/>
        <v>179949</v>
      </c>
    </row>
    <row r="2720" spans="1:36" customFormat="1" ht="12.65" customHeight="1">
      <c r="A2720" s="808" t="s">
        <v>751</v>
      </c>
      <c r="B2720" s="729" t="s">
        <v>62</v>
      </c>
      <c r="C2720" s="729" t="s">
        <v>1413</v>
      </c>
      <c r="D2720" s="729"/>
      <c r="E2720" s="759">
        <v>237543</v>
      </c>
      <c r="F2720" s="759">
        <v>14</v>
      </c>
      <c r="G2720" s="1152">
        <v>447194.12</v>
      </c>
      <c r="H2720" s="1153">
        <v>454836</v>
      </c>
      <c r="I2720" s="1152"/>
      <c r="J2720" s="1153"/>
      <c r="K2720" s="1152"/>
      <c r="L2720" s="1153"/>
      <c r="M2720" s="1152"/>
      <c r="N2720" s="1152"/>
      <c r="O2720" s="732">
        <f t="shared" si="341"/>
        <v>0</v>
      </c>
      <c r="P2720" s="1153"/>
      <c r="Q2720" s="1153"/>
      <c r="R2720" s="733">
        <f t="shared" si="344"/>
        <v>0</v>
      </c>
      <c r="S2720" s="732">
        <f t="shared" si="345"/>
        <v>447194.12</v>
      </c>
      <c r="T2720" s="733">
        <f t="shared" si="346"/>
        <v>454836</v>
      </c>
      <c r="U2720" s="1152"/>
      <c r="V2720" s="1153"/>
      <c r="W2720" s="1152"/>
      <c r="X2720" s="1152"/>
      <c r="Y2720" s="732">
        <f t="shared" si="342"/>
        <v>0</v>
      </c>
      <c r="Z2720" s="1153"/>
      <c r="AA2720" s="1153"/>
      <c r="AB2720" s="733">
        <f t="shared" si="343"/>
        <v>0</v>
      </c>
      <c r="AC2720" s="1152"/>
      <c r="AD2720" s="1153"/>
      <c r="AE2720" s="1152"/>
      <c r="AF2720" s="1152"/>
      <c r="AG2720" s="1153"/>
      <c r="AH2720" s="1153"/>
      <c r="AI2720" s="732">
        <f t="shared" si="347"/>
        <v>447194.12</v>
      </c>
      <c r="AJ2720" s="733">
        <f t="shared" si="348"/>
        <v>454836</v>
      </c>
    </row>
    <row r="2721" spans="1:36" customFormat="1" ht="12.65" customHeight="1">
      <c r="A2721" s="808" t="s">
        <v>751</v>
      </c>
      <c r="B2721" s="729" t="s">
        <v>62</v>
      </c>
      <c r="C2721" s="729" t="s">
        <v>1472</v>
      </c>
      <c r="D2721" s="729"/>
      <c r="E2721" s="759">
        <v>368647</v>
      </c>
      <c r="F2721" s="759">
        <v>14</v>
      </c>
      <c r="G2721" s="1152">
        <v>197510.12</v>
      </c>
      <c r="H2721" s="1153">
        <v>200854</v>
      </c>
      <c r="I2721" s="1152"/>
      <c r="J2721" s="1153"/>
      <c r="K2721" s="1152"/>
      <c r="L2721" s="1153"/>
      <c r="M2721" s="1152"/>
      <c r="N2721" s="1152"/>
      <c r="O2721" s="732">
        <f t="shared" si="341"/>
        <v>0</v>
      </c>
      <c r="P2721" s="1153"/>
      <c r="Q2721" s="1153"/>
      <c r="R2721" s="733">
        <f t="shared" si="344"/>
        <v>0</v>
      </c>
      <c r="S2721" s="732">
        <f t="shared" si="345"/>
        <v>197510.12</v>
      </c>
      <c r="T2721" s="733">
        <f t="shared" si="346"/>
        <v>200854</v>
      </c>
      <c r="U2721" s="1152"/>
      <c r="V2721" s="1153"/>
      <c r="W2721" s="1152"/>
      <c r="X2721" s="1152"/>
      <c r="Y2721" s="732">
        <f t="shared" si="342"/>
        <v>0</v>
      </c>
      <c r="Z2721" s="1153"/>
      <c r="AA2721" s="1153"/>
      <c r="AB2721" s="733">
        <f t="shared" si="343"/>
        <v>0</v>
      </c>
      <c r="AC2721" s="1152"/>
      <c r="AD2721" s="1153"/>
      <c r="AE2721" s="1152"/>
      <c r="AF2721" s="1152"/>
      <c r="AG2721" s="1153"/>
      <c r="AH2721" s="1153"/>
      <c r="AI2721" s="732">
        <f t="shared" si="347"/>
        <v>197510.12</v>
      </c>
      <c r="AJ2721" s="733">
        <f t="shared" si="348"/>
        <v>200854</v>
      </c>
    </row>
    <row r="2722" spans="1:36" customFormat="1" ht="12.65" customHeight="1">
      <c r="A2722" s="808" t="s">
        <v>751</v>
      </c>
      <c r="B2722" s="729" t="s">
        <v>62</v>
      </c>
      <c r="C2722" s="729" t="s">
        <v>1414</v>
      </c>
      <c r="D2722" s="729"/>
      <c r="E2722" s="759">
        <v>237561</v>
      </c>
      <c r="F2722" s="759">
        <v>14</v>
      </c>
      <c r="G2722" s="1152">
        <v>706177.6</v>
      </c>
      <c r="H2722" s="1153">
        <v>718279</v>
      </c>
      <c r="I2722" s="1152"/>
      <c r="J2722" s="1153"/>
      <c r="K2722" s="1152"/>
      <c r="L2722" s="1153"/>
      <c r="M2722" s="1152"/>
      <c r="N2722" s="1152"/>
      <c r="O2722" s="732">
        <f t="shared" si="341"/>
        <v>0</v>
      </c>
      <c r="P2722" s="1153"/>
      <c r="Q2722" s="1153"/>
      <c r="R2722" s="733">
        <f t="shared" si="344"/>
        <v>0</v>
      </c>
      <c r="S2722" s="732">
        <f t="shared" si="345"/>
        <v>706177.6</v>
      </c>
      <c r="T2722" s="733">
        <f t="shared" si="346"/>
        <v>718279</v>
      </c>
      <c r="U2722" s="1152"/>
      <c r="V2722" s="1153"/>
      <c r="W2722" s="1152"/>
      <c r="X2722" s="1152"/>
      <c r="Y2722" s="732">
        <f t="shared" si="342"/>
        <v>0</v>
      </c>
      <c r="Z2722" s="1153"/>
      <c r="AA2722" s="1153"/>
      <c r="AB2722" s="733">
        <f t="shared" si="343"/>
        <v>0</v>
      </c>
      <c r="AC2722" s="1152"/>
      <c r="AD2722" s="1153"/>
      <c r="AE2722" s="1152"/>
      <c r="AF2722" s="1152"/>
      <c r="AG2722" s="1153"/>
      <c r="AH2722" s="1153"/>
      <c r="AI2722" s="732">
        <f t="shared" si="347"/>
        <v>706177.6</v>
      </c>
      <c r="AJ2722" s="733">
        <f t="shared" si="348"/>
        <v>718279</v>
      </c>
    </row>
    <row r="2723" spans="1:36" customFormat="1" ht="12.65" customHeight="1">
      <c r="A2723" s="808" t="s">
        <v>751</v>
      </c>
      <c r="B2723" s="729" t="s">
        <v>62</v>
      </c>
      <c r="C2723" s="729" t="s">
        <v>1415</v>
      </c>
      <c r="D2723" s="729"/>
      <c r="E2723" s="759">
        <v>419420</v>
      </c>
      <c r="F2723" s="759">
        <v>14</v>
      </c>
      <c r="G2723" s="1152">
        <v>398210.16</v>
      </c>
      <c r="H2723" s="1153">
        <v>412020</v>
      </c>
      <c r="I2723" s="1152"/>
      <c r="J2723" s="1153"/>
      <c r="K2723" s="1152"/>
      <c r="L2723" s="1153"/>
      <c r="M2723" s="1152"/>
      <c r="N2723" s="1152"/>
      <c r="O2723" s="732">
        <f t="shared" si="341"/>
        <v>0</v>
      </c>
      <c r="P2723" s="1153"/>
      <c r="Q2723" s="1153"/>
      <c r="R2723" s="733">
        <f t="shared" si="344"/>
        <v>0</v>
      </c>
      <c r="S2723" s="732">
        <f t="shared" si="345"/>
        <v>398210.16</v>
      </c>
      <c r="T2723" s="733">
        <f t="shared" si="346"/>
        <v>412020</v>
      </c>
      <c r="U2723" s="1152"/>
      <c r="V2723" s="1153"/>
      <c r="W2723" s="1152"/>
      <c r="X2723" s="1152"/>
      <c r="Y2723" s="732">
        <f t="shared" si="342"/>
        <v>0</v>
      </c>
      <c r="Z2723" s="1153"/>
      <c r="AA2723" s="1153"/>
      <c r="AB2723" s="733">
        <f t="shared" si="343"/>
        <v>0</v>
      </c>
      <c r="AC2723" s="1152"/>
      <c r="AD2723" s="1153"/>
      <c r="AE2723" s="1152"/>
      <c r="AF2723" s="1152"/>
      <c r="AG2723" s="1153"/>
      <c r="AH2723" s="1153"/>
      <c r="AI2723" s="732">
        <f t="shared" si="347"/>
        <v>398210.16</v>
      </c>
      <c r="AJ2723" s="733">
        <f t="shared" si="348"/>
        <v>412020</v>
      </c>
    </row>
    <row r="2724" spans="1:36" customFormat="1" ht="12.65" customHeight="1">
      <c r="A2724" s="808" t="s">
        <v>751</v>
      </c>
      <c r="B2724" s="729" t="s">
        <v>62</v>
      </c>
      <c r="C2724" s="729" t="s">
        <v>1416</v>
      </c>
      <c r="D2724" s="729"/>
      <c r="E2724" s="759">
        <v>237491</v>
      </c>
      <c r="F2724" s="759">
        <v>14</v>
      </c>
      <c r="G2724" s="1152">
        <v>190259.12</v>
      </c>
      <c r="H2724" s="1153">
        <v>193468</v>
      </c>
      <c r="I2724" s="1152"/>
      <c r="J2724" s="1153"/>
      <c r="K2724" s="1152"/>
      <c r="L2724" s="1153"/>
      <c r="M2724" s="1152"/>
      <c r="N2724" s="1152"/>
      <c r="O2724" s="732">
        <f t="shared" si="341"/>
        <v>0</v>
      </c>
      <c r="P2724" s="1153"/>
      <c r="Q2724" s="1153"/>
      <c r="R2724" s="733">
        <f t="shared" si="344"/>
        <v>0</v>
      </c>
      <c r="S2724" s="732">
        <f t="shared" si="345"/>
        <v>190259.12</v>
      </c>
      <c r="T2724" s="733">
        <f t="shared" si="346"/>
        <v>193468</v>
      </c>
      <c r="U2724" s="1152"/>
      <c r="V2724" s="1153"/>
      <c r="W2724" s="1152"/>
      <c r="X2724" s="1152"/>
      <c r="Y2724" s="732">
        <f t="shared" si="342"/>
        <v>0</v>
      </c>
      <c r="Z2724" s="1153"/>
      <c r="AA2724" s="1153"/>
      <c r="AB2724" s="733">
        <f t="shared" si="343"/>
        <v>0</v>
      </c>
      <c r="AC2724" s="1152"/>
      <c r="AD2724" s="1153"/>
      <c r="AE2724" s="1152"/>
      <c r="AF2724" s="1152"/>
      <c r="AG2724" s="1153"/>
      <c r="AH2724" s="1153"/>
      <c r="AI2724" s="732">
        <f t="shared" si="347"/>
        <v>190259.12</v>
      </c>
      <c r="AJ2724" s="733">
        <f t="shared" si="348"/>
        <v>193468</v>
      </c>
    </row>
    <row r="2725" spans="1:36" customFormat="1" ht="12.65" customHeight="1">
      <c r="A2725" s="808" t="s">
        <v>751</v>
      </c>
      <c r="B2725" s="729" t="s">
        <v>62</v>
      </c>
      <c r="C2725" s="729" t="s">
        <v>1417</v>
      </c>
      <c r="D2725" s="729"/>
      <c r="E2725" s="759">
        <v>364575</v>
      </c>
      <c r="F2725" s="759">
        <v>14</v>
      </c>
      <c r="G2725" s="1152">
        <v>258681.76</v>
      </c>
      <c r="H2725" s="1153">
        <v>262987</v>
      </c>
      <c r="I2725" s="1152"/>
      <c r="J2725" s="1153"/>
      <c r="K2725" s="1152"/>
      <c r="L2725" s="1153"/>
      <c r="M2725" s="1152"/>
      <c r="N2725" s="1152"/>
      <c r="O2725" s="732">
        <f t="shared" si="341"/>
        <v>0</v>
      </c>
      <c r="P2725" s="1153"/>
      <c r="Q2725" s="1153"/>
      <c r="R2725" s="733">
        <f t="shared" si="344"/>
        <v>0</v>
      </c>
      <c r="S2725" s="732">
        <f t="shared" si="345"/>
        <v>258681.76</v>
      </c>
      <c r="T2725" s="733">
        <f t="shared" si="346"/>
        <v>262987</v>
      </c>
      <c r="U2725" s="1152"/>
      <c r="V2725" s="1153"/>
      <c r="W2725" s="1152"/>
      <c r="X2725" s="1152"/>
      <c r="Y2725" s="732">
        <f t="shared" si="342"/>
        <v>0</v>
      </c>
      <c r="Z2725" s="1153"/>
      <c r="AA2725" s="1153"/>
      <c r="AB2725" s="733">
        <f t="shared" si="343"/>
        <v>0</v>
      </c>
      <c r="AC2725" s="1152"/>
      <c r="AD2725" s="1153"/>
      <c r="AE2725" s="1152"/>
      <c r="AF2725" s="1152"/>
      <c r="AG2725" s="1153"/>
      <c r="AH2725" s="1153"/>
      <c r="AI2725" s="732">
        <f t="shared" si="347"/>
        <v>258681.76</v>
      </c>
      <c r="AJ2725" s="733">
        <f t="shared" si="348"/>
        <v>262987</v>
      </c>
    </row>
    <row r="2726" spans="1:36" customFormat="1" ht="12.65" customHeight="1">
      <c r="A2726" s="808" t="s">
        <v>751</v>
      </c>
      <c r="B2726" s="729" t="s">
        <v>62</v>
      </c>
      <c r="C2726" s="729" t="s">
        <v>1418</v>
      </c>
      <c r="D2726" s="729"/>
      <c r="E2726" s="759">
        <v>441894</v>
      </c>
      <c r="F2726" s="759">
        <v>14</v>
      </c>
      <c r="G2726" s="1152">
        <v>200530.64</v>
      </c>
      <c r="H2726" s="1153">
        <v>232431</v>
      </c>
      <c r="I2726" s="1152"/>
      <c r="J2726" s="1153"/>
      <c r="K2726" s="1152"/>
      <c r="L2726" s="1153"/>
      <c r="M2726" s="1152"/>
      <c r="N2726" s="1152"/>
      <c r="O2726" s="732">
        <f t="shared" si="341"/>
        <v>0</v>
      </c>
      <c r="P2726" s="1153"/>
      <c r="Q2726" s="1153"/>
      <c r="R2726" s="733">
        <f t="shared" si="344"/>
        <v>0</v>
      </c>
      <c r="S2726" s="732">
        <f t="shared" si="345"/>
        <v>200530.64</v>
      </c>
      <c r="T2726" s="733">
        <f t="shared" si="346"/>
        <v>232431</v>
      </c>
      <c r="U2726" s="1152"/>
      <c r="V2726" s="1153"/>
      <c r="W2726" s="1152"/>
      <c r="X2726" s="1152"/>
      <c r="Y2726" s="732">
        <f t="shared" si="342"/>
        <v>0</v>
      </c>
      <c r="Z2726" s="1153"/>
      <c r="AA2726" s="1153"/>
      <c r="AB2726" s="733">
        <f t="shared" si="343"/>
        <v>0</v>
      </c>
      <c r="AC2726" s="1152"/>
      <c r="AD2726" s="1153"/>
      <c r="AE2726" s="1152"/>
      <c r="AF2726" s="1152"/>
      <c r="AG2726" s="1153"/>
      <c r="AH2726" s="1153"/>
      <c r="AI2726" s="732">
        <f t="shared" si="347"/>
        <v>200530.64</v>
      </c>
      <c r="AJ2726" s="733">
        <f t="shared" si="348"/>
        <v>232431</v>
      </c>
    </row>
    <row r="2727" spans="1:36" customFormat="1" ht="12.65" customHeight="1">
      <c r="A2727" s="808" t="s">
        <v>751</v>
      </c>
      <c r="B2727" s="729" t="s">
        <v>62</v>
      </c>
      <c r="C2727" s="729" t="s">
        <v>1419</v>
      </c>
      <c r="D2727" s="729"/>
      <c r="E2727" s="759">
        <v>419031</v>
      </c>
      <c r="F2727" s="759">
        <v>14</v>
      </c>
      <c r="G2727" s="1152">
        <v>351401.8</v>
      </c>
      <c r="H2727" s="1153">
        <v>357388</v>
      </c>
      <c r="I2727" s="1152"/>
      <c r="J2727" s="1153"/>
      <c r="K2727" s="1152"/>
      <c r="L2727" s="1153"/>
      <c r="M2727" s="1152"/>
      <c r="N2727" s="1152"/>
      <c r="O2727" s="732">
        <f t="shared" si="341"/>
        <v>0</v>
      </c>
      <c r="P2727" s="1153"/>
      <c r="Q2727" s="1153"/>
      <c r="R2727" s="733">
        <f t="shared" si="344"/>
        <v>0</v>
      </c>
      <c r="S2727" s="732">
        <f t="shared" si="345"/>
        <v>351401.8</v>
      </c>
      <c r="T2727" s="733">
        <f t="shared" si="346"/>
        <v>357388</v>
      </c>
      <c r="U2727" s="1152"/>
      <c r="V2727" s="1153"/>
      <c r="W2727" s="1152"/>
      <c r="X2727" s="1152"/>
      <c r="Y2727" s="732">
        <f t="shared" si="342"/>
        <v>0</v>
      </c>
      <c r="Z2727" s="1153"/>
      <c r="AA2727" s="1153"/>
      <c r="AB2727" s="733">
        <f t="shared" si="343"/>
        <v>0</v>
      </c>
      <c r="AC2727" s="1152"/>
      <c r="AD2727" s="1153"/>
      <c r="AE2727" s="1152"/>
      <c r="AF2727" s="1152"/>
      <c r="AG2727" s="1153"/>
      <c r="AH2727" s="1153"/>
      <c r="AI2727" s="732">
        <f t="shared" si="347"/>
        <v>351401.8</v>
      </c>
      <c r="AJ2727" s="733">
        <f t="shared" si="348"/>
        <v>357388</v>
      </c>
    </row>
    <row r="2728" spans="1:36">
      <c r="A2728" s="759" t="s">
        <v>751</v>
      </c>
      <c r="B2728" s="729" t="s">
        <v>62</v>
      </c>
      <c r="C2728" s="729" t="s">
        <v>1473</v>
      </c>
      <c r="D2728" s="729"/>
      <c r="E2728" s="765" t="s">
        <v>1246</v>
      </c>
      <c r="F2728" s="759">
        <v>14</v>
      </c>
      <c r="G2728" s="1152">
        <v>172497.8</v>
      </c>
      <c r="H2728" s="1153">
        <v>175421</v>
      </c>
      <c r="I2728" s="1152"/>
      <c r="J2728" s="1153"/>
      <c r="K2728" s="1152"/>
      <c r="L2728" s="1153"/>
      <c r="M2728" s="1152"/>
      <c r="N2728" s="1152"/>
      <c r="O2728" s="732">
        <f t="shared" si="341"/>
        <v>0</v>
      </c>
      <c r="P2728" s="1153"/>
      <c r="Q2728" s="1153"/>
      <c r="R2728" s="733">
        <f t="shared" si="344"/>
        <v>0</v>
      </c>
      <c r="S2728" s="732">
        <f t="shared" si="345"/>
        <v>172497.8</v>
      </c>
      <c r="T2728" s="733">
        <f t="shared" si="346"/>
        <v>175421</v>
      </c>
      <c r="U2728" s="1152"/>
      <c r="V2728" s="1153"/>
      <c r="W2728" s="1152"/>
      <c r="X2728" s="1152"/>
      <c r="Y2728" s="732">
        <f t="shared" si="342"/>
        <v>0</v>
      </c>
      <c r="Z2728" s="1153"/>
      <c r="AA2728" s="1153"/>
      <c r="AB2728" s="733">
        <f t="shared" si="343"/>
        <v>0</v>
      </c>
      <c r="AC2728" s="1152"/>
      <c r="AD2728" s="1153"/>
      <c r="AE2728" s="1152"/>
      <c r="AF2728" s="1152"/>
      <c r="AG2728" s="1153"/>
      <c r="AH2728" s="1153"/>
      <c r="AI2728" s="732">
        <f t="shared" si="347"/>
        <v>172497.8</v>
      </c>
      <c r="AJ2728" s="733">
        <f t="shared" si="348"/>
        <v>175421</v>
      </c>
    </row>
    <row r="2729" spans="1:36">
      <c r="A2729" s="808" t="s">
        <v>751</v>
      </c>
      <c r="B2729" s="729" t="s">
        <v>62</v>
      </c>
      <c r="C2729" s="729" t="s">
        <v>1474</v>
      </c>
      <c r="D2729" s="729"/>
      <c r="E2729" s="765" t="s">
        <v>1246</v>
      </c>
      <c r="F2729" s="759">
        <v>15</v>
      </c>
      <c r="G2729" s="1152">
        <v>195021.8</v>
      </c>
      <c r="H2729" s="1153">
        <v>202773</v>
      </c>
      <c r="I2729" s="1152"/>
      <c r="J2729" s="1153"/>
      <c r="K2729" s="1152"/>
      <c r="L2729" s="1153"/>
      <c r="M2729" s="1152"/>
      <c r="N2729" s="1152"/>
      <c r="O2729" s="732">
        <f t="shared" si="341"/>
        <v>0</v>
      </c>
      <c r="P2729" s="1153"/>
      <c r="Q2729" s="1153"/>
      <c r="R2729" s="733">
        <f t="shared" si="344"/>
        <v>0</v>
      </c>
      <c r="S2729" s="732">
        <f t="shared" si="345"/>
        <v>195021.8</v>
      </c>
      <c r="T2729" s="733">
        <f t="shared" si="346"/>
        <v>202773</v>
      </c>
      <c r="U2729" s="1152"/>
      <c r="V2729" s="1153"/>
      <c r="W2729" s="1152"/>
      <c r="X2729" s="1152"/>
      <c r="Y2729" s="732">
        <f t="shared" si="342"/>
        <v>0</v>
      </c>
      <c r="Z2729" s="1153"/>
      <c r="AA2729" s="1153"/>
      <c r="AB2729" s="733">
        <f t="shared" si="343"/>
        <v>0</v>
      </c>
      <c r="AC2729" s="1152"/>
      <c r="AD2729" s="1153"/>
      <c r="AE2729" s="1152"/>
      <c r="AF2729" s="1152"/>
      <c r="AG2729" s="1153"/>
      <c r="AH2729" s="1153"/>
      <c r="AI2729" s="732">
        <f t="shared" si="347"/>
        <v>195021.8</v>
      </c>
      <c r="AJ2729" s="733">
        <f t="shared" si="348"/>
        <v>202773</v>
      </c>
    </row>
    <row r="2730" spans="1:36" customFormat="1" ht="12.65" customHeight="1">
      <c r="A2730" s="808" t="s">
        <v>751</v>
      </c>
      <c r="B2730" s="729" t="s">
        <v>62</v>
      </c>
      <c r="C2730" s="729" t="s">
        <v>1420</v>
      </c>
      <c r="D2730" s="729"/>
      <c r="E2730" s="759">
        <v>486202</v>
      </c>
      <c r="F2730" s="759">
        <v>15</v>
      </c>
      <c r="G2730" s="1152">
        <v>272079.35999999999</v>
      </c>
      <c r="H2730" s="1153">
        <v>276702</v>
      </c>
      <c r="I2730" s="1152"/>
      <c r="J2730" s="1153"/>
      <c r="K2730" s="1152"/>
      <c r="L2730" s="1153"/>
      <c r="M2730" s="1152"/>
      <c r="N2730" s="1152"/>
      <c r="O2730" s="732">
        <f t="shared" si="341"/>
        <v>0</v>
      </c>
      <c r="P2730" s="1153"/>
      <c r="Q2730" s="1153"/>
      <c r="R2730" s="733">
        <f t="shared" si="344"/>
        <v>0</v>
      </c>
      <c r="S2730" s="732">
        <f t="shared" si="345"/>
        <v>272079.35999999999</v>
      </c>
      <c r="T2730" s="733">
        <f t="shared" si="346"/>
        <v>276702</v>
      </c>
      <c r="U2730" s="1152"/>
      <c r="V2730" s="1153"/>
      <c r="W2730" s="1152"/>
      <c r="X2730" s="1152"/>
      <c r="Y2730" s="732">
        <f t="shared" si="342"/>
        <v>0</v>
      </c>
      <c r="Z2730" s="1153"/>
      <c r="AA2730" s="1153"/>
      <c r="AB2730" s="733">
        <f t="shared" si="343"/>
        <v>0</v>
      </c>
      <c r="AC2730" s="1152"/>
      <c r="AD2730" s="1153"/>
      <c r="AE2730" s="1152"/>
      <c r="AF2730" s="1152"/>
      <c r="AG2730" s="1153"/>
      <c r="AH2730" s="1153"/>
      <c r="AI2730" s="732">
        <f t="shared" si="347"/>
        <v>272079.35999999999</v>
      </c>
      <c r="AJ2730" s="733">
        <f t="shared" si="348"/>
        <v>276702</v>
      </c>
    </row>
    <row r="2731" spans="1:36" customFormat="1" ht="12.65" customHeight="1">
      <c r="A2731" s="759" t="s">
        <v>751</v>
      </c>
      <c r="B2731" s="729" t="s">
        <v>62</v>
      </c>
      <c r="C2731" s="729" t="s">
        <v>1421</v>
      </c>
      <c r="D2731" s="729"/>
      <c r="E2731" s="759">
        <v>486406</v>
      </c>
      <c r="F2731" s="759">
        <v>15</v>
      </c>
      <c r="G2731" s="1152">
        <v>196440.12</v>
      </c>
      <c r="H2731" s="1153">
        <v>199769</v>
      </c>
      <c r="I2731" s="1152"/>
      <c r="J2731" s="1153"/>
      <c r="K2731" s="1152"/>
      <c r="L2731" s="1153"/>
      <c r="M2731" s="1152"/>
      <c r="N2731" s="1152"/>
      <c r="O2731" s="732">
        <f t="shared" si="341"/>
        <v>0</v>
      </c>
      <c r="P2731" s="1153"/>
      <c r="Q2731" s="1153"/>
      <c r="R2731" s="733">
        <f t="shared" si="344"/>
        <v>0</v>
      </c>
      <c r="S2731" s="732">
        <f t="shared" si="345"/>
        <v>196440.12</v>
      </c>
      <c r="T2731" s="733">
        <f t="shared" si="346"/>
        <v>199769</v>
      </c>
      <c r="U2731" s="1152"/>
      <c r="V2731" s="1153"/>
      <c r="W2731" s="1152"/>
      <c r="X2731" s="1152"/>
      <c r="Y2731" s="732">
        <f t="shared" si="342"/>
        <v>0</v>
      </c>
      <c r="Z2731" s="1153"/>
      <c r="AA2731" s="1153"/>
      <c r="AB2731" s="733">
        <f t="shared" si="343"/>
        <v>0</v>
      </c>
      <c r="AC2731" s="1152"/>
      <c r="AD2731" s="1153"/>
      <c r="AE2731" s="1152"/>
      <c r="AF2731" s="1152"/>
      <c r="AG2731" s="1153"/>
      <c r="AH2731" s="1153"/>
      <c r="AI2731" s="732">
        <f t="shared" si="347"/>
        <v>196440.12</v>
      </c>
      <c r="AJ2731" s="733">
        <f t="shared" si="348"/>
        <v>199769</v>
      </c>
    </row>
    <row r="2732" spans="1:36">
      <c r="A2732" s="759" t="s">
        <v>751</v>
      </c>
      <c r="B2732" s="729" t="s">
        <v>62</v>
      </c>
      <c r="C2732" s="729" t="s">
        <v>1475</v>
      </c>
      <c r="D2732" s="729"/>
      <c r="E2732" s="765" t="s">
        <v>1246</v>
      </c>
      <c r="F2732" s="759">
        <v>15</v>
      </c>
      <c r="G2732" s="1152">
        <v>166172.24</v>
      </c>
      <c r="H2732" s="1153">
        <v>169979</v>
      </c>
      <c r="I2732" s="1152"/>
      <c r="J2732" s="1153"/>
      <c r="K2732" s="1152"/>
      <c r="L2732" s="1153"/>
      <c r="M2732" s="1152"/>
      <c r="N2732" s="1152"/>
      <c r="O2732" s="732">
        <f t="shared" si="341"/>
        <v>0</v>
      </c>
      <c r="P2732" s="1153"/>
      <c r="Q2732" s="1153"/>
      <c r="R2732" s="733">
        <f t="shared" si="344"/>
        <v>0</v>
      </c>
      <c r="S2732" s="732">
        <f t="shared" si="345"/>
        <v>166172.24</v>
      </c>
      <c r="T2732" s="733">
        <f t="shared" si="346"/>
        <v>169979</v>
      </c>
      <c r="U2732" s="1152"/>
      <c r="V2732" s="1153"/>
      <c r="W2732" s="1152"/>
      <c r="X2732" s="1152"/>
      <c r="Y2732" s="732">
        <f t="shared" si="342"/>
        <v>0</v>
      </c>
      <c r="Z2732" s="1153"/>
      <c r="AA2732" s="1153"/>
      <c r="AB2732" s="733">
        <f t="shared" si="343"/>
        <v>0</v>
      </c>
      <c r="AC2732" s="1152"/>
      <c r="AD2732" s="1153"/>
      <c r="AE2732" s="1152"/>
      <c r="AF2732" s="1152"/>
      <c r="AG2732" s="1153"/>
      <c r="AH2732" s="1153"/>
      <c r="AI2732" s="732">
        <f t="shared" si="347"/>
        <v>166172.24</v>
      </c>
      <c r="AJ2732" s="733">
        <f t="shared" si="348"/>
        <v>169979</v>
      </c>
    </row>
    <row r="2733" spans="1:36" customFormat="1" ht="12.65" customHeight="1">
      <c r="A2733" s="759" t="s">
        <v>751</v>
      </c>
      <c r="B2733" s="729" t="s">
        <v>62</v>
      </c>
      <c r="C2733" s="729" t="s">
        <v>1746</v>
      </c>
      <c r="D2733" s="729"/>
      <c r="E2733" s="759">
        <v>238096</v>
      </c>
      <c r="F2733" s="759">
        <v>15</v>
      </c>
      <c r="G2733" s="1152">
        <v>375964.36</v>
      </c>
      <c r="H2733" s="1153">
        <v>382294</v>
      </c>
      <c r="I2733" s="1152"/>
      <c r="J2733" s="1153"/>
      <c r="K2733" s="1152"/>
      <c r="L2733" s="1153"/>
      <c r="M2733" s="1152"/>
      <c r="N2733" s="1152"/>
      <c r="O2733" s="732">
        <f t="shared" si="341"/>
        <v>0</v>
      </c>
      <c r="P2733" s="1153"/>
      <c r="Q2733" s="1153"/>
      <c r="R2733" s="733">
        <f t="shared" si="344"/>
        <v>0</v>
      </c>
      <c r="S2733" s="732">
        <f t="shared" si="345"/>
        <v>375964.36</v>
      </c>
      <c r="T2733" s="733">
        <f t="shared" si="346"/>
        <v>382294</v>
      </c>
      <c r="U2733" s="1152"/>
      <c r="V2733" s="1153"/>
      <c r="W2733" s="1152"/>
      <c r="X2733" s="1152"/>
      <c r="Y2733" s="732">
        <f t="shared" si="342"/>
        <v>0</v>
      </c>
      <c r="Z2733" s="1153"/>
      <c r="AA2733" s="1153"/>
      <c r="AB2733" s="733">
        <f t="shared" si="343"/>
        <v>0</v>
      </c>
      <c r="AC2733" s="1152"/>
      <c r="AD2733" s="1153"/>
      <c r="AE2733" s="1152"/>
      <c r="AF2733" s="1152"/>
      <c r="AG2733" s="1153"/>
      <c r="AH2733" s="1153"/>
      <c r="AI2733" s="732">
        <f t="shared" si="347"/>
        <v>375964.36</v>
      </c>
      <c r="AJ2733" s="733">
        <f t="shared" si="348"/>
        <v>382294</v>
      </c>
    </row>
    <row r="2734" spans="1:36" customFormat="1" ht="15.5"/>
    <row r="2735" spans="1:36" customFormat="1" ht="15.5"/>
    <row r="2736" spans="1:36" customFormat="1" ht="15.5"/>
    <row r="2737" customFormat="1" ht="15.5"/>
    <row r="2738" customFormat="1" ht="15.5"/>
    <row r="2739" customFormat="1" ht="15.5"/>
    <row r="2740" customFormat="1" ht="15.5"/>
    <row r="2741" customFormat="1" ht="15.5"/>
    <row r="2742" customFormat="1" ht="15.5"/>
    <row r="2743" customFormat="1" ht="15.5"/>
    <row r="2744" customFormat="1" ht="15.5"/>
    <row r="2745" customFormat="1" ht="15.5"/>
    <row r="2746" customFormat="1" ht="15.5"/>
    <row r="2747" customFormat="1" ht="15.5"/>
    <row r="2748" customFormat="1" ht="15.5"/>
    <row r="2749" customFormat="1" ht="15.5"/>
    <row r="2750" customFormat="1" ht="15.5"/>
    <row r="2751" customFormat="1" ht="15.5"/>
    <row r="2752" customFormat="1" ht="15.5"/>
    <row r="2753" customFormat="1" ht="15.5"/>
    <row r="2754" customFormat="1" ht="15.5"/>
    <row r="2755" customFormat="1" ht="15.5"/>
    <row r="2756" customFormat="1" ht="15.5"/>
    <row r="2757" customFormat="1" ht="15.5"/>
    <row r="2758" customFormat="1" ht="15.5"/>
    <row r="2759" customFormat="1" ht="15.5"/>
    <row r="2760" customFormat="1" ht="15.5"/>
    <row r="2761" customFormat="1" ht="15.5"/>
    <row r="2762" customFormat="1" ht="15.5"/>
    <row r="2763" customFormat="1" ht="15.5"/>
    <row r="2764" customFormat="1" ht="15.5"/>
    <row r="2765" customFormat="1" ht="15.5"/>
    <row r="2766" customFormat="1" ht="15.5"/>
    <row r="2767" customFormat="1" ht="15.5"/>
    <row r="2768" customFormat="1" ht="15.5"/>
    <row r="2769" customFormat="1" ht="15.5"/>
    <row r="2770" customFormat="1" ht="15.5"/>
    <row r="2771" customFormat="1" ht="15.5"/>
    <row r="2772" customFormat="1" ht="15.5"/>
    <row r="2773" customFormat="1" ht="15.5"/>
    <row r="2774" customFormat="1" ht="15.5"/>
    <row r="2775" customFormat="1" ht="15.5"/>
    <row r="2776" customFormat="1" ht="15.5"/>
    <row r="2777" customFormat="1" ht="15.5"/>
    <row r="2778" customFormat="1" ht="15.5"/>
    <row r="2779" customFormat="1" ht="15.5"/>
    <row r="2780" customFormat="1" ht="15.5"/>
    <row r="2781" customFormat="1" ht="15.5"/>
    <row r="2782" customFormat="1" ht="15.5"/>
    <row r="2783" customFormat="1" ht="15.5"/>
    <row r="2784" customFormat="1" ht="15.5"/>
    <row r="2785" customFormat="1" ht="15.5"/>
    <row r="2786" customFormat="1" ht="15.5"/>
    <row r="2787" customFormat="1" ht="15.5"/>
    <row r="2788" customFormat="1" ht="15.5"/>
    <row r="2789" customFormat="1" ht="15.5"/>
    <row r="2790" customFormat="1" ht="15.5"/>
    <row r="2791" customFormat="1" ht="15.5"/>
    <row r="2792" customFormat="1" ht="15.5"/>
    <row r="2793" customFormat="1" ht="15.5"/>
    <row r="2794" customFormat="1" ht="15.5"/>
    <row r="2795" customFormat="1" ht="15.5"/>
    <row r="2796" customFormat="1" ht="15.5"/>
    <row r="2797" customFormat="1" ht="15.5"/>
    <row r="2798" customFormat="1" ht="15.5"/>
    <row r="2799" customFormat="1" ht="15.5"/>
    <row r="2800" customFormat="1" ht="15.5"/>
    <row r="2801" customFormat="1" ht="15.5"/>
    <row r="2802" customFormat="1" ht="15.5"/>
    <row r="2803" customFormat="1" ht="15.5"/>
    <row r="2804" customFormat="1" ht="15.5"/>
    <row r="2805" customFormat="1" ht="15.5"/>
    <row r="2806" customFormat="1" ht="15.5"/>
    <row r="2807" customFormat="1" ht="15.5"/>
    <row r="2808" customFormat="1" ht="15.5"/>
    <row r="2809" customFormat="1" ht="15.5"/>
    <row r="2810" customFormat="1" ht="15.5"/>
    <row r="2811" customFormat="1" ht="15.5"/>
    <row r="2812" customFormat="1" ht="15.5"/>
    <row r="2813" customFormat="1" ht="15.5"/>
    <row r="2814" customFormat="1" ht="15.5"/>
    <row r="2815" customFormat="1" ht="15.5"/>
    <row r="2816" customFormat="1" ht="15.5"/>
    <row r="2817" customFormat="1" ht="15.5"/>
    <row r="2818" customFormat="1" ht="15.5"/>
    <row r="2819" customFormat="1" ht="15.5"/>
    <row r="2820" customFormat="1" ht="15.5"/>
    <row r="2821" customFormat="1" ht="15.5"/>
    <row r="2822" customFormat="1" ht="15.5"/>
    <row r="2823" customFormat="1" ht="15.5"/>
    <row r="2824" customFormat="1" ht="15.5"/>
    <row r="2825" customFormat="1" ht="15.5"/>
    <row r="2826" customFormat="1" ht="15.5"/>
    <row r="2827" customFormat="1" ht="15.5"/>
    <row r="2828" customFormat="1" ht="15.5"/>
    <row r="2829" customFormat="1" ht="15.5"/>
    <row r="2830" customFormat="1" ht="15.5"/>
    <row r="2831" customFormat="1" ht="15.5"/>
    <row r="2832" customFormat="1" ht="15.5"/>
    <row r="2833" customFormat="1" ht="15.5"/>
    <row r="2834" customFormat="1" ht="15.5"/>
    <row r="2835" customFormat="1" ht="15.5"/>
    <row r="2836" customFormat="1" ht="15.5"/>
    <row r="2837" customFormat="1" ht="15.5"/>
    <row r="2838" customFormat="1" ht="15.5"/>
    <row r="2839" customFormat="1" ht="15.5"/>
    <row r="2840" customFormat="1" ht="15.5"/>
    <row r="2841" customFormat="1" ht="15.5"/>
    <row r="2842" customFormat="1" ht="15.5"/>
    <row r="2843" customFormat="1" ht="15.5"/>
    <row r="2844" customFormat="1" ht="15.5"/>
    <row r="2845" customFormat="1" ht="15.5"/>
    <row r="2846" customFormat="1" ht="15.5"/>
    <row r="2847" customFormat="1" ht="15.5"/>
    <row r="2848" customFormat="1" ht="15.5"/>
    <row r="2849" customFormat="1" ht="15.5"/>
    <row r="2850" customFormat="1" ht="15.5"/>
    <row r="2851" customFormat="1" ht="15.5"/>
    <row r="2852" customFormat="1" ht="15.5"/>
    <row r="2853" customFormat="1" ht="15.5"/>
    <row r="2854" customFormat="1" ht="15.5"/>
    <row r="2855" customFormat="1" ht="15.5"/>
    <row r="2856" customFormat="1" ht="15.5"/>
    <row r="2857" customFormat="1" ht="15.5"/>
    <row r="2858" customFormat="1" ht="15.5"/>
    <row r="2859" customFormat="1" ht="15.5"/>
    <row r="2860" customFormat="1" ht="15.5"/>
    <row r="2861" customFormat="1" ht="15.5"/>
    <row r="2862" customFormat="1" ht="15.5"/>
    <row r="2863" customFormat="1" ht="15.5"/>
    <row r="2864" customFormat="1" ht="15.5"/>
    <row r="2865" customFormat="1" ht="15.5"/>
    <row r="2866" customFormat="1" ht="15.5"/>
    <row r="2867" customFormat="1" ht="15.5"/>
    <row r="2868" customFormat="1" ht="15.5"/>
    <row r="2869" customFormat="1" ht="15.5"/>
    <row r="2870" customFormat="1" ht="15.5"/>
    <row r="2871" customFormat="1" ht="15.5"/>
    <row r="2872" customFormat="1" ht="15.5"/>
    <row r="2873" customFormat="1" ht="15.5"/>
    <row r="2874" customFormat="1" ht="15.5"/>
    <row r="2875" customFormat="1" ht="15.5"/>
    <row r="2876" customFormat="1" ht="15.5"/>
    <row r="2877" customFormat="1" ht="15.5"/>
    <row r="2878" customFormat="1" ht="15.5"/>
    <row r="2879" customFormat="1" ht="15.5"/>
    <row r="2880" customFormat="1" ht="15.5"/>
    <row r="2881" customFormat="1" ht="15.5"/>
    <row r="2882" customFormat="1" ht="15.5"/>
    <row r="2883" customFormat="1" ht="15.5"/>
    <row r="2884" customFormat="1" ht="15.5"/>
    <row r="2885" customFormat="1" ht="15.5"/>
    <row r="2886" customFormat="1" ht="15.5"/>
    <row r="2887" customFormat="1" ht="15.5"/>
    <row r="2888" customFormat="1" ht="15.5"/>
    <row r="2889" customFormat="1" ht="15.5"/>
    <row r="2890" customFormat="1" ht="15.5"/>
    <row r="2891" customFormat="1" ht="15.5"/>
    <row r="2892" customFormat="1" ht="15.5"/>
    <row r="2893" customFormat="1" ht="15.5"/>
    <row r="2894" customFormat="1" ht="15.5"/>
    <row r="2895" customFormat="1" ht="15.5"/>
    <row r="2896" customFormat="1" ht="15.5"/>
    <row r="2897" customFormat="1" ht="15.5"/>
    <row r="2898" customFormat="1" ht="15.5"/>
    <row r="2899" customFormat="1" ht="15.5"/>
    <row r="2900" customFormat="1" ht="15.5"/>
    <row r="2901" customFormat="1" ht="15.5"/>
    <row r="2902" customFormat="1" ht="15.5"/>
    <row r="2903" customFormat="1" ht="15.5"/>
    <row r="2904" customFormat="1" ht="15.5"/>
    <row r="2905" customFormat="1" ht="15.5"/>
    <row r="2906" customFormat="1" ht="15.5"/>
    <row r="2907" customFormat="1" ht="15.5"/>
    <row r="2908" customFormat="1" ht="15.5"/>
    <row r="2909" customFormat="1" ht="15.5"/>
    <row r="2910" customFormat="1" ht="15.5"/>
    <row r="2911" customFormat="1" ht="15.5"/>
    <row r="2912" customFormat="1" ht="15.5"/>
    <row r="2913" customFormat="1" ht="15.5"/>
    <row r="2914" customFormat="1" ht="15.5"/>
    <row r="2915" customFormat="1" ht="15.5"/>
    <row r="2916" customFormat="1" ht="15.5"/>
    <row r="2917" customFormat="1" ht="15.5"/>
    <row r="2918" customFormat="1" ht="15.5"/>
    <row r="2919" customFormat="1" ht="15.5"/>
    <row r="2920" customFormat="1" ht="15.5"/>
    <row r="2921" customFormat="1" ht="15.5"/>
    <row r="2922" customFormat="1" ht="15.5"/>
    <row r="2923" customFormat="1" ht="15.5"/>
    <row r="2924" customFormat="1" ht="15.5"/>
    <row r="2925" customFormat="1" ht="15.5"/>
    <row r="2926" customFormat="1" ht="15.5"/>
    <row r="2927" customFormat="1" ht="15.5"/>
    <row r="2928" customFormat="1" ht="15.5"/>
    <row r="2929" customFormat="1" ht="15.5"/>
    <row r="2930" customFormat="1" ht="15.5"/>
    <row r="2931" customFormat="1" ht="15.5"/>
    <row r="2932" customFormat="1" ht="15.5"/>
    <row r="2933" customFormat="1" ht="15.5"/>
    <row r="2934" customFormat="1" ht="15.5"/>
    <row r="2935" customFormat="1" ht="15.5"/>
    <row r="2936" customFormat="1" ht="15.5"/>
    <row r="2937" customFormat="1" ht="15.5"/>
    <row r="2938" customFormat="1" ht="15.5"/>
    <row r="2939" customFormat="1" ht="15.5"/>
    <row r="2940" customFormat="1" ht="15.5"/>
    <row r="2941" customFormat="1" ht="15.5"/>
    <row r="2942" customFormat="1" ht="15.5"/>
    <row r="2943" customFormat="1" ht="15.5"/>
    <row r="2944" customFormat="1" ht="15.5"/>
    <row r="2945" customFormat="1" ht="15.5"/>
    <row r="2946" customFormat="1" ht="15.5"/>
    <row r="2947" customFormat="1" ht="15.5"/>
    <row r="2948" customFormat="1" ht="15.5"/>
    <row r="2949" customFormat="1" ht="15.5"/>
    <row r="2950" customFormat="1" ht="15.5"/>
    <row r="2951" customFormat="1" ht="15.5"/>
    <row r="2952" customFormat="1" ht="15.5"/>
    <row r="2953" customFormat="1" ht="15.5"/>
    <row r="2954" customFormat="1" ht="15.5"/>
    <row r="2955" customFormat="1" ht="15.5"/>
    <row r="2956" customFormat="1" ht="15.5"/>
    <row r="2957" customFormat="1" ht="15.5"/>
    <row r="2958" customFormat="1" ht="15.5"/>
    <row r="2959" customFormat="1" ht="15.5"/>
    <row r="2960" customFormat="1" ht="15.5"/>
    <row r="2961" customFormat="1" ht="15.5"/>
    <row r="2962" customFormat="1" ht="15.5"/>
    <row r="2963" customFormat="1" ht="15.5"/>
    <row r="2964" customFormat="1" ht="15.5"/>
    <row r="2965" customFormat="1" ht="15.5"/>
    <row r="2966" customFormat="1" ht="15.5"/>
    <row r="2967" customFormat="1" ht="15.5"/>
    <row r="2968" customFormat="1" ht="15.5"/>
    <row r="2969" customFormat="1" ht="15.5"/>
    <row r="2970" customFormat="1" ht="15.5"/>
    <row r="2971" customFormat="1" ht="15.5"/>
    <row r="2972" customFormat="1" ht="15.5"/>
    <row r="2973" customFormat="1" ht="15.5"/>
    <row r="2974" customFormat="1" ht="15.5"/>
    <row r="2975" customFormat="1" ht="15.5"/>
    <row r="2976" customFormat="1" ht="15.5"/>
    <row r="2977" customFormat="1" ht="15.5"/>
    <row r="2978" customFormat="1" ht="15.5"/>
    <row r="2979" customFormat="1" ht="15.5"/>
    <row r="2980" customFormat="1" ht="15.5"/>
    <row r="2981" customFormat="1" ht="15.5"/>
    <row r="2982" customFormat="1" ht="15.5"/>
    <row r="2983" customFormat="1" ht="15.5"/>
    <row r="2984" customFormat="1" ht="15.5"/>
    <row r="2985" customFormat="1" ht="15.5"/>
    <row r="2986" customFormat="1" ht="15.5"/>
    <row r="2987" customFormat="1" ht="15.5"/>
    <row r="2988" customFormat="1" ht="15.5"/>
    <row r="2989" customFormat="1" ht="15.5"/>
    <row r="2990" customFormat="1" ht="15.5"/>
    <row r="2991" customFormat="1" ht="15.5"/>
    <row r="2992" customFormat="1" ht="15.5"/>
    <row r="2993" customFormat="1" ht="15.5"/>
    <row r="2994" customFormat="1" ht="15.5"/>
    <row r="2995" customFormat="1" ht="15.5"/>
    <row r="2996" customFormat="1" ht="15.5"/>
    <row r="2997" customFormat="1" ht="15.5"/>
    <row r="2998" customFormat="1" ht="15.5"/>
    <row r="2999" customFormat="1" ht="15.5"/>
    <row r="3000" customFormat="1" ht="15.5"/>
    <row r="3001" customFormat="1" ht="15.5"/>
    <row r="3002" customFormat="1" ht="15.5"/>
    <row r="3003" customFormat="1" ht="15.5"/>
    <row r="3004" customFormat="1" ht="15.5"/>
    <row r="3005" customFormat="1" ht="15.5"/>
    <row r="3006" customFormat="1" ht="15.5"/>
    <row r="3007" customFormat="1" ht="15.5"/>
    <row r="3008" customFormat="1" ht="15.5"/>
    <row r="3009" customFormat="1" ht="15.5"/>
    <row r="3010" customFormat="1" ht="15.5"/>
    <row r="3011" customFormat="1" ht="15.5"/>
    <row r="3012" customFormat="1" ht="15.5"/>
    <row r="3013" customFormat="1" ht="15.5"/>
    <row r="3014" customFormat="1" ht="15.5"/>
    <row r="3015" customFormat="1" ht="15.5"/>
    <row r="3016" customFormat="1" ht="15.5"/>
    <row r="3017" customFormat="1" ht="15.5"/>
    <row r="3018" customFormat="1" ht="15.5"/>
    <row r="3019" customFormat="1" ht="15.5"/>
    <row r="3020" customFormat="1" ht="15.5"/>
    <row r="3021" customFormat="1" ht="15.5"/>
    <row r="3022" customFormat="1" ht="15.5"/>
    <row r="3023" customFormat="1" ht="15.5"/>
    <row r="3024" customFormat="1" ht="15.5"/>
    <row r="3025" customFormat="1" ht="15.5"/>
    <row r="3026" customFormat="1" ht="15.5"/>
    <row r="3027" customFormat="1" ht="15.5"/>
    <row r="3028" customFormat="1" ht="15.5"/>
    <row r="3029" customFormat="1" ht="15.5"/>
    <row r="3030" customFormat="1" ht="15.5"/>
    <row r="3031" customFormat="1" ht="15.5"/>
    <row r="3032" customFormat="1" ht="15.5"/>
    <row r="3033" customFormat="1" ht="15.5"/>
    <row r="3034" customFormat="1" ht="15.5"/>
    <row r="3035" customFormat="1" ht="15.5"/>
    <row r="3036" customFormat="1" ht="15.5"/>
    <row r="3037" customFormat="1" ht="15.5"/>
    <row r="3038" customFormat="1" ht="15.5"/>
    <row r="3039" customFormat="1" ht="15.5"/>
    <row r="3040" customFormat="1" ht="15.5"/>
    <row r="3041" customFormat="1" ht="15.5"/>
    <row r="3042" customFormat="1" ht="15.5"/>
    <row r="3043" customFormat="1" ht="15.5"/>
    <row r="3044" customFormat="1" ht="15.5"/>
    <row r="3045" customFormat="1" ht="15.5"/>
    <row r="3046" customFormat="1" ht="15.5"/>
    <row r="3047" customFormat="1" ht="15.5"/>
    <row r="3048" customFormat="1" ht="15.5"/>
    <row r="3049" customFormat="1" ht="15.5"/>
    <row r="3050" customFormat="1" ht="15.5"/>
    <row r="3051" customFormat="1" ht="15.5"/>
    <row r="3052" customFormat="1" ht="15.5"/>
    <row r="3053" customFormat="1" ht="15.5"/>
    <row r="3054" customFormat="1" ht="15.5"/>
    <row r="3055" customFormat="1" ht="15.5"/>
    <row r="3056" customFormat="1" ht="15.5"/>
    <row r="3057" customFormat="1" ht="15.5"/>
    <row r="3058" customFormat="1" ht="15.5"/>
    <row r="3059" customFormat="1" ht="15.5"/>
    <row r="3060" customFormat="1" ht="15.5"/>
    <row r="3061" customFormat="1" ht="15.5"/>
    <row r="3062" customFormat="1" ht="15.5"/>
    <row r="3063" customFormat="1" ht="15.5"/>
    <row r="3064" customFormat="1" ht="15.5"/>
    <row r="3065" customFormat="1" ht="15.5"/>
    <row r="3066" customFormat="1" ht="15.5"/>
    <row r="3067" customFormat="1" ht="15.5"/>
    <row r="3068" customFormat="1" ht="15.5"/>
    <row r="3069" customFormat="1" ht="15.5"/>
    <row r="3070" customFormat="1" ht="15.5"/>
    <row r="3071" customFormat="1" ht="15.5"/>
    <row r="3072" customFormat="1" ht="15.5"/>
    <row r="3073" customFormat="1" ht="15.5"/>
    <row r="3074" customFormat="1" ht="15.5"/>
    <row r="3075" customFormat="1" ht="15.5"/>
    <row r="3076" customFormat="1" ht="15.5"/>
    <row r="3077" customFormat="1" ht="15.5"/>
    <row r="3078" customFormat="1" ht="15.5"/>
    <row r="3079" customFormat="1" ht="15.5"/>
    <row r="3080" customFormat="1" ht="15.5"/>
    <row r="3081" customFormat="1" ht="15.5"/>
    <row r="3082" customFormat="1" ht="15.5"/>
    <row r="3083" customFormat="1" ht="15.5"/>
    <row r="3084" customFormat="1" ht="15.5"/>
    <row r="3085" customFormat="1" ht="15.5"/>
    <row r="3086" customFormat="1" ht="15.5"/>
    <row r="3087" customFormat="1" ht="15.5"/>
    <row r="3088" customFormat="1" ht="15.5"/>
    <row r="3089" customFormat="1" ht="15.5"/>
    <row r="3090" customFormat="1" ht="15.5"/>
    <row r="3091" customFormat="1" ht="15.5"/>
    <row r="3092" customFormat="1" ht="15.5"/>
    <row r="3093" customFormat="1" ht="15.5"/>
    <row r="3094" customFormat="1" ht="15.5"/>
    <row r="3095" customFormat="1" ht="15.5"/>
    <row r="3096" customFormat="1" ht="15.5"/>
    <row r="3097" customFormat="1" ht="15.5"/>
    <row r="3098" customFormat="1" ht="15.5"/>
    <row r="3099" customFormat="1" ht="15.5"/>
    <row r="3100" customFormat="1" ht="15.5"/>
    <row r="3101" customFormat="1" ht="15.5"/>
    <row r="3102" customFormat="1" ht="15.5"/>
    <row r="3103" customFormat="1" ht="15.5"/>
    <row r="3104" customFormat="1" ht="15.5"/>
    <row r="3105" customFormat="1" ht="15.5"/>
    <row r="3106" customFormat="1" ht="15.5"/>
    <row r="3107" customFormat="1" ht="15.5"/>
    <row r="3108" customFormat="1" ht="15.5"/>
    <row r="3109" customFormat="1" ht="15.5"/>
    <row r="3110" customFormat="1" ht="15.5"/>
    <row r="3111" customFormat="1" ht="15.5"/>
    <row r="3112" customFormat="1" ht="15.5"/>
    <row r="3113" customFormat="1" ht="15.5"/>
    <row r="3114" customFormat="1" ht="15.5"/>
    <row r="3115" customFormat="1" ht="15.5"/>
    <row r="3116" customFormat="1" ht="15.5"/>
    <row r="3117" customFormat="1" ht="15.5"/>
    <row r="3118" customFormat="1" ht="15.5"/>
    <row r="3119" customFormat="1" ht="15.5"/>
    <row r="3120" customFormat="1" ht="15.5"/>
    <row r="3121" customFormat="1" ht="15.5"/>
    <row r="3122" customFormat="1" ht="15.5"/>
    <row r="3123" customFormat="1" ht="15.5"/>
    <row r="3124" customFormat="1" ht="15.5"/>
    <row r="3125" customFormat="1" ht="15.5"/>
    <row r="3126" customFormat="1" ht="15.5"/>
    <row r="3127" customFormat="1" ht="15.5"/>
    <row r="3128" customFormat="1" ht="15.5"/>
    <row r="3129" customFormat="1" ht="15.5"/>
    <row r="3130" customFormat="1" ht="15.5"/>
    <row r="3131" customFormat="1" ht="15.5"/>
    <row r="3132" customFormat="1" ht="15.5"/>
    <row r="3133" customFormat="1" ht="15.5"/>
    <row r="3134" customFormat="1" ht="15.5"/>
    <row r="3135" customFormat="1" ht="15.5"/>
    <row r="3136" customFormat="1" ht="15.5"/>
    <row r="3137" customFormat="1" ht="15.5"/>
    <row r="3138" customFormat="1" ht="15.5"/>
    <row r="3139" customFormat="1" ht="15.5"/>
    <row r="3140" customFormat="1" ht="15.5"/>
    <row r="3141" customFormat="1" ht="15.5"/>
    <row r="3142" customFormat="1" ht="15.5"/>
    <row r="3143" customFormat="1" ht="15.5"/>
    <row r="3144" customFormat="1" ht="15.5"/>
    <row r="3145" customFormat="1" ht="15.5"/>
    <row r="3146" customFormat="1" ht="15.5"/>
    <row r="3147" customFormat="1" ht="15.5"/>
    <row r="3148" customFormat="1" ht="15.5"/>
    <row r="3149" customFormat="1" ht="15.5"/>
    <row r="3150" customFormat="1" ht="15.5"/>
    <row r="3151" customFormat="1" ht="15.5"/>
    <row r="3152" customFormat="1" ht="15.5"/>
    <row r="3153" customFormat="1" ht="15.5"/>
    <row r="3154" customFormat="1" ht="15.5"/>
    <row r="3155" customFormat="1" ht="15.5"/>
    <row r="3156" customFormat="1" ht="15.5"/>
    <row r="3157" customFormat="1" ht="15.5"/>
    <row r="3158" customFormat="1" ht="15.5"/>
    <row r="3159" customFormat="1" ht="15.5"/>
    <row r="3160" customFormat="1" ht="15.5"/>
    <row r="3161" customFormat="1" ht="15.5"/>
    <row r="3162" customFormat="1" ht="15.5"/>
    <row r="3163" customFormat="1" ht="15.5"/>
    <row r="3164" customFormat="1" ht="15.5"/>
    <row r="3165" customFormat="1" ht="15.5"/>
    <row r="3166" customFormat="1" ht="15.5"/>
    <row r="3167" customFormat="1" ht="15.5"/>
    <row r="3168" customFormat="1" ht="15.5"/>
    <row r="3169" customFormat="1" ht="15.5"/>
    <row r="3170" customFormat="1" ht="15.5"/>
    <row r="3171" customFormat="1" ht="15.5"/>
    <row r="3172" customFormat="1" ht="15.5"/>
    <row r="3173" customFormat="1" ht="15.5"/>
    <row r="3174" customFormat="1" ht="15.5"/>
    <row r="3175" customFormat="1" ht="15.5"/>
    <row r="3176" customFormat="1" ht="15.5"/>
    <row r="3177" customFormat="1" ht="15.5"/>
    <row r="3178" customFormat="1" ht="15.5"/>
    <row r="3179" customFormat="1" ht="15.5"/>
    <row r="3180" customFormat="1" ht="15.5"/>
    <row r="3181" customFormat="1" ht="15.5"/>
    <row r="3182" customFormat="1" ht="15.5"/>
    <row r="3183" customFormat="1" ht="15.5"/>
    <row r="3184" customFormat="1" ht="15.5"/>
    <row r="3185" customFormat="1" ht="15.5"/>
    <row r="3186" customFormat="1" ht="15.5"/>
    <row r="3187" customFormat="1" ht="15.5"/>
    <row r="3188" customFormat="1" ht="15.5"/>
    <row r="3189" customFormat="1" ht="15.5"/>
    <row r="3190" customFormat="1" ht="15.5"/>
    <row r="3191" customFormat="1" ht="15.5"/>
    <row r="3192" customFormat="1" ht="15.5"/>
    <row r="3193" customFormat="1" ht="15.5"/>
    <row r="3194" customFormat="1" ht="15.5"/>
    <row r="3195" customFormat="1" ht="15.5"/>
    <row r="3196" customFormat="1" ht="15.5"/>
    <row r="3197" customFormat="1" ht="15.5"/>
    <row r="3198" customFormat="1" ht="15.5"/>
    <row r="3199" customFormat="1" ht="15.5"/>
    <row r="3200" customFormat="1" ht="15.5"/>
    <row r="3201" customFormat="1" ht="15.5"/>
    <row r="3202" customFormat="1" ht="15.5"/>
    <row r="3203" customFormat="1" ht="15.5"/>
    <row r="3204" customFormat="1" ht="15.5"/>
    <row r="3205" customFormat="1" ht="15.5"/>
    <row r="3206" customFormat="1" ht="15.5"/>
    <row r="3207" customFormat="1" ht="15.5"/>
    <row r="3208" customFormat="1" ht="15.5"/>
    <row r="3209" customFormat="1" ht="15.5"/>
    <row r="3210" customFormat="1" ht="15.5"/>
    <row r="3211" customFormat="1" ht="15.5"/>
    <row r="3212" customFormat="1" ht="15.5"/>
    <row r="3213" customFormat="1" ht="15.5"/>
    <row r="3214" customFormat="1" ht="15.5"/>
    <row r="3215" customFormat="1" ht="15.5"/>
    <row r="3216" customFormat="1" ht="15.5"/>
    <row r="3217" customFormat="1" ht="15.5"/>
    <row r="3218" customFormat="1" ht="15.5"/>
    <row r="3219" customFormat="1" ht="15.5"/>
    <row r="3220" customFormat="1" ht="15.5"/>
    <row r="3221" customFormat="1" ht="15.5"/>
    <row r="3222" customFormat="1" ht="15.5"/>
    <row r="3223" customFormat="1" ht="15.5"/>
    <row r="3224" customFormat="1" ht="15.5"/>
    <row r="3225" customFormat="1" ht="15.5"/>
    <row r="3226" customFormat="1" ht="15.5"/>
    <row r="3227" customFormat="1" ht="15.5"/>
    <row r="3228" customFormat="1" ht="15.5"/>
    <row r="3229" customFormat="1" ht="15.5"/>
    <row r="3230" customFormat="1" ht="15.5"/>
    <row r="3231" customFormat="1" ht="15.5"/>
    <row r="3232" customFormat="1" ht="15.5"/>
    <row r="3233" customFormat="1" ht="15.5"/>
    <row r="3234" customFormat="1" ht="15.5"/>
    <row r="3235" customFormat="1" ht="15.5"/>
    <row r="3236" customFormat="1" ht="15.5"/>
    <row r="3237" customFormat="1" ht="15.5"/>
    <row r="3238" customFormat="1" ht="15.5"/>
    <row r="3239" customFormat="1" ht="15.5"/>
    <row r="3240" customFormat="1" ht="15.5"/>
    <row r="3241" customFormat="1" ht="15.5"/>
    <row r="3242" customFormat="1" ht="15.5"/>
    <row r="3243" customFormat="1" ht="15.5"/>
    <row r="3244" customFormat="1" ht="15.5"/>
    <row r="3245" customFormat="1" ht="15.5"/>
    <row r="3246" customFormat="1" ht="15.5"/>
    <row r="3247" customFormat="1" ht="15.5"/>
    <row r="3248" customFormat="1" ht="15.5"/>
    <row r="3249" customFormat="1" ht="15.5"/>
    <row r="3250" customFormat="1" ht="15.5"/>
    <row r="3251" customFormat="1" ht="15.5"/>
    <row r="3252" customFormat="1" ht="15.5"/>
    <row r="3253" customFormat="1" ht="15.5"/>
    <row r="3254" customFormat="1" ht="15.5"/>
    <row r="3255" customFormat="1" ht="15.5"/>
    <row r="3256" customFormat="1" ht="15.5"/>
    <row r="3257" customFormat="1" ht="15.5"/>
    <row r="3258" customFormat="1" ht="15.5"/>
    <row r="3259" customFormat="1" ht="15.5"/>
    <row r="3260" customFormat="1" ht="15.5"/>
    <row r="3261" customFormat="1" ht="15.5"/>
    <row r="3262" customFormat="1" ht="15.5"/>
    <row r="3263" customFormat="1" ht="15.5"/>
    <row r="3264" customFormat="1" ht="15.5"/>
    <row r="3265" customFormat="1" ht="15.5"/>
    <row r="3266" customFormat="1" ht="15.5"/>
    <row r="3267" customFormat="1" ht="15.5"/>
    <row r="3268" customFormat="1" ht="15.5"/>
    <row r="3269" customFormat="1" ht="15.5"/>
    <row r="3270" customFormat="1" ht="15.5"/>
    <row r="3271" customFormat="1" ht="15.5"/>
    <row r="3272" customFormat="1" ht="15.5"/>
    <row r="3273" customFormat="1" ht="15.5"/>
    <row r="3274" customFormat="1" ht="15.5"/>
    <row r="3275" customFormat="1" ht="15.5"/>
    <row r="3276" customFormat="1" ht="15.5"/>
    <row r="3277" customFormat="1" ht="15.5"/>
    <row r="3278" customFormat="1" ht="15.5"/>
    <row r="3279" customFormat="1" ht="15.5"/>
    <row r="3280" customFormat="1" ht="15.5"/>
    <row r="3281" customFormat="1" ht="15.5"/>
    <row r="3282" customFormat="1" ht="15.5"/>
    <row r="3283" customFormat="1" ht="15.5"/>
    <row r="3284" customFormat="1" ht="15.5"/>
    <row r="3285" customFormat="1" ht="15.5"/>
    <row r="3286" customFormat="1" ht="15.5"/>
    <row r="3287" customFormat="1" ht="15.5"/>
    <row r="3288" customFormat="1" ht="15.5"/>
    <row r="3289" customFormat="1" ht="15.5"/>
    <row r="3290" customFormat="1" ht="15.5"/>
    <row r="3291" customFormat="1" ht="15.5"/>
    <row r="3292" customFormat="1" ht="15.5"/>
    <row r="3293" customFormat="1" ht="15.5"/>
    <row r="3294" customFormat="1" ht="15.5"/>
    <row r="3295" customFormat="1" ht="15.5"/>
    <row r="3296" customFormat="1" ht="15.5"/>
    <row r="3297" customFormat="1" ht="15.5"/>
    <row r="3298" customFormat="1" ht="15.5"/>
    <row r="3299" customFormat="1" ht="15.5"/>
    <row r="3300" customFormat="1" ht="15.5"/>
    <row r="3301" customFormat="1" ht="15.5"/>
    <row r="3302" customFormat="1" ht="15.5"/>
    <row r="3303" customFormat="1" ht="15.5"/>
    <row r="3304" customFormat="1" ht="15.5"/>
    <row r="3305" customFormat="1" ht="15.5"/>
    <row r="3306" customFormat="1" ht="15.5"/>
    <row r="3307" customFormat="1" ht="15.5"/>
    <row r="3308" customFormat="1" ht="15.5"/>
    <row r="3309" customFormat="1" ht="15.5"/>
    <row r="3310" customFormat="1" ht="15.5"/>
    <row r="3311" customFormat="1" ht="15.5"/>
    <row r="3312" customFormat="1" ht="15.5"/>
    <row r="3313" customFormat="1" ht="15.5"/>
    <row r="3314" customFormat="1" ht="15.5"/>
    <row r="3315" customFormat="1" ht="15.5"/>
    <row r="3316" customFormat="1" ht="15.5"/>
    <row r="3317" customFormat="1" ht="15.5"/>
    <row r="3318" customFormat="1" ht="15.5"/>
    <row r="3319" customFormat="1" ht="15.5"/>
    <row r="3320" customFormat="1" ht="15.5"/>
    <row r="3321" customFormat="1" ht="15.5"/>
    <row r="3322" customFormat="1" ht="15.5"/>
    <row r="3323" customFormat="1" ht="15.5"/>
    <row r="3324" customFormat="1" ht="15.5"/>
    <row r="3325" customFormat="1" ht="15.5"/>
    <row r="3326" customFormat="1" ht="15.5"/>
    <row r="3327" customFormat="1" ht="15.5"/>
    <row r="3328" customFormat="1" ht="15.5"/>
    <row r="3329" customFormat="1" ht="15.5"/>
    <row r="3330" customFormat="1" ht="15.5"/>
    <row r="3331" customFormat="1" ht="15.5"/>
    <row r="3332" customFormat="1" ht="15.5"/>
    <row r="3333" customFormat="1" ht="15.5"/>
    <row r="3334" customFormat="1" ht="15.5"/>
    <row r="3335" customFormat="1" ht="15.5"/>
    <row r="3336" customFormat="1" ht="15.5"/>
    <row r="3337" customFormat="1" ht="15.5"/>
    <row r="3338" customFormat="1" ht="15.5"/>
    <row r="3339" customFormat="1" ht="15.5"/>
    <row r="3340" customFormat="1" ht="15.5"/>
    <row r="3341" customFormat="1" ht="15.5"/>
    <row r="3342" customFormat="1" ht="15.5"/>
    <row r="3343" customFormat="1" ht="15.5"/>
    <row r="3344" customFormat="1" ht="15.5"/>
    <row r="3345" customFormat="1" ht="15.5"/>
    <row r="3346" customFormat="1" ht="15.5"/>
    <row r="3347" customFormat="1" ht="15.5"/>
    <row r="3348" customFormat="1" ht="15.5"/>
    <row r="3349" customFormat="1" ht="15.5"/>
    <row r="3350" customFormat="1" ht="15.5"/>
    <row r="3351" customFormat="1" ht="15.5"/>
    <row r="3352" customFormat="1" ht="15.5"/>
    <row r="3353" customFormat="1" ht="15.5"/>
    <row r="3354" customFormat="1" ht="15.5"/>
    <row r="3355" customFormat="1" ht="15.5"/>
    <row r="3356" customFormat="1" ht="15.5"/>
    <row r="3357" customFormat="1" ht="15.5"/>
    <row r="3358" customFormat="1" ht="15.5"/>
    <row r="3359" customFormat="1" ht="15.5"/>
    <row r="3360" customFormat="1" ht="15.5"/>
    <row r="3361" customFormat="1" ht="15.5"/>
    <row r="3362" customFormat="1" ht="15.5"/>
    <row r="3363" customFormat="1" ht="15.5"/>
    <row r="3364" customFormat="1" ht="15.5"/>
    <row r="3365" customFormat="1" ht="15.5"/>
    <row r="3366" customFormat="1" ht="15.5"/>
    <row r="3367" customFormat="1" ht="15.5"/>
    <row r="3368" customFormat="1" ht="15.5"/>
    <row r="3369" customFormat="1" ht="15.5"/>
    <row r="3370" customFormat="1" ht="15.5"/>
    <row r="3371" customFormat="1" ht="15.5"/>
    <row r="3372" customFormat="1" ht="15.5"/>
    <row r="3373" customFormat="1" ht="15.5"/>
    <row r="3374" customFormat="1" ht="15.5"/>
    <row r="3375" customFormat="1" ht="15.5"/>
    <row r="3376" customFormat="1" ht="15.5"/>
    <row r="3377" customFormat="1" ht="15.5"/>
    <row r="3378" customFormat="1" ht="15.5"/>
    <row r="3379" customFormat="1" ht="15.5"/>
    <row r="3380" customFormat="1" ht="15.5"/>
    <row r="3381" customFormat="1" ht="15.5"/>
    <row r="3382" customFormat="1" ht="15.5"/>
    <row r="3383" customFormat="1" ht="15.5"/>
    <row r="3384" customFormat="1" ht="15.5"/>
    <row r="3385" customFormat="1" ht="15.5"/>
    <row r="3386" customFormat="1" ht="15.5"/>
    <row r="3387" customFormat="1" ht="15.5"/>
    <row r="3388" customFormat="1" ht="15.5"/>
    <row r="3389" customFormat="1" ht="15.5"/>
    <row r="3390" customFormat="1" ht="15.5"/>
    <row r="3391" customFormat="1" ht="15.5"/>
    <row r="3392" customFormat="1" ht="15.5"/>
    <row r="3393" customFormat="1" ht="15.5"/>
    <row r="3394" customFormat="1" ht="15.5"/>
    <row r="3395" customFormat="1" ht="15.5"/>
    <row r="3396" customFormat="1" ht="15.5"/>
    <row r="3397" customFormat="1" ht="15.5"/>
    <row r="3398" customFormat="1" ht="15.5"/>
    <row r="3399" customFormat="1" ht="15.5"/>
    <row r="3400" customFormat="1" ht="15.5"/>
    <row r="3401" customFormat="1" ht="15.5"/>
    <row r="3402" customFormat="1" ht="15.5"/>
    <row r="3403" customFormat="1" ht="15.5"/>
    <row r="3404" customFormat="1" ht="15.5"/>
    <row r="3405" customFormat="1" ht="15.5"/>
    <row r="3406" customFormat="1" ht="15.5"/>
    <row r="3407" customFormat="1" ht="15.5"/>
    <row r="3408" customFormat="1" ht="15.5"/>
    <row r="3409" customFormat="1" ht="15.5"/>
    <row r="3410" customFormat="1" ht="15.5"/>
    <row r="3411" customFormat="1" ht="15.5"/>
    <row r="3412" customFormat="1" ht="15.5"/>
    <row r="3413" customFormat="1" ht="15.5"/>
    <row r="3414" customFormat="1" ht="15.5"/>
    <row r="3415" customFormat="1" ht="15.5"/>
    <row r="3416" customFormat="1" ht="15.5"/>
    <row r="3417" customFormat="1" ht="15.5"/>
    <row r="3418" customFormat="1" ht="15.5"/>
    <row r="3419" customFormat="1" ht="15.5"/>
    <row r="3420" customFormat="1" ht="15.5"/>
    <row r="3421" customFormat="1" ht="15.5"/>
    <row r="3422" customFormat="1" ht="15.5"/>
    <row r="3423" customFormat="1" ht="15.5"/>
    <row r="3424" customFormat="1" ht="15.5"/>
    <row r="3425" customFormat="1" ht="15.5"/>
    <row r="3426" customFormat="1" ht="15.5"/>
    <row r="3427" customFormat="1" ht="15.5"/>
    <row r="3428" customFormat="1" ht="15.5"/>
    <row r="3429" customFormat="1" ht="15.5"/>
    <row r="3430" customFormat="1" ht="15.5"/>
    <row r="3431" customFormat="1" ht="15.5"/>
    <row r="3432" customFormat="1" ht="15.5"/>
    <row r="3433" customFormat="1" ht="15.5"/>
    <row r="3434" customFormat="1" ht="15.5"/>
    <row r="3435" customFormat="1" ht="15.5"/>
    <row r="3436" customFormat="1" ht="15.5"/>
    <row r="3437" customFormat="1" ht="15.5"/>
    <row r="3438" customFormat="1" ht="15.5"/>
    <row r="3439" customFormat="1" ht="15.5"/>
    <row r="3440" customFormat="1" ht="15.5"/>
    <row r="3441" customFormat="1" ht="15.5"/>
    <row r="3442" customFormat="1" ht="15.5"/>
    <row r="3443" customFormat="1" ht="15.5"/>
    <row r="3444" customFormat="1" ht="15.5"/>
    <row r="3445" customFormat="1" ht="15.5"/>
    <row r="3446" customFormat="1" ht="15.5"/>
    <row r="3447" customFormat="1" ht="15.5"/>
    <row r="3448" customFormat="1" ht="15.5"/>
    <row r="3449" customFormat="1" ht="15.5"/>
    <row r="3450" customFormat="1" ht="15.5"/>
    <row r="3451" customFormat="1" ht="15.5"/>
    <row r="3452" customFormat="1" ht="15.5"/>
    <row r="3453" customFormat="1" ht="15.5"/>
    <row r="3454" customFormat="1" ht="15.5"/>
    <row r="3455" customFormat="1" ht="15.5"/>
    <row r="3456" customFormat="1" ht="15.5"/>
    <row r="3457" customFormat="1" ht="15.5"/>
    <row r="3458" customFormat="1" ht="15.5"/>
    <row r="3459" customFormat="1" ht="15.5"/>
    <row r="3460" customFormat="1" ht="15.5"/>
    <row r="3461" customFormat="1" ht="15.5"/>
    <row r="3462" customFormat="1" ht="15.5"/>
    <row r="3463" customFormat="1" ht="15.5"/>
    <row r="3464" customFormat="1" ht="15.5"/>
    <row r="3465" customFormat="1" ht="15.5"/>
    <row r="3466" customFormat="1" ht="15.5"/>
    <row r="3467" customFormat="1" ht="15.5"/>
    <row r="3468" customFormat="1" ht="15.5"/>
    <row r="3469" customFormat="1" ht="15.5"/>
    <row r="3470" customFormat="1" ht="15.5"/>
    <row r="3471" customFormat="1" ht="15.5"/>
    <row r="3472" customFormat="1" ht="15.5"/>
    <row r="3473" customFormat="1" ht="15.5"/>
    <row r="3474" customFormat="1" ht="15.5"/>
    <row r="3475" customFormat="1" ht="15.5"/>
    <row r="3476" customFormat="1" ht="15.5"/>
    <row r="3477" customFormat="1" ht="15.5"/>
    <row r="3478" customFormat="1" ht="15.5"/>
    <row r="3479" customFormat="1" ht="15.5"/>
    <row r="3480" customFormat="1" ht="15.5"/>
    <row r="3481" customFormat="1" ht="15.5"/>
    <row r="3482" customFormat="1" ht="15.5"/>
    <row r="3483" customFormat="1" ht="15.5"/>
    <row r="3484" customFormat="1" ht="15.5"/>
    <row r="3485" customFormat="1" ht="15.5"/>
    <row r="3486" customFormat="1" ht="15.5"/>
    <row r="3487" customFormat="1" ht="15.5"/>
    <row r="3488" customFormat="1" ht="15.5"/>
    <row r="3489" customFormat="1" ht="15.5"/>
    <row r="3490" customFormat="1" ht="15.5"/>
    <row r="3491" customFormat="1" ht="15.5"/>
    <row r="3492" customFormat="1" ht="15.5"/>
    <row r="3493" customFormat="1" ht="15.5"/>
    <row r="3494" customFormat="1" ht="15.5"/>
    <row r="3495" customFormat="1" ht="15.5"/>
    <row r="3496" customFormat="1" ht="15.5"/>
    <row r="3497" customFormat="1" ht="15.5"/>
    <row r="3498" customFormat="1" ht="15.5"/>
    <row r="3499" customFormat="1" ht="15.5"/>
  </sheetData>
  <sheetProtection insertRows="0" deleteRows="0"/>
  <mergeCells count="13">
    <mergeCell ref="A5:E5"/>
    <mergeCell ref="G5:H7"/>
    <mergeCell ref="I5:J7"/>
    <mergeCell ref="K5:L7"/>
    <mergeCell ref="M6:M7"/>
    <mergeCell ref="N6:N7"/>
    <mergeCell ref="U5:AB5"/>
    <mergeCell ref="AE6:AH6"/>
    <mergeCell ref="O6:O7"/>
    <mergeCell ref="P6:P7"/>
    <mergeCell ref="Q6:Q7"/>
    <mergeCell ref="R6:R7"/>
    <mergeCell ref="S5:T7"/>
  </mergeCells>
  <phoneticPr fontId="2" type="noConversion"/>
  <pageMargins left="0.5" right="0.5" top="0.4" bottom="0.4" header="0.35" footer="0.17"/>
  <pageSetup paperSize="5" scale="89" orientation="landscape" r:id="rId1"/>
  <headerFooter alignWithMargins="0">
    <oddFooter>&amp;L&amp;"Arial,Regular"SREB-State Data Exchange&amp;C&amp;"Arial,Regular"&amp;D&amp;R&amp;"Arial,Regular"&amp;P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9207C4D8AB6E4A9864D320D8693611" ma:contentTypeVersion="11" ma:contentTypeDescription="Create a new document." ma:contentTypeScope="" ma:versionID="1ae8a50db7085f5ae1dcf34ff77a61f1">
  <xsd:schema xmlns:xsd="http://www.w3.org/2001/XMLSchema" xmlns:xs="http://www.w3.org/2001/XMLSchema" xmlns:p="http://schemas.microsoft.com/office/2006/metadata/properties" xmlns:ns2="d3553cee-4ecc-4eb5-80d8-f24f98131822" xmlns:ns3="fc2f2499-f938-4cc0-a2cd-f3e7b3a200ae" targetNamespace="http://schemas.microsoft.com/office/2006/metadata/properties" ma:root="true" ma:fieldsID="17b6e3ff09c248479d51477e5c5657c0" ns2:_="" ns3:_="">
    <xsd:import namespace="d3553cee-4ecc-4eb5-80d8-f24f98131822"/>
    <xsd:import namespace="fc2f2499-f938-4cc0-a2cd-f3e7b3a200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53cee-4ecc-4eb5-80d8-f24f981318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2f2499-f938-4cc0-a2cd-f3e7b3a200a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95382B-54BE-42DF-88A9-7D946D59DBC0}">
  <ds:schemaRefs>
    <ds:schemaRef ds:uri="http://purl.org/dc/elements/1.1/"/>
    <ds:schemaRef ds:uri="http://purl.org/dc/terms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fc2f2499-f938-4cc0-a2cd-f3e7b3a200ae"/>
    <ds:schemaRef ds:uri="d3553cee-4ecc-4eb5-80d8-f24f98131822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72FD85E-FF90-4EFE-94E3-A44B65EFCF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553cee-4ecc-4eb5-80d8-f24f98131822"/>
    <ds:schemaRef ds:uri="fc2f2499-f938-4cc0-a2cd-f3e7b3a20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3B0B279-71E1-4721-AAA9-6880816D18D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13</vt:i4>
      </vt:variant>
    </vt:vector>
  </HeadingPairs>
  <TitlesOfParts>
    <vt:vector size="29" baseType="lpstr">
      <vt:lpstr>113. NEW Distrib by purp sum</vt:lpstr>
      <vt:lpstr>OLD Distrib by purpose sum</vt:lpstr>
      <vt:lpstr>114. NEW Distrib by purpose</vt:lpstr>
      <vt:lpstr>OLD Distrib by purpose</vt:lpstr>
      <vt:lpstr>115. NEW Distrib by source</vt:lpstr>
      <vt:lpstr>OLD Distrib by source</vt:lpstr>
      <vt:lpstr>116-131b NEW Amounts per FTE</vt:lpstr>
      <vt:lpstr>OLD Amounts per FTE</vt:lpstr>
      <vt:lpstr>06Funding</vt:lpstr>
      <vt:lpstr>Amounts Pivot Table</vt:lpstr>
      <vt:lpstr>Distrib pivot table</vt:lpstr>
      <vt:lpstr>SFA Data for Highlights</vt:lpstr>
      <vt:lpstr>Amounts Pivot Table Fact Book</vt:lpstr>
      <vt:lpstr>Sheet1</vt:lpstr>
      <vt:lpstr>Format Amounts</vt:lpstr>
      <vt:lpstr>Format Dist</vt:lpstr>
      <vt:lpstr>'113. NEW Distrib by purp sum'!Print_Area</vt:lpstr>
      <vt:lpstr>'114. NEW Distrib by purpose'!Print_Area</vt:lpstr>
      <vt:lpstr>'115. NEW Distrib by source'!Print_Area</vt:lpstr>
      <vt:lpstr>'116-131b NEW Amounts per FTE'!Print_Area</vt:lpstr>
      <vt:lpstr>'Distrib pivot table'!Print_Area</vt:lpstr>
      <vt:lpstr>'OLD Amounts per FTE'!Print_Area</vt:lpstr>
      <vt:lpstr>'OLD Distrib by purpose'!Print_Area</vt:lpstr>
      <vt:lpstr>'OLD Distrib by purpose sum'!Print_Area</vt:lpstr>
      <vt:lpstr>'OLD Distrib by source'!Print_Area</vt:lpstr>
      <vt:lpstr>'SFA Data for Highlights'!Print_Area</vt:lpstr>
      <vt:lpstr>'114. NEW Distrib by purpose'!Print_Titles</vt:lpstr>
      <vt:lpstr>'Distrib pivot table'!Print_Titles</vt:lpstr>
      <vt:lpstr>'OLD Distrib by purpose'!Print_Titles</vt:lpstr>
    </vt:vector>
  </TitlesOfParts>
  <Company>College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SREB</dc:creator>
  <cp:lastModifiedBy>Robert Aycock</cp:lastModifiedBy>
  <cp:lastPrinted>2018-07-16T20:30:55Z</cp:lastPrinted>
  <dcterms:created xsi:type="dcterms:W3CDTF">1997-12-15T16:34:08Z</dcterms:created>
  <dcterms:modified xsi:type="dcterms:W3CDTF">2023-06-08T13:55:37Z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urvey">
    <vt:lpwstr>06Funding</vt:lpwstr>
  </property>
  <property fmtid="{D5CDD505-2E9C-101B-9397-08002B2CF9AE}" pid="3" name="Survey Status">
    <vt:lpwstr>Template</vt:lpwstr>
  </property>
  <property fmtid="{D5CDD505-2E9C-101B-9397-08002B2CF9AE}" pid="4" name="State">
    <vt:lpwstr>AL</vt:lpwstr>
  </property>
  <property fmtid="{D5CDD505-2E9C-101B-9397-08002B2CF9AE}" pid="5" name="Agency">
    <vt:lpwstr>ACHE</vt:lpwstr>
  </property>
  <property fmtid="{D5CDD505-2E9C-101B-9397-08002B2CF9AE}" pid="6" name="ContentTypeId">
    <vt:lpwstr>0x0101008C9207C4D8AB6E4A9864D320D8693611</vt:lpwstr>
  </property>
  <property fmtid="{D5CDD505-2E9C-101B-9397-08002B2CF9AE}" pid="7" name="WorkflowChangePath">
    <vt:lpwstr>133843d5-d372-4001-96eb-52efd1ea8343,2;133843d5-d372-4001-96eb-52efd1ea8343,2;133843d5-d372-4001-96eb-52efd1ea8343,2;8a4bbcc6-8f80-41e8-9f53-b9ebbd41a3fd,4;8a4bbcc6-8f80-41e8-9f53-b9ebbd41a3fd,4;8a4bbcc6-8f80-41e8-9f53-b9ebbd41a3fd,4;133843d5-d372-4001-96</vt:lpwstr>
  </property>
  <property fmtid="{D5CDD505-2E9C-101B-9397-08002B2CF9AE}" pid="8" name="MSIP_Label_00260771-a9fd-4aa8-a138-a40ac53a5467_Enabled">
    <vt:lpwstr>True</vt:lpwstr>
  </property>
  <property fmtid="{D5CDD505-2E9C-101B-9397-08002B2CF9AE}" pid="9" name="MSIP_Label_00260771-a9fd-4aa8-a138-a40ac53a5467_SiteId">
    <vt:lpwstr>eb20950b-168c-497a-9845-2b099844f3ef</vt:lpwstr>
  </property>
  <property fmtid="{D5CDD505-2E9C-101B-9397-08002B2CF9AE}" pid="10" name="MSIP_Label_00260771-a9fd-4aa8-a138-a40ac53a5467_Owner">
    <vt:lpwstr>Christiana.Datubo-Brown@SREB.ORG</vt:lpwstr>
  </property>
  <property fmtid="{D5CDD505-2E9C-101B-9397-08002B2CF9AE}" pid="11" name="MSIP_Label_00260771-a9fd-4aa8-a138-a40ac53a5467_SetDate">
    <vt:lpwstr>2019-01-09T20:39:41.7991261Z</vt:lpwstr>
  </property>
  <property fmtid="{D5CDD505-2E9C-101B-9397-08002B2CF9AE}" pid="12" name="MSIP_Label_00260771-a9fd-4aa8-a138-a40ac53a5467_Name">
    <vt:lpwstr>General</vt:lpwstr>
  </property>
  <property fmtid="{D5CDD505-2E9C-101B-9397-08002B2CF9AE}" pid="13" name="MSIP_Label_00260771-a9fd-4aa8-a138-a40ac53a5467_Application">
    <vt:lpwstr>Microsoft Azure Information Protection</vt:lpwstr>
  </property>
  <property fmtid="{D5CDD505-2E9C-101B-9397-08002B2CF9AE}" pid="14" name="MSIP_Label_00260771-a9fd-4aa8-a138-a40ac53a5467_Extended_MSFT_Method">
    <vt:lpwstr>Automatic</vt:lpwstr>
  </property>
  <property fmtid="{D5CDD505-2E9C-101B-9397-08002B2CF9AE}" pid="15" name="Sensitivity">
    <vt:lpwstr>General</vt:lpwstr>
  </property>
</Properties>
</file>